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0\Протокол 114\"/>
    </mc:Choice>
  </mc:AlternateContent>
  <bookViews>
    <workbookView xWindow="0" yWindow="0" windowWidth="19200" windowHeight="13740" activeTab="2"/>
  </bookViews>
  <sheets>
    <sheet name="КС (пр.114)" sheetId="74" r:id="rId1"/>
    <sheet name="ВМП по КС(пр.114) " sheetId="75" r:id="rId2"/>
    <sheet name="ДС Пр. 114" sheetId="77" r:id="rId3"/>
    <sheet name="КТ, МРТ Пр. 114" sheetId="78" r:id="rId4"/>
    <sheet name="УЗИ ссс Пр. 114" sheetId="79" r:id="rId5"/>
    <sheet name="Эндоскопия Пр. 114" sheetId="80" r:id="rId6"/>
    <sheet name="Радиоиз,луч,КТ,УЗИ скр.Пр. 114" sheetId="84" r:id="rId7"/>
    <sheet name="ЛДИ COVID 19 Пр. 114" sheetId="81" r:id="rId8"/>
    <sheet name="Гемодиализ Пр. 114" sheetId="82" r:id="rId9"/>
    <sheet name="Обращения Пр.114" sheetId="85" r:id="rId10"/>
    <sheet name="Неотложн. МП Пр.114" sheetId="86" r:id="rId11"/>
    <sheet name="Профилактика всего Пр.114" sheetId="87" r:id="rId12"/>
    <sheet name="Профил. с иными целями Пр.114" sheetId="88" r:id="rId13"/>
    <sheet name="Центры здоровья Пр.114" sheetId="89" r:id="rId14"/>
    <sheet name="Частные МО обр.по заб.Пр.114" sheetId="90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_xlnm.Print_Area_2" localSheetId="10">#REF!</definedName>
    <definedName name="__xlnm.Print_Area_2" localSheetId="9">#REF!</definedName>
    <definedName name="__xlnm.Print_Area_2">#REF!</definedName>
    <definedName name="_xlnm._FilterDatabase" localSheetId="10" hidden="1">'Неотложн. МП Пр.114'!$A$9:$R$142</definedName>
    <definedName name="_xlnm._FilterDatabase" localSheetId="9" hidden="1">'Обращения Пр.114'!$A$8:$L$173</definedName>
    <definedName name="Kbcn" localSheetId="10">#REF!</definedName>
    <definedName name="Kbcn" localSheetId="9">#REF!</definedName>
    <definedName name="Kbcn">#REF!</definedName>
    <definedName name="Neot_17" localSheetId="10">#REF!</definedName>
    <definedName name="Neot_17" localSheetId="9">#REF!</definedName>
    <definedName name="Neot_17">#REF!</definedName>
    <definedName name="res2_range" localSheetId="1">#REF!</definedName>
    <definedName name="res2_range" localSheetId="0">#REF!</definedName>
    <definedName name="res2_range" localSheetId="10">#REF!</definedName>
    <definedName name="res2_range" localSheetId="9">#REF!</definedName>
    <definedName name="res2_range">#REF!</definedName>
    <definedName name="Tg_CZ" localSheetId="10">#REF!</definedName>
    <definedName name="Tg_CZ" localSheetId="9">#REF!</definedName>
    <definedName name="Tg_CZ">#REF!</definedName>
    <definedName name="Tg_Disp" localSheetId="10">#REF!</definedName>
    <definedName name="Tg_Disp" localSheetId="9">#REF!</definedName>
    <definedName name="Tg_Disp">#REF!</definedName>
    <definedName name="Tg_Geri" localSheetId="10">#REF!</definedName>
    <definedName name="Tg_Geri" localSheetId="9">#REF!</definedName>
    <definedName name="Tg_Geri">#REF!</definedName>
    <definedName name="Tg_Kons" localSheetId="10">#REF!</definedName>
    <definedName name="Tg_Kons" localSheetId="9">#REF!</definedName>
    <definedName name="Tg_Kons">#REF!</definedName>
    <definedName name="Tg_Med" localSheetId="10">#REF!</definedName>
    <definedName name="Tg_Med" localSheetId="9">#REF!</definedName>
    <definedName name="Tg_Med">#REF!</definedName>
    <definedName name="Tg_Neot" localSheetId="10">#REF!</definedName>
    <definedName name="Tg_Neot" localSheetId="9">#REF!</definedName>
    <definedName name="Tg_Neot">#REF!</definedName>
    <definedName name="Tg_Nepr" localSheetId="10">#REF!</definedName>
    <definedName name="Tg_Nepr" localSheetId="9">#REF!</definedName>
    <definedName name="Tg_Nepr">#REF!</definedName>
    <definedName name="Tg_Obr" localSheetId="10">#REF!</definedName>
    <definedName name="Tg_Obr" localSheetId="9">#REF!</definedName>
    <definedName name="Tg_Obr">#REF!</definedName>
    <definedName name="Tg_Reestr" localSheetId="10">#REF!</definedName>
    <definedName name="Tg_Reestr" localSheetId="9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10">#REF!</definedName>
    <definedName name="_xlnm.Database" localSheetId="9">#REF!</definedName>
    <definedName name="_xlnm.Database">#REF!</definedName>
    <definedName name="Д" localSheetId="0">[2]Данные!$B$1:$EF$178</definedName>
    <definedName name="Д" localSheetId="10">[2]Данные!$B$1:$EF$178</definedName>
    <definedName name="Д" localSheetId="9">[3]Данные!$B$1:$EF$178</definedName>
    <definedName name="Д">[3]Данные!$B$1:$EF$178</definedName>
    <definedName name="_xlnm.Print_Titles" localSheetId="0">'КС (пр.114)'!$4:$6</definedName>
    <definedName name="_xlnm.Print_Titles" localSheetId="10">'Неотложн. МП Пр.114'!$5:$9</definedName>
    <definedName name="ЗД" localSheetId="0">[2]Данные!$BY$3:$DB$3</definedName>
    <definedName name="ЗД" localSheetId="10">[2]Данные!$BY$3:$DB$3</definedName>
    <definedName name="ЗД" localSheetId="9">[3]Данные!$BY$3:$DB$3</definedName>
    <definedName name="ЗД">[3]Данные!$BY$3:$DB$3</definedName>
    <definedName name="ппорь" localSheetId="10">#REF!</definedName>
    <definedName name="ппорь" localSheetId="9">#REF!</definedName>
    <definedName name="ппорь">#REF!</definedName>
    <definedName name="смп" localSheetId="10">#REF!</definedName>
    <definedName name="смп" localSheetId="9">#REF!</definedName>
    <definedName name="смп">#REF!</definedName>
    <definedName name="ФЗ" localSheetId="0">[2]Данные!$DC$3:$EF$3</definedName>
    <definedName name="ФЗ" localSheetId="10">[2]Данные!$DC$3:$EF$3</definedName>
    <definedName name="ФЗ" localSheetId="9">[3]Данные!$DC$3:$EF$3</definedName>
    <definedName name="ФЗ">[3]Данные!$DC$3:$EF$3</definedName>
    <definedName name="Шт" localSheetId="0">[2]Данные!$AU$3:$BX$3</definedName>
    <definedName name="Шт" localSheetId="10">[2]Данные!$AU$3:$BX$3</definedName>
    <definedName name="Шт" localSheetId="9">[3]Данные!$AU$3:$BX$3</definedName>
    <definedName name="Шт">[3]Данные!$AU$3:$BX$3</definedName>
    <definedName name="ЭКО" localSheetId="10">#REF!</definedName>
    <definedName name="ЭКО" localSheetId="9">#REF!</definedName>
    <definedName name="ЭКО">#REF!</definedName>
  </definedNames>
  <calcPr calcId="152511"/>
</workbook>
</file>

<file path=xl/calcChain.xml><?xml version="1.0" encoding="utf-8"?>
<calcChain xmlns="http://schemas.openxmlformats.org/spreadsheetml/2006/main">
  <c r="G148" i="77" l="1"/>
  <c r="E148" i="77"/>
  <c r="C148" i="77"/>
  <c r="E147" i="77"/>
  <c r="C147" i="77"/>
  <c r="F146" i="77"/>
  <c r="E146" i="77"/>
  <c r="C146" i="77" s="1"/>
  <c r="G145" i="77"/>
  <c r="E145" i="77"/>
  <c r="C145" i="77" s="1"/>
  <c r="M144" i="77"/>
  <c r="C144" i="77" s="1"/>
  <c r="M143" i="77"/>
  <c r="C143" i="77" s="1"/>
  <c r="H142" i="77"/>
  <c r="H141" i="77" s="1"/>
  <c r="E142" i="77"/>
  <c r="E141" i="77" s="1"/>
  <c r="D142" i="77"/>
  <c r="C142" i="77" s="1"/>
  <c r="C141" i="77" s="1"/>
  <c r="M141" i="77"/>
  <c r="L141" i="77"/>
  <c r="K141" i="77"/>
  <c r="J141" i="77"/>
  <c r="I141" i="77"/>
  <c r="G141" i="77"/>
  <c r="F141" i="77"/>
  <c r="D141" i="77"/>
  <c r="M140" i="77"/>
  <c r="C140" i="77" s="1"/>
  <c r="M139" i="77"/>
  <c r="C139" i="77" s="1"/>
  <c r="H138" i="77"/>
  <c r="H137" i="77" s="1"/>
  <c r="E138" i="77"/>
  <c r="E137" i="77" s="1"/>
  <c r="E149" i="77" s="1"/>
  <c r="D138" i="77"/>
  <c r="M137" i="77"/>
  <c r="M149" i="77" s="1"/>
  <c r="L137" i="77"/>
  <c r="K137" i="77"/>
  <c r="J137" i="77"/>
  <c r="I137" i="77"/>
  <c r="I149" i="77" s="1"/>
  <c r="G137" i="77"/>
  <c r="F137" i="77"/>
  <c r="C136" i="77"/>
  <c r="C135" i="77"/>
  <c r="C134" i="77"/>
  <c r="C133" i="77"/>
  <c r="G132" i="77"/>
  <c r="E132" i="77"/>
  <c r="C132" i="77"/>
  <c r="C131" i="77"/>
  <c r="C130" i="77"/>
  <c r="C129" i="77"/>
  <c r="C128" i="77"/>
  <c r="H127" i="77"/>
  <c r="E127" i="77"/>
  <c r="C127" i="77" s="1"/>
  <c r="H126" i="77"/>
  <c r="C126" i="77"/>
  <c r="C125" i="77"/>
  <c r="C124" i="77"/>
  <c r="A124" i="77"/>
  <c r="A125" i="77" s="1"/>
  <c r="A126" i="77" s="1"/>
  <c r="A127" i="77" s="1"/>
  <c r="A128" i="77" s="1"/>
  <c r="A129" i="77" s="1"/>
  <c r="A130" i="77" s="1"/>
  <c r="A131" i="77" s="1"/>
  <c r="A132" i="77" s="1"/>
  <c r="A133" i="77" s="1"/>
  <c r="A134" i="77" s="1"/>
  <c r="A135" i="77" s="1"/>
  <c r="A136" i="77" s="1"/>
  <c r="A137" i="77" s="1"/>
  <c r="C123" i="77"/>
  <c r="C122" i="77"/>
  <c r="C121" i="77"/>
  <c r="C120" i="77"/>
  <c r="E119" i="77"/>
  <c r="C119" i="77"/>
  <c r="E118" i="77"/>
  <c r="C118" i="77"/>
  <c r="C117" i="77"/>
  <c r="C116" i="77"/>
  <c r="C115" i="77"/>
  <c r="C114" i="77"/>
  <c r="C113" i="77"/>
  <c r="C112" i="77"/>
  <c r="C111" i="77"/>
  <c r="C110" i="77"/>
  <c r="C109" i="77"/>
  <c r="C108" i="77"/>
  <c r="C107" i="77"/>
  <c r="C106" i="77"/>
  <c r="C105" i="77"/>
  <c r="C104" i="77"/>
  <c r="C103" i="77"/>
  <c r="H102" i="77"/>
  <c r="E102" i="77"/>
  <c r="C102" i="77"/>
  <c r="C101" i="77"/>
  <c r="C100" i="77"/>
  <c r="C99" i="77"/>
  <c r="C98" i="77"/>
  <c r="C97" i="77"/>
  <c r="C96" i="77"/>
  <c r="C95" i="77"/>
  <c r="C94" i="77"/>
  <c r="C93" i="77"/>
  <c r="E92" i="77"/>
  <c r="C92" i="77"/>
  <c r="G91" i="77"/>
  <c r="E91" i="77"/>
  <c r="C91" i="77" s="1"/>
  <c r="E90" i="77"/>
  <c r="C90" i="77" s="1"/>
  <c r="E89" i="77"/>
  <c r="C89" i="77" s="1"/>
  <c r="E88" i="77"/>
  <c r="C88" i="77" s="1"/>
  <c r="E87" i="77"/>
  <c r="C87" i="77" s="1"/>
  <c r="H86" i="77"/>
  <c r="G86" i="77"/>
  <c r="E86" i="77"/>
  <c r="C86" i="77" s="1"/>
  <c r="E85" i="77"/>
  <c r="C85" i="77" s="1"/>
  <c r="C84" i="77"/>
  <c r="L83" i="77"/>
  <c r="E83" i="77"/>
  <c r="C83" i="77" s="1"/>
  <c r="E82" i="77"/>
  <c r="C82" i="77" s="1"/>
  <c r="E81" i="77"/>
  <c r="C81" i="77" s="1"/>
  <c r="E80" i="77"/>
  <c r="C80" i="77" s="1"/>
  <c r="G79" i="77"/>
  <c r="E79" i="77"/>
  <c r="C79" i="77" s="1"/>
  <c r="C78" i="77"/>
  <c r="F77" i="77"/>
  <c r="E77" i="77"/>
  <c r="C77" i="77" s="1"/>
  <c r="C76" i="77"/>
  <c r="K75" i="77"/>
  <c r="C75" i="77"/>
  <c r="C74" i="77"/>
  <c r="C73" i="77"/>
  <c r="C72" i="77"/>
  <c r="C71" i="77"/>
  <c r="C70" i="77"/>
  <c r="K69" i="77"/>
  <c r="C69" i="77"/>
  <c r="K68" i="77"/>
  <c r="C68" i="77"/>
  <c r="C67" i="77"/>
  <c r="C66" i="77"/>
  <c r="C65" i="77"/>
  <c r="C64" i="77"/>
  <c r="K63" i="77"/>
  <c r="C63" i="77"/>
  <c r="C62" i="77"/>
  <c r="C61" i="77"/>
  <c r="C60" i="77"/>
  <c r="C59" i="77"/>
  <c r="C58" i="77"/>
  <c r="C57" i="77"/>
  <c r="K56" i="77"/>
  <c r="C56" i="77"/>
  <c r="K55" i="77"/>
  <c r="C55" i="77"/>
  <c r="C54" i="77"/>
  <c r="C53" i="77"/>
  <c r="K52" i="77"/>
  <c r="C52" i="77"/>
  <c r="C51" i="77"/>
  <c r="C50" i="77"/>
  <c r="C49" i="77"/>
  <c r="C48" i="77"/>
  <c r="C47" i="77"/>
  <c r="C46" i="77"/>
  <c r="C45" i="77"/>
  <c r="C44" i="77"/>
  <c r="C43" i="77"/>
  <c r="C42" i="77"/>
  <c r="C41" i="77"/>
  <c r="C40" i="77"/>
  <c r="K39" i="77"/>
  <c r="C39" i="77"/>
  <c r="E38" i="77"/>
  <c r="C38" i="77" s="1"/>
  <c r="H37" i="77"/>
  <c r="C37" i="77"/>
  <c r="F36" i="77"/>
  <c r="E36" i="77"/>
  <c r="C36" i="77" s="1"/>
  <c r="F35" i="77"/>
  <c r="E35" i="77"/>
  <c r="C35" i="77"/>
  <c r="E34" i="77"/>
  <c r="C34" i="77"/>
  <c r="E33" i="77"/>
  <c r="C33" i="77"/>
  <c r="C32" i="77"/>
  <c r="K31" i="77"/>
  <c r="C31" i="77"/>
  <c r="C30" i="77"/>
  <c r="H29" i="77"/>
  <c r="E29" i="77"/>
  <c r="C29" i="77" s="1"/>
  <c r="C28" i="77"/>
  <c r="C27" i="77"/>
  <c r="C26" i="77"/>
  <c r="C25" i="77"/>
  <c r="C24" i="77"/>
  <c r="C23" i="77"/>
  <c r="C22" i="77"/>
  <c r="H21" i="77"/>
  <c r="E21" i="77"/>
  <c r="C21" i="77" s="1"/>
  <c r="C20" i="77"/>
  <c r="H19" i="77"/>
  <c r="E19" i="77"/>
  <c r="C19" i="77" s="1"/>
  <c r="C18" i="77"/>
  <c r="C17" i="77"/>
  <c r="C16" i="77"/>
  <c r="C15" i="77"/>
  <c r="C14" i="77"/>
  <c r="C13" i="77"/>
  <c r="C12" i="77"/>
  <c r="C11" i="77"/>
  <c r="C10" i="77"/>
  <c r="C9" i="77"/>
  <c r="C8" i="77"/>
  <c r="C7" i="77"/>
  <c r="K149" i="77" l="1"/>
  <c r="G149" i="77"/>
  <c r="C138" i="77"/>
  <c r="C137" i="77" s="1"/>
  <c r="C149" i="77" s="1"/>
  <c r="H149" i="77"/>
  <c r="F149" i="77"/>
  <c r="J149" i="77"/>
  <c r="L149" i="77"/>
  <c r="D137" i="77"/>
  <c r="D149" i="77" s="1"/>
  <c r="L33" i="90"/>
  <c r="H33" i="90"/>
  <c r="D32" i="90"/>
  <c r="C32" i="90"/>
  <c r="D31" i="90"/>
  <c r="C31" i="90" s="1"/>
  <c r="D30" i="90"/>
  <c r="C30" i="90"/>
  <c r="D29" i="90"/>
  <c r="C29" i="90" s="1"/>
  <c r="E28" i="90"/>
  <c r="D28" i="90"/>
  <c r="C28" i="90"/>
  <c r="E27" i="90"/>
  <c r="C27" i="90"/>
  <c r="I26" i="90"/>
  <c r="E26" i="90"/>
  <c r="C26" i="90" s="1"/>
  <c r="M25" i="90"/>
  <c r="C25" i="90" s="1"/>
  <c r="C24" i="90"/>
  <c r="E23" i="90"/>
  <c r="C23" i="90"/>
  <c r="E22" i="90"/>
  <c r="C22" i="90"/>
  <c r="C21" i="90"/>
  <c r="D20" i="90"/>
  <c r="C20" i="90" s="1"/>
  <c r="M19" i="90"/>
  <c r="M33" i="90" s="1"/>
  <c r="L19" i="90"/>
  <c r="K19" i="90"/>
  <c r="K33" i="90" s="1"/>
  <c r="J19" i="90"/>
  <c r="J33" i="90" s="1"/>
  <c r="I19" i="90"/>
  <c r="I33" i="90" s="1"/>
  <c r="H19" i="90"/>
  <c r="G19" i="90"/>
  <c r="G33" i="90" s="1"/>
  <c r="F19" i="90"/>
  <c r="E19" i="90"/>
  <c r="C19" i="90" s="1"/>
  <c r="D19" i="90"/>
  <c r="D18" i="90"/>
  <c r="C18" i="90"/>
  <c r="D17" i="90"/>
  <c r="C17" i="90"/>
  <c r="D16" i="90"/>
  <c r="C16" i="90"/>
  <c r="E15" i="90"/>
  <c r="D15" i="90"/>
  <c r="C15" i="90" s="1"/>
  <c r="D14" i="90"/>
  <c r="C14" i="90" s="1"/>
  <c r="D13" i="90"/>
  <c r="C13" i="90" s="1"/>
  <c r="D12" i="90"/>
  <c r="C12" i="90" s="1"/>
  <c r="D11" i="90"/>
  <c r="C11" i="90" s="1"/>
  <c r="D10" i="90"/>
  <c r="D33" i="90" s="1"/>
  <c r="E9" i="90"/>
  <c r="D9" i="90"/>
  <c r="C9" i="90"/>
  <c r="F8" i="90"/>
  <c r="F33" i="90" s="1"/>
  <c r="E8" i="90"/>
  <c r="C8" i="90" s="1"/>
  <c r="E7" i="90"/>
  <c r="E33" i="90" s="1"/>
  <c r="D7" i="90"/>
  <c r="D6" i="90"/>
  <c r="C6" i="90"/>
  <c r="D5" i="90"/>
  <c r="C5" i="90"/>
  <c r="C7" i="90" l="1"/>
  <c r="C33" i="90" s="1"/>
  <c r="C10" i="90"/>
  <c r="I31" i="89"/>
  <c r="H31" i="89"/>
  <c r="G31" i="89"/>
  <c r="E31" i="89" s="1"/>
  <c r="F31" i="89"/>
  <c r="D31" i="89" s="1"/>
  <c r="I30" i="89"/>
  <c r="H30" i="89"/>
  <c r="G30" i="89"/>
  <c r="E30" i="89" s="1"/>
  <c r="F30" i="89"/>
  <c r="I29" i="89"/>
  <c r="H29" i="89"/>
  <c r="G29" i="89"/>
  <c r="F29" i="89"/>
  <c r="I28" i="89"/>
  <c r="H28" i="89"/>
  <c r="G28" i="89"/>
  <c r="E28" i="89" s="1"/>
  <c r="F28" i="89"/>
  <c r="D28" i="89"/>
  <c r="I27" i="89"/>
  <c r="H27" i="89"/>
  <c r="G27" i="89"/>
  <c r="F27" i="89"/>
  <c r="D27" i="89"/>
  <c r="I26" i="89"/>
  <c r="H26" i="89"/>
  <c r="G26" i="89"/>
  <c r="E26" i="89" s="1"/>
  <c r="F26" i="89"/>
  <c r="D26" i="89" s="1"/>
  <c r="C26" i="89" s="1"/>
  <c r="I25" i="89"/>
  <c r="H25" i="89"/>
  <c r="G25" i="89"/>
  <c r="E25" i="89" s="1"/>
  <c r="F25" i="89"/>
  <c r="D25" i="89" s="1"/>
  <c r="I24" i="89"/>
  <c r="H24" i="89"/>
  <c r="G24" i="89"/>
  <c r="E24" i="89" s="1"/>
  <c r="F24" i="89"/>
  <c r="D24" i="89"/>
  <c r="I23" i="89"/>
  <c r="H23" i="89"/>
  <c r="G23" i="89"/>
  <c r="F23" i="89"/>
  <c r="D23" i="89"/>
  <c r="I22" i="89"/>
  <c r="H22" i="89"/>
  <c r="G22" i="89"/>
  <c r="E22" i="89" s="1"/>
  <c r="F22" i="89"/>
  <c r="D22" i="89" s="1"/>
  <c r="C22" i="89" s="1"/>
  <c r="I21" i="89"/>
  <c r="H21" i="89"/>
  <c r="G21" i="89"/>
  <c r="F21" i="89"/>
  <c r="D21" i="89" s="1"/>
  <c r="I20" i="89"/>
  <c r="H20" i="89"/>
  <c r="G20" i="89"/>
  <c r="E20" i="89" s="1"/>
  <c r="F20" i="89"/>
  <c r="D20" i="89" s="1"/>
  <c r="C20" i="89" s="1"/>
  <c r="I19" i="89"/>
  <c r="H19" i="89"/>
  <c r="D19" i="89" s="1"/>
  <c r="G19" i="89"/>
  <c r="F19" i="89"/>
  <c r="I18" i="89"/>
  <c r="H18" i="89"/>
  <c r="G18" i="89"/>
  <c r="F18" i="89"/>
  <c r="D18" i="89" s="1"/>
  <c r="I17" i="89"/>
  <c r="H17" i="89"/>
  <c r="G17" i="89"/>
  <c r="F17" i="89"/>
  <c r="D17" i="89" s="1"/>
  <c r="E17" i="89"/>
  <c r="G16" i="89"/>
  <c r="E16" i="89"/>
  <c r="D16" i="89"/>
  <c r="I15" i="89"/>
  <c r="E15" i="89" s="1"/>
  <c r="H15" i="89"/>
  <c r="D15" i="89" s="1"/>
  <c r="G15" i="89"/>
  <c r="I14" i="89"/>
  <c r="H14" i="89"/>
  <c r="G14" i="89"/>
  <c r="F14" i="89"/>
  <c r="D14" i="89" s="1"/>
  <c r="I13" i="89"/>
  <c r="E13" i="89" s="1"/>
  <c r="H13" i="89"/>
  <c r="G13" i="89"/>
  <c r="F13" i="89"/>
  <c r="D13" i="89" s="1"/>
  <c r="I12" i="89"/>
  <c r="H12" i="89"/>
  <c r="G12" i="89"/>
  <c r="F12" i="89"/>
  <c r="E12" i="89"/>
  <c r="I11" i="89"/>
  <c r="H11" i="89"/>
  <c r="G11" i="89"/>
  <c r="E11" i="89" s="1"/>
  <c r="F11" i="89"/>
  <c r="D11" i="89" s="1"/>
  <c r="I10" i="89"/>
  <c r="H10" i="89"/>
  <c r="G10" i="89"/>
  <c r="E10" i="89" s="1"/>
  <c r="F10" i="89"/>
  <c r="I9" i="89"/>
  <c r="H9" i="89"/>
  <c r="G9" i="89"/>
  <c r="G32" i="89" s="1"/>
  <c r="F9" i="89"/>
  <c r="C25" i="89" l="1"/>
  <c r="C11" i="89"/>
  <c r="C17" i="89"/>
  <c r="C24" i="89"/>
  <c r="C28" i="89"/>
  <c r="C31" i="89"/>
  <c r="E9" i="89"/>
  <c r="I32" i="89"/>
  <c r="E14" i="89"/>
  <c r="C16" i="89"/>
  <c r="E18" i="89"/>
  <c r="C18" i="89" s="1"/>
  <c r="E23" i="89"/>
  <c r="C23" i="89" s="1"/>
  <c r="E27" i="89"/>
  <c r="C27" i="89" s="1"/>
  <c r="E29" i="89"/>
  <c r="C29" i="89" s="1"/>
  <c r="D9" i="89"/>
  <c r="D10" i="89"/>
  <c r="C10" i="89" s="1"/>
  <c r="H32" i="89"/>
  <c r="C15" i="89"/>
  <c r="E19" i="89"/>
  <c r="C19" i="89" s="1"/>
  <c r="E21" i="89"/>
  <c r="C21" i="89" s="1"/>
  <c r="D29" i="89"/>
  <c r="D30" i="89"/>
  <c r="C30" i="89" s="1"/>
  <c r="C9" i="89"/>
  <c r="D32" i="89"/>
  <c r="C13" i="89"/>
  <c r="C14" i="89"/>
  <c r="D12" i="89"/>
  <c r="C12" i="89" s="1"/>
  <c r="F32" i="89"/>
  <c r="C32" i="89" l="1"/>
  <c r="E32" i="89"/>
  <c r="AI166" i="88"/>
  <c r="AH166" i="88"/>
  <c r="AG166" i="88"/>
  <c r="AF166" i="88"/>
  <c r="AE166" i="88"/>
  <c r="T166" i="88"/>
  <c r="S166" i="88"/>
  <c r="R166" i="88"/>
  <c r="Q166" i="88"/>
  <c r="P166" i="88"/>
  <c r="O166" i="88"/>
  <c r="M166" i="88"/>
  <c r="L166" i="88"/>
  <c r="K166" i="88"/>
  <c r="J166" i="88"/>
  <c r="I166" i="88"/>
  <c r="H166" i="88"/>
  <c r="G166" i="88"/>
  <c r="F166" i="88"/>
  <c r="E166" i="88"/>
  <c r="D166" i="88"/>
  <c r="BD165" i="88"/>
  <c r="BC165" i="88"/>
  <c r="BB165" i="88"/>
  <c r="BA165" i="88"/>
  <c r="AZ165" i="88"/>
  <c r="AY165" i="88"/>
  <c r="AX165" i="88"/>
  <c r="AW165" i="88"/>
  <c r="AV165" i="88"/>
  <c r="AU165" i="88"/>
  <c r="AT165" i="88"/>
  <c r="AS165" i="88"/>
  <c r="AR165" i="88"/>
  <c r="AD165" i="88"/>
  <c r="AB165" i="88"/>
  <c r="Z165" i="88"/>
  <c r="Y165" i="88"/>
  <c r="C165" i="88"/>
  <c r="BD164" i="88"/>
  <c r="BC164" i="88"/>
  <c r="BB164" i="88"/>
  <c r="BA164" i="88"/>
  <c r="AZ164" i="88"/>
  <c r="AY164" i="88"/>
  <c r="AX164" i="88"/>
  <c r="AW164" i="88"/>
  <c r="AV164" i="88"/>
  <c r="AU164" i="88"/>
  <c r="AT164" i="88"/>
  <c r="AS164" i="88"/>
  <c r="AR164" i="88"/>
  <c r="AD164" i="88"/>
  <c r="AB164" i="88"/>
  <c r="Z164" i="88"/>
  <c r="Y164" i="88"/>
  <c r="C164" i="88"/>
  <c r="V164" i="88" s="1"/>
  <c r="BD163" i="88"/>
  <c r="BC163" i="88"/>
  <c r="BB163" i="88"/>
  <c r="BA163" i="88"/>
  <c r="AZ163" i="88"/>
  <c r="AY163" i="88"/>
  <c r="AX163" i="88"/>
  <c r="AW163" i="88"/>
  <c r="AV163" i="88"/>
  <c r="AU163" i="88"/>
  <c r="AT163" i="88"/>
  <c r="AS163" i="88"/>
  <c r="AR163" i="88"/>
  <c r="AD163" i="88"/>
  <c r="AB163" i="88"/>
  <c r="Z163" i="88"/>
  <c r="Y163" i="88"/>
  <c r="C163" i="88"/>
  <c r="V163" i="88" s="1"/>
  <c r="BD162" i="88"/>
  <c r="BC162" i="88"/>
  <c r="BB162" i="88"/>
  <c r="BA162" i="88"/>
  <c r="AZ162" i="88"/>
  <c r="AY162" i="88"/>
  <c r="AX162" i="88"/>
  <c r="AW162" i="88"/>
  <c r="AV162" i="88"/>
  <c r="AU162" i="88"/>
  <c r="AT162" i="88"/>
  <c r="AS162" i="88"/>
  <c r="AR162" i="88"/>
  <c r="AD162" i="88"/>
  <c r="AB162" i="88"/>
  <c r="Z162" i="88"/>
  <c r="Y162" i="88"/>
  <c r="C162" i="88"/>
  <c r="BD161" i="88"/>
  <c r="BC161" i="88"/>
  <c r="BB161" i="88"/>
  <c r="BA161" i="88"/>
  <c r="AZ161" i="88"/>
  <c r="AY161" i="88"/>
  <c r="AX161" i="88"/>
  <c r="AW161" i="88"/>
  <c r="AV161" i="88"/>
  <c r="AU161" i="88"/>
  <c r="AT161" i="88"/>
  <c r="AS161" i="88"/>
  <c r="AR161" i="88"/>
  <c r="AD161" i="88"/>
  <c r="AB161" i="88"/>
  <c r="Z161" i="88"/>
  <c r="Y161" i="88"/>
  <c r="C161" i="88"/>
  <c r="BD160" i="88"/>
  <c r="BC160" i="88"/>
  <c r="BB160" i="88"/>
  <c r="BA160" i="88"/>
  <c r="AZ160" i="88"/>
  <c r="AY160" i="88"/>
  <c r="AX160" i="88"/>
  <c r="AW160" i="88"/>
  <c r="AV160" i="88"/>
  <c r="AU160" i="88"/>
  <c r="AT160" i="88"/>
  <c r="AS160" i="88"/>
  <c r="AR160" i="88"/>
  <c r="AD160" i="88"/>
  <c r="AB160" i="88"/>
  <c r="Z160" i="88"/>
  <c r="Y160" i="88"/>
  <c r="C160" i="88"/>
  <c r="V160" i="88" s="1"/>
  <c r="BD159" i="88"/>
  <c r="BC159" i="88"/>
  <c r="BB159" i="88"/>
  <c r="BA159" i="88"/>
  <c r="AZ159" i="88"/>
  <c r="AY159" i="88"/>
  <c r="AX159" i="88"/>
  <c r="AW159" i="88"/>
  <c r="AV159" i="88"/>
  <c r="AU159" i="88"/>
  <c r="AT159" i="88"/>
  <c r="AS159" i="88"/>
  <c r="AR159" i="88"/>
  <c r="AD159" i="88"/>
  <c r="AB159" i="88"/>
  <c r="Z159" i="88"/>
  <c r="Y159" i="88"/>
  <c r="C159" i="88"/>
  <c r="V159" i="88" s="1"/>
  <c r="BD158" i="88"/>
  <c r="BC158" i="88"/>
  <c r="BB158" i="88"/>
  <c r="BA158" i="88"/>
  <c r="AZ158" i="88"/>
  <c r="AY158" i="88"/>
  <c r="AX158" i="88"/>
  <c r="AW158" i="88"/>
  <c r="AV158" i="88"/>
  <c r="AU158" i="88"/>
  <c r="AT158" i="88"/>
  <c r="AS158" i="88"/>
  <c r="AR158" i="88"/>
  <c r="AD158" i="88"/>
  <c r="AB158" i="88"/>
  <c r="Z158" i="88"/>
  <c r="Y158" i="88"/>
  <c r="C158" i="88"/>
  <c r="BD157" i="88"/>
  <c r="BC157" i="88"/>
  <c r="BB157" i="88"/>
  <c r="BA157" i="88"/>
  <c r="AZ157" i="88"/>
  <c r="AY157" i="88"/>
  <c r="AX157" i="88"/>
  <c r="AW157" i="88"/>
  <c r="AV157" i="88"/>
  <c r="AU157" i="88"/>
  <c r="AT157" i="88"/>
  <c r="AS157" i="88"/>
  <c r="AR157" i="88"/>
  <c r="AD157" i="88"/>
  <c r="AB157" i="88"/>
  <c r="Z157" i="88"/>
  <c r="Y157" i="88"/>
  <c r="C157" i="88"/>
  <c r="BD156" i="88"/>
  <c r="BC156" i="88"/>
  <c r="BB156" i="88"/>
  <c r="BA156" i="88"/>
  <c r="AZ156" i="88"/>
  <c r="AY156" i="88"/>
  <c r="AX156" i="88"/>
  <c r="AW156" i="88"/>
  <c r="AV156" i="88"/>
  <c r="AU156" i="88"/>
  <c r="AT156" i="88"/>
  <c r="AS156" i="88"/>
  <c r="AR156" i="88"/>
  <c r="AD156" i="88"/>
  <c r="AB156" i="88"/>
  <c r="Z156" i="88"/>
  <c r="Y156" i="88"/>
  <c r="C156" i="88"/>
  <c r="V156" i="88" s="1"/>
  <c r="BD155" i="88"/>
  <c r="BC155" i="88"/>
  <c r="BB155" i="88"/>
  <c r="BA155" i="88"/>
  <c r="AZ155" i="88"/>
  <c r="AY155" i="88"/>
  <c r="AX155" i="88"/>
  <c r="AW155" i="88"/>
  <c r="AV155" i="88"/>
  <c r="AU155" i="88"/>
  <c r="AT155" i="88"/>
  <c r="AS155" i="88"/>
  <c r="AR155" i="88"/>
  <c r="AD155" i="88"/>
  <c r="AB155" i="88"/>
  <c r="Z155" i="88"/>
  <c r="Y155" i="88"/>
  <c r="C155" i="88"/>
  <c r="V155" i="88" s="1"/>
  <c r="BD154" i="88"/>
  <c r="BC154" i="88"/>
  <c r="BB154" i="88"/>
  <c r="BA154" i="88"/>
  <c r="AZ154" i="88"/>
  <c r="AY154" i="88"/>
  <c r="AX154" i="88"/>
  <c r="AW154" i="88"/>
  <c r="AV154" i="88"/>
  <c r="AU154" i="88"/>
  <c r="AT154" i="88"/>
  <c r="AS154" i="88"/>
  <c r="AR154" i="88"/>
  <c r="AD154" i="88"/>
  <c r="AB154" i="88"/>
  <c r="Z154" i="88"/>
  <c r="Y154" i="88"/>
  <c r="C154" i="88"/>
  <c r="BD153" i="88"/>
  <c r="BC153" i="88"/>
  <c r="BB153" i="88"/>
  <c r="BA153" i="88"/>
  <c r="AZ153" i="88"/>
  <c r="AY153" i="88"/>
  <c r="AX153" i="88"/>
  <c r="AW153" i="88"/>
  <c r="AV153" i="88"/>
  <c r="AU153" i="88"/>
  <c r="AT153" i="88"/>
  <c r="AS153" i="88"/>
  <c r="AR153" i="88"/>
  <c r="AD153" i="88"/>
  <c r="AB153" i="88"/>
  <c r="Z153" i="88"/>
  <c r="Y153" i="88"/>
  <c r="C153" i="88"/>
  <c r="BD152" i="88"/>
  <c r="BC152" i="88"/>
  <c r="BB152" i="88"/>
  <c r="BA152" i="88"/>
  <c r="AZ152" i="88"/>
  <c r="AY152" i="88"/>
  <c r="AX152" i="88"/>
  <c r="AW152" i="88"/>
  <c r="AV152" i="88"/>
  <c r="AU152" i="88"/>
  <c r="AT152" i="88"/>
  <c r="AS152" i="88"/>
  <c r="AR152" i="88"/>
  <c r="AD152" i="88"/>
  <c r="AB152" i="88"/>
  <c r="Z152" i="88"/>
  <c r="Y152" i="88"/>
  <c r="C152" i="88"/>
  <c r="V152" i="88" s="1"/>
  <c r="BD151" i="88"/>
  <c r="BC151" i="88"/>
  <c r="BB151" i="88"/>
  <c r="BA151" i="88"/>
  <c r="AZ151" i="88"/>
  <c r="AY151" i="88"/>
  <c r="AX151" i="88"/>
  <c r="AW151" i="88"/>
  <c r="AV151" i="88"/>
  <c r="AU151" i="88"/>
  <c r="AT151" i="88"/>
  <c r="AS151" i="88"/>
  <c r="AR151" i="88"/>
  <c r="AD151" i="88"/>
  <c r="AB151" i="88"/>
  <c r="Z151" i="88"/>
  <c r="Y151" i="88"/>
  <c r="C151" i="88"/>
  <c r="V151" i="88" s="1"/>
  <c r="BD150" i="88"/>
  <c r="BC150" i="88"/>
  <c r="BB150" i="88"/>
  <c r="BA150" i="88"/>
  <c r="AZ150" i="88"/>
  <c r="AY150" i="88"/>
  <c r="AX150" i="88"/>
  <c r="AW150" i="88"/>
  <c r="AV150" i="88"/>
  <c r="AU150" i="88"/>
  <c r="AT150" i="88"/>
  <c r="AS150" i="88"/>
  <c r="AR150" i="88"/>
  <c r="AD150" i="88"/>
  <c r="AB150" i="88"/>
  <c r="Z150" i="88"/>
  <c r="Y150" i="88"/>
  <c r="C150" i="88"/>
  <c r="BD149" i="88"/>
  <c r="BC149" i="88"/>
  <c r="BB149" i="88"/>
  <c r="BA149" i="88"/>
  <c r="AZ149" i="88"/>
  <c r="AY149" i="88"/>
  <c r="AX149" i="88"/>
  <c r="AW149" i="88"/>
  <c r="AV149" i="88"/>
  <c r="AU149" i="88"/>
  <c r="AT149" i="88"/>
  <c r="AS149" i="88"/>
  <c r="AR149" i="88"/>
  <c r="AD149" i="88"/>
  <c r="AB149" i="88"/>
  <c r="Z149" i="88"/>
  <c r="Y149" i="88"/>
  <c r="C149" i="88"/>
  <c r="BD148" i="88"/>
  <c r="BC148" i="88"/>
  <c r="BB148" i="88"/>
  <c r="BA148" i="88"/>
  <c r="AZ148" i="88"/>
  <c r="AY148" i="88"/>
  <c r="AX148" i="88"/>
  <c r="AW148" i="88"/>
  <c r="AV148" i="88"/>
  <c r="AU148" i="88"/>
  <c r="AT148" i="88"/>
  <c r="AS148" i="88"/>
  <c r="AR148" i="88"/>
  <c r="AD148" i="88"/>
  <c r="AB148" i="88"/>
  <c r="Z148" i="88"/>
  <c r="Y148" i="88"/>
  <c r="C148" i="88"/>
  <c r="V148" i="88" s="1"/>
  <c r="BD147" i="88"/>
  <c r="BC147" i="88"/>
  <c r="BB147" i="88"/>
  <c r="BA147" i="88"/>
  <c r="AZ147" i="88"/>
  <c r="AY147" i="88"/>
  <c r="AX147" i="88"/>
  <c r="AW147" i="88"/>
  <c r="AV147" i="88"/>
  <c r="AU147" i="88"/>
  <c r="AT147" i="88"/>
  <c r="AS147" i="88"/>
  <c r="AR147" i="88"/>
  <c r="AD147" i="88"/>
  <c r="AB147" i="88"/>
  <c r="Z147" i="88"/>
  <c r="Y147" i="88"/>
  <c r="C147" i="88"/>
  <c r="V147" i="88" s="1"/>
  <c r="BD146" i="88"/>
  <c r="BC146" i="88"/>
  <c r="BB146" i="88"/>
  <c r="BA146" i="88"/>
  <c r="AZ146" i="88"/>
  <c r="AY146" i="88"/>
  <c r="AX146" i="88"/>
  <c r="AW146" i="88"/>
  <c r="AV146" i="88"/>
  <c r="AU146" i="88"/>
  <c r="AT146" i="88"/>
  <c r="AS146" i="88"/>
  <c r="AR146" i="88"/>
  <c r="AD146" i="88"/>
  <c r="AB146" i="88"/>
  <c r="Z146" i="88"/>
  <c r="Y146" i="88"/>
  <c r="C146" i="88"/>
  <c r="BD145" i="88"/>
  <c r="BC145" i="88"/>
  <c r="BB145" i="88"/>
  <c r="BA145" i="88"/>
  <c r="AZ145" i="88"/>
  <c r="AY145" i="88"/>
  <c r="AX145" i="88"/>
  <c r="AW145" i="88"/>
  <c r="AV145" i="88"/>
  <c r="AU145" i="88"/>
  <c r="AT145" i="88"/>
  <c r="AS145" i="88"/>
  <c r="AR145" i="88"/>
  <c r="AD145" i="88"/>
  <c r="AB145" i="88"/>
  <c r="Z145" i="88"/>
  <c r="Y145" i="88"/>
  <c r="C145" i="88"/>
  <c r="BD144" i="88"/>
  <c r="BC144" i="88"/>
  <c r="BB144" i="88"/>
  <c r="BA144" i="88"/>
  <c r="AZ144" i="88"/>
  <c r="AY144" i="88"/>
  <c r="AX144" i="88"/>
  <c r="AW144" i="88"/>
  <c r="AV144" i="88"/>
  <c r="AU144" i="88"/>
  <c r="AT144" i="88"/>
  <c r="AS144" i="88"/>
  <c r="AR144" i="88"/>
  <c r="AD144" i="88"/>
  <c r="AB144" i="88"/>
  <c r="Z144" i="88"/>
  <c r="Y144" i="88"/>
  <c r="C144" i="88"/>
  <c r="V144" i="88" s="1"/>
  <c r="BD143" i="88"/>
  <c r="BC143" i="88"/>
  <c r="BB143" i="88"/>
  <c r="BA143" i="88"/>
  <c r="AZ143" i="88"/>
  <c r="AY143" i="88"/>
  <c r="AX143" i="88"/>
  <c r="AW143" i="88"/>
  <c r="AV143" i="88"/>
  <c r="AU143" i="88"/>
  <c r="AT143" i="88"/>
  <c r="AS143" i="88"/>
  <c r="AR143" i="88"/>
  <c r="AD143" i="88"/>
  <c r="AB143" i="88"/>
  <c r="Z143" i="88"/>
  <c r="Y143" i="88"/>
  <c r="C143" i="88"/>
  <c r="V143" i="88" s="1"/>
  <c r="BD142" i="88"/>
  <c r="BC142" i="88"/>
  <c r="BB142" i="88"/>
  <c r="BA142" i="88"/>
  <c r="AZ142" i="88"/>
  <c r="AY142" i="88"/>
  <c r="AX142" i="88"/>
  <c r="AW142" i="88"/>
  <c r="AV142" i="88"/>
  <c r="AU142" i="88"/>
  <c r="AT142" i="88"/>
  <c r="AS142" i="88"/>
  <c r="AR142" i="88"/>
  <c r="AD142" i="88"/>
  <c r="AB142" i="88"/>
  <c r="Z142" i="88"/>
  <c r="Y142" i="88"/>
  <c r="C142" i="88"/>
  <c r="BD141" i="88"/>
  <c r="BC141" i="88"/>
  <c r="BB141" i="88"/>
  <c r="BA141" i="88"/>
  <c r="AZ141" i="88"/>
  <c r="AY141" i="88"/>
  <c r="AX141" i="88"/>
  <c r="AW141" i="88"/>
  <c r="AV141" i="88"/>
  <c r="AU141" i="88"/>
  <c r="AT141" i="88"/>
  <c r="AS141" i="88"/>
  <c r="AR141" i="88"/>
  <c r="AD141" i="88"/>
  <c r="AB141" i="88"/>
  <c r="Z141" i="88"/>
  <c r="Y141" i="88"/>
  <c r="C141" i="88"/>
  <c r="BD140" i="88"/>
  <c r="BC140" i="88"/>
  <c r="BB140" i="88"/>
  <c r="BA140" i="88"/>
  <c r="AZ140" i="88"/>
  <c r="AY140" i="88"/>
  <c r="AX140" i="88"/>
  <c r="AW140" i="88"/>
  <c r="AV140" i="88"/>
  <c r="AU140" i="88"/>
  <c r="AT140" i="88"/>
  <c r="AS140" i="88"/>
  <c r="AR140" i="88"/>
  <c r="AD140" i="88"/>
  <c r="AB140" i="88"/>
  <c r="Z140" i="88"/>
  <c r="Y140" i="88"/>
  <c r="C140" i="88"/>
  <c r="V140" i="88" s="1"/>
  <c r="BD139" i="88"/>
  <c r="BC139" i="88"/>
  <c r="BB139" i="88"/>
  <c r="BA139" i="88"/>
  <c r="AZ139" i="88"/>
  <c r="AY139" i="88"/>
  <c r="AX139" i="88"/>
  <c r="AW139" i="88"/>
  <c r="AV139" i="88"/>
  <c r="AU139" i="88"/>
  <c r="AT139" i="88"/>
  <c r="AS139" i="88"/>
  <c r="AR139" i="88"/>
  <c r="AD139" i="88"/>
  <c r="AB139" i="88"/>
  <c r="Z139" i="88"/>
  <c r="Y139" i="88"/>
  <c r="C139" i="88"/>
  <c r="V139" i="88" s="1"/>
  <c r="BD138" i="88"/>
  <c r="BC138" i="88"/>
  <c r="BB138" i="88"/>
  <c r="BA138" i="88"/>
  <c r="AZ138" i="88"/>
  <c r="AY138" i="88"/>
  <c r="AX138" i="88"/>
  <c r="AW138" i="88"/>
  <c r="AV138" i="88"/>
  <c r="AU138" i="88"/>
  <c r="AT138" i="88"/>
  <c r="AS138" i="88"/>
  <c r="AR138" i="88"/>
  <c r="AD138" i="88"/>
  <c r="AB138" i="88"/>
  <c r="Z138" i="88"/>
  <c r="Y138" i="88"/>
  <c r="C138" i="88"/>
  <c r="BD137" i="88"/>
  <c r="BC137" i="88"/>
  <c r="BB137" i="88"/>
  <c r="BA137" i="88"/>
  <c r="AZ137" i="88"/>
  <c r="AY137" i="88"/>
  <c r="AX137" i="88"/>
  <c r="AW137" i="88"/>
  <c r="AV137" i="88"/>
  <c r="AU137" i="88"/>
  <c r="AT137" i="88"/>
  <c r="AS137" i="88"/>
  <c r="AR137" i="88"/>
  <c r="AD137" i="88"/>
  <c r="AB137" i="88"/>
  <c r="Z137" i="88"/>
  <c r="Y137" i="88"/>
  <c r="C137" i="88"/>
  <c r="BD136" i="88"/>
  <c r="BC136" i="88"/>
  <c r="BB136" i="88"/>
  <c r="BA136" i="88"/>
  <c r="AZ136" i="88"/>
  <c r="AY136" i="88"/>
  <c r="AX136" i="88"/>
  <c r="AW136" i="88"/>
  <c r="AV136" i="88"/>
  <c r="AU136" i="88"/>
  <c r="AT136" i="88"/>
  <c r="AS136" i="88"/>
  <c r="AR136" i="88"/>
  <c r="AD136" i="88"/>
  <c r="AB136" i="88"/>
  <c r="Z136" i="88"/>
  <c r="Y136" i="88"/>
  <c r="C136" i="88"/>
  <c r="V136" i="88" s="1"/>
  <c r="BD135" i="88"/>
  <c r="BC135" i="88"/>
  <c r="BB135" i="88"/>
  <c r="BA135" i="88"/>
  <c r="AZ135" i="88"/>
  <c r="AY135" i="88"/>
  <c r="AX135" i="88"/>
  <c r="AW135" i="88"/>
  <c r="AV135" i="88"/>
  <c r="AU135" i="88"/>
  <c r="AT135" i="88"/>
  <c r="AS135" i="88"/>
  <c r="AR135" i="88"/>
  <c r="AD135" i="88"/>
  <c r="AB135" i="88"/>
  <c r="Z135" i="88"/>
  <c r="Y135" i="88"/>
  <c r="C135" i="88"/>
  <c r="V135" i="88" s="1"/>
  <c r="BD134" i="88"/>
  <c r="BC134" i="88"/>
  <c r="BB134" i="88"/>
  <c r="BA134" i="88"/>
  <c r="AZ134" i="88"/>
  <c r="AY134" i="88"/>
  <c r="AX134" i="88"/>
  <c r="AW134" i="88"/>
  <c r="AV134" i="88"/>
  <c r="AU134" i="88"/>
  <c r="AT134" i="88"/>
  <c r="AS134" i="88"/>
  <c r="AR134" i="88"/>
  <c r="AD134" i="88"/>
  <c r="AB134" i="88"/>
  <c r="Z134" i="88"/>
  <c r="Y134" i="88"/>
  <c r="C134" i="88"/>
  <c r="BD133" i="88"/>
  <c r="BC133" i="88"/>
  <c r="BB133" i="88"/>
  <c r="BA133" i="88"/>
  <c r="AZ133" i="88"/>
  <c r="AY133" i="88"/>
  <c r="AX133" i="88"/>
  <c r="AW133" i="88"/>
  <c r="AV133" i="88"/>
  <c r="AU133" i="88"/>
  <c r="AT133" i="88"/>
  <c r="AS133" i="88"/>
  <c r="AR133" i="88"/>
  <c r="AD133" i="88"/>
  <c r="AB133" i="88"/>
  <c r="Z133" i="88"/>
  <c r="Y133" i="88"/>
  <c r="C133" i="88"/>
  <c r="BD132" i="88"/>
  <c r="BC132" i="88"/>
  <c r="BB132" i="88"/>
  <c r="BA132" i="88"/>
  <c r="AZ132" i="88"/>
  <c r="AY132" i="88"/>
  <c r="AX132" i="88"/>
  <c r="AW132" i="88"/>
  <c r="AV132" i="88"/>
  <c r="AU132" i="88"/>
  <c r="AT132" i="88"/>
  <c r="AS132" i="88"/>
  <c r="AR132" i="88"/>
  <c r="AD132" i="88"/>
  <c r="AB132" i="88"/>
  <c r="Z132" i="88"/>
  <c r="Y132" i="88"/>
  <c r="C132" i="88"/>
  <c r="V132" i="88" s="1"/>
  <c r="BD131" i="88"/>
  <c r="BC131" i="88"/>
  <c r="BB131" i="88"/>
  <c r="BA131" i="88"/>
  <c r="AZ131" i="88"/>
  <c r="AY131" i="88"/>
  <c r="AX131" i="88"/>
  <c r="AW131" i="88"/>
  <c r="AV131" i="88"/>
  <c r="AU131" i="88"/>
  <c r="AT131" i="88"/>
  <c r="AS131" i="88"/>
  <c r="AR131" i="88"/>
  <c r="AD131" i="88"/>
  <c r="AB131" i="88"/>
  <c r="Z131" i="88"/>
  <c r="Y131" i="88"/>
  <c r="C131" i="88"/>
  <c r="V131" i="88" s="1"/>
  <c r="BD130" i="88"/>
  <c r="BC130" i="88"/>
  <c r="BB130" i="88"/>
  <c r="BA130" i="88"/>
  <c r="AZ130" i="88"/>
  <c r="AY130" i="88"/>
  <c r="AX130" i="88"/>
  <c r="AW130" i="88"/>
  <c r="AV130" i="88"/>
  <c r="AU130" i="88"/>
  <c r="AT130" i="88"/>
  <c r="AS130" i="88"/>
  <c r="AR130" i="88"/>
  <c r="AD130" i="88"/>
  <c r="AB130" i="88"/>
  <c r="Z130" i="88"/>
  <c r="Y130" i="88"/>
  <c r="C130" i="88"/>
  <c r="BD129" i="88"/>
  <c r="BC129" i="88"/>
  <c r="BB129" i="88"/>
  <c r="BA129" i="88"/>
  <c r="AZ129" i="88"/>
  <c r="AY129" i="88"/>
  <c r="AX129" i="88"/>
  <c r="AW129" i="88"/>
  <c r="AV129" i="88"/>
  <c r="AU129" i="88"/>
  <c r="AT129" i="88"/>
  <c r="AS129" i="88"/>
  <c r="AR129" i="88"/>
  <c r="AD129" i="88"/>
  <c r="AB129" i="88"/>
  <c r="Z129" i="88"/>
  <c r="Y129" i="88"/>
  <c r="C129" i="88"/>
  <c r="BD128" i="88"/>
  <c r="BC128" i="88"/>
  <c r="BB128" i="88"/>
  <c r="BA128" i="88"/>
  <c r="AZ128" i="88"/>
  <c r="AY128" i="88"/>
  <c r="AX128" i="88"/>
  <c r="AW128" i="88"/>
  <c r="AV128" i="88"/>
  <c r="AU128" i="88"/>
  <c r="AT128" i="88"/>
  <c r="AS128" i="88"/>
  <c r="AR128" i="88"/>
  <c r="AD128" i="88"/>
  <c r="AB128" i="88"/>
  <c r="Z128" i="88"/>
  <c r="Y128" i="88"/>
  <c r="C128" i="88"/>
  <c r="V128" i="88" s="1"/>
  <c r="BD127" i="88"/>
  <c r="BC127" i="88"/>
  <c r="BB127" i="88"/>
  <c r="BA127" i="88"/>
  <c r="AZ127" i="88"/>
  <c r="AY127" i="88"/>
  <c r="AX127" i="88"/>
  <c r="AW127" i="88"/>
  <c r="AV127" i="88"/>
  <c r="AU127" i="88"/>
  <c r="AT127" i="88"/>
  <c r="AS127" i="88"/>
  <c r="AR127" i="88"/>
  <c r="AD127" i="88"/>
  <c r="AB127" i="88"/>
  <c r="Z127" i="88"/>
  <c r="Y127" i="88"/>
  <c r="C127" i="88"/>
  <c r="V127" i="88" s="1"/>
  <c r="BD126" i="88"/>
  <c r="BC126" i="88"/>
  <c r="BB126" i="88"/>
  <c r="BA126" i="88"/>
  <c r="AZ126" i="88"/>
  <c r="AY126" i="88"/>
  <c r="AX126" i="88"/>
  <c r="AW126" i="88"/>
  <c r="AV126" i="88"/>
  <c r="AU126" i="88"/>
  <c r="AT126" i="88"/>
  <c r="AS126" i="88"/>
  <c r="AR126" i="88"/>
  <c r="AD126" i="88"/>
  <c r="AB126" i="88"/>
  <c r="Z126" i="88"/>
  <c r="Y126" i="88"/>
  <c r="C126" i="88"/>
  <c r="BD125" i="88"/>
  <c r="BC125" i="88"/>
  <c r="BB125" i="88"/>
  <c r="BA125" i="88"/>
  <c r="AZ125" i="88"/>
  <c r="AY125" i="88"/>
  <c r="AX125" i="88"/>
  <c r="AW125" i="88"/>
  <c r="AV125" i="88"/>
  <c r="AU125" i="88"/>
  <c r="AT125" i="88"/>
  <c r="AS125" i="88"/>
  <c r="AR125" i="88"/>
  <c r="AD125" i="88"/>
  <c r="AB125" i="88"/>
  <c r="Z125" i="88"/>
  <c r="Y125" i="88"/>
  <c r="C125" i="88"/>
  <c r="BD124" i="88"/>
  <c r="BC124" i="88"/>
  <c r="BB124" i="88"/>
  <c r="BA124" i="88"/>
  <c r="AZ124" i="88"/>
  <c r="AY124" i="88"/>
  <c r="AX124" i="88"/>
  <c r="AW124" i="88"/>
  <c r="AV124" i="88"/>
  <c r="AU124" i="88"/>
  <c r="AT124" i="88"/>
  <c r="AS124" i="88"/>
  <c r="AR124" i="88"/>
  <c r="AD124" i="88"/>
  <c r="AB124" i="88"/>
  <c r="Z124" i="88"/>
  <c r="Y124" i="88"/>
  <c r="C124" i="88"/>
  <c r="V124" i="88" s="1"/>
  <c r="BD123" i="88"/>
  <c r="BC123" i="88"/>
  <c r="BB123" i="88"/>
  <c r="BA123" i="88"/>
  <c r="AZ123" i="88"/>
  <c r="AY123" i="88"/>
  <c r="AX123" i="88"/>
  <c r="AW123" i="88"/>
  <c r="AV123" i="88"/>
  <c r="AU123" i="88"/>
  <c r="AT123" i="88"/>
  <c r="AS123" i="88"/>
  <c r="AR123" i="88"/>
  <c r="AD123" i="88"/>
  <c r="AB123" i="88"/>
  <c r="Z123" i="88"/>
  <c r="Y123" i="88"/>
  <c r="C123" i="88"/>
  <c r="V123" i="88" s="1"/>
  <c r="BD122" i="88"/>
  <c r="BC122" i="88"/>
  <c r="BB122" i="88"/>
  <c r="BA122" i="88"/>
  <c r="AZ122" i="88"/>
  <c r="AY122" i="88"/>
  <c r="AX122" i="88"/>
  <c r="AW122" i="88"/>
  <c r="AV122" i="88"/>
  <c r="AU122" i="88"/>
  <c r="AT122" i="88"/>
  <c r="AS122" i="88"/>
  <c r="AR122" i="88"/>
  <c r="AD122" i="88"/>
  <c r="AB122" i="88"/>
  <c r="Z122" i="88"/>
  <c r="Y122" i="88"/>
  <c r="C122" i="88"/>
  <c r="BD121" i="88"/>
  <c r="BC121" i="88"/>
  <c r="BB121" i="88"/>
  <c r="BA121" i="88"/>
  <c r="AZ121" i="88"/>
  <c r="AY121" i="88"/>
  <c r="AX121" i="88"/>
  <c r="AW121" i="88"/>
  <c r="AV121" i="88"/>
  <c r="AU121" i="88"/>
  <c r="AT121" i="88"/>
  <c r="AS121" i="88"/>
  <c r="AR121" i="88"/>
  <c r="AD121" i="88"/>
  <c r="AB121" i="88"/>
  <c r="Z121" i="88"/>
  <c r="Y121" i="88"/>
  <c r="C121" i="88"/>
  <c r="BD120" i="88"/>
  <c r="BC120" i="88"/>
  <c r="BB120" i="88"/>
  <c r="BA120" i="88"/>
  <c r="AZ120" i="88"/>
  <c r="AY120" i="88"/>
  <c r="AX120" i="88"/>
  <c r="AW120" i="88"/>
  <c r="AV120" i="88"/>
  <c r="AU120" i="88"/>
  <c r="AT120" i="88"/>
  <c r="AS120" i="88"/>
  <c r="AR120" i="88"/>
  <c r="AD120" i="88"/>
  <c r="AB120" i="88"/>
  <c r="Z120" i="88"/>
  <c r="Y120" i="88"/>
  <c r="C120" i="88"/>
  <c r="V120" i="88" s="1"/>
  <c r="BD119" i="88"/>
  <c r="BC119" i="88"/>
  <c r="BB119" i="88"/>
  <c r="BA119" i="88"/>
  <c r="AZ119" i="88"/>
  <c r="AY119" i="88"/>
  <c r="AX119" i="88"/>
  <c r="AW119" i="88"/>
  <c r="AV119" i="88"/>
  <c r="AU119" i="88"/>
  <c r="AT119" i="88"/>
  <c r="AS119" i="88"/>
  <c r="AR119" i="88"/>
  <c r="AD119" i="88"/>
  <c r="AB119" i="88"/>
  <c r="Z119" i="88"/>
  <c r="Y119" i="88"/>
  <c r="C119" i="88"/>
  <c r="V119" i="88" s="1"/>
  <c r="BD118" i="88"/>
  <c r="BC118" i="88"/>
  <c r="BB118" i="88"/>
  <c r="BA118" i="88"/>
  <c r="AZ118" i="88"/>
  <c r="AY118" i="88"/>
  <c r="AX118" i="88"/>
  <c r="AW118" i="88"/>
  <c r="AV118" i="88"/>
  <c r="AU118" i="88"/>
  <c r="AT118" i="88"/>
  <c r="AS118" i="88"/>
  <c r="AR118" i="88"/>
  <c r="AD118" i="88"/>
  <c r="AB118" i="88"/>
  <c r="Z118" i="88"/>
  <c r="Y118" i="88"/>
  <c r="C118" i="88"/>
  <c r="BD117" i="88"/>
  <c r="BC117" i="88"/>
  <c r="BB117" i="88"/>
  <c r="BA117" i="88"/>
  <c r="AZ117" i="88"/>
  <c r="AY117" i="88"/>
  <c r="AX117" i="88"/>
  <c r="AW117" i="88"/>
  <c r="AV117" i="88"/>
  <c r="AU117" i="88"/>
  <c r="AT117" i="88"/>
  <c r="AS117" i="88"/>
  <c r="AR117" i="88"/>
  <c r="AD117" i="88"/>
  <c r="AB117" i="88"/>
  <c r="Z117" i="88"/>
  <c r="Y117" i="88"/>
  <c r="C117" i="88"/>
  <c r="BD116" i="88"/>
  <c r="BC116" i="88"/>
  <c r="BB116" i="88"/>
  <c r="BA116" i="88"/>
  <c r="AZ116" i="88"/>
  <c r="AY116" i="88"/>
  <c r="AW116" i="88"/>
  <c r="AV116" i="88"/>
  <c r="AU116" i="88"/>
  <c r="AT116" i="88"/>
  <c r="AS116" i="88"/>
  <c r="AR116" i="88"/>
  <c r="AD116" i="88"/>
  <c r="AB116" i="88"/>
  <c r="Z116" i="88"/>
  <c r="Y116" i="88"/>
  <c r="N116" i="88"/>
  <c r="AX116" i="88" s="1"/>
  <c r="C116" i="88"/>
  <c r="BD115" i="88"/>
  <c r="BC115" i="88"/>
  <c r="BB115" i="88"/>
  <c r="BA115" i="88"/>
  <c r="AZ115" i="88"/>
  <c r="AY115" i="88"/>
  <c r="AX115" i="88"/>
  <c r="AW115" i="88"/>
  <c r="AV115" i="88"/>
  <c r="AU115" i="88"/>
  <c r="AT115" i="88"/>
  <c r="AS115" i="88"/>
  <c r="AR115" i="88"/>
  <c r="AD115" i="88"/>
  <c r="AB115" i="88"/>
  <c r="Z115" i="88"/>
  <c r="Y115" i="88"/>
  <c r="C115" i="88"/>
  <c r="V115" i="88" s="1"/>
  <c r="BD114" i="88"/>
  <c r="BC114" i="88"/>
  <c r="BB114" i="88"/>
  <c r="BA114" i="88"/>
  <c r="AZ114" i="88"/>
  <c r="AY114" i="88"/>
  <c r="AX114" i="88"/>
  <c r="AW114" i="88"/>
  <c r="AV114" i="88"/>
  <c r="AU114" i="88"/>
  <c r="AT114" i="88"/>
  <c r="AS114" i="88"/>
  <c r="AR114" i="88"/>
  <c r="AD114" i="88"/>
  <c r="AB114" i="88"/>
  <c r="Z114" i="88"/>
  <c r="Y114" i="88"/>
  <c r="C114" i="88"/>
  <c r="V114" i="88" s="1"/>
  <c r="BD113" i="88"/>
  <c r="BC113" i="88"/>
  <c r="BB113" i="88"/>
  <c r="BA113" i="88"/>
  <c r="AZ113" i="88"/>
  <c r="AY113" i="88"/>
  <c r="AX113" i="88"/>
  <c r="AW113" i="88"/>
  <c r="AV113" i="88"/>
  <c r="AU113" i="88"/>
  <c r="AT113" i="88"/>
  <c r="AS113" i="88"/>
  <c r="AR113" i="88"/>
  <c r="AD113" i="88"/>
  <c r="AB113" i="88"/>
  <c r="Z113" i="88"/>
  <c r="Y113" i="88"/>
  <c r="C113" i="88"/>
  <c r="BD112" i="88"/>
  <c r="BC112" i="88"/>
  <c r="BB112" i="88"/>
  <c r="BA112" i="88"/>
  <c r="AZ112" i="88"/>
  <c r="AY112" i="88"/>
  <c r="AW112" i="88"/>
  <c r="AV112" i="88"/>
  <c r="AU112" i="88"/>
  <c r="AT112" i="88"/>
  <c r="AS112" i="88"/>
  <c r="AR112" i="88"/>
  <c r="AD112" i="88"/>
  <c r="AB112" i="88"/>
  <c r="Z112" i="88"/>
  <c r="Y112" i="88"/>
  <c r="N112" i="88"/>
  <c r="BD111" i="88"/>
  <c r="BC111" i="88"/>
  <c r="BB111" i="88"/>
  <c r="BA111" i="88"/>
  <c r="AZ111" i="88"/>
  <c r="AY111" i="88"/>
  <c r="AX111" i="88"/>
  <c r="AW111" i="88"/>
  <c r="AV111" i="88"/>
  <c r="AU111" i="88"/>
  <c r="AT111" i="88"/>
  <c r="AS111" i="88"/>
  <c r="AR111" i="88"/>
  <c r="AD111" i="88"/>
  <c r="AB111" i="88"/>
  <c r="Z111" i="88"/>
  <c r="Y111" i="88"/>
  <c r="C111" i="88"/>
  <c r="BD110" i="88"/>
  <c r="BC110" i="88"/>
  <c r="BB110" i="88"/>
  <c r="BA110" i="88"/>
  <c r="AZ110" i="88"/>
  <c r="AY110" i="88"/>
  <c r="AX110" i="88"/>
  <c r="AW110" i="88"/>
  <c r="AV110" i="88"/>
  <c r="AU110" i="88"/>
  <c r="AT110" i="88"/>
  <c r="AS110" i="88"/>
  <c r="AR110" i="88"/>
  <c r="AD110" i="88"/>
  <c r="AB110" i="88"/>
  <c r="Z110" i="88"/>
  <c r="Y110" i="88"/>
  <c r="C110" i="88"/>
  <c r="V110" i="88" s="1"/>
  <c r="BD109" i="88"/>
  <c r="BC109" i="88"/>
  <c r="BB109" i="88"/>
  <c r="BA109" i="88"/>
  <c r="AZ109" i="88"/>
  <c r="AY109" i="88"/>
  <c r="AX109" i="88"/>
  <c r="AW109" i="88"/>
  <c r="AV109" i="88"/>
  <c r="AU109" i="88"/>
  <c r="AT109" i="88"/>
  <c r="AS109" i="88"/>
  <c r="AR109" i="88"/>
  <c r="AD109" i="88"/>
  <c r="AB109" i="88"/>
  <c r="Z109" i="88"/>
  <c r="Y109" i="88"/>
  <c r="C109" i="88"/>
  <c r="V109" i="88" s="1"/>
  <c r="BD108" i="88"/>
  <c r="BC108" i="88"/>
  <c r="BB108" i="88"/>
  <c r="BA108" i="88"/>
  <c r="AZ108" i="88"/>
  <c r="AY108" i="88"/>
  <c r="AX108" i="88"/>
  <c r="AW108" i="88"/>
  <c r="AV108" i="88"/>
  <c r="AU108" i="88"/>
  <c r="AT108" i="88"/>
  <c r="AS108" i="88"/>
  <c r="AR108" i="88"/>
  <c r="AD108" i="88"/>
  <c r="AB108" i="88"/>
  <c r="Z108" i="88"/>
  <c r="Y108" i="88"/>
  <c r="C108" i="88"/>
  <c r="V108" i="88" s="1"/>
  <c r="BD107" i="88"/>
  <c r="BC107" i="88"/>
  <c r="BB107" i="88"/>
  <c r="BA107" i="88"/>
  <c r="AZ107" i="88"/>
  <c r="AY107" i="88"/>
  <c r="AX107" i="88"/>
  <c r="AW107" i="88"/>
  <c r="AV107" i="88"/>
  <c r="AU107" i="88"/>
  <c r="AT107" i="88"/>
  <c r="AS107" i="88"/>
  <c r="AR107" i="88"/>
  <c r="AD107" i="88"/>
  <c r="AB107" i="88"/>
  <c r="Z107" i="88"/>
  <c r="Y107" i="88"/>
  <c r="C107" i="88"/>
  <c r="BD106" i="88"/>
  <c r="BC106" i="88"/>
  <c r="BB106" i="88"/>
  <c r="BA106" i="88"/>
  <c r="AZ106" i="88"/>
  <c r="AY106" i="88"/>
  <c r="AX106" i="88"/>
  <c r="AW106" i="88"/>
  <c r="AV106" i="88"/>
  <c r="AU106" i="88"/>
  <c r="AT106" i="88"/>
  <c r="AS106" i="88"/>
  <c r="AR106" i="88"/>
  <c r="AD106" i="88"/>
  <c r="AB106" i="88"/>
  <c r="Z106" i="88"/>
  <c r="Y106" i="88"/>
  <c r="C106" i="88"/>
  <c r="V106" i="88" s="1"/>
  <c r="BD105" i="88"/>
  <c r="BC105" i="88"/>
  <c r="BB105" i="88"/>
  <c r="BA105" i="88"/>
  <c r="AZ105" i="88"/>
  <c r="AY105" i="88"/>
  <c r="AX105" i="88"/>
  <c r="AW105" i="88"/>
  <c r="AV105" i="88"/>
  <c r="AU105" i="88"/>
  <c r="AT105" i="88"/>
  <c r="AS105" i="88"/>
  <c r="AR105" i="88"/>
  <c r="AD105" i="88"/>
  <c r="AB105" i="88"/>
  <c r="Z105" i="88"/>
  <c r="Y105" i="88"/>
  <c r="C105" i="88"/>
  <c r="V105" i="88" s="1"/>
  <c r="BD104" i="88"/>
  <c r="BC104" i="88"/>
  <c r="BB104" i="88"/>
  <c r="BA104" i="88"/>
  <c r="AZ104" i="88"/>
  <c r="AY104" i="88"/>
  <c r="AX104" i="88"/>
  <c r="AW104" i="88"/>
  <c r="AV104" i="88"/>
  <c r="AU104" i="88"/>
  <c r="AT104" i="88"/>
  <c r="AS104" i="88"/>
  <c r="AR104" i="88"/>
  <c r="AD104" i="88"/>
  <c r="AB104" i="88"/>
  <c r="Z104" i="88"/>
  <c r="Y104" i="88"/>
  <c r="C104" i="88"/>
  <c r="V104" i="88" s="1"/>
  <c r="BD103" i="88"/>
  <c r="BC103" i="88"/>
  <c r="BB103" i="88"/>
  <c r="BA103" i="88"/>
  <c r="AZ103" i="88"/>
  <c r="AY103" i="88"/>
  <c r="AX103" i="88"/>
  <c r="AW103" i="88"/>
  <c r="AV103" i="88"/>
  <c r="AU103" i="88"/>
  <c r="AT103" i="88"/>
  <c r="AS103" i="88"/>
  <c r="AR103" i="88"/>
  <c r="AD103" i="88"/>
  <c r="AB103" i="88"/>
  <c r="Z103" i="88"/>
  <c r="Y103" i="88"/>
  <c r="C103" i="88"/>
  <c r="BD102" i="88"/>
  <c r="BC102" i="88"/>
  <c r="BB102" i="88"/>
  <c r="BA102" i="88"/>
  <c r="AZ102" i="88"/>
  <c r="AY102" i="88"/>
  <c r="AX102" i="88"/>
  <c r="AW102" i="88"/>
  <c r="AV102" i="88"/>
  <c r="AU102" i="88"/>
  <c r="AT102" i="88"/>
  <c r="AS102" i="88"/>
  <c r="AR102" i="88"/>
  <c r="AD102" i="88"/>
  <c r="AB102" i="88"/>
  <c r="Z102" i="88"/>
  <c r="Y102" i="88"/>
  <c r="C102" i="88"/>
  <c r="V102" i="88" s="1"/>
  <c r="BD101" i="88"/>
  <c r="BC101" i="88"/>
  <c r="BB101" i="88"/>
  <c r="BA101" i="88"/>
  <c r="AZ101" i="88"/>
  <c r="AY101" i="88"/>
  <c r="AX101" i="88"/>
  <c r="AW101" i="88"/>
  <c r="AV101" i="88"/>
  <c r="AU101" i="88"/>
  <c r="AT101" i="88"/>
  <c r="AS101" i="88"/>
  <c r="AR101" i="88"/>
  <c r="AD101" i="88"/>
  <c r="AB101" i="88"/>
  <c r="Z101" i="88"/>
  <c r="Y101" i="88"/>
  <c r="C101" i="88"/>
  <c r="V101" i="88" s="1"/>
  <c r="BD100" i="88"/>
  <c r="BC100" i="88"/>
  <c r="BB100" i="88"/>
  <c r="BA100" i="88"/>
  <c r="AZ100" i="88"/>
  <c r="AY100" i="88"/>
  <c r="AX100" i="88"/>
  <c r="AW100" i="88"/>
  <c r="AV100" i="88"/>
  <c r="AU100" i="88"/>
  <c r="AT100" i="88"/>
  <c r="AS100" i="88"/>
  <c r="AR100" i="88"/>
  <c r="AD100" i="88"/>
  <c r="AB100" i="88"/>
  <c r="Z100" i="88"/>
  <c r="Y100" i="88"/>
  <c r="C100" i="88"/>
  <c r="V100" i="88" s="1"/>
  <c r="BD99" i="88"/>
  <c r="BC99" i="88"/>
  <c r="BB99" i="88"/>
  <c r="BA99" i="88"/>
  <c r="AZ99" i="88"/>
  <c r="AY99" i="88"/>
  <c r="AX99" i="88"/>
  <c r="AW99" i="88"/>
  <c r="AV99" i="88"/>
  <c r="AU99" i="88"/>
  <c r="AT99" i="88"/>
  <c r="AS99" i="88"/>
  <c r="AR99" i="88"/>
  <c r="AD99" i="88"/>
  <c r="AB99" i="88"/>
  <c r="Z99" i="88"/>
  <c r="Y99" i="88"/>
  <c r="C99" i="88"/>
  <c r="BD98" i="88"/>
  <c r="BC98" i="88"/>
  <c r="BB98" i="88"/>
  <c r="BA98" i="88"/>
  <c r="AZ98" i="88"/>
  <c r="AY98" i="88"/>
  <c r="AX98" i="88"/>
  <c r="AW98" i="88"/>
  <c r="AV98" i="88"/>
  <c r="AU98" i="88"/>
  <c r="AT98" i="88"/>
  <c r="AS98" i="88"/>
  <c r="AR98" i="88"/>
  <c r="AD98" i="88"/>
  <c r="AB98" i="88"/>
  <c r="Z98" i="88"/>
  <c r="Y98" i="88"/>
  <c r="C98" i="88"/>
  <c r="V98" i="88" s="1"/>
  <c r="BD97" i="88"/>
  <c r="BC97" i="88"/>
  <c r="BB97" i="88"/>
  <c r="BA97" i="88"/>
  <c r="AZ97" i="88"/>
  <c r="AY97" i="88"/>
  <c r="AX97" i="88"/>
  <c r="AW97" i="88"/>
  <c r="AV97" i="88"/>
  <c r="AU97" i="88"/>
  <c r="AT97" i="88"/>
  <c r="AS97" i="88"/>
  <c r="AR97" i="88"/>
  <c r="AD97" i="88"/>
  <c r="AB97" i="88"/>
  <c r="Z97" i="88"/>
  <c r="Y97" i="88"/>
  <c r="C97" i="88"/>
  <c r="BD96" i="88"/>
  <c r="BC96" i="88"/>
  <c r="BB96" i="88"/>
  <c r="BA96" i="88"/>
  <c r="AZ96" i="88"/>
  <c r="AY96" i="88"/>
  <c r="AX96" i="88"/>
  <c r="AW96" i="88"/>
  <c r="AV96" i="88"/>
  <c r="AU96" i="88"/>
  <c r="AT96" i="88"/>
  <c r="AS96" i="88"/>
  <c r="AR96" i="88"/>
  <c r="AD96" i="88"/>
  <c r="AB96" i="88"/>
  <c r="Z96" i="88"/>
  <c r="Y96" i="88"/>
  <c r="C96" i="88"/>
  <c r="V96" i="88" s="1"/>
  <c r="BD95" i="88"/>
  <c r="BC95" i="88"/>
  <c r="BB95" i="88"/>
  <c r="BA95" i="88"/>
  <c r="AZ95" i="88"/>
  <c r="AY95" i="88"/>
  <c r="AX95" i="88"/>
  <c r="AW95" i="88"/>
  <c r="AV95" i="88"/>
  <c r="AU95" i="88"/>
  <c r="AT95" i="88"/>
  <c r="AS95" i="88"/>
  <c r="AR95" i="88"/>
  <c r="AD95" i="88"/>
  <c r="AB95" i="88"/>
  <c r="Z95" i="88"/>
  <c r="Y95" i="88"/>
  <c r="C95" i="88"/>
  <c r="BD94" i="88"/>
  <c r="BC94" i="88"/>
  <c r="BB94" i="88"/>
  <c r="BA94" i="88"/>
  <c r="AZ94" i="88"/>
  <c r="AY94" i="88"/>
  <c r="AX94" i="88"/>
  <c r="AW94" i="88"/>
  <c r="AV94" i="88"/>
  <c r="AU94" i="88"/>
  <c r="AT94" i="88"/>
  <c r="AS94" i="88"/>
  <c r="AR94" i="88"/>
  <c r="AD94" i="88"/>
  <c r="AB94" i="88"/>
  <c r="Z94" i="88"/>
  <c r="Y94" i="88"/>
  <c r="C94" i="88"/>
  <c r="V94" i="88" s="1"/>
  <c r="BD93" i="88"/>
  <c r="BC93" i="88"/>
  <c r="BB93" i="88"/>
  <c r="BA93" i="88"/>
  <c r="AZ93" i="88"/>
  <c r="AY93" i="88"/>
  <c r="AX93" i="88"/>
  <c r="AW93" i="88"/>
  <c r="AV93" i="88"/>
  <c r="AU93" i="88"/>
  <c r="AT93" i="88"/>
  <c r="AS93" i="88"/>
  <c r="AR93" i="88"/>
  <c r="AD93" i="88"/>
  <c r="AB93" i="88"/>
  <c r="Z93" i="88"/>
  <c r="Y93" i="88"/>
  <c r="C93" i="88"/>
  <c r="V93" i="88" s="1"/>
  <c r="BD92" i="88"/>
  <c r="BC92" i="88"/>
  <c r="BB92" i="88"/>
  <c r="BA92" i="88"/>
  <c r="AZ92" i="88"/>
  <c r="AY92" i="88"/>
  <c r="AX92" i="88"/>
  <c r="AW92" i="88"/>
  <c r="AV92" i="88"/>
  <c r="AU92" i="88"/>
  <c r="AT92" i="88"/>
  <c r="AS92" i="88"/>
  <c r="AR92" i="88"/>
  <c r="AD92" i="88"/>
  <c r="AB92" i="88"/>
  <c r="Z92" i="88"/>
  <c r="Y92" i="88"/>
  <c r="C92" i="88"/>
  <c r="BD91" i="88"/>
  <c r="BC91" i="88"/>
  <c r="BB91" i="88"/>
  <c r="BA91" i="88"/>
  <c r="AZ91" i="88"/>
  <c r="AY91" i="88"/>
  <c r="AX91" i="88"/>
  <c r="AW91" i="88"/>
  <c r="AV91" i="88"/>
  <c r="AU91" i="88"/>
  <c r="AT91" i="88"/>
  <c r="AS91" i="88"/>
  <c r="AR91" i="88"/>
  <c r="AD91" i="88"/>
  <c r="AB91" i="88"/>
  <c r="Z91" i="88"/>
  <c r="Y91" i="88"/>
  <c r="C91" i="88"/>
  <c r="BD90" i="88"/>
  <c r="BC90" i="88"/>
  <c r="BB90" i="88"/>
  <c r="BA90" i="88"/>
  <c r="AZ90" i="88"/>
  <c r="AY90" i="88"/>
  <c r="AX90" i="88"/>
  <c r="AW90" i="88"/>
  <c r="AV90" i="88"/>
  <c r="AU90" i="88"/>
  <c r="AT90" i="88"/>
  <c r="AS90" i="88"/>
  <c r="AR90" i="88"/>
  <c r="AD90" i="88"/>
  <c r="AB90" i="88"/>
  <c r="Z90" i="88"/>
  <c r="Y90" i="88"/>
  <c r="C90" i="88"/>
  <c r="V90" i="88" s="1"/>
  <c r="BD89" i="88"/>
  <c r="BC89" i="88"/>
  <c r="BB89" i="88"/>
  <c r="BA89" i="88"/>
  <c r="AZ89" i="88"/>
  <c r="AY89" i="88"/>
  <c r="AX89" i="88"/>
  <c r="AW89" i="88"/>
  <c r="AV89" i="88"/>
  <c r="AU89" i="88"/>
  <c r="AT89" i="88"/>
  <c r="AS89" i="88"/>
  <c r="AR89" i="88"/>
  <c r="AD89" i="88"/>
  <c r="AB89" i="88"/>
  <c r="Z89" i="88"/>
  <c r="Y89" i="88"/>
  <c r="C89" i="88"/>
  <c r="BD88" i="88"/>
  <c r="BC88" i="88"/>
  <c r="BB88" i="88"/>
  <c r="BA88" i="88"/>
  <c r="AZ88" i="88"/>
  <c r="AY88" i="88"/>
  <c r="AX88" i="88"/>
  <c r="AW88" i="88"/>
  <c r="AV88" i="88"/>
  <c r="AU88" i="88"/>
  <c r="AT88" i="88"/>
  <c r="AS88" i="88"/>
  <c r="AR88" i="88"/>
  <c r="AD88" i="88"/>
  <c r="AB88" i="88"/>
  <c r="Z88" i="88"/>
  <c r="Y88" i="88"/>
  <c r="C88" i="88"/>
  <c r="V88" i="88" s="1"/>
  <c r="BD87" i="88"/>
  <c r="BC87" i="88"/>
  <c r="BB87" i="88"/>
  <c r="BA87" i="88"/>
  <c r="AZ87" i="88"/>
  <c r="AY87" i="88"/>
  <c r="AX87" i="88"/>
  <c r="AW87" i="88"/>
  <c r="AV87" i="88"/>
  <c r="AU87" i="88"/>
  <c r="AT87" i="88"/>
  <c r="AS87" i="88"/>
  <c r="AR87" i="88"/>
  <c r="AD87" i="88"/>
  <c r="AB87" i="88"/>
  <c r="Z87" i="88"/>
  <c r="Y87" i="88"/>
  <c r="C87" i="88"/>
  <c r="BD86" i="88"/>
  <c r="BC86" i="88"/>
  <c r="BB86" i="88"/>
  <c r="BA86" i="88"/>
  <c r="AZ86" i="88"/>
  <c r="AY86" i="88"/>
  <c r="AX86" i="88"/>
  <c r="AW86" i="88"/>
  <c r="AV86" i="88"/>
  <c r="AU86" i="88"/>
  <c r="AT86" i="88"/>
  <c r="AS86" i="88"/>
  <c r="AR86" i="88"/>
  <c r="AD86" i="88"/>
  <c r="AB86" i="88"/>
  <c r="Z86" i="88"/>
  <c r="Y86" i="88"/>
  <c r="C86" i="88"/>
  <c r="V86" i="88" s="1"/>
  <c r="BD85" i="88"/>
  <c r="BC85" i="88"/>
  <c r="BB85" i="88"/>
  <c r="BA85" i="88"/>
  <c r="AZ85" i="88"/>
  <c r="AY85" i="88"/>
  <c r="AX85" i="88"/>
  <c r="AW85" i="88"/>
  <c r="AV85" i="88"/>
  <c r="AU85" i="88"/>
  <c r="AT85" i="88"/>
  <c r="AS85" i="88"/>
  <c r="AR85" i="88"/>
  <c r="AD85" i="88"/>
  <c r="AB85" i="88"/>
  <c r="Z85" i="88"/>
  <c r="Y85" i="88"/>
  <c r="C85" i="88"/>
  <c r="V85" i="88" s="1"/>
  <c r="BD84" i="88"/>
  <c r="BC84" i="88"/>
  <c r="BB84" i="88"/>
  <c r="BA84" i="88"/>
  <c r="AZ84" i="88"/>
  <c r="AY84" i="88"/>
  <c r="AX84" i="88"/>
  <c r="AW84" i="88"/>
  <c r="AV84" i="88"/>
  <c r="AU84" i="88"/>
  <c r="AT84" i="88"/>
  <c r="AS84" i="88"/>
  <c r="AR84" i="88"/>
  <c r="AD84" i="88"/>
  <c r="AB84" i="88"/>
  <c r="Z84" i="88"/>
  <c r="Y84" i="88"/>
  <c r="C84" i="88"/>
  <c r="BD83" i="88"/>
  <c r="BC83" i="88"/>
  <c r="BB83" i="88"/>
  <c r="BA83" i="88"/>
  <c r="AZ83" i="88"/>
  <c r="AY83" i="88"/>
  <c r="AX83" i="88"/>
  <c r="AW83" i="88"/>
  <c r="AV83" i="88"/>
  <c r="AU83" i="88"/>
  <c r="AT83" i="88"/>
  <c r="AS83" i="88"/>
  <c r="AR83" i="88"/>
  <c r="AD83" i="88"/>
  <c r="AB83" i="88"/>
  <c r="Z83" i="88"/>
  <c r="Y83" i="88"/>
  <c r="C83" i="88"/>
  <c r="BD82" i="88"/>
  <c r="BC82" i="88"/>
  <c r="BB82" i="88"/>
  <c r="BA82" i="88"/>
  <c r="AZ82" i="88"/>
  <c r="AY82" i="88"/>
  <c r="AX82" i="88"/>
  <c r="AW82" i="88"/>
  <c r="AV82" i="88"/>
  <c r="AU82" i="88"/>
  <c r="AT82" i="88"/>
  <c r="AS82" i="88"/>
  <c r="AR82" i="88"/>
  <c r="AD82" i="88"/>
  <c r="AB82" i="88"/>
  <c r="Z82" i="88"/>
  <c r="Y82" i="88"/>
  <c r="C82" i="88"/>
  <c r="V82" i="88" s="1"/>
  <c r="BD81" i="88"/>
  <c r="BC81" i="88"/>
  <c r="BB81" i="88"/>
  <c r="BA81" i="88"/>
  <c r="AZ81" i="88"/>
  <c r="AY81" i="88"/>
  <c r="AX81" i="88"/>
  <c r="AW81" i="88"/>
  <c r="AV81" i="88"/>
  <c r="AU81" i="88"/>
  <c r="AT81" i="88"/>
  <c r="AS81" i="88"/>
  <c r="AR81" i="88"/>
  <c r="AD81" i="88"/>
  <c r="AB81" i="88"/>
  <c r="Z81" i="88"/>
  <c r="Y81" i="88"/>
  <c r="C81" i="88"/>
  <c r="BD80" i="88"/>
  <c r="BC80" i="88"/>
  <c r="BB80" i="88"/>
  <c r="BA80" i="88"/>
  <c r="AZ80" i="88"/>
  <c r="AY80" i="88"/>
  <c r="AX80" i="88"/>
  <c r="AW80" i="88"/>
  <c r="AV80" i="88"/>
  <c r="AU80" i="88"/>
  <c r="AT80" i="88"/>
  <c r="AS80" i="88"/>
  <c r="AR80" i="88"/>
  <c r="AD80" i="88"/>
  <c r="AB80" i="88"/>
  <c r="Z80" i="88"/>
  <c r="Y80" i="88"/>
  <c r="C80" i="88"/>
  <c r="V80" i="88" s="1"/>
  <c r="BD79" i="88"/>
  <c r="BC79" i="88"/>
  <c r="BB79" i="88"/>
  <c r="BA79" i="88"/>
  <c r="AZ79" i="88"/>
  <c r="AY79" i="88"/>
  <c r="AX79" i="88"/>
  <c r="AW79" i="88"/>
  <c r="AV79" i="88"/>
  <c r="AU79" i="88"/>
  <c r="AT79" i="88"/>
  <c r="AS79" i="88"/>
  <c r="AR79" i="88"/>
  <c r="AD79" i="88"/>
  <c r="AB79" i="88"/>
  <c r="Z79" i="88"/>
  <c r="Y79" i="88"/>
  <c r="C79" i="88"/>
  <c r="BD78" i="88"/>
  <c r="BC78" i="88"/>
  <c r="BB78" i="88"/>
  <c r="BA78" i="88"/>
  <c r="AZ78" i="88"/>
  <c r="AY78" i="88"/>
  <c r="AX78" i="88"/>
  <c r="AW78" i="88"/>
  <c r="AV78" i="88"/>
  <c r="AU78" i="88"/>
  <c r="AT78" i="88"/>
  <c r="AS78" i="88"/>
  <c r="AR78" i="88"/>
  <c r="AD78" i="88"/>
  <c r="AB78" i="88"/>
  <c r="Z78" i="88"/>
  <c r="Y78" i="88"/>
  <c r="C78" i="88"/>
  <c r="V78" i="88" s="1"/>
  <c r="BD77" i="88"/>
  <c r="BC77" i="88"/>
  <c r="BB77" i="88"/>
  <c r="BA77" i="88"/>
  <c r="AZ77" i="88"/>
  <c r="AY77" i="88"/>
  <c r="AX77" i="88"/>
  <c r="AW77" i="88"/>
  <c r="AV77" i="88"/>
  <c r="AU77" i="88"/>
  <c r="AT77" i="88"/>
  <c r="AS77" i="88"/>
  <c r="AR77" i="88"/>
  <c r="AD77" i="88"/>
  <c r="AB77" i="88"/>
  <c r="Z77" i="88"/>
  <c r="Y77" i="88"/>
  <c r="C77" i="88"/>
  <c r="V77" i="88" s="1"/>
  <c r="BD76" i="88"/>
  <c r="BC76" i="88"/>
  <c r="BB76" i="88"/>
  <c r="BA76" i="88"/>
  <c r="AZ76" i="88"/>
  <c r="AY76" i="88"/>
  <c r="AX76" i="88"/>
  <c r="AW76" i="88"/>
  <c r="AV76" i="88"/>
  <c r="AU76" i="88"/>
  <c r="AT76" i="88"/>
  <c r="AS76" i="88"/>
  <c r="AR76" i="88"/>
  <c r="AD76" i="88"/>
  <c r="AB76" i="88"/>
  <c r="Z76" i="88"/>
  <c r="Y76" i="88"/>
  <c r="C76" i="88"/>
  <c r="BD75" i="88"/>
  <c r="BC75" i="88"/>
  <c r="BB75" i="88"/>
  <c r="BA75" i="88"/>
  <c r="AZ75" i="88"/>
  <c r="AY75" i="88"/>
  <c r="AX75" i="88"/>
  <c r="AW75" i="88"/>
  <c r="AV75" i="88"/>
  <c r="AU75" i="88"/>
  <c r="AT75" i="88"/>
  <c r="AS75" i="88"/>
  <c r="AR75" i="88"/>
  <c r="AD75" i="88"/>
  <c r="AB75" i="88"/>
  <c r="Z75" i="88"/>
  <c r="Y75" i="88"/>
  <c r="C75" i="88"/>
  <c r="BD74" i="88"/>
  <c r="BC74" i="88"/>
  <c r="BB74" i="88"/>
  <c r="BA74" i="88"/>
  <c r="AZ74" i="88"/>
  <c r="AY74" i="88"/>
  <c r="AX74" i="88"/>
  <c r="AW74" i="88"/>
  <c r="AV74" i="88"/>
  <c r="AU74" i="88"/>
  <c r="AT74" i="88"/>
  <c r="AS74" i="88"/>
  <c r="AR74" i="88"/>
  <c r="AD74" i="88"/>
  <c r="AB74" i="88"/>
  <c r="Z74" i="88"/>
  <c r="Y74" i="88"/>
  <c r="C74" i="88"/>
  <c r="V74" i="88" s="1"/>
  <c r="BD73" i="88"/>
  <c r="BC73" i="88"/>
  <c r="BB73" i="88"/>
  <c r="BA73" i="88"/>
  <c r="AZ73" i="88"/>
  <c r="AY73" i="88"/>
  <c r="AX73" i="88"/>
  <c r="AW73" i="88"/>
  <c r="AV73" i="88"/>
  <c r="AU73" i="88"/>
  <c r="AT73" i="88"/>
  <c r="AS73" i="88"/>
  <c r="AR73" i="88"/>
  <c r="AD73" i="88"/>
  <c r="AB73" i="88"/>
  <c r="Z73" i="88"/>
  <c r="Y73" i="88"/>
  <c r="C73" i="88"/>
  <c r="BD72" i="88"/>
  <c r="BC72" i="88"/>
  <c r="BB72" i="88"/>
  <c r="BA72" i="88"/>
  <c r="AZ72" i="88"/>
  <c r="AY72" i="88"/>
  <c r="AX72" i="88"/>
  <c r="AW72" i="88"/>
  <c r="AV72" i="88"/>
  <c r="AU72" i="88"/>
  <c r="AT72" i="88"/>
  <c r="AS72" i="88"/>
  <c r="AR72" i="88"/>
  <c r="AD72" i="88"/>
  <c r="AB72" i="88"/>
  <c r="Z72" i="88"/>
  <c r="Y72" i="88"/>
  <c r="C72" i="88"/>
  <c r="V72" i="88" s="1"/>
  <c r="BD71" i="88"/>
  <c r="BC71" i="88"/>
  <c r="BB71" i="88"/>
  <c r="BA71" i="88"/>
  <c r="AZ71" i="88"/>
  <c r="AY71" i="88"/>
  <c r="AX71" i="88"/>
  <c r="AW71" i="88"/>
  <c r="AV71" i="88"/>
  <c r="AU71" i="88"/>
  <c r="AT71" i="88"/>
  <c r="AS71" i="88"/>
  <c r="AR71" i="88"/>
  <c r="AD71" i="88"/>
  <c r="AB71" i="88"/>
  <c r="Z71" i="88"/>
  <c r="Y71" i="88"/>
  <c r="C71" i="88"/>
  <c r="V71" i="88" s="1"/>
  <c r="BD70" i="88"/>
  <c r="BC70" i="88"/>
  <c r="BB70" i="88"/>
  <c r="BA70" i="88"/>
  <c r="AZ70" i="88"/>
  <c r="AY70" i="88"/>
  <c r="AX70" i="88"/>
  <c r="AW70" i="88"/>
  <c r="AV70" i="88"/>
  <c r="AU70" i="88"/>
  <c r="AT70" i="88"/>
  <c r="AS70" i="88"/>
  <c r="AR70" i="88"/>
  <c r="AD70" i="88"/>
  <c r="AB70" i="88"/>
  <c r="Z70" i="88"/>
  <c r="Y70" i="88"/>
  <c r="C70" i="88"/>
  <c r="BD69" i="88"/>
  <c r="BC69" i="88"/>
  <c r="BB69" i="88"/>
  <c r="BA69" i="88"/>
  <c r="AZ69" i="88"/>
  <c r="AY69" i="88"/>
  <c r="AX69" i="88"/>
  <c r="AW69" i="88"/>
  <c r="AV69" i="88"/>
  <c r="AU69" i="88"/>
  <c r="AT69" i="88"/>
  <c r="AS69" i="88"/>
  <c r="AR69" i="88"/>
  <c r="AD69" i="88"/>
  <c r="AB69" i="88"/>
  <c r="Z69" i="88"/>
  <c r="Y69" i="88"/>
  <c r="C69" i="88"/>
  <c r="V69" i="88" s="1"/>
  <c r="BD68" i="88"/>
  <c r="BC68" i="88"/>
  <c r="BB68" i="88"/>
  <c r="BA68" i="88"/>
  <c r="AZ68" i="88"/>
  <c r="AY68" i="88"/>
  <c r="AX68" i="88"/>
  <c r="AW68" i="88"/>
  <c r="AV68" i="88"/>
  <c r="AU68" i="88"/>
  <c r="AT68" i="88"/>
  <c r="AS68" i="88"/>
  <c r="AR68" i="88"/>
  <c r="AD68" i="88"/>
  <c r="AB68" i="88"/>
  <c r="Z68" i="88"/>
  <c r="Y68" i="88"/>
  <c r="C68" i="88"/>
  <c r="BD67" i="88"/>
  <c r="BC67" i="88"/>
  <c r="BB67" i="88"/>
  <c r="BA67" i="88"/>
  <c r="AZ67" i="88"/>
  <c r="AY67" i="88"/>
  <c r="AX67" i="88"/>
  <c r="AW67" i="88"/>
  <c r="AV67" i="88"/>
  <c r="AU67" i="88"/>
  <c r="AT67" i="88"/>
  <c r="AS67" i="88"/>
  <c r="AR67" i="88"/>
  <c r="AD67" i="88"/>
  <c r="AB67" i="88"/>
  <c r="Z67" i="88"/>
  <c r="Y67" i="88"/>
  <c r="C67" i="88"/>
  <c r="V67" i="88" s="1"/>
  <c r="BD66" i="88"/>
  <c r="BC66" i="88"/>
  <c r="BB66" i="88"/>
  <c r="BA66" i="88"/>
  <c r="AZ66" i="88"/>
  <c r="AY66" i="88"/>
  <c r="AX66" i="88"/>
  <c r="AW66" i="88"/>
  <c r="AV66" i="88"/>
  <c r="AU66" i="88"/>
  <c r="AT66" i="88"/>
  <c r="AS66" i="88"/>
  <c r="AR66" i="88"/>
  <c r="AD66" i="88"/>
  <c r="AB66" i="88"/>
  <c r="Z66" i="88"/>
  <c r="Y66" i="88"/>
  <c r="C66" i="88"/>
  <c r="BD65" i="88"/>
  <c r="BC65" i="88"/>
  <c r="BB65" i="88"/>
  <c r="BA65" i="88"/>
  <c r="AZ65" i="88"/>
  <c r="AY65" i="88"/>
  <c r="AX65" i="88"/>
  <c r="AW65" i="88"/>
  <c r="AV65" i="88"/>
  <c r="AU65" i="88"/>
  <c r="AT65" i="88"/>
  <c r="AS65" i="88"/>
  <c r="AR65" i="88"/>
  <c r="AD65" i="88"/>
  <c r="AB65" i="88"/>
  <c r="Z65" i="88"/>
  <c r="Y65" i="88"/>
  <c r="C65" i="88"/>
  <c r="V65" i="88" s="1"/>
  <c r="BD64" i="88"/>
  <c r="BC64" i="88"/>
  <c r="BB64" i="88"/>
  <c r="BA64" i="88"/>
  <c r="AZ64" i="88"/>
  <c r="AY64" i="88"/>
  <c r="AX64" i="88"/>
  <c r="AW64" i="88"/>
  <c r="AV64" i="88"/>
  <c r="AU64" i="88"/>
  <c r="AT64" i="88"/>
  <c r="AS64" i="88"/>
  <c r="AR64" i="88"/>
  <c r="AD64" i="88"/>
  <c r="AB64" i="88"/>
  <c r="Z64" i="88"/>
  <c r="Y64" i="88"/>
  <c r="C64" i="88"/>
  <c r="BD63" i="88"/>
  <c r="BC63" i="88"/>
  <c r="BB63" i="88"/>
  <c r="BA63" i="88"/>
  <c r="AZ63" i="88"/>
  <c r="AY63" i="88"/>
  <c r="AX63" i="88"/>
  <c r="AW63" i="88"/>
  <c r="AV63" i="88"/>
  <c r="AU63" i="88"/>
  <c r="AT63" i="88"/>
  <c r="AS63" i="88"/>
  <c r="AR63" i="88"/>
  <c r="AD63" i="88"/>
  <c r="AB63" i="88"/>
  <c r="Z63" i="88"/>
  <c r="Y63" i="88"/>
  <c r="C63" i="88"/>
  <c r="V63" i="88" s="1"/>
  <c r="BD62" i="88"/>
  <c r="BC62" i="88"/>
  <c r="BB62" i="88"/>
  <c r="BA62" i="88"/>
  <c r="AZ62" i="88"/>
  <c r="AY62" i="88"/>
  <c r="AX62" i="88"/>
  <c r="AW62" i="88"/>
  <c r="AV62" i="88"/>
  <c r="AU62" i="88"/>
  <c r="AT62" i="88"/>
  <c r="AS62" i="88"/>
  <c r="AR62" i="88"/>
  <c r="AD62" i="88"/>
  <c r="AB62" i="88"/>
  <c r="Z62" i="88"/>
  <c r="Y62" i="88"/>
  <c r="C62" i="88"/>
  <c r="BD61" i="88"/>
  <c r="BC61" i="88"/>
  <c r="BB61" i="88"/>
  <c r="BA61" i="88"/>
  <c r="AZ61" i="88"/>
  <c r="AY61" i="88"/>
  <c r="AX61" i="88"/>
  <c r="AW61" i="88"/>
  <c r="AV61" i="88"/>
  <c r="AU61" i="88"/>
  <c r="AT61" i="88"/>
  <c r="AS61" i="88"/>
  <c r="AR61" i="88"/>
  <c r="AD61" i="88"/>
  <c r="AB61" i="88"/>
  <c r="Z61" i="88"/>
  <c r="Y61" i="88"/>
  <c r="C61" i="88"/>
  <c r="V61" i="88" s="1"/>
  <c r="BD60" i="88"/>
  <c r="BC60" i="88"/>
  <c r="BB60" i="88"/>
  <c r="BA60" i="88"/>
  <c r="AZ60" i="88"/>
  <c r="AY60" i="88"/>
  <c r="AX60" i="88"/>
  <c r="AW60" i="88"/>
  <c r="AV60" i="88"/>
  <c r="AU60" i="88"/>
  <c r="AT60" i="88"/>
  <c r="AS60" i="88"/>
  <c r="AR60" i="88"/>
  <c r="AD60" i="88"/>
  <c r="AB60" i="88"/>
  <c r="Z60" i="88"/>
  <c r="Y60" i="88"/>
  <c r="C60" i="88"/>
  <c r="BD59" i="88"/>
  <c r="BC59" i="88"/>
  <c r="BB59" i="88"/>
  <c r="BA59" i="88"/>
  <c r="AZ59" i="88"/>
  <c r="AY59" i="88"/>
  <c r="AX59" i="88"/>
  <c r="AW59" i="88"/>
  <c r="AV59" i="88"/>
  <c r="AU59" i="88"/>
  <c r="AT59" i="88"/>
  <c r="AS59" i="88"/>
  <c r="AR59" i="88"/>
  <c r="AD59" i="88"/>
  <c r="AB59" i="88"/>
  <c r="Z59" i="88"/>
  <c r="Y59" i="88"/>
  <c r="C59" i="88"/>
  <c r="V59" i="88" s="1"/>
  <c r="BD58" i="88"/>
  <c r="BC58" i="88"/>
  <c r="BB58" i="88"/>
  <c r="BA58" i="88"/>
  <c r="AZ58" i="88"/>
  <c r="AY58" i="88"/>
  <c r="AX58" i="88"/>
  <c r="AW58" i="88"/>
  <c r="AV58" i="88"/>
  <c r="AU58" i="88"/>
  <c r="AT58" i="88"/>
  <c r="AS58" i="88"/>
  <c r="AR58" i="88"/>
  <c r="AD58" i="88"/>
  <c r="AB58" i="88"/>
  <c r="Z58" i="88"/>
  <c r="Y58" i="88"/>
  <c r="C58" i="88"/>
  <c r="BD57" i="88"/>
  <c r="BC57" i="88"/>
  <c r="BB57" i="88"/>
  <c r="BA57" i="88"/>
  <c r="AZ57" i="88"/>
  <c r="AY57" i="88"/>
  <c r="AX57" i="88"/>
  <c r="AW57" i="88"/>
  <c r="AV57" i="88"/>
  <c r="AU57" i="88"/>
  <c r="AT57" i="88"/>
  <c r="AS57" i="88"/>
  <c r="AR57" i="88"/>
  <c r="AD57" i="88"/>
  <c r="AB57" i="88"/>
  <c r="Z57" i="88"/>
  <c r="Y57" i="88"/>
  <c r="C57" i="88"/>
  <c r="V57" i="88" s="1"/>
  <c r="BD56" i="88"/>
  <c r="BC56" i="88"/>
  <c r="BB56" i="88"/>
  <c r="BA56" i="88"/>
  <c r="AZ56" i="88"/>
  <c r="AY56" i="88"/>
  <c r="AX56" i="88"/>
  <c r="AW56" i="88"/>
  <c r="AV56" i="88"/>
  <c r="AU56" i="88"/>
  <c r="AT56" i="88"/>
  <c r="AS56" i="88"/>
  <c r="AR56" i="88"/>
  <c r="AD56" i="88"/>
  <c r="AB56" i="88"/>
  <c r="Z56" i="88"/>
  <c r="Y56" i="88"/>
  <c r="C56" i="88"/>
  <c r="BD55" i="88"/>
  <c r="BC55" i="88"/>
  <c r="BB55" i="88"/>
  <c r="BA55" i="88"/>
  <c r="AZ55" i="88"/>
  <c r="AY55" i="88"/>
  <c r="AX55" i="88"/>
  <c r="AW55" i="88"/>
  <c r="AV55" i="88"/>
  <c r="AU55" i="88"/>
  <c r="AT55" i="88"/>
  <c r="AS55" i="88"/>
  <c r="AR55" i="88"/>
  <c r="AD55" i="88"/>
  <c r="AB55" i="88"/>
  <c r="Z55" i="88"/>
  <c r="Y55" i="88"/>
  <c r="C55" i="88"/>
  <c r="V55" i="88" s="1"/>
  <c r="BD54" i="88"/>
  <c r="BC54" i="88"/>
  <c r="BB54" i="88"/>
  <c r="BA54" i="88"/>
  <c r="AZ54" i="88"/>
  <c r="AY54" i="88"/>
  <c r="AX54" i="88"/>
  <c r="AW54" i="88"/>
  <c r="AV54" i="88"/>
  <c r="AU54" i="88"/>
  <c r="AT54" i="88"/>
  <c r="AS54" i="88"/>
  <c r="AR54" i="88"/>
  <c r="AD54" i="88"/>
  <c r="AB54" i="88"/>
  <c r="Z54" i="88"/>
  <c r="Y54" i="88"/>
  <c r="C54" i="88"/>
  <c r="BD53" i="88"/>
  <c r="BC53" i="88"/>
  <c r="BB53" i="88"/>
  <c r="BA53" i="88"/>
  <c r="AZ53" i="88"/>
  <c r="AY53" i="88"/>
  <c r="AX53" i="88"/>
  <c r="AW53" i="88"/>
  <c r="AV53" i="88"/>
  <c r="AU53" i="88"/>
  <c r="AT53" i="88"/>
  <c r="AS53" i="88"/>
  <c r="AR53" i="88"/>
  <c r="AD53" i="88"/>
  <c r="AB53" i="88"/>
  <c r="Z53" i="88"/>
  <c r="Y53" i="88"/>
  <c r="C53" i="88"/>
  <c r="V53" i="88" s="1"/>
  <c r="BD52" i="88"/>
  <c r="BC52" i="88"/>
  <c r="BB52" i="88"/>
  <c r="BA52" i="88"/>
  <c r="AZ52" i="88"/>
  <c r="AY52" i="88"/>
  <c r="AX52" i="88"/>
  <c r="AW52" i="88"/>
  <c r="AV52" i="88"/>
  <c r="AU52" i="88"/>
  <c r="AT52" i="88"/>
  <c r="AS52" i="88"/>
  <c r="AR52" i="88"/>
  <c r="AD52" i="88"/>
  <c r="AB52" i="88"/>
  <c r="Z52" i="88"/>
  <c r="Y52" i="88"/>
  <c r="C52" i="88"/>
  <c r="BD51" i="88"/>
  <c r="BC51" i="88"/>
  <c r="BB51" i="88"/>
  <c r="BA51" i="88"/>
  <c r="AZ51" i="88"/>
  <c r="AY51" i="88"/>
  <c r="AX51" i="88"/>
  <c r="AW51" i="88"/>
  <c r="AV51" i="88"/>
  <c r="AU51" i="88"/>
  <c r="AT51" i="88"/>
  <c r="AS51" i="88"/>
  <c r="AR51" i="88"/>
  <c r="AD51" i="88"/>
  <c r="AB51" i="88"/>
  <c r="Z51" i="88"/>
  <c r="Y51" i="88"/>
  <c r="C51" i="88"/>
  <c r="V51" i="88" s="1"/>
  <c r="BD50" i="88"/>
  <c r="BC50" i="88"/>
  <c r="BB50" i="88"/>
  <c r="BA50" i="88"/>
  <c r="AZ50" i="88"/>
  <c r="AY50" i="88"/>
  <c r="AX50" i="88"/>
  <c r="AW50" i="88"/>
  <c r="AV50" i="88"/>
  <c r="AU50" i="88"/>
  <c r="AT50" i="88"/>
  <c r="AS50" i="88"/>
  <c r="AR50" i="88"/>
  <c r="AD50" i="88"/>
  <c r="AB50" i="88"/>
  <c r="Z50" i="88"/>
  <c r="Y50" i="88"/>
  <c r="C50" i="88"/>
  <c r="BD49" i="88"/>
  <c r="BC49" i="88"/>
  <c r="BB49" i="88"/>
  <c r="BA49" i="88"/>
  <c r="AZ49" i="88"/>
  <c r="AY49" i="88"/>
  <c r="AX49" i="88"/>
  <c r="AW49" i="88"/>
  <c r="AV49" i="88"/>
  <c r="AU49" i="88"/>
  <c r="AT49" i="88"/>
  <c r="AS49" i="88"/>
  <c r="AR49" i="88"/>
  <c r="AD49" i="88"/>
  <c r="AB49" i="88"/>
  <c r="Z49" i="88"/>
  <c r="Y49" i="88"/>
  <c r="C49" i="88"/>
  <c r="V49" i="88" s="1"/>
  <c r="BD48" i="88"/>
  <c r="BC48" i="88"/>
  <c r="BB48" i="88"/>
  <c r="BA48" i="88"/>
  <c r="AZ48" i="88"/>
  <c r="AY48" i="88"/>
  <c r="AX48" i="88"/>
  <c r="AW48" i="88"/>
  <c r="AV48" i="88"/>
  <c r="AU48" i="88"/>
  <c r="AT48" i="88"/>
  <c r="AS48" i="88"/>
  <c r="AR48" i="88"/>
  <c r="AD48" i="88"/>
  <c r="AB48" i="88"/>
  <c r="Z48" i="88"/>
  <c r="Y48" i="88"/>
  <c r="C48" i="88"/>
  <c r="BD47" i="88"/>
  <c r="BC47" i="88"/>
  <c r="BB47" i="88"/>
  <c r="BA47" i="88"/>
  <c r="AZ47" i="88"/>
  <c r="AY47" i="88"/>
  <c r="AX47" i="88"/>
  <c r="AW47" i="88"/>
  <c r="AV47" i="88"/>
  <c r="AU47" i="88"/>
  <c r="AT47" i="88"/>
  <c r="AS47" i="88"/>
  <c r="AR47" i="88"/>
  <c r="AD47" i="88"/>
  <c r="AB47" i="88"/>
  <c r="Z47" i="88"/>
  <c r="Y47" i="88"/>
  <c r="C47" i="88"/>
  <c r="V47" i="88" s="1"/>
  <c r="BD46" i="88"/>
  <c r="BC46" i="88"/>
  <c r="BB46" i="88"/>
  <c r="BA46" i="88"/>
  <c r="AZ46" i="88"/>
  <c r="AY46" i="88"/>
  <c r="AX46" i="88"/>
  <c r="AW46" i="88"/>
  <c r="AV46" i="88"/>
  <c r="AU46" i="88"/>
  <c r="AT46" i="88"/>
  <c r="AS46" i="88"/>
  <c r="AR46" i="88"/>
  <c r="AD46" i="88"/>
  <c r="AB46" i="88"/>
  <c r="Z46" i="88"/>
  <c r="Y46" i="88"/>
  <c r="C46" i="88"/>
  <c r="BD45" i="88"/>
  <c r="BC45" i="88"/>
  <c r="BB45" i="88"/>
  <c r="BA45" i="88"/>
  <c r="AZ45" i="88"/>
  <c r="AY45" i="88"/>
  <c r="AX45" i="88"/>
  <c r="AW45" i="88"/>
  <c r="AV45" i="88"/>
  <c r="AU45" i="88"/>
  <c r="AT45" i="88"/>
  <c r="AS45" i="88"/>
  <c r="AR45" i="88"/>
  <c r="AD45" i="88"/>
  <c r="AB45" i="88"/>
  <c r="Z45" i="88"/>
  <c r="Y45" i="88"/>
  <c r="C45" i="88"/>
  <c r="V45" i="88" s="1"/>
  <c r="BD44" i="88"/>
  <c r="BC44" i="88"/>
  <c r="BB44" i="88"/>
  <c r="BA44" i="88"/>
  <c r="AZ44" i="88"/>
  <c r="AY44" i="88"/>
  <c r="AX44" i="88"/>
  <c r="AW44" i="88"/>
  <c r="AV44" i="88"/>
  <c r="AU44" i="88"/>
  <c r="AT44" i="88"/>
  <c r="AS44" i="88"/>
  <c r="AR44" i="88"/>
  <c r="AD44" i="88"/>
  <c r="AB44" i="88"/>
  <c r="Z44" i="88"/>
  <c r="Y44" i="88"/>
  <c r="C44" i="88"/>
  <c r="BD43" i="88"/>
  <c r="BC43" i="88"/>
  <c r="BB43" i="88"/>
  <c r="BA43" i="88"/>
  <c r="AZ43" i="88"/>
  <c r="AY43" i="88"/>
  <c r="AX43" i="88"/>
  <c r="AW43" i="88"/>
  <c r="AV43" i="88"/>
  <c r="AU43" i="88"/>
  <c r="AT43" i="88"/>
  <c r="AS43" i="88"/>
  <c r="AR43" i="88"/>
  <c r="AD43" i="88"/>
  <c r="AB43" i="88"/>
  <c r="Z43" i="88"/>
  <c r="Y43" i="88"/>
  <c r="C43" i="88"/>
  <c r="V43" i="88" s="1"/>
  <c r="BD42" i="88"/>
  <c r="BC42" i="88"/>
  <c r="BB42" i="88"/>
  <c r="BA42" i="88"/>
  <c r="AZ42" i="88"/>
  <c r="AY42" i="88"/>
  <c r="AX42" i="88"/>
  <c r="AW42" i="88"/>
  <c r="AV42" i="88"/>
  <c r="AU42" i="88"/>
  <c r="AT42" i="88"/>
  <c r="AS42" i="88"/>
  <c r="AR42" i="88"/>
  <c r="AD42" i="88"/>
  <c r="AB42" i="88"/>
  <c r="Z42" i="88"/>
  <c r="Y42" i="88"/>
  <c r="C42" i="88"/>
  <c r="BD41" i="88"/>
  <c r="BC41" i="88"/>
  <c r="BB41" i="88"/>
  <c r="BA41" i="88"/>
  <c r="AZ41" i="88"/>
  <c r="AY41" i="88"/>
  <c r="AX41" i="88"/>
  <c r="AW41" i="88"/>
  <c r="AV41" i="88"/>
  <c r="AU41" i="88"/>
  <c r="AT41" i="88"/>
  <c r="AS41" i="88"/>
  <c r="AR41" i="88"/>
  <c r="AD41" i="88"/>
  <c r="AB41" i="88"/>
  <c r="Z41" i="88"/>
  <c r="Y41" i="88"/>
  <c r="C41" i="88"/>
  <c r="V41" i="88" s="1"/>
  <c r="BD40" i="88"/>
  <c r="BC40" i="88"/>
  <c r="BB40" i="88"/>
  <c r="BA40" i="88"/>
  <c r="AZ40" i="88"/>
  <c r="AY40" i="88"/>
  <c r="AX40" i="88"/>
  <c r="AW40" i="88"/>
  <c r="AV40" i="88"/>
  <c r="AU40" i="88"/>
  <c r="AT40" i="88"/>
  <c r="AS40" i="88"/>
  <c r="AR40" i="88"/>
  <c r="AD40" i="88"/>
  <c r="AB40" i="88"/>
  <c r="Z40" i="88"/>
  <c r="Y40" i="88"/>
  <c r="C40" i="88"/>
  <c r="BD39" i="88"/>
  <c r="BC39" i="88"/>
  <c r="BB39" i="88"/>
  <c r="BA39" i="88"/>
  <c r="AZ39" i="88"/>
  <c r="AY39" i="88"/>
  <c r="AX39" i="88"/>
  <c r="AW39" i="88"/>
  <c r="AV39" i="88"/>
  <c r="AU39" i="88"/>
  <c r="AT39" i="88"/>
  <c r="AS39" i="88"/>
  <c r="AR39" i="88"/>
  <c r="AD39" i="88"/>
  <c r="AB39" i="88"/>
  <c r="Z39" i="88"/>
  <c r="Y39" i="88"/>
  <c r="C39" i="88"/>
  <c r="V39" i="88" s="1"/>
  <c r="BD38" i="88"/>
  <c r="BC38" i="88"/>
  <c r="BB38" i="88"/>
  <c r="BA38" i="88"/>
  <c r="AZ38" i="88"/>
  <c r="AY38" i="88"/>
  <c r="AX38" i="88"/>
  <c r="AW38" i="88"/>
  <c r="AV38" i="88"/>
  <c r="AU38" i="88"/>
  <c r="AT38" i="88"/>
  <c r="AS38" i="88"/>
  <c r="AR38" i="88"/>
  <c r="AD38" i="88"/>
  <c r="AB38" i="88"/>
  <c r="Z38" i="88"/>
  <c r="Y38" i="88"/>
  <c r="C38" i="88"/>
  <c r="BD37" i="88"/>
  <c r="BC37" i="88"/>
  <c r="BB37" i="88"/>
  <c r="BA37" i="88"/>
  <c r="AZ37" i="88"/>
  <c r="AY37" i="88"/>
  <c r="AX37" i="88"/>
  <c r="AW37" i="88"/>
  <c r="AV37" i="88"/>
  <c r="AU37" i="88"/>
  <c r="AT37" i="88"/>
  <c r="AS37" i="88"/>
  <c r="AR37" i="88"/>
  <c r="AD37" i="88"/>
  <c r="AB37" i="88"/>
  <c r="Z37" i="88"/>
  <c r="Y37" i="88"/>
  <c r="C37" i="88"/>
  <c r="V37" i="88" s="1"/>
  <c r="BD36" i="88"/>
  <c r="BC36" i="88"/>
  <c r="BB36" i="88"/>
  <c r="BA36" i="88"/>
  <c r="AZ36" i="88"/>
  <c r="AY36" i="88"/>
  <c r="AX36" i="88"/>
  <c r="AW36" i="88"/>
  <c r="AV36" i="88"/>
  <c r="AU36" i="88"/>
  <c r="AT36" i="88"/>
  <c r="AS36" i="88"/>
  <c r="AR36" i="88"/>
  <c r="AD36" i="88"/>
  <c r="AB36" i="88"/>
  <c r="Z36" i="88"/>
  <c r="Y36" i="88"/>
  <c r="C36" i="88"/>
  <c r="BD35" i="88"/>
  <c r="BC35" i="88"/>
  <c r="BB35" i="88"/>
  <c r="BA35" i="88"/>
  <c r="AZ35" i="88"/>
  <c r="AY35" i="88"/>
  <c r="AX35" i="88"/>
  <c r="AW35" i="88"/>
  <c r="AV35" i="88"/>
  <c r="AU35" i="88"/>
  <c r="AT35" i="88"/>
  <c r="AS35" i="88"/>
  <c r="AR35" i="88"/>
  <c r="AD35" i="88"/>
  <c r="AB35" i="88"/>
  <c r="Z35" i="88"/>
  <c r="Y35" i="88"/>
  <c r="C35" i="88"/>
  <c r="V35" i="88" s="1"/>
  <c r="BD34" i="88"/>
  <c r="BC34" i="88"/>
  <c r="BB34" i="88"/>
  <c r="BA34" i="88"/>
  <c r="AZ34" i="88"/>
  <c r="AY34" i="88"/>
  <c r="AX34" i="88"/>
  <c r="AW34" i="88"/>
  <c r="AV34" i="88"/>
  <c r="AU34" i="88"/>
  <c r="AT34" i="88"/>
  <c r="AS34" i="88"/>
  <c r="AR34" i="88"/>
  <c r="AD34" i="88"/>
  <c r="AB34" i="88"/>
  <c r="Z34" i="88"/>
  <c r="Y34" i="88"/>
  <c r="C34" i="88"/>
  <c r="BD33" i="88"/>
  <c r="BC33" i="88"/>
  <c r="BB33" i="88"/>
  <c r="BA33" i="88"/>
  <c r="AZ33" i="88"/>
  <c r="AY33" i="88"/>
  <c r="AX33" i="88"/>
  <c r="AW33" i="88"/>
  <c r="AV33" i="88"/>
  <c r="AU33" i="88"/>
  <c r="AT33" i="88"/>
  <c r="AS33" i="88"/>
  <c r="AR33" i="88"/>
  <c r="AD33" i="88"/>
  <c r="AB33" i="88"/>
  <c r="Z33" i="88"/>
  <c r="Y33" i="88"/>
  <c r="C33" i="88"/>
  <c r="V33" i="88" s="1"/>
  <c r="BD32" i="88"/>
  <c r="BC32" i="88"/>
  <c r="BB32" i="88"/>
  <c r="BA32" i="88"/>
  <c r="AZ32" i="88"/>
  <c r="AY32" i="88"/>
  <c r="AX32" i="88"/>
  <c r="AW32" i="88"/>
  <c r="AV32" i="88"/>
  <c r="AU32" i="88"/>
  <c r="AT32" i="88"/>
  <c r="AS32" i="88"/>
  <c r="AR32" i="88"/>
  <c r="AD32" i="88"/>
  <c r="AB32" i="88"/>
  <c r="Z32" i="88"/>
  <c r="Y32" i="88"/>
  <c r="C32" i="88"/>
  <c r="BD31" i="88"/>
  <c r="BC31" i="88"/>
  <c r="BB31" i="88"/>
  <c r="BA31" i="88"/>
  <c r="AZ31" i="88"/>
  <c r="AY31" i="88"/>
  <c r="AX31" i="88"/>
  <c r="AW31" i="88"/>
  <c r="AV31" i="88"/>
  <c r="AU31" i="88"/>
  <c r="AT31" i="88"/>
  <c r="AS31" i="88"/>
  <c r="AR31" i="88"/>
  <c r="AD31" i="88"/>
  <c r="AB31" i="88"/>
  <c r="Z31" i="88"/>
  <c r="Y31" i="88"/>
  <c r="C31" i="88"/>
  <c r="V31" i="88" s="1"/>
  <c r="BD30" i="88"/>
  <c r="BC30" i="88"/>
  <c r="BB30" i="88"/>
  <c r="BA30" i="88"/>
  <c r="AZ30" i="88"/>
  <c r="AY30" i="88"/>
  <c r="AX30" i="88"/>
  <c r="AW30" i="88"/>
  <c r="AV30" i="88"/>
  <c r="AU30" i="88"/>
  <c r="AT30" i="88"/>
  <c r="AS30" i="88"/>
  <c r="AR30" i="88"/>
  <c r="AD30" i="88"/>
  <c r="AB30" i="88"/>
  <c r="Z30" i="88"/>
  <c r="Y30" i="88"/>
  <c r="C30" i="88"/>
  <c r="BD29" i="88"/>
  <c r="BC29" i="88"/>
  <c r="BB29" i="88"/>
  <c r="BA29" i="88"/>
  <c r="AZ29" i="88"/>
  <c r="AY29" i="88"/>
  <c r="AX29" i="88"/>
  <c r="AW29" i="88"/>
  <c r="AV29" i="88"/>
  <c r="AU29" i="88"/>
  <c r="AT29" i="88"/>
  <c r="AS29" i="88"/>
  <c r="AR29" i="88"/>
  <c r="AD29" i="88"/>
  <c r="AB29" i="88"/>
  <c r="Z29" i="88"/>
  <c r="Y29" i="88"/>
  <c r="C29" i="88"/>
  <c r="V29" i="88" s="1"/>
  <c r="BD28" i="88"/>
  <c r="BC28" i="88"/>
  <c r="BB28" i="88"/>
  <c r="BA28" i="88"/>
  <c r="AZ28" i="88"/>
  <c r="AY28" i="88"/>
  <c r="AX28" i="88"/>
  <c r="AW28" i="88"/>
  <c r="AV28" i="88"/>
  <c r="AU28" i="88"/>
  <c r="AT28" i="88"/>
  <c r="AS28" i="88"/>
  <c r="AR28" i="88"/>
  <c r="AD28" i="88"/>
  <c r="AB28" i="88"/>
  <c r="Z28" i="88"/>
  <c r="Y28" i="88"/>
  <c r="C28" i="88"/>
  <c r="BD27" i="88"/>
  <c r="BC27" i="88"/>
  <c r="BB27" i="88"/>
  <c r="BA27" i="88"/>
  <c r="AZ27" i="88"/>
  <c r="AY27" i="88"/>
  <c r="AX27" i="88"/>
  <c r="AW27" i="88"/>
  <c r="AV27" i="88"/>
  <c r="AU27" i="88"/>
  <c r="AT27" i="88"/>
  <c r="AS27" i="88"/>
  <c r="AR27" i="88"/>
  <c r="AD27" i="88"/>
  <c r="AB27" i="88"/>
  <c r="Z27" i="88"/>
  <c r="Y27" i="88"/>
  <c r="C27" i="88"/>
  <c r="V27" i="88" s="1"/>
  <c r="BD26" i="88"/>
  <c r="BC26" i="88"/>
  <c r="BB26" i="88"/>
  <c r="BA26" i="88"/>
  <c r="AZ26" i="88"/>
  <c r="AY26" i="88"/>
  <c r="AX26" i="88"/>
  <c r="AW26" i="88"/>
  <c r="AV26" i="88"/>
  <c r="AU26" i="88"/>
  <c r="AT26" i="88"/>
  <c r="AS26" i="88"/>
  <c r="AR26" i="88"/>
  <c r="AD26" i="88"/>
  <c r="AB26" i="88"/>
  <c r="Z26" i="88"/>
  <c r="Y26" i="88"/>
  <c r="C26" i="88"/>
  <c r="BD25" i="88"/>
  <c r="BC25" i="88"/>
  <c r="BB25" i="88"/>
  <c r="BA25" i="88"/>
  <c r="AZ25" i="88"/>
  <c r="AY25" i="88"/>
  <c r="AX25" i="88"/>
  <c r="AW25" i="88"/>
  <c r="AV25" i="88"/>
  <c r="AU25" i="88"/>
  <c r="AT25" i="88"/>
  <c r="AS25" i="88"/>
  <c r="AR25" i="88"/>
  <c r="AD25" i="88"/>
  <c r="AB25" i="88"/>
  <c r="Z25" i="88"/>
  <c r="Y25" i="88"/>
  <c r="C25" i="88"/>
  <c r="V25" i="88" s="1"/>
  <c r="BD24" i="88"/>
  <c r="BC24" i="88"/>
  <c r="BB24" i="88"/>
  <c r="BA24" i="88"/>
  <c r="AZ24" i="88"/>
  <c r="AY24" i="88"/>
  <c r="AX24" i="88"/>
  <c r="AW24" i="88"/>
  <c r="AV24" i="88"/>
  <c r="AU24" i="88"/>
  <c r="AT24" i="88"/>
  <c r="AS24" i="88"/>
  <c r="AR24" i="88"/>
  <c r="AD24" i="88"/>
  <c r="AB24" i="88"/>
  <c r="Z24" i="88"/>
  <c r="Y24" i="88"/>
  <c r="C24" i="88"/>
  <c r="BD23" i="88"/>
  <c r="BC23" i="88"/>
  <c r="BB23" i="88"/>
  <c r="BA23" i="88"/>
  <c r="AZ23" i="88"/>
  <c r="AY23" i="88"/>
  <c r="AX23" i="88"/>
  <c r="AW23" i="88"/>
  <c r="AV23" i="88"/>
  <c r="AU23" i="88"/>
  <c r="AT23" i="88"/>
  <c r="AS23" i="88"/>
  <c r="AR23" i="88"/>
  <c r="AD23" i="88"/>
  <c r="AB23" i="88"/>
  <c r="Z23" i="88"/>
  <c r="Y23" i="88"/>
  <c r="C23" i="88"/>
  <c r="V23" i="88" s="1"/>
  <c r="BD22" i="88"/>
  <c r="BC22" i="88"/>
  <c r="BB22" i="88"/>
  <c r="BA22" i="88"/>
  <c r="AZ22" i="88"/>
  <c r="AY22" i="88"/>
  <c r="AX22" i="88"/>
  <c r="AW22" i="88"/>
  <c r="AV22" i="88"/>
  <c r="AU22" i="88"/>
  <c r="AT22" i="88"/>
  <c r="AS22" i="88"/>
  <c r="AR22" i="88"/>
  <c r="AD22" i="88"/>
  <c r="AB22" i="88"/>
  <c r="Z22" i="88"/>
  <c r="Y22" i="88"/>
  <c r="C22" i="88"/>
  <c r="V22" i="88" s="1"/>
  <c r="BD21" i="88"/>
  <c r="BC21" i="88"/>
  <c r="BB21" i="88"/>
  <c r="BA21" i="88"/>
  <c r="AZ21" i="88"/>
  <c r="AY21" i="88"/>
  <c r="AX21" i="88"/>
  <c r="AW21" i="88"/>
  <c r="AV21" i="88"/>
  <c r="AU21" i="88"/>
  <c r="AT21" i="88"/>
  <c r="AS21" i="88"/>
  <c r="AR21" i="88"/>
  <c r="AD21" i="88"/>
  <c r="AB21" i="88"/>
  <c r="Z21" i="88"/>
  <c r="Y21" i="88"/>
  <c r="C21" i="88"/>
  <c r="BD20" i="88"/>
  <c r="BC20" i="88"/>
  <c r="BB20" i="88"/>
  <c r="BA20" i="88"/>
  <c r="AZ20" i="88"/>
  <c r="AY20" i="88"/>
  <c r="AX20" i="88"/>
  <c r="AW20" i="88"/>
  <c r="AV20" i="88"/>
  <c r="AU20" i="88"/>
  <c r="AT20" i="88"/>
  <c r="AS20" i="88"/>
  <c r="AR20" i="88"/>
  <c r="AD20" i="88"/>
  <c r="AB20" i="88"/>
  <c r="Z20" i="88"/>
  <c r="Y20" i="88"/>
  <c r="C20" i="88"/>
  <c r="BD19" i="88"/>
  <c r="BC19" i="88"/>
  <c r="BB19" i="88"/>
  <c r="BA19" i="88"/>
  <c r="AZ19" i="88"/>
  <c r="AY19" i="88"/>
  <c r="AX19" i="88"/>
  <c r="AW19" i="88"/>
  <c r="AV19" i="88"/>
  <c r="AU19" i="88"/>
  <c r="AT19" i="88"/>
  <c r="AS19" i="88"/>
  <c r="AR19" i="88"/>
  <c r="AD19" i="88"/>
  <c r="AB19" i="88"/>
  <c r="Z19" i="88"/>
  <c r="Y19" i="88"/>
  <c r="C19" i="88"/>
  <c r="V19" i="88" s="1"/>
  <c r="BD18" i="88"/>
  <c r="BC18" i="88"/>
  <c r="BB18" i="88"/>
  <c r="BA18" i="88"/>
  <c r="AZ18" i="88"/>
  <c r="AY18" i="88"/>
  <c r="AX18" i="88"/>
  <c r="AW18" i="88"/>
  <c r="AV18" i="88"/>
  <c r="AU18" i="88"/>
  <c r="AT18" i="88"/>
  <c r="AS18" i="88"/>
  <c r="AR18" i="88"/>
  <c r="AD18" i="88"/>
  <c r="AB18" i="88"/>
  <c r="Z18" i="88"/>
  <c r="Y18" i="88"/>
  <c r="C18" i="88"/>
  <c r="V18" i="88" s="1"/>
  <c r="BD17" i="88"/>
  <c r="BC17" i="88"/>
  <c r="BB17" i="88"/>
  <c r="BA17" i="88"/>
  <c r="AZ17" i="88"/>
  <c r="AY17" i="88"/>
  <c r="AX17" i="88"/>
  <c r="AW17" i="88"/>
  <c r="AV17" i="88"/>
  <c r="AU17" i="88"/>
  <c r="AT17" i="88"/>
  <c r="AS17" i="88"/>
  <c r="AR17" i="88"/>
  <c r="AD17" i="88"/>
  <c r="AB17" i="88"/>
  <c r="Z17" i="88"/>
  <c r="Y17" i="88"/>
  <c r="C17" i="88"/>
  <c r="BD16" i="88"/>
  <c r="BC16" i="88"/>
  <c r="BB16" i="88"/>
  <c r="BA16" i="88"/>
  <c r="AZ16" i="88"/>
  <c r="AY16" i="88"/>
  <c r="AX16" i="88"/>
  <c r="AW16" i="88"/>
  <c r="AV16" i="88"/>
  <c r="AU16" i="88"/>
  <c r="AT16" i="88"/>
  <c r="AS16" i="88"/>
  <c r="AR16" i="88"/>
  <c r="AD16" i="88"/>
  <c r="AB16" i="88"/>
  <c r="Z16" i="88"/>
  <c r="Y16" i="88"/>
  <c r="C16" i="88"/>
  <c r="BD15" i="88"/>
  <c r="BC15" i="88"/>
  <c r="BB15" i="88"/>
  <c r="BA15" i="88"/>
  <c r="AZ15" i="88"/>
  <c r="AY15" i="88"/>
  <c r="AX15" i="88"/>
  <c r="AW15" i="88"/>
  <c r="AV15" i="88"/>
  <c r="AU15" i="88"/>
  <c r="AT15" i="88"/>
  <c r="AS15" i="88"/>
  <c r="AR15" i="88"/>
  <c r="AD15" i="88"/>
  <c r="AB15" i="88"/>
  <c r="Z15" i="88"/>
  <c r="Y15" i="88"/>
  <c r="C15" i="88"/>
  <c r="V15" i="88" s="1"/>
  <c r="BD14" i="88"/>
  <c r="BC14" i="88"/>
  <c r="BB14" i="88"/>
  <c r="BA14" i="88"/>
  <c r="AZ14" i="88"/>
  <c r="AY14" i="88"/>
  <c r="AX14" i="88"/>
  <c r="AW14" i="88"/>
  <c r="AV14" i="88"/>
  <c r="AU14" i="88"/>
  <c r="AT14" i="88"/>
  <c r="AS14" i="88"/>
  <c r="AR14" i="88"/>
  <c r="AD14" i="88"/>
  <c r="AB14" i="88"/>
  <c r="Z14" i="88"/>
  <c r="Y14" i="88"/>
  <c r="C14" i="88"/>
  <c r="V14" i="88" s="1"/>
  <c r="BD13" i="88"/>
  <c r="BC13" i="88"/>
  <c r="BB13" i="88"/>
  <c r="BA13" i="88"/>
  <c r="AZ13" i="88"/>
  <c r="AY13" i="88"/>
  <c r="AX13" i="88"/>
  <c r="AW13" i="88"/>
  <c r="AV13" i="88"/>
  <c r="AU13" i="88"/>
  <c r="AT13" i="88"/>
  <c r="AS13" i="88"/>
  <c r="AR13" i="88"/>
  <c r="AD13" i="88"/>
  <c r="AB13" i="88"/>
  <c r="Z13" i="88"/>
  <c r="Y13" i="88"/>
  <c r="C13" i="88"/>
  <c r="V13" i="88" s="1"/>
  <c r="BD12" i="88"/>
  <c r="BC12" i="88"/>
  <c r="BB12" i="88"/>
  <c r="BA12" i="88"/>
  <c r="AZ12" i="88"/>
  <c r="AY12" i="88"/>
  <c r="AX12" i="88"/>
  <c r="AW12" i="88"/>
  <c r="AV12" i="88"/>
  <c r="AU12" i="88"/>
  <c r="AT12" i="88"/>
  <c r="AS12" i="88"/>
  <c r="AR12" i="88"/>
  <c r="AD12" i="88"/>
  <c r="AB12" i="88"/>
  <c r="Z12" i="88"/>
  <c r="Y12" i="88"/>
  <c r="C12" i="88"/>
  <c r="BD11" i="88"/>
  <c r="BC11" i="88"/>
  <c r="BB11" i="88"/>
  <c r="BA11" i="88"/>
  <c r="AZ11" i="88"/>
  <c r="AY11" i="88"/>
  <c r="AX11" i="88"/>
  <c r="AW11" i="88"/>
  <c r="AV11" i="88"/>
  <c r="AU11" i="88"/>
  <c r="AT11" i="88"/>
  <c r="AS11" i="88"/>
  <c r="AR11" i="88"/>
  <c r="AD11" i="88"/>
  <c r="AB11" i="88"/>
  <c r="Z11" i="88"/>
  <c r="Y11" i="88"/>
  <c r="C11" i="88"/>
  <c r="V11" i="88" s="1"/>
  <c r="BD10" i="88"/>
  <c r="BC10" i="88"/>
  <c r="BB10" i="88"/>
  <c r="BA10" i="88"/>
  <c r="AZ10" i="88"/>
  <c r="AY10" i="88"/>
  <c r="AX10" i="88"/>
  <c r="AW10" i="88"/>
  <c r="AV10" i="88"/>
  <c r="AU10" i="88"/>
  <c r="AT10" i="88"/>
  <c r="AS10" i="88"/>
  <c r="AR10" i="88"/>
  <c r="AD10" i="88"/>
  <c r="AB10" i="88"/>
  <c r="Z10" i="88"/>
  <c r="Y10" i="88"/>
  <c r="C10" i="88"/>
  <c r="I166" i="87"/>
  <c r="H166" i="87"/>
  <c r="F166" i="87"/>
  <c r="E166" i="87"/>
  <c r="J165" i="87"/>
  <c r="G165" i="87"/>
  <c r="D165" i="87"/>
  <c r="J164" i="87"/>
  <c r="G164" i="87"/>
  <c r="D164" i="87"/>
  <c r="J163" i="87"/>
  <c r="G163" i="87"/>
  <c r="D163" i="87"/>
  <c r="J162" i="87"/>
  <c r="G162" i="87"/>
  <c r="D162" i="87"/>
  <c r="J161" i="87"/>
  <c r="G161" i="87"/>
  <c r="D161" i="87"/>
  <c r="J160" i="87"/>
  <c r="G160" i="87"/>
  <c r="D160" i="87"/>
  <c r="J159" i="87"/>
  <c r="G159" i="87"/>
  <c r="D159" i="87"/>
  <c r="J158" i="87"/>
  <c r="G158" i="87"/>
  <c r="D158" i="87"/>
  <c r="J157" i="87"/>
  <c r="G157" i="87"/>
  <c r="D157" i="87"/>
  <c r="J156" i="87"/>
  <c r="G156" i="87"/>
  <c r="D156" i="87"/>
  <c r="J155" i="87"/>
  <c r="G155" i="87"/>
  <c r="D155" i="87"/>
  <c r="J154" i="87"/>
  <c r="G154" i="87"/>
  <c r="D154" i="87"/>
  <c r="J153" i="87"/>
  <c r="G153" i="87"/>
  <c r="D153" i="87"/>
  <c r="J152" i="87"/>
  <c r="G152" i="87"/>
  <c r="D152" i="87"/>
  <c r="J151" i="87"/>
  <c r="G151" i="87"/>
  <c r="D151" i="87"/>
  <c r="J150" i="87"/>
  <c r="G150" i="87"/>
  <c r="D150" i="87"/>
  <c r="J149" i="87"/>
  <c r="G149" i="87"/>
  <c r="D149" i="87"/>
  <c r="J148" i="87"/>
  <c r="G148" i="87"/>
  <c r="D148" i="87"/>
  <c r="J147" i="87"/>
  <c r="G147" i="87"/>
  <c r="D147" i="87"/>
  <c r="J146" i="87"/>
  <c r="G146" i="87"/>
  <c r="D146" i="87"/>
  <c r="J145" i="87"/>
  <c r="G145" i="87"/>
  <c r="D145" i="87"/>
  <c r="J144" i="87"/>
  <c r="G144" i="87"/>
  <c r="D144" i="87"/>
  <c r="J143" i="87"/>
  <c r="G143" i="87"/>
  <c r="D143" i="87"/>
  <c r="J142" i="87"/>
  <c r="G142" i="87"/>
  <c r="D142" i="87"/>
  <c r="J141" i="87"/>
  <c r="G141" i="87"/>
  <c r="D141" i="87"/>
  <c r="J140" i="87"/>
  <c r="G140" i="87"/>
  <c r="D140" i="87"/>
  <c r="J139" i="87"/>
  <c r="G139" i="87"/>
  <c r="D139" i="87"/>
  <c r="J138" i="87"/>
  <c r="G138" i="87"/>
  <c r="D138" i="87"/>
  <c r="J137" i="87"/>
  <c r="G137" i="87"/>
  <c r="D137" i="87"/>
  <c r="J136" i="87"/>
  <c r="G136" i="87"/>
  <c r="D136" i="87"/>
  <c r="J135" i="87"/>
  <c r="G135" i="87"/>
  <c r="D135" i="87"/>
  <c r="J134" i="87"/>
  <c r="G134" i="87"/>
  <c r="D134" i="87"/>
  <c r="J133" i="87"/>
  <c r="G133" i="87"/>
  <c r="D133" i="87"/>
  <c r="J132" i="87"/>
  <c r="G132" i="87"/>
  <c r="D132" i="87"/>
  <c r="J131" i="87"/>
  <c r="G131" i="87"/>
  <c r="D131" i="87"/>
  <c r="J130" i="87"/>
  <c r="G130" i="87"/>
  <c r="D130" i="87"/>
  <c r="J129" i="87"/>
  <c r="G129" i="87"/>
  <c r="D129" i="87"/>
  <c r="J128" i="87"/>
  <c r="G128" i="87"/>
  <c r="D128" i="87"/>
  <c r="J127" i="87"/>
  <c r="G127" i="87"/>
  <c r="D127" i="87"/>
  <c r="J126" i="87"/>
  <c r="G126" i="87"/>
  <c r="D126" i="87"/>
  <c r="J125" i="87"/>
  <c r="G125" i="87"/>
  <c r="D125" i="87"/>
  <c r="J124" i="87"/>
  <c r="G124" i="87"/>
  <c r="D124" i="87"/>
  <c r="J123" i="87"/>
  <c r="G123" i="87"/>
  <c r="D123" i="87"/>
  <c r="J122" i="87"/>
  <c r="G122" i="87"/>
  <c r="D122" i="87"/>
  <c r="J121" i="87"/>
  <c r="G121" i="87"/>
  <c r="D121" i="87"/>
  <c r="J120" i="87"/>
  <c r="G120" i="87"/>
  <c r="D120" i="87"/>
  <c r="J119" i="87"/>
  <c r="G119" i="87"/>
  <c r="D119" i="87"/>
  <c r="J118" i="87"/>
  <c r="G118" i="87"/>
  <c r="D118" i="87"/>
  <c r="J117" i="87"/>
  <c r="G117" i="87"/>
  <c r="D117" i="87"/>
  <c r="J116" i="87"/>
  <c r="G116" i="87"/>
  <c r="D116" i="87"/>
  <c r="J115" i="87"/>
  <c r="G115" i="87"/>
  <c r="D115" i="87"/>
  <c r="J114" i="87"/>
  <c r="G114" i="87"/>
  <c r="D114" i="87"/>
  <c r="J113" i="87"/>
  <c r="G113" i="87"/>
  <c r="D113" i="87"/>
  <c r="J112" i="87"/>
  <c r="G112" i="87"/>
  <c r="D112" i="87"/>
  <c r="J111" i="87"/>
  <c r="G111" i="87"/>
  <c r="D111" i="87"/>
  <c r="J110" i="87"/>
  <c r="G110" i="87"/>
  <c r="D110" i="87"/>
  <c r="J109" i="87"/>
  <c r="G109" i="87"/>
  <c r="D109" i="87"/>
  <c r="J108" i="87"/>
  <c r="G108" i="87"/>
  <c r="D108" i="87"/>
  <c r="J107" i="87"/>
  <c r="G107" i="87"/>
  <c r="D107" i="87"/>
  <c r="J106" i="87"/>
  <c r="G106" i="87"/>
  <c r="D106" i="87"/>
  <c r="J105" i="87"/>
  <c r="G105" i="87"/>
  <c r="D105" i="87"/>
  <c r="J104" i="87"/>
  <c r="G104" i="87"/>
  <c r="D104" i="87"/>
  <c r="J103" i="87"/>
  <c r="G103" i="87"/>
  <c r="D103" i="87"/>
  <c r="J102" i="87"/>
  <c r="G102" i="87"/>
  <c r="D102" i="87"/>
  <c r="J101" i="87"/>
  <c r="G101" i="87"/>
  <c r="D101" i="87"/>
  <c r="J100" i="87"/>
  <c r="G100" i="87"/>
  <c r="D100" i="87"/>
  <c r="J99" i="87"/>
  <c r="G99" i="87"/>
  <c r="D99" i="87"/>
  <c r="J98" i="87"/>
  <c r="G98" i="87"/>
  <c r="D98" i="87"/>
  <c r="J97" i="87"/>
  <c r="G97" i="87"/>
  <c r="D97" i="87"/>
  <c r="J96" i="87"/>
  <c r="G96" i="87"/>
  <c r="D96" i="87"/>
  <c r="J95" i="87"/>
  <c r="G95" i="87"/>
  <c r="D95" i="87"/>
  <c r="J94" i="87"/>
  <c r="G94" i="87"/>
  <c r="D94" i="87"/>
  <c r="J93" i="87"/>
  <c r="G93" i="87"/>
  <c r="D93" i="87"/>
  <c r="J92" i="87"/>
  <c r="G92" i="87"/>
  <c r="D92" i="87"/>
  <c r="J91" i="87"/>
  <c r="G91" i="87"/>
  <c r="D91" i="87"/>
  <c r="J90" i="87"/>
  <c r="G90" i="87"/>
  <c r="D90" i="87"/>
  <c r="J89" i="87"/>
  <c r="G89" i="87"/>
  <c r="D89" i="87"/>
  <c r="J88" i="87"/>
  <c r="G88" i="87"/>
  <c r="D88" i="87"/>
  <c r="J87" i="87"/>
  <c r="G87" i="87"/>
  <c r="D87" i="87"/>
  <c r="J86" i="87"/>
  <c r="G86" i="87"/>
  <c r="C86" i="87" s="1"/>
  <c r="D86" i="87"/>
  <c r="J85" i="87"/>
  <c r="G85" i="87"/>
  <c r="D85" i="87"/>
  <c r="J84" i="87"/>
  <c r="G84" i="87"/>
  <c r="D84" i="87"/>
  <c r="J83" i="87"/>
  <c r="G83" i="87"/>
  <c r="D83" i="87"/>
  <c r="J82" i="87"/>
  <c r="G82" i="87"/>
  <c r="C82" i="87" s="1"/>
  <c r="D82" i="87"/>
  <c r="J81" i="87"/>
  <c r="G81" i="87"/>
  <c r="D81" i="87"/>
  <c r="J80" i="87"/>
  <c r="G80" i="87"/>
  <c r="D80" i="87"/>
  <c r="J79" i="87"/>
  <c r="G79" i="87"/>
  <c r="D79" i="87"/>
  <c r="J78" i="87"/>
  <c r="G78" i="87"/>
  <c r="C78" i="87" s="1"/>
  <c r="D78" i="87"/>
  <c r="J77" i="87"/>
  <c r="G77" i="87"/>
  <c r="D77" i="87"/>
  <c r="J76" i="87"/>
  <c r="G76" i="87"/>
  <c r="D76" i="87"/>
  <c r="J75" i="87"/>
  <c r="G75" i="87"/>
  <c r="D75" i="87"/>
  <c r="J74" i="87"/>
  <c r="G74" i="87"/>
  <c r="C74" i="87" s="1"/>
  <c r="D74" i="87"/>
  <c r="J73" i="87"/>
  <c r="G73" i="87"/>
  <c r="D73" i="87"/>
  <c r="J72" i="87"/>
  <c r="G72" i="87"/>
  <c r="D72" i="87"/>
  <c r="J71" i="87"/>
  <c r="G71" i="87"/>
  <c r="D71" i="87"/>
  <c r="J70" i="87"/>
  <c r="G70" i="87"/>
  <c r="C70" i="87" s="1"/>
  <c r="D70" i="87"/>
  <c r="J69" i="87"/>
  <c r="G69" i="87"/>
  <c r="D69" i="87"/>
  <c r="J68" i="87"/>
  <c r="G68" i="87"/>
  <c r="D68" i="87"/>
  <c r="J67" i="87"/>
  <c r="G67" i="87"/>
  <c r="D67" i="87"/>
  <c r="J66" i="87"/>
  <c r="G66" i="87"/>
  <c r="C66" i="87" s="1"/>
  <c r="D66" i="87"/>
  <c r="J65" i="87"/>
  <c r="G65" i="87"/>
  <c r="D65" i="87"/>
  <c r="J64" i="87"/>
  <c r="G64" i="87"/>
  <c r="D64" i="87"/>
  <c r="J63" i="87"/>
  <c r="G63" i="87"/>
  <c r="D63" i="87"/>
  <c r="J62" i="87"/>
  <c r="G62" i="87"/>
  <c r="C62" i="87" s="1"/>
  <c r="D62" i="87"/>
  <c r="J61" i="87"/>
  <c r="G61" i="87"/>
  <c r="D61" i="87"/>
  <c r="J60" i="87"/>
  <c r="G60" i="87"/>
  <c r="D60" i="87"/>
  <c r="J59" i="87"/>
  <c r="G59" i="87"/>
  <c r="D59" i="87"/>
  <c r="J58" i="87"/>
  <c r="G58" i="87"/>
  <c r="C58" i="87" s="1"/>
  <c r="D58" i="87"/>
  <c r="J57" i="87"/>
  <c r="G57" i="87"/>
  <c r="D57" i="87"/>
  <c r="J56" i="87"/>
  <c r="G56" i="87"/>
  <c r="D56" i="87"/>
  <c r="J55" i="87"/>
  <c r="G55" i="87"/>
  <c r="D55" i="87"/>
  <c r="J54" i="87"/>
  <c r="G54" i="87"/>
  <c r="C54" i="87" s="1"/>
  <c r="D54" i="87"/>
  <c r="J53" i="87"/>
  <c r="G53" i="87"/>
  <c r="D53" i="87"/>
  <c r="J52" i="87"/>
  <c r="G52" i="87"/>
  <c r="D52" i="87"/>
  <c r="J51" i="87"/>
  <c r="G51" i="87"/>
  <c r="D51" i="87"/>
  <c r="J50" i="87"/>
  <c r="G50" i="87"/>
  <c r="C50" i="87" s="1"/>
  <c r="D50" i="87"/>
  <c r="J49" i="87"/>
  <c r="G49" i="87"/>
  <c r="D49" i="87"/>
  <c r="J48" i="87"/>
  <c r="G48" i="87"/>
  <c r="D48" i="87"/>
  <c r="J47" i="87"/>
  <c r="G47" i="87"/>
  <c r="D47" i="87"/>
  <c r="J46" i="87"/>
  <c r="G46" i="87"/>
  <c r="C46" i="87" s="1"/>
  <c r="D46" i="87"/>
  <c r="J45" i="87"/>
  <c r="G45" i="87"/>
  <c r="D45" i="87"/>
  <c r="J44" i="87"/>
  <c r="G44" i="87"/>
  <c r="D44" i="87"/>
  <c r="J43" i="87"/>
  <c r="G43" i="87"/>
  <c r="D43" i="87"/>
  <c r="J42" i="87"/>
  <c r="G42" i="87"/>
  <c r="C42" i="87" s="1"/>
  <c r="D42" i="87"/>
  <c r="J41" i="87"/>
  <c r="G41" i="87"/>
  <c r="D41" i="87"/>
  <c r="J40" i="87"/>
  <c r="G40" i="87"/>
  <c r="D40" i="87"/>
  <c r="J39" i="87"/>
  <c r="G39" i="87"/>
  <c r="D39" i="87"/>
  <c r="J38" i="87"/>
  <c r="G38" i="87"/>
  <c r="C38" i="87" s="1"/>
  <c r="D38" i="87"/>
  <c r="J37" i="87"/>
  <c r="G37" i="87"/>
  <c r="D37" i="87"/>
  <c r="J36" i="87"/>
  <c r="G36" i="87"/>
  <c r="D36" i="87"/>
  <c r="J35" i="87"/>
  <c r="G35" i="87"/>
  <c r="D35" i="87"/>
  <c r="J34" i="87"/>
  <c r="G34" i="87"/>
  <c r="C34" i="87" s="1"/>
  <c r="D34" i="87"/>
  <c r="J33" i="87"/>
  <c r="G33" i="87"/>
  <c r="D33" i="87"/>
  <c r="J32" i="87"/>
  <c r="G32" i="87"/>
  <c r="D32" i="87"/>
  <c r="J31" i="87"/>
  <c r="G31" i="87"/>
  <c r="D31" i="87"/>
  <c r="J30" i="87"/>
  <c r="G30" i="87"/>
  <c r="C30" i="87" s="1"/>
  <c r="D30" i="87"/>
  <c r="J29" i="87"/>
  <c r="G29" i="87"/>
  <c r="D29" i="87"/>
  <c r="J28" i="87"/>
  <c r="G28" i="87"/>
  <c r="D28" i="87"/>
  <c r="J27" i="87"/>
  <c r="G27" i="87"/>
  <c r="D27" i="87"/>
  <c r="J26" i="87"/>
  <c r="G26" i="87"/>
  <c r="C26" i="87" s="1"/>
  <c r="D26" i="87"/>
  <c r="J25" i="87"/>
  <c r="G25" i="87"/>
  <c r="D25" i="87"/>
  <c r="J24" i="87"/>
  <c r="G24" i="87"/>
  <c r="D24" i="87"/>
  <c r="J23" i="87"/>
  <c r="G23" i="87"/>
  <c r="D23" i="87"/>
  <c r="J22" i="87"/>
  <c r="G22" i="87"/>
  <c r="C22" i="87" s="1"/>
  <c r="D22" i="87"/>
  <c r="J21" i="87"/>
  <c r="G21" i="87"/>
  <c r="C21" i="87" s="1"/>
  <c r="D21" i="87"/>
  <c r="J20" i="87"/>
  <c r="G20" i="87"/>
  <c r="C20" i="87" s="1"/>
  <c r="D20" i="87"/>
  <c r="J19" i="87"/>
  <c r="G19" i="87"/>
  <c r="C19" i="87" s="1"/>
  <c r="D19" i="87"/>
  <c r="J18" i="87"/>
  <c r="G18" i="87"/>
  <c r="C18" i="87" s="1"/>
  <c r="D18" i="87"/>
  <c r="J17" i="87"/>
  <c r="G17" i="87"/>
  <c r="C17" i="87" s="1"/>
  <c r="D17" i="87"/>
  <c r="J16" i="87"/>
  <c r="G16" i="87"/>
  <c r="C16" i="87" s="1"/>
  <c r="D16" i="87"/>
  <c r="J15" i="87"/>
  <c r="G15" i="87"/>
  <c r="C15" i="87" s="1"/>
  <c r="D15" i="87"/>
  <c r="J14" i="87"/>
  <c r="G14" i="87"/>
  <c r="C14" i="87" s="1"/>
  <c r="D14" i="87"/>
  <c r="J13" i="87"/>
  <c r="G13" i="87"/>
  <c r="C13" i="87" s="1"/>
  <c r="D13" i="87"/>
  <c r="J12" i="87"/>
  <c r="G12" i="87"/>
  <c r="C12" i="87" s="1"/>
  <c r="D12" i="87"/>
  <c r="J11" i="87"/>
  <c r="G11" i="87"/>
  <c r="C11" i="87" s="1"/>
  <c r="D11" i="87"/>
  <c r="J10" i="87"/>
  <c r="G10" i="87"/>
  <c r="C10" i="87" s="1"/>
  <c r="D10" i="87"/>
  <c r="C25" i="87" l="1"/>
  <c r="C29" i="87"/>
  <c r="C33" i="87"/>
  <c r="C37" i="87"/>
  <c r="C41" i="87"/>
  <c r="C45" i="87"/>
  <c r="C49" i="87"/>
  <c r="C53" i="87"/>
  <c r="C57" i="87"/>
  <c r="C61" i="87"/>
  <c r="C65" i="87"/>
  <c r="C69" i="87"/>
  <c r="C73" i="87"/>
  <c r="C77" i="87"/>
  <c r="C81" i="87"/>
  <c r="C85" i="87"/>
  <c r="C89" i="87"/>
  <c r="C93" i="87"/>
  <c r="C97" i="87"/>
  <c r="C101" i="87"/>
  <c r="C105" i="87"/>
  <c r="C109" i="87"/>
  <c r="C113" i="87"/>
  <c r="C117" i="87"/>
  <c r="C121" i="87"/>
  <c r="C125" i="87"/>
  <c r="C129" i="87"/>
  <c r="C133" i="87"/>
  <c r="C137" i="87"/>
  <c r="C141" i="87"/>
  <c r="C145" i="87"/>
  <c r="C149" i="87"/>
  <c r="C153" i="87"/>
  <c r="C157" i="87"/>
  <c r="C161" i="87"/>
  <c r="C165" i="87"/>
  <c r="C24" i="87"/>
  <c r="C28" i="87"/>
  <c r="C32" i="87"/>
  <c r="C36" i="87"/>
  <c r="C40" i="87"/>
  <c r="C44" i="87"/>
  <c r="C48" i="87"/>
  <c r="C52" i="87"/>
  <c r="C56" i="87"/>
  <c r="C60" i="87"/>
  <c r="C64" i="87"/>
  <c r="C68" i="87"/>
  <c r="C72" i="87"/>
  <c r="C76" i="87"/>
  <c r="C80" i="87"/>
  <c r="C84" i="87"/>
  <c r="C23" i="87"/>
  <c r="C27" i="87"/>
  <c r="C31" i="87"/>
  <c r="C35" i="87"/>
  <c r="C39" i="87"/>
  <c r="C43" i="87"/>
  <c r="C47" i="87"/>
  <c r="C51" i="87"/>
  <c r="C55" i="87"/>
  <c r="C59" i="87"/>
  <c r="C63" i="87"/>
  <c r="C67" i="87"/>
  <c r="C71" i="87"/>
  <c r="C75" i="87"/>
  <c r="C79" i="87"/>
  <c r="C83" i="87"/>
  <c r="C87" i="87"/>
  <c r="C91" i="87"/>
  <c r="C95" i="87"/>
  <c r="C99" i="87"/>
  <c r="C103" i="87"/>
  <c r="C107" i="87"/>
  <c r="C111" i="87"/>
  <c r="C115" i="87"/>
  <c r="C119" i="87"/>
  <c r="C123" i="87"/>
  <c r="C127" i="87"/>
  <c r="C131" i="87"/>
  <c r="C135" i="87"/>
  <c r="C139" i="87"/>
  <c r="C143" i="87"/>
  <c r="C147" i="87"/>
  <c r="C151" i="87"/>
  <c r="C155" i="87"/>
  <c r="C159" i="87"/>
  <c r="C163" i="87"/>
  <c r="D166" i="87"/>
  <c r="AB166" i="88"/>
  <c r="AV166" i="88"/>
  <c r="AZ166" i="88"/>
  <c r="AR166" i="88"/>
  <c r="BD166" i="88"/>
  <c r="Z166" i="88"/>
  <c r="AS166" i="88"/>
  <c r="AW166" i="88"/>
  <c r="BA166" i="88"/>
  <c r="V26" i="88"/>
  <c r="V42" i="88"/>
  <c r="V58" i="88"/>
  <c r="V66" i="88"/>
  <c r="V89" i="88"/>
  <c r="V103" i="88"/>
  <c r="V111" i="88"/>
  <c r="V126" i="88"/>
  <c r="V134" i="88"/>
  <c r="V142" i="88"/>
  <c r="V158" i="88"/>
  <c r="AT166" i="88"/>
  <c r="BB166" i="88"/>
  <c r="V17" i="88"/>
  <c r="V24" i="88"/>
  <c r="V48" i="88"/>
  <c r="V81" i="88"/>
  <c r="V84" i="88"/>
  <c r="V95" i="88"/>
  <c r="V10" i="88"/>
  <c r="AD166" i="88"/>
  <c r="AU166" i="88"/>
  <c r="AY166" i="88"/>
  <c r="BC166" i="88"/>
  <c r="V12" i="88"/>
  <c r="V21" i="88"/>
  <c r="V30" i="88"/>
  <c r="V38" i="88"/>
  <c r="V46" i="88"/>
  <c r="V54" i="88"/>
  <c r="V62" i="88"/>
  <c r="V70" i="88"/>
  <c r="V73" i="88"/>
  <c r="V76" i="88"/>
  <c r="V87" i="88"/>
  <c r="V99" i="88"/>
  <c r="V107" i="88"/>
  <c r="V113" i="88"/>
  <c r="V122" i="88"/>
  <c r="V130" i="88"/>
  <c r="V138" i="88"/>
  <c r="V146" i="88"/>
  <c r="V154" i="88"/>
  <c r="V162" i="88"/>
  <c r="V20" i="88"/>
  <c r="V34" i="88"/>
  <c r="V50" i="88"/>
  <c r="V92" i="88"/>
  <c r="N166" i="88"/>
  <c r="AX112" i="88"/>
  <c r="AX166" i="88" s="1"/>
  <c r="C112" i="88"/>
  <c r="V118" i="88"/>
  <c r="V150" i="88"/>
  <c r="V32" i="88"/>
  <c r="V40" i="88"/>
  <c r="V56" i="88"/>
  <c r="V64" i="88"/>
  <c r="Y166" i="88"/>
  <c r="V16" i="88"/>
  <c r="V28" i="88"/>
  <c r="V36" i="88"/>
  <c r="V44" i="88"/>
  <c r="V52" i="88"/>
  <c r="V60" i="88"/>
  <c r="V68" i="88"/>
  <c r="V79" i="88"/>
  <c r="V97" i="88"/>
  <c r="V83" i="88"/>
  <c r="V116" i="88"/>
  <c r="V117" i="88"/>
  <c r="V121" i="88"/>
  <c r="V125" i="88"/>
  <c r="V129" i="88"/>
  <c r="V133" i="88"/>
  <c r="V137" i="88"/>
  <c r="V141" i="88"/>
  <c r="V145" i="88"/>
  <c r="V149" i="88"/>
  <c r="V153" i="88"/>
  <c r="V157" i="88"/>
  <c r="V161" i="88"/>
  <c r="V165" i="88"/>
  <c r="V75" i="88"/>
  <c r="V91" i="88"/>
  <c r="J166" i="87"/>
  <c r="C90" i="87"/>
  <c r="C94" i="87"/>
  <c r="C98" i="87"/>
  <c r="C102" i="87"/>
  <c r="C106" i="87"/>
  <c r="C110" i="87"/>
  <c r="C114" i="87"/>
  <c r="C118" i="87"/>
  <c r="C122" i="87"/>
  <c r="C126" i="87"/>
  <c r="C130" i="87"/>
  <c r="C134" i="87"/>
  <c r="C138" i="87"/>
  <c r="C142" i="87"/>
  <c r="C146" i="87"/>
  <c r="C150" i="87"/>
  <c r="C154" i="87"/>
  <c r="C158" i="87"/>
  <c r="C162" i="87"/>
  <c r="C88" i="87"/>
  <c r="C92" i="87"/>
  <c r="C96" i="87"/>
  <c r="C100" i="87"/>
  <c r="C104" i="87"/>
  <c r="C108" i="87"/>
  <c r="C112" i="87"/>
  <c r="C116" i="87"/>
  <c r="C120" i="87"/>
  <c r="C124" i="87"/>
  <c r="C128" i="87"/>
  <c r="C132" i="87"/>
  <c r="C136" i="87"/>
  <c r="C140" i="87"/>
  <c r="C144" i="87"/>
  <c r="C148" i="87"/>
  <c r="C152" i="87"/>
  <c r="C156" i="87"/>
  <c r="C160" i="87"/>
  <c r="C164" i="87"/>
  <c r="G166" i="87"/>
  <c r="C166" i="87" l="1"/>
  <c r="V112" i="88"/>
  <c r="V166" i="88" s="1"/>
  <c r="C166" i="88"/>
  <c r="Q141" i="86" l="1"/>
  <c r="P141" i="86"/>
  <c r="O141" i="86"/>
  <c r="N141" i="86"/>
  <c r="M141" i="86"/>
  <c r="L141" i="86"/>
  <c r="J141" i="86"/>
  <c r="I141" i="86"/>
  <c r="H141" i="86"/>
  <c r="G141" i="86"/>
  <c r="K139" i="86"/>
  <c r="F139" i="86"/>
  <c r="K138" i="86"/>
  <c r="F138" i="86"/>
  <c r="E138" i="86" s="1"/>
  <c r="K137" i="86"/>
  <c r="F137" i="86"/>
  <c r="E137" i="86"/>
  <c r="K136" i="86"/>
  <c r="F136" i="86"/>
  <c r="K135" i="86"/>
  <c r="F135" i="86"/>
  <c r="K134" i="86"/>
  <c r="F134" i="86"/>
  <c r="K133" i="86"/>
  <c r="F133" i="86"/>
  <c r="E133" i="86"/>
  <c r="K132" i="86"/>
  <c r="F132" i="86"/>
  <c r="E132" i="86" s="1"/>
  <c r="K131" i="86"/>
  <c r="F131" i="86"/>
  <c r="K130" i="86"/>
  <c r="F130" i="86"/>
  <c r="E130" i="86" s="1"/>
  <c r="K129" i="86"/>
  <c r="F129" i="86"/>
  <c r="E129" i="86" s="1"/>
  <c r="K128" i="86"/>
  <c r="F128" i="86"/>
  <c r="E128" i="86" s="1"/>
  <c r="K127" i="86"/>
  <c r="E127" i="86" s="1"/>
  <c r="F127" i="86"/>
  <c r="K126" i="86"/>
  <c r="F126" i="86"/>
  <c r="E126" i="86" s="1"/>
  <c r="K125" i="86"/>
  <c r="E125" i="86" s="1"/>
  <c r="F125" i="86"/>
  <c r="K124" i="86"/>
  <c r="F124" i="86"/>
  <c r="E124" i="86" s="1"/>
  <c r="K123" i="86"/>
  <c r="F123" i="86"/>
  <c r="K122" i="86"/>
  <c r="F122" i="86"/>
  <c r="E122" i="86" s="1"/>
  <c r="K121" i="86"/>
  <c r="F121" i="86"/>
  <c r="E121" i="86"/>
  <c r="K120" i="86"/>
  <c r="F120" i="86"/>
  <c r="K119" i="86"/>
  <c r="F119" i="86"/>
  <c r="K118" i="86"/>
  <c r="F118" i="86"/>
  <c r="K117" i="86"/>
  <c r="F117" i="86"/>
  <c r="E117" i="86"/>
  <c r="K116" i="86"/>
  <c r="F116" i="86"/>
  <c r="E116" i="86" s="1"/>
  <c r="K115" i="86"/>
  <c r="F115" i="86"/>
  <c r="K114" i="86"/>
  <c r="F114" i="86"/>
  <c r="E114" i="86" s="1"/>
  <c r="K113" i="86"/>
  <c r="F113" i="86"/>
  <c r="E113" i="86" s="1"/>
  <c r="K112" i="86"/>
  <c r="F112" i="86"/>
  <c r="E112" i="86" s="1"/>
  <c r="K111" i="86"/>
  <c r="E111" i="86" s="1"/>
  <c r="F111" i="86"/>
  <c r="K110" i="86"/>
  <c r="F110" i="86"/>
  <c r="E110" i="86" s="1"/>
  <c r="K109" i="86"/>
  <c r="E109" i="86" s="1"/>
  <c r="F109" i="86"/>
  <c r="K108" i="86"/>
  <c r="F108" i="86"/>
  <c r="E108" i="86" s="1"/>
  <c r="K107" i="86"/>
  <c r="F107" i="86"/>
  <c r="K106" i="86"/>
  <c r="F106" i="86"/>
  <c r="E106" i="86" s="1"/>
  <c r="K105" i="86"/>
  <c r="F105" i="86"/>
  <c r="E105" i="86"/>
  <c r="K104" i="86"/>
  <c r="F104" i="86"/>
  <c r="K103" i="86"/>
  <c r="F103" i="86"/>
  <c r="K102" i="86"/>
  <c r="F102" i="86"/>
  <c r="K101" i="86"/>
  <c r="F101" i="86"/>
  <c r="E101" i="86"/>
  <c r="K100" i="86"/>
  <c r="F100" i="86"/>
  <c r="E100" i="86" s="1"/>
  <c r="K99" i="86"/>
  <c r="F99" i="86"/>
  <c r="K98" i="86"/>
  <c r="F98" i="86"/>
  <c r="E98" i="86" s="1"/>
  <c r="K97" i="86"/>
  <c r="F97" i="86"/>
  <c r="E97" i="86" s="1"/>
  <c r="K96" i="86"/>
  <c r="F96" i="86"/>
  <c r="E96" i="86" s="1"/>
  <c r="K95" i="86"/>
  <c r="E95" i="86" s="1"/>
  <c r="F95" i="86"/>
  <c r="K94" i="86"/>
  <c r="F94" i="86"/>
  <c r="E94" i="86" s="1"/>
  <c r="K93" i="86"/>
  <c r="E93" i="86" s="1"/>
  <c r="F93" i="86"/>
  <c r="K92" i="86"/>
  <c r="F92" i="86"/>
  <c r="E92" i="86" s="1"/>
  <c r="K91" i="86"/>
  <c r="F91" i="86"/>
  <c r="K90" i="86"/>
  <c r="F90" i="86"/>
  <c r="E90" i="86" s="1"/>
  <c r="K89" i="86"/>
  <c r="F89" i="86"/>
  <c r="E89" i="86"/>
  <c r="K88" i="86"/>
  <c r="F88" i="86"/>
  <c r="K87" i="86"/>
  <c r="F87" i="86"/>
  <c r="K86" i="86"/>
  <c r="F86" i="86"/>
  <c r="K85" i="86"/>
  <c r="F85" i="86"/>
  <c r="E85" i="86"/>
  <c r="K84" i="86"/>
  <c r="F84" i="86"/>
  <c r="E84" i="86" s="1"/>
  <c r="K83" i="86"/>
  <c r="F83" i="86"/>
  <c r="K82" i="86"/>
  <c r="F82" i="86"/>
  <c r="E82" i="86" s="1"/>
  <c r="K81" i="86"/>
  <c r="F81" i="86"/>
  <c r="E81" i="86" s="1"/>
  <c r="K80" i="86"/>
  <c r="F80" i="86"/>
  <c r="E80" i="86" s="1"/>
  <c r="K79" i="86"/>
  <c r="E79" i="86" s="1"/>
  <c r="F79" i="86"/>
  <c r="K78" i="86"/>
  <c r="F78" i="86"/>
  <c r="E78" i="86" s="1"/>
  <c r="K77" i="86"/>
  <c r="E77" i="86" s="1"/>
  <c r="F77" i="86"/>
  <c r="K76" i="86"/>
  <c r="F76" i="86"/>
  <c r="E76" i="86" s="1"/>
  <c r="K75" i="86"/>
  <c r="F75" i="86"/>
  <c r="K74" i="86"/>
  <c r="F74" i="86"/>
  <c r="E74" i="86" s="1"/>
  <c r="K73" i="86"/>
  <c r="F73" i="86"/>
  <c r="E73" i="86"/>
  <c r="K72" i="86"/>
  <c r="F72" i="86"/>
  <c r="K71" i="86"/>
  <c r="F71" i="86"/>
  <c r="K70" i="86"/>
  <c r="F70" i="86"/>
  <c r="K69" i="86"/>
  <c r="F69" i="86"/>
  <c r="E69" i="86"/>
  <c r="K68" i="86"/>
  <c r="F68" i="86"/>
  <c r="E68" i="86" s="1"/>
  <c r="K67" i="86"/>
  <c r="F67" i="86"/>
  <c r="K66" i="86"/>
  <c r="F66" i="86"/>
  <c r="E66" i="86" s="1"/>
  <c r="K65" i="86"/>
  <c r="F65" i="86"/>
  <c r="E65" i="86" s="1"/>
  <c r="K64" i="86"/>
  <c r="F64" i="86"/>
  <c r="E64" i="86" s="1"/>
  <c r="K63" i="86"/>
  <c r="E63" i="86" s="1"/>
  <c r="F63" i="86"/>
  <c r="K62" i="86"/>
  <c r="F62" i="86"/>
  <c r="E62" i="86" s="1"/>
  <c r="K61" i="86"/>
  <c r="E61" i="86" s="1"/>
  <c r="F61" i="86"/>
  <c r="K60" i="86"/>
  <c r="F60" i="86"/>
  <c r="E60" i="86" s="1"/>
  <c r="K59" i="86"/>
  <c r="F59" i="86"/>
  <c r="K58" i="86"/>
  <c r="F58" i="86"/>
  <c r="E58" i="86" s="1"/>
  <c r="K57" i="86"/>
  <c r="F57" i="86"/>
  <c r="E57" i="86"/>
  <c r="K56" i="86"/>
  <c r="F56" i="86"/>
  <c r="K55" i="86"/>
  <c r="F55" i="86"/>
  <c r="K54" i="86"/>
  <c r="F54" i="86"/>
  <c r="K53" i="86"/>
  <c r="F53" i="86"/>
  <c r="E53" i="86"/>
  <c r="K52" i="86"/>
  <c r="F52" i="86"/>
  <c r="E52" i="86" s="1"/>
  <c r="K51" i="86"/>
  <c r="F51" i="86"/>
  <c r="K50" i="86"/>
  <c r="F50" i="86"/>
  <c r="E50" i="86" s="1"/>
  <c r="K49" i="86"/>
  <c r="F49" i="86"/>
  <c r="E49" i="86" s="1"/>
  <c r="K48" i="86"/>
  <c r="F48" i="86"/>
  <c r="E48" i="86" s="1"/>
  <c r="K47" i="86"/>
  <c r="E47" i="86" s="1"/>
  <c r="F47" i="86"/>
  <c r="K46" i="86"/>
  <c r="F46" i="86"/>
  <c r="E46" i="86" s="1"/>
  <c r="K45" i="86"/>
  <c r="E45" i="86" s="1"/>
  <c r="F45" i="86"/>
  <c r="K44" i="86"/>
  <c r="F44" i="86"/>
  <c r="E44" i="86" s="1"/>
  <c r="K43" i="86"/>
  <c r="F43" i="86"/>
  <c r="K42" i="86"/>
  <c r="F42" i="86"/>
  <c r="E42" i="86" s="1"/>
  <c r="K41" i="86"/>
  <c r="F41" i="86"/>
  <c r="E41" i="86"/>
  <c r="K40" i="86"/>
  <c r="F40" i="86"/>
  <c r="K39" i="86"/>
  <c r="F39" i="86"/>
  <c r="K38" i="86"/>
  <c r="F38" i="86"/>
  <c r="K37" i="86"/>
  <c r="F37" i="86"/>
  <c r="E37" i="86"/>
  <c r="K36" i="86"/>
  <c r="F36" i="86"/>
  <c r="E36" i="86" s="1"/>
  <c r="K35" i="86"/>
  <c r="F35" i="86"/>
  <c r="K34" i="86"/>
  <c r="F34" i="86"/>
  <c r="E34" i="86" s="1"/>
  <c r="K33" i="86"/>
  <c r="F33" i="86"/>
  <c r="E33" i="86" s="1"/>
  <c r="K32" i="86"/>
  <c r="F32" i="86"/>
  <c r="E32" i="86" s="1"/>
  <c r="K31" i="86"/>
  <c r="E31" i="86" s="1"/>
  <c r="F31" i="86"/>
  <c r="K30" i="86"/>
  <c r="F30" i="86"/>
  <c r="E30" i="86" s="1"/>
  <c r="K29" i="86"/>
  <c r="E29" i="86" s="1"/>
  <c r="F29" i="86"/>
  <c r="K28" i="86"/>
  <c r="F28" i="86"/>
  <c r="E28" i="86" s="1"/>
  <c r="K27" i="86"/>
  <c r="F27" i="86"/>
  <c r="K26" i="86"/>
  <c r="F26" i="86"/>
  <c r="E26" i="86" s="1"/>
  <c r="K25" i="86"/>
  <c r="F25" i="86"/>
  <c r="E25" i="86"/>
  <c r="K24" i="86"/>
  <c r="F24" i="86"/>
  <c r="K23" i="86"/>
  <c r="F23" i="86"/>
  <c r="K22" i="86"/>
  <c r="F22" i="86"/>
  <c r="K21" i="86"/>
  <c r="F21" i="86"/>
  <c r="E21" i="86"/>
  <c r="K20" i="86"/>
  <c r="F20" i="86"/>
  <c r="E20" i="86" s="1"/>
  <c r="K19" i="86"/>
  <c r="F19" i="86"/>
  <c r="K18" i="86"/>
  <c r="F18" i="86"/>
  <c r="E18" i="86" s="1"/>
  <c r="K17" i="86"/>
  <c r="F17" i="86"/>
  <c r="E17" i="86" s="1"/>
  <c r="K16" i="86"/>
  <c r="F16" i="86"/>
  <c r="E16" i="86" s="1"/>
  <c r="K15" i="86"/>
  <c r="E15" i="86" s="1"/>
  <c r="F15" i="86"/>
  <c r="K14" i="86"/>
  <c r="F14" i="86"/>
  <c r="E14" i="86" s="1"/>
  <c r="K13" i="86"/>
  <c r="E13" i="86" s="1"/>
  <c r="F13" i="86"/>
  <c r="K12" i="86"/>
  <c r="F12" i="86"/>
  <c r="E12" i="86" s="1"/>
  <c r="K11" i="86"/>
  <c r="F11" i="86"/>
  <c r="K10" i="86"/>
  <c r="F10" i="86"/>
  <c r="E10" i="86" s="1"/>
  <c r="K141" i="86" l="1"/>
  <c r="E19" i="86"/>
  <c r="E35" i="86"/>
  <c r="E51" i="86"/>
  <c r="E67" i="86"/>
  <c r="E83" i="86"/>
  <c r="E99" i="86"/>
  <c r="E115" i="86"/>
  <c r="E131" i="86"/>
  <c r="E23" i="86"/>
  <c r="E39" i="86"/>
  <c r="E55" i="86"/>
  <c r="E71" i="86"/>
  <c r="E87" i="86"/>
  <c r="E103" i="86"/>
  <c r="E119" i="86"/>
  <c r="E135" i="86"/>
  <c r="E11" i="86"/>
  <c r="E22" i="86"/>
  <c r="E24" i="86"/>
  <c r="E141" i="86" s="1"/>
  <c r="E27" i="86"/>
  <c r="E38" i="86"/>
  <c r="E40" i="86"/>
  <c r="E43" i="86"/>
  <c r="E54" i="86"/>
  <c r="E56" i="86"/>
  <c r="E59" i="86"/>
  <c r="E70" i="86"/>
  <c r="E72" i="86"/>
  <c r="E75" i="86"/>
  <c r="E86" i="86"/>
  <c r="E88" i="86"/>
  <c r="E91" i="86"/>
  <c r="E102" i="86"/>
  <c r="E104" i="86"/>
  <c r="E107" i="86"/>
  <c r="E118" i="86"/>
  <c r="E120" i="86"/>
  <c r="E123" i="86"/>
  <c r="E134" i="86"/>
  <c r="E136" i="86"/>
  <c r="E139" i="86"/>
  <c r="F141" i="86"/>
  <c r="K173" i="85" l="1"/>
  <c r="J173" i="85"/>
  <c r="I173" i="85"/>
  <c r="H173" i="85"/>
  <c r="G173" i="85"/>
  <c r="F173" i="85"/>
  <c r="E173" i="85"/>
  <c r="D173" i="85"/>
  <c r="C170" i="85"/>
  <c r="C169" i="85"/>
  <c r="C168" i="85"/>
  <c r="C167" i="85"/>
  <c r="C166" i="85"/>
  <c r="C165" i="85"/>
  <c r="C164" i="85"/>
  <c r="C163" i="85"/>
  <c r="C162" i="85"/>
  <c r="C161" i="85"/>
  <c r="C160" i="85"/>
  <c r="C159" i="85"/>
  <c r="C158" i="85"/>
  <c r="C157" i="85"/>
  <c r="C156" i="85"/>
  <c r="C155" i="85"/>
  <c r="C154" i="85"/>
  <c r="C153" i="85"/>
  <c r="C152" i="85"/>
  <c r="C151" i="85"/>
  <c r="C150" i="85"/>
  <c r="C149" i="85"/>
  <c r="C148" i="85"/>
  <c r="C147" i="85"/>
  <c r="C146" i="85"/>
  <c r="C145" i="85"/>
  <c r="C144" i="85"/>
  <c r="C143" i="85"/>
  <c r="C142" i="85"/>
  <c r="C141" i="85"/>
  <c r="C140" i="85"/>
  <c r="C139" i="85"/>
  <c r="C138" i="85"/>
  <c r="C137" i="85"/>
  <c r="C136" i="85"/>
  <c r="C135" i="85"/>
  <c r="C134" i="85"/>
  <c r="C133" i="85"/>
  <c r="C132" i="85"/>
  <c r="C131" i="85"/>
  <c r="C130" i="85"/>
  <c r="C129" i="85"/>
  <c r="C128" i="85"/>
  <c r="C127" i="85"/>
  <c r="C126" i="85"/>
  <c r="C125" i="85"/>
  <c r="C124" i="85"/>
  <c r="C123" i="85"/>
  <c r="C122" i="85"/>
  <c r="C121" i="85"/>
  <c r="C120" i="85"/>
  <c r="C119" i="85"/>
  <c r="C118" i="85"/>
  <c r="C117" i="85"/>
  <c r="C116" i="85"/>
  <c r="C115" i="85"/>
  <c r="C114" i="85"/>
  <c r="C113" i="85"/>
  <c r="C112" i="85"/>
  <c r="C111" i="85"/>
  <c r="C110" i="85"/>
  <c r="C109" i="85"/>
  <c r="C108" i="85"/>
  <c r="C107" i="85"/>
  <c r="C106" i="85"/>
  <c r="C105" i="85"/>
  <c r="C104" i="85"/>
  <c r="C103" i="85"/>
  <c r="C102" i="85"/>
  <c r="C101" i="85"/>
  <c r="C100" i="85"/>
  <c r="C99" i="85"/>
  <c r="C98" i="85"/>
  <c r="C97" i="85"/>
  <c r="C96" i="85"/>
  <c r="C95" i="85"/>
  <c r="C94" i="85"/>
  <c r="C93" i="85"/>
  <c r="C92" i="85"/>
  <c r="C91" i="85"/>
  <c r="C90" i="85"/>
  <c r="C89" i="85"/>
  <c r="C88" i="85"/>
  <c r="C87" i="85"/>
  <c r="C86" i="85"/>
  <c r="C85" i="85"/>
  <c r="C84" i="85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173" i="85" l="1"/>
  <c r="L21" i="82"/>
  <c r="I21" i="82" s="1"/>
  <c r="C21" i="82" s="1"/>
  <c r="N23" i="82" l="1"/>
  <c r="L23" i="82" s="1"/>
  <c r="I23" i="82" s="1"/>
  <c r="C23" i="82" s="1"/>
  <c r="O22" i="82"/>
  <c r="O24" i="82" s="1"/>
  <c r="M22" i="82"/>
  <c r="M24" i="82" s="1"/>
  <c r="K22" i="82"/>
  <c r="K24" i="82" s="1"/>
  <c r="J22" i="82"/>
  <c r="J24" i="82" s="1"/>
  <c r="H22" i="82"/>
  <c r="H24" i="82" s="1"/>
  <c r="G22" i="82"/>
  <c r="G24" i="82" s="1"/>
  <c r="F22" i="82"/>
  <c r="F24" i="82" s="1"/>
  <c r="E22" i="82"/>
  <c r="E24" i="82" s="1"/>
  <c r="D22" i="82"/>
  <c r="D24" i="82" s="1"/>
  <c r="L20" i="82"/>
  <c r="I20" i="82" s="1"/>
  <c r="C20" i="82" s="1"/>
  <c r="L19" i="82"/>
  <c r="I19" i="82" s="1"/>
  <c r="C19" i="82" s="1"/>
  <c r="L18" i="82"/>
  <c r="I18" i="82" s="1"/>
  <c r="C18" i="82" s="1"/>
  <c r="L17" i="82"/>
  <c r="I17" i="82" s="1"/>
  <c r="C17" i="82" s="1"/>
  <c r="L16" i="82"/>
  <c r="I16" i="82" s="1"/>
  <c r="C16" i="82" s="1"/>
  <c r="L15" i="82"/>
  <c r="I15" i="82" s="1"/>
  <c r="C15" i="82" s="1"/>
  <c r="N14" i="82"/>
  <c r="L14" i="82" s="1"/>
  <c r="I14" i="82" s="1"/>
  <c r="C14" i="82" s="1"/>
  <c r="N13" i="82"/>
  <c r="L13" i="82" s="1"/>
  <c r="I13" i="82" s="1"/>
  <c r="C13" i="82" s="1"/>
  <c r="N12" i="82"/>
  <c r="L12" i="82" s="1"/>
  <c r="I12" i="82" s="1"/>
  <c r="C12" i="82" s="1"/>
  <c r="L11" i="82"/>
  <c r="I11" i="82" s="1"/>
  <c r="C11" i="82" s="1"/>
  <c r="N10" i="82"/>
  <c r="L10" i="82" s="1"/>
  <c r="I10" i="82" s="1"/>
  <c r="C10" i="82" s="1"/>
  <c r="P9" i="82"/>
  <c r="P22" i="82" s="1"/>
  <c r="P24" i="82" s="1"/>
  <c r="N8" i="82"/>
  <c r="N22" i="82" s="1"/>
  <c r="N24" i="82" s="1"/>
  <c r="L8" i="82" l="1"/>
  <c r="I8" i="82" s="1"/>
  <c r="C8" i="82" s="1"/>
  <c r="L24" i="82"/>
  <c r="L9" i="82"/>
  <c r="L22" i="82" l="1"/>
  <c r="I9" i="82"/>
  <c r="V105" i="80"/>
  <c r="U105" i="80"/>
  <c r="T105" i="80"/>
  <c r="S105" i="80"/>
  <c r="R105" i="80"/>
  <c r="Q105" i="80"/>
  <c r="P105" i="80"/>
  <c r="N105" i="80"/>
  <c r="M105" i="80"/>
  <c r="L105" i="80"/>
  <c r="K105" i="80"/>
  <c r="O104" i="80"/>
  <c r="I104" i="80"/>
  <c r="J104" i="80" s="1"/>
  <c r="W103" i="80"/>
  <c r="W105" i="80" s="1"/>
  <c r="O103" i="80"/>
  <c r="I103" i="80"/>
  <c r="J103" i="80" s="1"/>
  <c r="O102" i="80"/>
  <c r="H102" i="80"/>
  <c r="G102" i="80"/>
  <c r="F102" i="80"/>
  <c r="E102" i="80"/>
  <c r="I102" i="80" s="1"/>
  <c r="J102" i="80" s="1"/>
  <c r="O101" i="80"/>
  <c r="H101" i="80"/>
  <c r="G101" i="80"/>
  <c r="F101" i="80"/>
  <c r="E101" i="80"/>
  <c r="D101" i="80"/>
  <c r="C101" i="80"/>
  <c r="O100" i="80"/>
  <c r="I100" i="80"/>
  <c r="C100" i="80"/>
  <c r="O99" i="80"/>
  <c r="I99" i="80"/>
  <c r="D99" i="80"/>
  <c r="C99" i="80"/>
  <c r="O98" i="80"/>
  <c r="H98" i="80"/>
  <c r="G98" i="80"/>
  <c r="F98" i="80"/>
  <c r="E98" i="80"/>
  <c r="C98" i="80"/>
  <c r="O97" i="80"/>
  <c r="I97" i="80"/>
  <c r="D97" i="80"/>
  <c r="C97" i="80"/>
  <c r="O96" i="80"/>
  <c r="H96" i="80"/>
  <c r="G96" i="80"/>
  <c r="F96" i="80"/>
  <c r="E96" i="80"/>
  <c r="D96" i="80"/>
  <c r="C96" i="80"/>
  <c r="O95" i="80"/>
  <c r="I95" i="80"/>
  <c r="C95" i="80"/>
  <c r="O94" i="80"/>
  <c r="H94" i="80"/>
  <c r="G94" i="80"/>
  <c r="F94" i="80"/>
  <c r="E94" i="80"/>
  <c r="D94" i="80"/>
  <c r="C94" i="80"/>
  <c r="O93" i="80"/>
  <c r="I93" i="80"/>
  <c r="D93" i="80"/>
  <c r="O92" i="80"/>
  <c r="I92" i="80"/>
  <c r="D92" i="80"/>
  <c r="J92" i="80" s="1"/>
  <c r="O91" i="80"/>
  <c r="I91" i="80"/>
  <c r="D91" i="80"/>
  <c r="C91" i="80"/>
  <c r="O90" i="80"/>
  <c r="I90" i="80"/>
  <c r="D90" i="80"/>
  <c r="O89" i="80"/>
  <c r="H89" i="80"/>
  <c r="G89" i="80"/>
  <c r="F89" i="80"/>
  <c r="E89" i="80"/>
  <c r="D89" i="80"/>
  <c r="C89" i="80"/>
  <c r="O88" i="80"/>
  <c r="I88" i="80"/>
  <c r="D88" i="80"/>
  <c r="C88" i="80"/>
  <c r="O87" i="80"/>
  <c r="I87" i="80"/>
  <c r="D87" i="80"/>
  <c r="C87" i="80"/>
  <c r="O86" i="80"/>
  <c r="I86" i="80"/>
  <c r="D86" i="80"/>
  <c r="J86" i="80" s="1"/>
  <c r="O85" i="80"/>
  <c r="I85" i="80"/>
  <c r="D85" i="80"/>
  <c r="J85" i="80" s="1"/>
  <c r="O84" i="80"/>
  <c r="I84" i="80"/>
  <c r="D84" i="80"/>
  <c r="C84" i="80"/>
  <c r="O83" i="80"/>
  <c r="I83" i="80"/>
  <c r="D83" i="80"/>
  <c r="C83" i="80"/>
  <c r="J83" i="80" s="1"/>
  <c r="O82" i="80"/>
  <c r="I82" i="80"/>
  <c r="D82" i="80"/>
  <c r="O81" i="80"/>
  <c r="I81" i="80"/>
  <c r="D81" i="80"/>
  <c r="O80" i="80"/>
  <c r="I80" i="80"/>
  <c r="D80" i="80"/>
  <c r="O79" i="80"/>
  <c r="I79" i="80"/>
  <c r="D79" i="80"/>
  <c r="O78" i="80"/>
  <c r="I78" i="80"/>
  <c r="D78" i="80"/>
  <c r="O77" i="80"/>
  <c r="I77" i="80"/>
  <c r="D77" i="80"/>
  <c r="O76" i="80"/>
  <c r="I76" i="80"/>
  <c r="D76" i="80"/>
  <c r="J76" i="80" s="1"/>
  <c r="O75" i="80"/>
  <c r="I75" i="80"/>
  <c r="J75" i="80" s="1"/>
  <c r="O74" i="80"/>
  <c r="I74" i="80"/>
  <c r="J74" i="80" s="1"/>
  <c r="O73" i="80"/>
  <c r="I73" i="80"/>
  <c r="J73" i="80" s="1"/>
  <c r="O72" i="80"/>
  <c r="I72" i="80"/>
  <c r="J72" i="80" s="1"/>
  <c r="O71" i="80"/>
  <c r="I71" i="80"/>
  <c r="J71" i="80" s="1"/>
  <c r="O70" i="80"/>
  <c r="I70" i="80"/>
  <c r="D70" i="80"/>
  <c r="O69" i="80"/>
  <c r="H69" i="80"/>
  <c r="G69" i="80"/>
  <c r="F69" i="80"/>
  <c r="E69" i="80"/>
  <c r="D69" i="80"/>
  <c r="C69" i="80"/>
  <c r="O68" i="80"/>
  <c r="I68" i="80"/>
  <c r="D68" i="80"/>
  <c r="J68" i="80" s="1"/>
  <c r="O67" i="80"/>
  <c r="I67" i="80"/>
  <c r="D67" i="80"/>
  <c r="O66" i="80"/>
  <c r="I66" i="80"/>
  <c r="D66" i="80"/>
  <c r="C66" i="80"/>
  <c r="O65" i="80"/>
  <c r="I65" i="80"/>
  <c r="D65" i="80"/>
  <c r="C65" i="80"/>
  <c r="J65" i="80" s="1"/>
  <c r="O64" i="80"/>
  <c r="I64" i="80"/>
  <c r="D64" i="80"/>
  <c r="O63" i="80"/>
  <c r="I63" i="80"/>
  <c r="D63" i="80"/>
  <c r="O62" i="80"/>
  <c r="I62" i="80"/>
  <c r="D62" i="80"/>
  <c r="C62" i="80"/>
  <c r="O61" i="80"/>
  <c r="I61" i="80"/>
  <c r="D61" i="80"/>
  <c r="C61" i="80"/>
  <c r="O60" i="80"/>
  <c r="F60" i="80"/>
  <c r="E60" i="80"/>
  <c r="I60" i="80" s="1"/>
  <c r="D60" i="80"/>
  <c r="C60" i="80"/>
  <c r="O59" i="80"/>
  <c r="I59" i="80"/>
  <c r="D59" i="80"/>
  <c r="O58" i="80"/>
  <c r="I58" i="80"/>
  <c r="D58" i="80"/>
  <c r="C58" i="80"/>
  <c r="O57" i="80"/>
  <c r="I57" i="80"/>
  <c r="D57" i="80"/>
  <c r="J57" i="80" s="1"/>
  <c r="C57" i="80"/>
  <c r="O56" i="80"/>
  <c r="I56" i="80"/>
  <c r="D56" i="80"/>
  <c r="C56" i="80"/>
  <c r="O55" i="80"/>
  <c r="I55" i="80"/>
  <c r="D55" i="80"/>
  <c r="J55" i="80" s="1"/>
  <c r="O54" i="80"/>
  <c r="I54" i="80"/>
  <c r="D54" i="80"/>
  <c r="C54" i="80"/>
  <c r="O53" i="80"/>
  <c r="I53" i="80"/>
  <c r="D53" i="80"/>
  <c r="J53" i="80" s="1"/>
  <c r="O52" i="80"/>
  <c r="I52" i="80"/>
  <c r="D52" i="80"/>
  <c r="C52" i="80"/>
  <c r="J52" i="80" s="1"/>
  <c r="O51" i="80"/>
  <c r="I51" i="80"/>
  <c r="D51" i="80"/>
  <c r="C51" i="80"/>
  <c r="O50" i="80"/>
  <c r="I50" i="80"/>
  <c r="D50" i="80"/>
  <c r="C50" i="80"/>
  <c r="J50" i="80" s="1"/>
  <c r="O49" i="80"/>
  <c r="I49" i="80"/>
  <c r="D49" i="80"/>
  <c r="C49" i="80"/>
  <c r="O48" i="80"/>
  <c r="I48" i="80"/>
  <c r="D48" i="80"/>
  <c r="O47" i="80"/>
  <c r="I47" i="80"/>
  <c r="D47" i="80"/>
  <c r="O46" i="80"/>
  <c r="I46" i="80"/>
  <c r="D46" i="80"/>
  <c r="C46" i="80"/>
  <c r="O45" i="80"/>
  <c r="I45" i="80"/>
  <c r="D45" i="80"/>
  <c r="J45" i="80" s="1"/>
  <c r="O44" i="80"/>
  <c r="I44" i="80"/>
  <c r="D44" i="80"/>
  <c r="J44" i="80" s="1"/>
  <c r="O43" i="80"/>
  <c r="I43" i="80"/>
  <c r="D43" i="80"/>
  <c r="O42" i="80"/>
  <c r="I42" i="80"/>
  <c r="D42" i="80"/>
  <c r="C42" i="80"/>
  <c r="O41" i="80"/>
  <c r="I41" i="80"/>
  <c r="D41" i="80"/>
  <c r="C41" i="80"/>
  <c r="O40" i="80"/>
  <c r="I40" i="80"/>
  <c r="D40" i="80"/>
  <c r="C40" i="80"/>
  <c r="O39" i="80"/>
  <c r="I39" i="80"/>
  <c r="D39" i="80"/>
  <c r="O38" i="80"/>
  <c r="I38" i="80"/>
  <c r="D38" i="80"/>
  <c r="J38" i="80" s="1"/>
  <c r="O37" i="80"/>
  <c r="I37" i="80"/>
  <c r="D37" i="80"/>
  <c r="C37" i="80"/>
  <c r="J37" i="80" s="1"/>
  <c r="O36" i="80"/>
  <c r="I36" i="80"/>
  <c r="C36" i="80"/>
  <c r="O35" i="80"/>
  <c r="I35" i="80"/>
  <c r="D35" i="80"/>
  <c r="C35" i="80"/>
  <c r="O34" i="80"/>
  <c r="H34" i="80"/>
  <c r="G34" i="80"/>
  <c r="F34" i="80"/>
  <c r="E34" i="80"/>
  <c r="I34" i="80" s="1"/>
  <c r="D34" i="80"/>
  <c r="C34" i="80"/>
  <c r="O33" i="80"/>
  <c r="H33" i="80"/>
  <c r="G33" i="80"/>
  <c r="F33" i="80"/>
  <c r="E33" i="80"/>
  <c r="D33" i="80"/>
  <c r="C33" i="80"/>
  <c r="O32" i="80"/>
  <c r="E32" i="80"/>
  <c r="I32" i="80" s="1"/>
  <c r="D32" i="80"/>
  <c r="C32" i="80"/>
  <c r="E31" i="80"/>
  <c r="I31" i="80" s="1"/>
  <c r="D31" i="80"/>
  <c r="C31" i="80"/>
  <c r="O30" i="80"/>
  <c r="H30" i="80"/>
  <c r="G30" i="80"/>
  <c r="F30" i="80"/>
  <c r="E30" i="80"/>
  <c r="D30" i="80"/>
  <c r="C30" i="80"/>
  <c r="O29" i="80"/>
  <c r="H29" i="80"/>
  <c r="G29" i="80"/>
  <c r="F29" i="80"/>
  <c r="E29" i="80"/>
  <c r="D29" i="80"/>
  <c r="C29" i="80"/>
  <c r="O28" i="80"/>
  <c r="H28" i="80"/>
  <c r="G28" i="80"/>
  <c r="F28" i="80"/>
  <c r="E28" i="80"/>
  <c r="D28" i="80"/>
  <c r="C28" i="80"/>
  <c r="O27" i="80"/>
  <c r="H27" i="80"/>
  <c r="G27" i="80"/>
  <c r="F27" i="80"/>
  <c r="E27" i="80"/>
  <c r="D27" i="80"/>
  <c r="C27" i="80"/>
  <c r="O26" i="80"/>
  <c r="H26" i="80"/>
  <c r="G26" i="80"/>
  <c r="F26" i="80"/>
  <c r="E26" i="80"/>
  <c r="D26" i="80"/>
  <c r="C26" i="80"/>
  <c r="O25" i="80"/>
  <c r="I25" i="80"/>
  <c r="D25" i="80"/>
  <c r="C25" i="80"/>
  <c r="J25" i="80" s="1"/>
  <c r="O24" i="80"/>
  <c r="I24" i="80"/>
  <c r="D24" i="80"/>
  <c r="C24" i="80"/>
  <c r="O23" i="80"/>
  <c r="I23" i="80"/>
  <c r="D23" i="80"/>
  <c r="O22" i="80"/>
  <c r="I22" i="80"/>
  <c r="D22" i="80"/>
  <c r="O21" i="80"/>
  <c r="I21" i="80"/>
  <c r="D21" i="80"/>
  <c r="C21" i="80"/>
  <c r="O20" i="80"/>
  <c r="I20" i="80"/>
  <c r="D20" i="80"/>
  <c r="C20" i="80"/>
  <c r="O19" i="80"/>
  <c r="I19" i="80"/>
  <c r="D19" i="80"/>
  <c r="O18" i="80"/>
  <c r="I18" i="80"/>
  <c r="D18" i="80"/>
  <c r="C18" i="80"/>
  <c r="O17" i="80"/>
  <c r="I17" i="80"/>
  <c r="D17" i="80"/>
  <c r="J17" i="80" s="1"/>
  <c r="O16" i="80"/>
  <c r="H16" i="80"/>
  <c r="G16" i="80"/>
  <c r="F16" i="80"/>
  <c r="E16" i="80"/>
  <c r="D16" i="80"/>
  <c r="C16" i="80"/>
  <c r="O15" i="80"/>
  <c r="I15" i="80"/>
  <c r="D15" i="80"/>
  <c r="O14" i="80"/>
  <c r="I14" i="80"/>
  <c r="D14" i="80"/>
  <c r="C14" i="80"/>
  <c r="O13" i="80"/>
  <c r="I13" i="80"/>
  <c r="D13" i="80"/>
  <c r="O12" i="80"/>
  <c r="I12" i="80"/>
  <c r="D12" i="80"/>
  <c r="J12" i="80" s="1"/>
  <c r="O11" i="80"/>
  <c r="I11" i="80"/>
  <c r="D11" i="80"/>
  <c r="C11" i="80"/>
  <c r="O10" i="80"/>
  <c r="I10" i="80"/>
  <c r="D10" i="80"/>
  <c r="C10" i="80"/>
  <c r="J10" i="80" s="1"/>
  <c r="O9" i="80"/>
  <c r="I9" i="80"/>
  <c r="D9" i="80"/>
  <c r="O8" i="80"/>
  <c r="I8" i="80"/>
  <c r="D8" i="80"/>
  <c r="O7" i="80"/>
  <c r="F7" i="80"/>
  <c r="E7" i="80"/>
  <c r="D7" i="80"/>
  <c r="O6" i="80"/>
  <c r="H6" i="80"/>
  <c r="G6" i="80"/>
  <c r="G105" i="80" s="1"/>
  <c r="F6" i="80"/>
  <c r="E6" i="80"/>
  <c r="D6" i="80"/>
  <c r="C6" i="80"/>
  <c r="C105" i="80" s="1"/>
  <c r="I28" i="80" l="1"/>
  <c r="I94" i="80"/>
  <c r="J94" i="80" s="1"/>
  <c r="I98" i="80"/>
  <c r="E105" i="80"/>
  <c r="J35" i="80"/>
  <c r="J78" i="80"/>
  <c r="J90" i="80"/>
  <c r="C9" i="82"/>
  <c r="C22" i="82" s="1"/>
  <c r="C24" i="82" s="1"/>
  <c r="I22" i="82"/>
  <c r="I24" i="82" s="1"/>
  <c r="I69" i="80"/>
  <c r="J69" i="80" s="1"/>
  <c r="J8" i="80"/>
  <c r="J14" i="80"/>
  <c r="J15" i="80"/>
  <c r="J21" i="80"/>
  <c r="I26" i="80"/>
  <c r="J26" i="80" s="1"/>
  <c r="I30" i="80"/>
  <c r="J42" i="80"/>
  <c r="J46" i="80"/>
  <c r="J47" i="80"/>
  <c r="J61" i="80"/>
  <c r="J63" i="80"/>
  <c r="J77" i="80"/>
  <c r="J81" i="80"/>
  <c r="J87" i="80"/>
  <c r="I101" i="80"/>
  <c r="J101" i="80" s="1"/>
  <c r="J9" i="80"/>
  <c r="J11" i="80"/>
  <c r="J13" i="80"/>
  <c r="J18" i="80"/>
  <c r="J20" i="80"/>
  <c r="J23" i="80"/>
  <c r="J24" i="80"/>
  <c r="I27" i="80"/>
  <c r="J27" i="80" s="1"/>
  <c r="I29" i="80"/>
  <c r="J31" i="80"/>
  <c r="J36" i="80"/>
  <c r="J40" i="80"/>
  <c r="J54" i="80"/>
  <c r="J56" i="80"/>
  <c r="J58" i="80"/>
  <c r="J67" i="80"/>
  <c r="J79" i="80"/>
  <c r="I89" i="80"/>
  <c r="J99" i="80"/>
  <c r="J28" i="80"/>
  <c r="J30" i="80"/>
  <c r="J32" i="80"/>
  <c r="J41" i="80"/>
  <c r="J43" i="80"/>
  <c r="J49" i="80"/>
  <c r="J51" i="80"/>
  <c r="J60" i="80"/>
  <c r="J62" i="80"/>
  <c r="J64" i="80"/>
  <c r="J66" i="80"/>
  <c r="J70" i="80"/>
  <c r="J80" i="80"/>
  <c r="J82" i="80"/>
  <c r="J84" i="80"/>
  <c r="J88" i="80"/>
  <c r="J91" i="80"/>
  <c r="J93" i="80"/>
  <c r="J95" i="80"/>
  <c r="J97" i="80"/>
  <c r="J100" i="80"/>
  <c r="J96" i="80"/>
  <c r="J29" i="80"/>
  <c r="J89" i="80"/>
  <c r="D105" i="80"/>
  <c r="F105" i="80"/>
  <c r="H105" i="80"/>
  <c r="O105" i="80"/>
  <c r="I7" i="80"/>
  <c r="J7" i="80" s="1"/>
  <c r="I16" i="80"/>
  <c r="J16" i="80" s="1"/>
  <c r="J19" i="80"/>
  <c r="J22" i="80"/>
  <c r="I33" i="80"/>
  <c r="J33" i="80" s="1"/>
  <c r="J34" i="80"/>
  <c r="J39" i="80"/>
  <c r="J48" i="80"/>
  <c r="J59" i="80"/>
  <c r="I96" i="80"/>
  <c r="J98" i="80"/>
  <c r="I6" i="80"/>
  <c r="I105" i="80" l="1"/>
  <c r="J6" i="80"/>
  <c r="J105" i="80" s="1"/>
  <c r="F88" i="79" l="1"/>
  <c r="F87" i="79"/>
  <c r="F86" i="79"/>
  <c r="F85" i="79"/>
  <c r="C85" i="79"/>
  <c r="F84" i="79"/>
  <c r="F83" i="79"/>
  <c r="F82" i="79"/>
  <c r="F81" i="79"/>
  <c r="E80" i="79"/>
  <c r="D80" i="79"/>
  <c r="C80" i="79"/>
  <c r="C79" i="79"/>
  <c r="F79" i="79" s="1"/>
  <c r="E78" i="79"/>
  <c r="D78" i="79"/>
  <c r="C78" i="79"/>
  <c r="E77" i="79"/>
  <c r="D77" i="79"/>
  <c r="C77" i="79"/>
  <c r="E76" i="79"/>
  <c r="D76" i="79"/>
  <c r="C76" i="79"/>
  <c r="C75" i="79"/>
  <c r="F75" i="79" s="1"/>
  <c r="E74" i="79"/>
  <c r="D74" i="79"/>
  <c r="C74" i="79"/>
  <c r="C73" i="79"/>
  <c r="F73" i="79" s="1"/>
  <c r="C72" i="79"/>
  <c r="F72" i="79" s="1"/>
  <c r="E71" i="79"/>
  <c r="D71" i="79"/>
  <c r="C71" i="79"/>
  <c r="E70" i="79"/>
  <c r="D70" i="79"/>
  <c r="C70" i="79"/>
  <c r="E69" i="79"/>
  <c r="D69" i="79"/>
  <c r="C69" i="79"/>
  <c r="E68" i="79"/>
  <c r="D68" i="79"/>
  <c r="C68" i="79"/>
  <c r="E67" i="79"/>
  <c r="D67" i="79"/>
  <c r="C67" i="79"/>
  <c r="E66" i="79"/>
  <c r="D66" i="79"/>
  <c r="C66" i="79"/>
  <c r="E65" i="79"/>
  <c r="D65" i="79"/>
  <c r="C65" i="79"/>
  <c r="E64" i="79"/>
  <c r="D64" i="79"/>
  <c r="C64" i="79"/>
  <c r="E63" i="79"/>
  <c r="D63" i="79"/>
  <c r="C63" i="79"/>
  <c r="E62" i="79"/>
  <c r="D62" i="79"/>
  <c r="C62" i="79"/>
  <c r="E61" i="79"/>
  <c r="D61" i="79"/>
  <c r="C61" i="79"/>
  <c r="E60" i="79"/>
  <c r="D60" i="79"/>
  <c r="C60" i="79"/>
  <c r="E59" i="79"/>
  <c r="D59" i="79"/>
  <c r="C59" i="79"/>
  <c r="E58" i="79"/>
  <c r="D58" i="79"/>
  <c r="C58" i="79"/>
  <c r="C57" i="79"/>
  <c r="F57" i="79" s="1"/>
  <c r="C56" i="79"/>
  <c r="F56" i="79" s="1"/>
  <c r="C55" i="79"/>
  <c r="F55" i="79" s="1"/>
  <c r="C54" i="79"/>
  <c r="F54" i="79" s="1"/>
  <c r="C53" i="79"/>
  <c r="F53" i="79" s="1"/>
  <c r="E52" i="79"/>
  <c r="D52" i="79"/>
  <c r="F52" i="79" s="1"/>
  <c r="C52" i="79"/>
  <c r="E51" i="79"/>
  <c r="D51" i="79"/>
  <c r="C51" i="79"/>
  <c r="E50" i="79"/>
  <c r="D50" i="79"/>
  <c r="F50" i="79" s="1"/>
  <c r="C50" i="79"/>
  <c r="E49" i="79"/>
  <c r="D49" i="79"/>
  <c r="C49" i="79"/>
  <c r="E48" i="79"/>
  <c r="D48" i="79"/>
  <c r="F48" i="79" s="1"/>
  <c r="C48" i="79"/>
  <c r="D47" i="79"/>
  <c r="C47" i="79"/>
  <c r="E46" i="79"/>
  <c r="D46" i="79"/>
  <c r="C46" i="79"/>
  <c r="E45" i="79"/>
  <c r="D45" i="79"/>
  <c r="C45" i="79"/>
  <c r="E44" i="79"/>
  <c r="D44" i="79"/>
  <c r="C44" i="79"/>
  <c r="F44" i="79" s="1"/>
  <c r="E43" i="79"/>
  <c r="D43" i="79"/>
  <c r="C43" i="79"/>
  <c r="E42" i="79"/>
  <c r="D42" i="79"/>
  <c r="C42" i="79"/>
  <c r="E41" i="79"/>
  <c r="D41" i="79"/>
  <c r="C41" i="79"/>
  <c r="C40" i="79"/>
  <c r="F40" i="79" s="1"/>
  <c r="E39" i="79"/>
  <c r="D39" i="79"/>
  <c r="C39" i="79"/>
  <c r="C38" i="79"/>
  <c r="F38" i="79" s="1"/>
  <c r="E37" i="79"/>
  <c r="D37" i="79"/>
  <c r="C37" i="79"/>
  <c r="E36" i="79"/>
  <c r="D36" i="79"/>
  <c r="E35" i="79"/>
  <c r="D35" i="79"/>
  <c r="C35" i="79"/>
  <c r="E34" i="79"/>
  <c r="D34" i="79"/>
  <c r="F34" i="79" s="1"/>
  <c r="C34" i="79"/>
  <c r="E33" i="79"/>
  <c r="D33" i="79"/>
  <c r="C33" i="79"/>
  <c r="E32" i="79"/>
  <c r="D32" i="79"/>
  <c r="F32" i="79" s="1"/>
  <c r="C32" i="79"/>
  <c r="E31" i="79"/>
  <c r="D31" i="79"/>
  <c r="C31" i="79"/>
  <c r="E30" i="79"/>
  <c r="C30" i="79"/>
  <c r="F30" i="79" s="1"/>
  <c r="C29" i="79"/>
  <c r="F29" i="79" s="1"/>
  <c r="E28" i="79"/>
  <c r="D28" i="79"/>
  <c r="C28" i="79"/>
  <c r="F28" i="79" s="1"/>
  <c r="C27" i="79"/>
  <c r="F27" i="79" s="1"/>
  <c r="E26" i="79"/>
  <c r="D26" i="79"/>
  <c r="C26" i="79"/>
  <c r="F26" i="79" s="1"/>
  <c r="E25" i="79"/>
  <c r="D25" i="79"/>
  <c r="C25" i="79"/>
  <c r="E24" i="79"/>
  <c r="D24" i="79"/>
  <c r="C24" i="79"/>
  <c r="E23" i="79"/>
  <c r="D23" i="79"/>
  <c r="C23" i="79"/>
  <c r="E22" i="79"/>
  <c r="D22" i="79"/>
  <c r="C22" i="79"/>
  <c r="F22" i="79" s="1"/>
  <c r="E21" i="79"/>
  <c r="D21" i="79"/>
  <c r="C21" i="79"/>
  <c r="E20" i="79"/>
  <c r="D20" i="79"/>
  <c r="C20" i="79"/>
  <c r="E19" i="79"/>
  <c r="D19" i="79"/>
  <c r="C19" i="79"/>
  <c r="E18" i="79"/>
  <c r="D18" i="79"/>
  <c r="C18" i="79"/>
  <c r="F18" i="79" s="1"/>
  <c r="E17" i="79"/>
  <c r="D17" i="79"/>
  <c r="C17" i="79"/>
  <c r="C16" i="79"/>
  <c r="F16" i="79" s="1"/>
  <c r="D15" i="79"/>
  <c r="C15" i="79"/>
  <c r="F15" i="79" s="1"/>
  <c r="D14" i="79"/>
  <c r="C14" i="79"/>
  <c r="F14" i="79" s="1"/>
  <c r="E13" i="79"/>
  <c r="D13" i="79"/>
  <c r="C13" i="79"/>
  <c r="E12" i="79"/>
  <c r="D12" i="79"/>
  <c r="C12" i="79"/>
  <c r="E11" i="79"/>
  <c r="D11" i="79"/>
  <c r="C11" i="79"/>
  <c r="E10" i="79"/>
  <c r="D10" i="79"/>
  <c r="C10" i="79"/>
  <c r="F10" i="79" s="1"/>
  <c r="E9" i="79"/>
  <c r="D9" i="79"/>
  <c r="C9" i="79"/>
  <c r="E8" i="79"/>
  <c r="D8" i="79"/>
  <c r="C8" i="79"/>
  <c r="E7" i="79"/>
  <c r="D7" i="79"/>
  <c r="C7" i="79"/>
  <c r="E6" i="79"/>
  <c r="D6" i="79"/>
  <c r="C6" i="79"/>
  <c r="F6" i="79" s="1"/>
  <c r="E5" i="79"/>
  <c r="D5" i="79"/>
  <c r="C5" i="79"/>
  <c r="D89" i="79" l="1"/>
  <c r="F8" i="79"/>
  <c r="F12" i="79"/>
  <c r="F20" i="79"/>
  <c r="F24" i="79"/>
  <c r="F42" i="79"/>
  <c r="F46" i="79"/>
  <c r="F59" i="79"/>
  <c r="F63" i="79"/>
  <c r="F67" i="79"/>
  <c r="F71" i="79"/>
  <c r="F78" i="79"/>
  <c r="F61" i="79"/>
  <c r="F65" i="79"/>
  <c r="F69" i="79"/>
  <c r="F76" i="79"/>
  <c r="F5" i="79"/>
  <c r="E89" i="79"/>
  <c r="F7" i="79"/>
  <c r="F89" i="79" s="1"/>
  <c r="F9" i="79"/>
  <c r="F11" i="79"/>
  <c r="F13" i="79"/>
  <c r="F17" i="79"/>
  <c r="F19" i="79"/>
  <c r="F21" i="79"/>
  <c r="F23" i="79"/>
  <c r="F25" i="79"/>
  <c r="F31" i="79"/>
  <c r="F33" i="79"/>
  <c r="F35" i="79"/>
  <c r="F36" i="79"/>
  <c r="F37" i="79"/>
  <c r="F39" i="79"/>
  <c r="F41" i="79"/>
  <c r="F43" i="79"/>
  <c r="F45" i="79"/>
  <c r="F47" i="79"/>
  <c r="F49" i="79"/>
  <c r="F51" i="79"/>
  <c r="F58" i="79"/>
  <c r="F60" i="79"/>
  <c r="F62" i="79"/>
  <c r="F64" i="79"/>
  <c r="F66" i="79"/>
  <c r="F68" i="79"/>
  <c r="F70" i="79"/>
  <c r="F74" i="79"/>
  <c r="F77" i="79"/>
  <c r="F80" i="79"/>
  <c r="C89" i="79"/>
  <c r="L30" i="84" l="1"/>
  <c r="J30" i="84"/>
  <c r="P29" i="84"/>
  <c r="N29" i="84"/>
  <c r="Q29" i="84" s="1"/>
  <c r="I29" i="84"/>
  <c r="K29" i="84" s="1"/>
  <c r="Q28" i="84"/>
  <c r="I28" i="84"/>
  <c r="K28" i="84" s="1"/>
  <c r="P27" i="84"/>
  <c r="O27" i="84"/>
  <c r="I27" i="84"/>
  <c r="K27" i="84" s="1"/>
  <c r="Q26" i="84"/>
  <c r="I26" i="84"/>
  <c r="K26" i="84" s="1"/>
  <c r="R26" i="84" s="1"/>
  <c r="Q25" i="84"/>
  <c r="H25" i="84"/>
  <c r="H30" i="84" s="1"/>
  <c r="G25" i="84"/>
  <c r="G30" i="84" s="1"/>
  <c r="F25" i="84"/>
  <c r="F30" i="84" s="1"/>
  <c r="E25" i="84"/>
  <c r="D25" i="84"/>
  <c r="C25" i="84"/>
  <c r="C30" i="84" s="1"/>
  <c r="Q24" i="84"/>
  <c r="I24" i="84"/>
  <c r="K24" i="84" s="1"/>
  <c r="P23" i="84"/>
  <c r="O23" i="84"/>
  <c r="N23" i="84"/>
  <c r="I23" i="84"/>
  <c r="K23" i="84" s="1"/>
  <c r="Q22" i="84"/>
  <c r="E22" i="84"/>
  <c r="E30" i="84" s="1"/>
  <c r="D22" i="84"/>
  <c r="Q21" i="84"/>
  <c r="M21" i="84"/>
  <c r="I21" i="84"/>
  <c r="K21" i="84" s="1"/>
  <c r="R21" i="84" s="1"/>
  <c r="Q20" i="84"/>
  <c r="M20" i="84"/>
  <c r="I20" i="84"/>
  <c r="K20" i="84" s="1"/>
  <c r="P19" i="84"/>
  <c r="O19" i="84"/>
  <c r="Q19" i="84" s="1"/>
  <c r="I19" i="84"/>
  <c r="K19" i="84" s="1"/>
  <c r="P18" i="84"/>
  <c r="O18" i="84"/>
  <c r="N18" i="84"/>
  <c r="I18" i="84"/>
  <c r="K18" i="84" s="1"/>
  <c r="P17" i="84"/>
  <c r="O17" i="84"/>
  <c r="N17" i="84"/>
  <c r="K17" i="84"/>
  <c r="I17" i="84"/>
  <c r="P16" i="84"/>
  <c r="O16" i="84"/>
  <c r="N16" i="84"/>
  <c r="I16" i="84"/>
  <c r="K16" i="84" s="1"/>
  <c r="P15" i="84"/>
  <c r="O15" i="84"/>
  <c r="N15" i="84"/>
  <c r="I15" i="84"/>
  <c r="K15" i="84" s="1"/>
  <c r="P14" i="84"/>
  <c r="O14" i="84"/>
  <c r="Q14" i="84" s="1"/>
  <c r="I14" i="84"/>
  <c r="K14" i="84" s="1"/>
  <c r="P13" i="84"/>
  <c r="O13" i="84"/>
  <c r="N13" i="84"/>
  <c r="I13" i="84"/>
  <c r="K13" i="84" s="1"/>
  <c r="P12" i="84"/>
  <c r="O12" i="84"/>
  <c r="N12" i="84"/>
  <c r="K12" i="84"/>
  <c r="I12" i="84"/>
  <c r="P11" i="84"/>
  <c r="O11" i="84"/>
  <c r="N11" i="84"/>
  <c r="I11" i="84"/>
  <c r="K11" i="84" s="1"/>
  <c r="P10" i="84"/>
  <c r="O10" i="84"/>
  <c r="I10" i="84"/>
  <c r="K10" i="84" s="1"/>
  <c r="P9" i="84"/>
  <c r="O9" i="84"/>
  <c r="Q9" i="84" s="1"/>
  <c r="I9" i="84"/>
  <c r="K9" i="84" s="1"/>
  <c r="Q8" i="84"/>
  <c r="I8" i="84"/>
  <c r="P7" i="84"/>
  <c r="O7" i="84"/>
  <c r="N7" i="84"/>
  <c r="I7" i="84"/>
  <c r="K7" i="84" s="1"/>
  <c r="P6" i="84"/>
  <c r="O6" i="84"/>
  <c r="I6" i="84"/>
  <c r="K6" i="84" s="1"/>
  <c r="Q17" i="84" l="1"/>
  <c r="R20" i="84"/>
  <c r="Q12" i="84"/>
  <c r="R12" i="84" s="1"/>
  <c r="N30" i="84"/>
  <c r="Q11" i="84"/>
  <c r="R14" i="84"/>
  <c r="Q16" i="84"/>
  <c r="R16" i="84" s="1"/>
  <c r="R17" i="84"/>
  <c r="R19" i="84"/>
  <c r="P30" i="84"/>
  <c r="O30" i="84"/>
  <c r="R9" i="84"/>
  <c r="Q10" i="84"/>
  <c r="R11" i="84"/>
  <c r="Q13" i="84"/>
  <c r="Q15" i="84"/>
  <c r="R15" i="84" s="1"/>
  <c r="Q18" i="84"/>
  <c r="R18" i="84" s="1"/>
  <c r="M30" i="84"/>
  <c r="D30" i="84"/>
  <c r="Q23" i="84"/>
  <c r="R23" i="84" s="1"/>
  <c r="R24" i="84"/>
  <c r="Q27" i="84"/>
  <c r="R28" i="84"/>
  <c r="R29" i="84"/>
  <c r="K8" i="84"/>
  <c r="R8" i="84" s="1"/>
  <c r="Q6" i="84"/>
  <c r="Q7" i="84"/>
  <c r="R7" i="84" s="1"/>
  <c r="R10" i="84"/>
  <c r="R13" i="84"/>
  <c r="R27" i="84"/>
  <c r="I25" i="84"/>
  <c r="K25" i="84" s="1"/>
  <c r="R25" i="84" s="1"/>
  <c r="I22" i="84"/>
  <c r="K22" i="84" s="1"/>
  <c r="R22" i="84" s="1"/>
  <c r="Q30" i="84" l="1"/>
  <c r="R6" i="84"/>
  <c r="R30" i="84" s="1"/>
  <c r="I30" i="84"/>
  <c r="K30" i="84"/>
  <c r="B15" i="81" l="1"/>
  <c r="C49" i="78" l="1"/>
  <c r="H48" i="78"/>
  <c r="K48" i="78" s="1"/>
  <c r="G48" i="78"/>
  <c r="K47" i="78"/>
  <c r="G47" i="78"/>
  <c r="L47" i="78" s="1"/>
  <c r="J46" i="78"/>
  <c r="I46" i="78"/>
  <c r="H46" i="78"/>
  <c r="F46" i="78"/>
  <c r="E46" i="78"/>
  <c r="D46" i="78"/>
  <c r="G46" i="78" s="1"/>
  <c r="K45" i="78"/>
  <c r="G45" i="78"/>
  <c r="L45" i="78" s="1"/>
  <c r="K44" i="78"/>
  <c r="G44" i="78"/>
  <c r="L44" i="78" s="1"/>
  <c r="K43" i="78"/>
  <c r="G43" i="78"/>
  <c r="L43" i="78" s="1"/>
  <c r="K42" i="78"/>
  <c r="F42" i="78"/>
  <c r="D42" i="78"/>
  <c r="K41" i="78"/>
  <c r="D41" i="78"/>
  <c r="G41" i="78" s="1"/>
  <c r="K40" i="78"/>
  <c r="G40" i="78"/>
  <c r="K39" i="78"/>
  <c r="D39" i="78"/>
  <c r="G39" i="78" s="1"/>
  <c r="J38" i="78"/>
  <c r="H38" i="78"/>
  <c r="E38" i="78"/>
  <c r="D38" i="78"/>
  <c r="K37" i="78"/>
  <c r="D37" i="78"/>
  <c r="G37" i="78" s="1"/>
  <c r="K36" i="78"/>
  <c r="E36" i="78"/>
  <c r="D36" i="78"/>
  <c r="G36" i="78" s="1"/>
  <c r="L36" i="78" s="1"/>
  <c r="K35" i="78"/>
  <c r="E35" i="78"/>
  <c r="D35" i="78"/>
  <c r="K34" i="78"/>
  <c r="E34" i="78"/>
  <c r="D34" i="78"/>
  <c r="G34" i="78" s="1"/>
  <c r="K33" i="78"/>
  <c r="G33" i="78"/>
  <c r="L33" i="78" s="1"/>
  <c r="K32" i="78"/>
  <c r="G32" i="78"/>
  <c r="L32" i="78" s="1"/>
  <c r="K31" i="78"/>
  <c r="F31" i="78"/>
  <c r="E31" i="78"/>
  <c r="D31" i="78"/>
  <c r="K30" i="78"/>
  <c r="G30" i="78"/>
  <c r="L30" i="78" s="1"/>
  <c r="H29" i="78"/>
  <c r="K29" i="78" s="1"/>
  <c r="E29" i="78"/>
  <c r="D29" i="78"/>
  <c r="I28" i="78"/>
  <c r="H28" i="78"/>
  <c r="G28" i="78"/>
  <c r="K27" i="78"/>
  <c r="G27" i="78"/>
  <c r="L27" i="78" s="1"/>
  <c r="K26" i="78"/>
  <c r="G26" i="78"/>
  <c r="L26" i="78" s="1"/>
  <c r="J25" i="78"/>
  <c r="I25" i="78"/>
  <c r="I49" i="78" s="1"/>
  <c r="H25" i="78"/>
  <c r="G25" i="78"/>
  <c r="H24" i="78"/>
  <c r="H49" i="78" s="1"/>
  <c r="G24" i="78"/>
  <c r="K23" i="78"/>
  <c r="G23" i="78"/>
  <c r="K22" i="78"/>
  <c r="D22" i="78"/>
  <c r="G22" i="78" s="1"/>
  <c r="L22" i="78" s="1"/>
  <c r="K21" i="78"/>
  <c r="D21" i="78"/>
  <c r="G21" i="78" s="1"/>
  <c r="L21" i="78" s="1"/>
  <c r="K20" i="78"/>
  <c r="G20" i="78"/>
  <c r="K19" i="78"/>
  <c r="G19" i="78"/>
  <c r="K18" i="78"/>
  <c r="D18" i="78"/>
  <c r="G18" i="78" s="1"/>
  <c r="K17" i="78"/>
  <c r="G17" i="78"/>
  <c r="L17" i="78" s="1"/>
  <c r="K16" i="78"/>
  <c r="G16" i="78"/>
  <c r="K15" i="78"/>
  <c r="D15" i="78"/>
  <c r="G15" i="78" s="1"/>
  <c r="L15" i="78" s="1"/>
  <c r="K14" i="78"/>
  <c r="F14" i="78"/>
  <c r="E14" i="78"/>
  <c r="G14" i="78" s="1"/>
  <c r="L14" i="78" s="1"/>
  <c r="K13" i="78"/>
  <c r="G13" i="78"/>
  <c r="K12" i="78"/>
  <c r="G12" i="78"/>
  <c r="L12" i="78" s="1"/>
  <c r="K11" i="78"/>
  <c r="G11" i="78"/>
  <c r="K10" i="78"/>
  <c r="G10" i="78"/>
  <c r="L10" i="78" s="1"/>
  <c r="K9" i="78"/>
  <c r="D9" i="78"/>
  <c r="K8" i="78"/>
  <c r="G8" i="78"/>
  <c r="L8" i="78" s="1"/>
  <c r="K7" i="78"/>
  <c r="G7" i="78"/>
  <c r="K6" i="78"/>
  <c r="G6" i="78"/>
  <c r="L6" i="78" s="1"/>
  <c r="K5" i="78"/>
  <c r="G5" i="78"/>
  <c r="G31" i="78" l="1"/>
  <c r="L31" i="78" s="1"/>
  <c r="L34" i="78"/>
  <c r="L48" i="78"/>
  <c r="L5" i="78"/>
  <c r="L7" i="78"/>
  <c r="D49" i="78"/>
  <c r="L11" i="78"/>
  <c r="L13" i="78"/>
  <c r="L16" i="78"/>
  <c r="L18" i="78"/>
  <c r="F49" i="78"/>
  <c r="L19" i="78"/>
  <c r="L20" i="78"/>
  <c r="L23" i="78"/>
  <c r="K24" i="78"/>
  <c r="L24" i="78" s="1"/>
  <c r="K25" i="78"/>
  <c r="L25" i="78" s="1"/>
  <c r="J49" i="78"/>
  <c r="K28" i="78"/>
  <c r="G29" i="78"/>
  <c r="L29" i="78" s="1"/>
  <c r="G35" i="78"/>
  <c r="L35" i="78" s="1"/>
  <c r="L37" i="78"/>
  <c r="G38" i="78"/>
  <c r="K38" i="78"/>
  <c r="L39" i="78"/>
  <c r="L40" i="78"/>
  <c r="L41" i="78"/>
  <c r="G42" i="78"/>
  <c r="L42" i="78" s="1"/>
  <c r="K46" i="78"/>
  <c r="L46" i="78" s="1"/>
  <c r="L28" i="78"/>
  <c r="G9" i="78"/>
  <c r="L9" i="78" s="1"/>
  <c r="E49" i="78"/>
  <c r="G49" i="78" l="1"/>
  <c r="K49" i="78"/>
  <c r="L38" i="78"/>
  <c r="L49" i="78" s="1"/>
  <c r="AA80" i="75" l="1"/>
  <c r="AC80" i="75" s="1"/>
  <c r="AA79" i="75"/>
  <c r="AB78" i="75"/>
  <c r="Y78" i="75"/>
  <c r="X78" i="75"/>
  <c r="W78" i="75"/>
  <c r="V78" i="75"/>
  <c r="U78" i="75"/>
  <c r="T78" i="75"/>
  <c r="S78" i="75"/>
  <c r="R78" i="75"/>
  <c r="Q78" i="75"/>
  <c r="P78" i="75"/>
  <c r="O78" i="75"/>
  <c r="N78" i="75"/>
  <c r="M78" i="75"/>
  <c r="L78" i="75"/>
  <c r="K78" i="75"/>
  <c r="J78" i="75"/>
  <c r="I78" i="75"/>
  <c r="H78" i="75"/>
  <c r="G78" i="75"/>
  <c r="F78" i="75"/>
  <c r="E78" i="75"/>
  <c r="D78" i="75"/>
  <c r="C78" i="75"/>
  <c r="AA77" i="75"/>
  <c r="AB76" i="75"/>
  <c r="Y76" i="75"/>
  <c r="X76" i="75"/>
  <c r="W76" i="75"/>
  <c r="V76" i="75"/>
  <c r="U76" i="75"/>
  <c r="T76" i="75"/>
  <c r="S76" i="75"/>
  <c r="R76" i="75"/>
  <c r="Q76" i="75"/>
  <c r="P76" i="75"/>
  <c r="O76" i="75"/>
  <c r="N76" i="75"/>
  <c r="M76" i="75"/>
  <c r="L76" i="75"/>
  <c r="K76" i="75"/>
  <c r="J76" i="75"/>
  <c r="I76" i="75"/>
  <c r="H76" i="75"/>
  <c r="G76" i="75"/>
  <c r="F76" i="75"/>
  <c r="E76" i="75"/>
  <c r="D76" i="75"/>
  <c r="C76" i="75"/>
  <c r="AA75" i="75"/>
  <c r="AC75" i="75" s="1"/>
  <c r="AA74" i="75"/>
  <c r="AB73" i="75"/>
  <c r="Y73" i="75"/>
  <c r="X73" i="75"/>
  <c r="W73" i="75"/>
  <c r="V73" i="75"/>
  <c r="U73" i="75"/>
  <c r="T73" i="75"/>
  <c r="S73" i="75"/>
  <c r="R73" i="75"/>
  <c r="Q73" i="75"/>
  <c r="P73" i="75"/>
  <c r="O73" i="75"/>
  <c r="N73" i="75"/>
  <c r="M73" i="75"/>
  <c r="L73" i="75"/>
  <c r="K73" i="75"/>
  <c r="J73" i="75"/>
  <c r="I73" i="75"/>
  <c r="H73" i="75"/>
  <c r="G73" i="75"/>
  <c r="F73" i="75"/>
  <c r="E73" i="75"/>
  <c r="D73" i="75"/>
  <c r="C73" i="75"/>
  <c r="AA72" i="75"/>
  <c r="AC72" i="75" s="1"/>
  <c r="AA71" i="75"/>
  <c r="AC71" i="75" s="1"/>
  <c r="W70" i="75"/>
  <c r="W66" i="75" s="1"/>
  <c r="S70" i="75"/>
  <c r="S69" i="75"/>
  <c r="P69" i="75"/>
  <c r="AA68" i="75"/>
  <c r="AC68" i="75" s="1"/>
  <c r="AA67" i="75"/>
  <c r="AC67" i="75" s="1"/>
  <c r="AB66" i="75"/>
  <c r="Y66" i="75"/>
  <c r="X66" i="75"/>
  <c r="V66" i="75"/>
  <c r="U66" i="75"/>
  <c r="T66" i="75"/>
  <c r="R66" i="75"/>
  <c r="Q66" i="75"/>
  <c r="O66" i="75"/>
  <c r="N66" i="75"/>
  <c r="M66" i="75"/>
  <c r="L66" i="75"/>
  <c r="K66" i="75"/>
  <c r="J66" i="75"/>
  <c r="I66" i="75"/>
  <c r="H66" i="75"/>
  <c r="G66" i="75"/>
  <c r="F66" i="75"/>
  <c r="E66" i="75"/>
  <c r="D66" i="75"/>
  <c r="C66" i="75"/>
  <c r="AA65" i="75"/>
  <c r="AC65" i="75" s="1"/>
  <c r="AA64" i="75"/>
  <c r="AB63" i="75"/>
  <c r="Y63" i="75"/>
  <c r="X63" i="75"/>
  <c r="W63" i="75"/>
  <c r="V63" i="75"/>
  <c r="U63" i="75"/>
  <c r="T63" i="75"/>
  <c r="S63" i="75"/>
  <c r="R63" i="75"/>
  <c r="Q63" i="75"/>
  <c r="P63" i="75"/>
  <c r="O63" i="75"/>
  <c r="N63" i="75"/>
  <c r="M63" i="75"/>
  <c r="L63" i="75"/>
  <c r="K63" i="75"/>
  <c r="J63" i="75"/>
  <c r="I63" i="75"/>
  <c r="H63" i="75"/>
  <c r="G63" i="75"/>
  <c r="F63" i="75"/>
  <c r="E63" i="75"/>
  <c r="D63" i="75"/>
  <c r="C63" i="75"/>
  <c r="AA61" i="75"/>
  <c r="AC61" i="75" s="1"/>
  <c r="AA60" i="75"/>
  <c r="AC60" i="75" s="1"/>
  <c r="S59" i="75"/>
  <c r="J58" i="75"/>
  <c r="E58" i="75"/>
  <c r="X57" i="75"/>
  <c r="S57" i="75"/>
  <c r="Q57" i="75"/>
  <c r="Q51" i="75" s="1"/>
  <c r="J57" i="75"/>
  <c r="E57" i="75"/>
  <c r="X56" i="75"/>
  <c r="W56" i="75"/>
  <c r="S56" i="75"/>
  <c r="E56" i="75"/>
  <c r="X55" i="75"/>
  <c r="W55" i="75"/>
  <c r="S55" i="75"/>
  <c r="J55" i="75"/>
  <c r="E55" i="75"/>
  <c r="X54" i="75"/>
  <c r="W54" i="75"/>
  <c r="S54" i="75"/>
  <c r="E54" i="75"/>
  <c r="X53" i="75"/>
  <c r="W53" i="75"/>
  <c r="S53" i="75"/>
  <c r="E53" i="75"/>
  <c r="X52" i="75"/>
  <c r="W52" i="75"/>
  <c r="S52" i="75"/>
  <c r="E52" i="75"/>
  <c r="AB51" i="75"/>
  <c r="Y51" i="75"/>
  <c r="V51" i="75"/>
  <c r="U51" i="75"/>
  <c r="T51" i="75"/>
  <c r="R51" i="75"/>
  <c r="P51" i="75"/>
  <c r="O51" i="75"/>
  <c r="N51" i="75"/>
  <c r="M51" i="75"/>
  <c r="L51" i="75"/>
  <c r="K51" i="75"/>
  <c r="I51" i="75"/>
  <c r="H51" i="75"/>
  <c r="G51" i="75"/>
  <c r="F51" i="75"/>
  <c r="D51" i="75"/>
  <c r="C51" i="75"/>
  <c r="O50" i="75"/>
  <c r="O49" i="75" s="1"/>
  <c r="C50" i="75"/>
  <c r="C49" i="75" s="1"/>
  <c r="AB49" i="75"/>
  <c r="Y49" i="75"/>
  <c r="X49" i="75"/>
  <c r="W49" i="75"/>
  <c r="V49" i="75"/>
  <c r="U49" i="75"/>
  <c r="T49" i="75"/>
  <c r="S49" i="75"/>
  <c r="R49" i="75"/>
  <c r="Q49" i="75"/>
  <c r="P49" i="75"/>
  <c r="N49" i="75"/>
  <c r="M49" i="75"/>
  <c r="L49" i="75"/>
  <c r="K49" i="75"/>
  <c r="J49" i="75"/>
  <c r="I49" i="75"/>
  <c r="H49" i="75"/>
  <c r="G49" i="75"/>
  <c r="F49" i="75"/>
  <c r="E49" i="75"/>
  <c r="D49" i="75"/>
  <c r="AA48" i="75"/>
  <c r="AC48" i="75" s="1"/>
  <c r="AA47" i="75"/>
  <c r="AC47" i="75" s="1"/>
  <c r="F46" i="75"/>
  <c r="AB45" i="75"/>
  <c r="Y45" i="75"/>
  <c r="X45" i="75"/>
  <c r="W45" i="75"/>
  <c r="V45" i="75"/>
  <c r="U45" i="75"/>
  <c r="T45" i="75"/>
  <c r="S45" i="75"/>
  <c r="R45" i="75"/>
  <c r="Q45" i="75"/>
  <c r="P45" i="75"/>
  <c r="O45" i="75"/>
  <c r="N45" i="75"/>
  <c r="M45" i="75"/>
  <c r="L45" i="75"/>
  <c r="K45" i="75"/>
  <c r="J45" i="75"/>
  <c r="I45" i="75"/>
  <c r="H45" i="75"/>
  <c r="G45" i="75"/>
  <c r="E45" i="75"/>
  <c r="D45" i="75"/>
  <c r="C45" i="75"/>
  <c r="AA44" i="75"/>
  <c r="AC44" i="75" s="1"/>
  <c r="AA43" i="75"/>
  <c r="AC43" i="75" s="1"/>
  <c r="AB42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C42" i="75"/>
  <c r="AA41" i="75"/>
  <c r="AC41" i="75" s="1"/>
  <c r="AA40" i="75"/>
  <c r="AC40" i="75" s="1"/>
  <c r="AB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9" i="75"/>
  <c r="AA38" i="75"/>
  <c r="AC38" i="75" s="1"/>
  <c r="AA37" i="75"/>
  <c r="AC37" i="75" s="1"/>
  <c r="AA36" i="75"/>
  <c r="AC36" i="75" s="1"/>
  <c r="AA34" i="75"/>
  <c r="AC34" i="75" s="1"/>
  <c r="W33" i="75"/>
  <c r="C33" i="75"/>
  <c r="AB32" i="75"/>
  <c r="Y32" i="75"/>
  <c r="X32" i="75"/>
  <c r="V32" i="75"/>
  <c r="U32" i="75"/>
  <c r="T32" i="75"/>
  <c r="S32" i="75"/>
  <c r="R32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G31" i="75"/>
  <c r="C31" i="75"/>
  <c r="P30" i="75"/>
  <c r="P29" i="75" s="1"/>
  <c r="G30" i="75"/>
  <c r="C30" i="75"/>
  <c r="C29" i="75" s="1"/>
  <c r="AB29" i="75"/>
  <c r="Y29" i="75"/>
  <c r="X29" i="75"/>
  <c r="W29" i="75"/>
  <c r="V29" i="75"/>
  <c r="U29" i="75"/>
  <c r="T29" i="75"/>
  <c r="S29" i="75"/>
  <c r="R29" i="75"/>
  <c r="Q29" i="75"/>
  <c r="O29" i="75"/>
  <c r="N29" i="75"/>
  <c r="M29" i="75"/>
  <c r="L29" i="75"/>
  <c r="K29" i="75"/>
  <c r="J29" i="75"/>
  <c r="I29" i="75"/>
  <c r="H29" i="75"/>
  <c r="F29" i="75"/>
  <c r="E29" i="75"/>
  <c r="D29" i="75"/>
  <c r="AA28" i="75"/>
  <c r="AC28" i="75" s="1"/>
  <c r="T27" i="75"/>
  <c r="AA27" i="75" s="1"/>
  <c r="AC27" i="75" s="1"/>
  <c r="AA26" i="75"/>
  <c r="AC26" i="75" s="1"/>
  <c r="AA25" i="75"/>
  <c r="AC25" i="75" s="1"/>
  <c r="T24" i="75"/>
  <c r="AB22" i="75"/>
  <c r="Y22" i="75"/>
  <c r="X22" i="75"/>
  <c r="W22" i="75"/>
  <c r="V22" i="75"/>
  <c r="U22" i="75"/>
  <c r="S22" i="75"/>
  <c r="R22" i="75"/>
  <c r="Q22" i="75"/>
  <c r="P22" i="75"/>
  <c r="O22" i="75"/>
  <c r="N22" i="75"/>
  <c r="M22" i="75"/>
  <c r="L22" i="75"/>
  <c r="K22" i="75"/>
  <c r="J22" i="75"/>
  <c r="I22" i="75"/>
  <c r="H22" i="75"/>
  <c r="G22" i="75"/>
  <c r="F22" i="75"/>
  <c r="E22" i="75"/>
  <c r="D22" i="75"/>
  <c r="C22" i="75"/>
  <c r="AA21" i="75"/>
  <c r="AC21" i="75" s="1"/>
  <c r="AA20" i="75"/>
  <c r="AB19" i="75"/>
  <c r="Y19" i="75"/>
  <c r="X19" i="75"/>
  <c r="W19" i="75"/>
  <c r="V19" i="75"/>
  <c r="U19" i="75"/>
  <c r="T19" i="75"/>
  <c r="S19" i="75"/>
  <c r="R19" i="75"/>
  <c r="Q19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AA18" i="75"/>
  <c r="AB17" i="75"/>
  <c r="Y17" i="75"/>
  <c r="X17" i="75"/>
  <c r="W17" i="75"/>
  <c r="V17" i="75"/>
  <c r="U17" i="75"/>
  <c r="T17" i="75"/>
  <c r="S17" i="75"/>
  <c r="R17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F16" i="75"/>
  <c r="AA16" i="75" s="1"/>
  <c r="AB15" i="75"/>
  <c r="Y15" i="75"/>
  <c r="X15" i="75"/>
  <c r="W15" i="75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AA14" i="75"/>
  <c r="AC14" i="75" s="1"/>
  <c r="O13" i="75"/>
  <c r="O12" i="75" s="1"/>
  <c r="F13" i="75"/>
  <c r="C13" i="75"/>
  <c r="C12" i="75" s="1"/>
  <c r="AB12" i="75"/>
  <c r="Y12" i="75"/>
  <c r="X12" i="75"/>
  <c r="W12" i="75"/>
  <c r="V12" i="75"/>
  <c r="U12" i="75"/>
  <c r="T12" i="75"/>
  <c r="S12" i="75"/>
  <c r="R12" i="75"/>
  <c r="Q12" i="75"/>
  <c r="P12" i="75"/>
  <c r="N12" i="75"/>
  <c r="M12" i="75"/>
  <c r="L12" i="75"/>
  <c r="K12" i="75"/>
  <c r="J12" i="75"/>
  <c r="I12" i="75"/>
  <c r="H12" i="75"/>
  <c r="G12" i="75"/>
  <c r="E12" i="75"/>
  <c r="D12" i="75"/>
  <c r="F11" i="75"/>
  <c r="AB10" i="75"/>
  <c r="Y10" i="75"/>
  <c r="X10" i="75"/>
  <c r="W10" i="75"/>
  <c r="V10" i="75"/>
  <c r="U10" i="75"/>
  <c r="T10" i="75"/>
  <c r="S10" i="75"/>
  <c r="R10" i="75"/>
  <c r="Q10" i="75"/>
  <c r="P10" i="75"/>
  <c r="O10" i="75"/>
  <c r="N10" i="75"/>
  <c r="M10" i="75"/>
  <c r="L10" i="75"/>
  <c r="K10" i="75"/>
  <c r="J10" i="75"/>
  <c r="I10" i="75"/>
  <c r="H10" i="75"/>
  <c r="G10" i="75"/>
  <c r="E10" i="75"/>
  <c r="D10" i="75"/>
  <c r="C10" i="75"/>
  <c r="F9" i="75"/>
  <c r="AA8" i="75"/>
  <c r="AC8" i="75" s="1"/>
  <c r="AB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E7" i="75"/>
  <c r="D7" i="75"/>
  <c r="C7" i="75"/>
  <c r="K6" i="75"/>
  <c r="AA5" i="75"/>
  <c r="AB4" i="75"/>
  <c r="Y4" i="75"/>
  <c r="X4" i="75"/>
  <c r="W4" i="75"/>
  <c r="V4" i="75"/>
  <c r="U4" i="75"/>
  <c r="T4" i="75"/>
  <c r="S4" i="75"/>
  <c r="R4" i="75"/>
  <c r="Q4" i="75"/>
  <c r="P4" i="75"/>
  <c r="O4" i="75"/>
  <c r="N4" i="75"/>
  <c r="M4" i="75"/>
  <c r="L4" i="75"/>
  <c r="J4" i="75"/>
  <c r="I4" i="75"/>
  <c r="H4" i="75"/>
  <c r="G4" i="75"/>
  <c r="F4" i="75"/>
  <c r="E4" i="75"/>
  <c r="D4" i="75"/>
  <c r="C4" i="75"/>
  <c r="AA39" i="75" l="1"/>
  <c r="AA42" i="75"/>
  <c r="AB81" i="75"/>
  <c r="L81" i="75"/>
  <c r="N81" i="75"/>
  <c r="R81" i="75"/>
  <c r="Y81" i="75"/>
  <c r="W32" i="75"/>
  <c r="AA46" i="75"/>
  <c r="AA45" i="75" s="1"/>
  <c r="F45" i="75"/>
  <c r="AA9" i="75"/>
  <c r="AC9" i="75" s="1"/>
  <c r="AC7" i="75" s="1"/>
  <c r="F7" i="75"/>
  <c r="AC20" i="75"/>
  <c r="AC19" i="75" s="1"/>
  <c r="AA19" i="75"/>
  <c r="AA24" i="75"/>
  <c r="AC24" i="75" s="1"/>
  <c r="T22" i="75"/>
  <c r="T81" i="75" s="1"/>
  <c r="M81" i="75"/>
  <c r="O81" i="75"/>
  <c r="Q81" i="75"/>
  <c r="S51" i="75"/>
  <c r="AC64" i="75"/>
  <c r="AC63" i="75" s="1"/>
  <c r="AA63" i="75"/>
  <c r="U81" i="75"/>
  <c r="V81" i="75"/>
  <c r="G29" i="75"/>
  <c r="G81" i="75" s="1"/>
  <c r="E51" i="75"/>
  <c r="E81" i="75" s="1"/>
  <c r="AA62" i="75"/>
  <c r="AC62" i="75" s="1"/>
  <c r="AA31" i="75"/>
  <c r="AC31" i="75" s="1"/>
  <c r="P66" i="75"/>
  <c r="P81" i="75" s="1"/>
  <c r="AA23" i="75"/>
  <c r="AC23" i="75" s="1"/>
  <c r="AA33" i="75"/>
  <c r="AC33" i="75" s="1"/>
  <c r="C32" i="75"/>
  <c r="C81" i="75" s="1"/>
  <c r="AA35" i="75"/>
  <c r="AC35" i="75" s="1"/>
  <c r="AC77" i="75"/>
  <c r="AC76" i="75" s="1"/>
  <c r="AA76" i="75"/>
  <c r="D81" i="75"/>
  <c r="H81" i="75"/>
  <c r="I81" i="75"/>
  <c r="K4" i="75"/>
  <c r="K81" i="75" s="1"/>
  <c r="F12" i="75"/>
  <c r="AC18" i="75"/>
  <c r="AC17" i="75" s="1"/>
  <c r="AA17" i="75"/>
  <c r="X51" i="75"/>
  <c r="X81" i="75" s="1"/>
  <c r="J51" i="75"/>
  <c r="J81" i="75" s="1"/>
  <c r="AA13" i="75"/>
  <c r="AC13" i="75" s="1"/>
  <c r="AC12" i="75" s="1"/>
  <c r="AA30" i="75"/>
  <c r="AC39" i="75"/>
  <c r="AC42" i="75"/>
  <c r="AA50" i="75"/>
  <c r="AA49" i="75" s="1"/>
  <c r="W51" i="75"/>
  <c r="AA59" i="75"/>
  <c r="AC59" i="75" s="1"/>
  <c r="S66" i="75"/>
  <c r="AA53" i="75"/>
  <c r="AC53" i="75" s="1"/>
  <c r="AA56" i="75"/>
  <c r="AC56" i="75" s="1"/>
  <c r="AA58" i="75"/>
  <c r="AC58" i="75" s="1"/>
  <c r="AA70" i="75"/>
  <c r="AC70" i="75" s="1"/>
  <c r="AC5" i="75"/>
  <c r="AA6" i="75"/>
  <c r="AC6" i="75" s="1"/>
  <c r="AA11" i="75"/>
  <c r="AC16" i="75"/>
  <c r="AC15" i="75" s="1"/>
  <c r="AA15" i="75"/>
  <c r="F10" i="75"/>
  <c r="AC46" i="75"/>
  <c r="AC45" i="75" s="1"/>
  <c r="AA52" i="75"/>
  <c r="AA54" i="75"/>
  <c r="AC54" i="75" s="1"/>
  <c r="AA55" i="75"/>
  <c r="AC55" i="75" s="1"/>
  <c r="AC74" i="75"/>
  <c r="AC73" i="75" s="1"/>
  <c r="AA73" i="75"/>
  <c r="AC79" i="75"/>
  <c r="AC78" i="75" s="1"/>
  <c r="AA78" i="75"/>
  <c r="AA57" i="75"/>
  <c r="AC57" i="75" s="1"/>
  <c r="AA69" i="75"/>
  <c r="AA29" i="75" l="1"/>
  <c r="AC50" i="75"/>
  <c r="AC49" i="75" s="1"/>
  <c r="AA12" i="75"/>
  <c r="W81" i="75"/>
  <c r="Z81" i="75"/>
  <c r="AC30" i="75"/>
  <c r="S81" i="75"/>
  <c r="AC32" i="75"/>
  <c r="AA32" i="75"/>
  <c r="AC29" i="75"/>
  <c r="AC22" i="75"/>
  <c r="AA7" i="75"/>
  <c r="AA22" i="75"/>
  <c r="F81" i="75"/>
  <c r="AC4" i="75"/>
  <c r="AA66" i="75"/>
  <c r="AC69" i="75"/>
  <c r="AC66" i="75" s="1"/>
  <c r="AA10" i="75"/>
  <c r="AC11" i="75"/>
  <c r="AC10" i="75" s="1"/>
  <c r="AA4" i="75"/>
  <c r="AC52" i="75"/>
  <c r="AC51" i="75" s="1"/>
  <c r="AA51" i="75"/>
  <c r="AC81" i="75" l="1"/>
  <c r="AA81" i="75"/>
  <c r="C130" i="74" l="1"/>
  <c r="F129" i="74"/>
  <c r="C129" i="74" s="1"/>
  <c r="C128" i="74"/>
  <c r="I127" i="74"/>
  <c r="I131" i="74" s="1"/>
  <c r="H127" i="74"/>
  <c r="H131" i="74" s="1"/>
  <c r="G127" i="74"/>
  <c r="G131" i="74" s="1"/>
  <c r="F127" i="74" l="1"/>
  <c r="F131" i="74" s="1"/>
  <c r="D127" i="74"/>
  <c r="C127" i="74" s="1"/>
  <c r="C131" i="74" s="1"/>
  <c r="E127" i="74"/>
  <c r="E131" i="74" s="1"/>
  <c r="D131" i="74" l="1"/>
</calcChain>
</file>

<file path=xl/comments1.xml><?xml version="1.0" encoding="utf-8"?>
<comments xmlns="http://schemas.openxmlformats.org/spreadsheetml/2006/main">
  <authors>
    <author>Абдуллина Ф.C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Абдуллина Ф.C: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<sst xmlns="http://schemas.openxmlformats.org/spreadsheetml/2006/main" count="1772" uniqueCount="768">
  <si>
    <t>№ п/п</t>
  </si>
  <si>
    <t>ГБУЗ РБ Аскаровская ЦРБ</t>
  </si>
  <si>
    <t>ГБУЗ РБ Раевская ЦРБ</t>
  </si>
  <si>
    <t>ГБУЗ РБ Архангельская ЦРБ</t>
  </si>
  <si>
    <t>ГБУЗ РБ Аскинская ЦРБ</t>
  </si>
  <si>
    <t>ГБУЗ РБ Толбазинская ЦРБ</t>
  </si>
  <si>
    <t>ГБУЗ РБ Баймакская ЦГБ</t>
  </si>
  <si>
    <t>ГБУЗ РБ Бакалинская ЦРБ</t>
  </si>
  <si>
    <t>ГБУЗ РБ Балтачевская ЦРБ</t>
  </si>
  <si>
    <t>ГБУЗ РБ Белебеевская ЦРБ</t>
  </si>
  <si>
    <t>ГБУЗ РБ Белокатайская ЦРБ</t>
  </si>
  <si>
    <t>ГБУЗ РБ Белорецкая ЦРКБ</t>
  </si>
  <si>
    <t>ГБУЗ РБ Бижбулякская ЦРБ</t>
  </si>
  <si>
    <t>ГБУЗ РБ Бирская ЦРБ</t>
  </si>
  <si>
    <t>ГБУЗ РБ Языковская ЦРБ</t>
  </si>
  <si>
    <t>ГБУЗ РБ Благовещенская ЦРБ</t>
  </si>
  <si>
    <t>ГБУЗ РБ Буздякская ЦРБ</t>
  </si>
  <si>
    <t>ГБУЗ РБ Бураевская ЦРБ</t>
  </si>
  <si>
    <t>ГБУЗ РБ Бурзянская ЦРБ</t>
  </si>
  <si>
    <t>ГБУЗ РБ Красноусольская ЦРБ</t>
  </si>
  <si>
    <t>ГБУЗ РБ Давлекановская ЦРБ</t>
  </si>
  <si>
    <t>ГБУЗ РБ Месягутовская ЦРБ</t>
  </si>
  <si>
    <t>ГБУЗ РБ Дюртюлинская ЦРБ</t>
  </si>
  <si>
    <t>ГБУЗ РБ Ермекеевская ЦРБ</t>
  </si>
  <si>
    <t>ГБУЗ РБ Исянгуловская ЦРБ</t>
  </si>
  <si>
    <t>ГБУЗ РБ Зилаирская ЦРБ</t>
  </si>
  <si>
    <t>ГБУЗ РБ Иглинская ЦРБ</t>
  </si>
  <si>
    <t>ГБУЗ РБ Верхнеяркеевская ЦРБ</t>
  </si>
  <si>
    <t>ГБУЗ РБ Ишимбайская ЦРБ</t>
  </si>
  <si>
    <t>ГБУЗ РБ Калтасинская ЦРБ</t>
  </si>
  <si>
    <t>ГБУЗ РБ Караидельская ЦРБ</t>
  </si>
  <si>
    <t>ГБУЗ РБ Кармаскалинская ЦРБ</t>
  </si>
  <si>
    <t>ГБУЗ РБ Кигинская ЦРБ</t>
  </si>
  <si>
    <t>ГБУЗ РБ Краснокамская ЦРБ</t>
  </si>
  <si>
    <t>ГБУЗ РБ Мраковская ЦРБ</t>
  </si>
  <si>
    <t>ГБУЗ РБ Кушнаренковская ЦРБ</t>
  </si>
  <si>
    <t>ГБУЗ РБ ГБ г.Кумертау</t>
  </si>
  <si>
    <t>ГБУЗ РБ Мелеузовская ЦРБ</t>
  </si>
  <si>
    <t>ГБУЗ РБ Большеустьикинская ЦРБ</t>
  </si>
  <si>
    <t>ГБУЗ РБ Мишкинская ЦРБ</t>
  </si>
  <si>
    <t>ГБУЗ РБ Миякинская ЦРБ</t>
  </si>
  <si>
    <t>ГБУЗ РБ Нуримановская ЦРБ</t>
  </si>
  <si>
    <t>ГБУЗ РБ Малоязовская ЦРБ</t>
  </si>
  <si>
    <t>ГБУЗ РБ Стерлибашевская ЦРБ</t>
  </si>
  <si>
    <t>ГБУЗ РБ Верхне-Татышлинская ЦРБ</t>
  </si>
  <si>
    <t>ГБУЗ РБ Туймазинская ЦРБ</t>
  </si>
  <si>
    <t>ГБУЗ РБ Федоровская ЦРБ</t>
  </si>
  <si>
    <t>ГБУЗ РБ Акъярская ЦРБ</t>
  </si>
  <si>
    <t>ГБУЗ РБ Чекмагушевская ЦРБ</t>
  </si>
  <si>
    <t>ГБУЗ РБ Чишминская ЦРБ</t>
  </si>
  <si>
    <t>ГБУЗ РБ Шаранская ЦРБ</t>
  </si>
  <si>
    <t>ГБУЗ РБ Янаульская ЦРБ</t>
  </si>
  <si>
    <t>ГБУЗ РБ ЦГБ г.Сибай</t>
  </si>
  <si>
    <t>ГБУЗ РБ ГБ г.Салават</t>
  </si>
  <si>
    <t>ГБУЗ РБ Городская больница №2 г.Стерлитамак</t>
  </si>
  <si>
    <t>ГБУЗ РБ ГБ №9 г.Уфа</t>
  </si>
  <si>
    <t>ГБУЗ РБ ГКБ №8 г.Уфа</t>
  </si>
  <si>
    <t>ГБУЗ РБ ГКБ №10 г.Уфа</t>
  </si>
  <si>
    <t>ГБУЗ РБ ГБ №12 г.Уфа</t>
  </si>
  <si>
    <t>ГБУЗ РБ ГКБ №13 г.Уфа</t>
  </si>
  <si>
    <t>ГБУЗ РБ ГКБ №5 г.Уфа</t>
  </si>
  <si>
    <t>ГБУЗ РБ ГДКБ №17 г.Уфа</t>
  </si>
  <si>
    <t>ФГБОУ ВО БГМУ Минздрава России</t>
  </si>
  <si>
    <t>ГБУЗ РДКБ</t>
  </si>
  <si>
    <t>ГБУЗ РБ БСМП г.Уфа</t>
  </si>
  <si>
    <t>Медицинская помощь за пределами РБ</t>
  </si>
  <si>
    <t>ГБУЗ РБ ГБ г. Нефтекамск</t>
  </si>
  <si>
    <t>ГБУЗ РБ Городская больница №4 г.Стерлитамак</t>
  </si>
  <si>
    <t>ГБУЗ РБ Детская больница г.Стерлитамак</t>
  </si>
  <si>
    <t>ООО "Медсервис" (г.Салават)</t>
  </si>
  <si>
    <t>ГБУЗ РБ ГБ №1 г. Октябрьский</t>
  </si>
  <si>
    <t>ГБУЗ РБ РД №3 г.Уфа</t>
  </si>
  <si>
    <t>ФКУЗ "МСЧ МВД России по Республике Башкортостан"</t>
  </si>
  <si>
    <t>ООО "МЦ МЕГИ" (г.Уфа)</t>
  </si>
  <si>
    <t>ГБУЗ РКБ им. Г.Г. Куватова</t>
  </si>
  <si>
    <t>ГБУ "УфНИИ ГБ АН РБ"</t>
  </si>
  <si>
    <t>ГБУЗ РКПЦ МЗ РБ</t>
  </si>
  <si>
    <t xml:space="preserve">ГБУЗ РБ ГКБ №21 г.Уфа </t>
  </si>
  <si>
    <t>ГБУЗ РБ Городская инфекционная больница г.Стерлитамак</t>
  </si>
  <si>
    <t>ГАУЗ РКОД  МЗ РБ</t>
  </si>
  <si>
    <t>ГБУЗ РКЦ</t>
  </si>
  <si>
    <t>ГБУЗ РКГВВ</t>
  </si>
  <si>
    <t>Наименование медицинской организации</t>
  </si>
  <si>
    <t>Всего в рамках программы ОМС</t>
  </si>
  <si>
    <t xml:space="preserve">В рамках базовой программы ОМС </t>
  </si>
  <si>
    <t>ЧУЗ "КБ"РЖД - Медицина" г.Уфа"</t>
  </si>
  <si>
    <t>Медицинская помощь, оказываемая в круглосуточных стационарах на 2020 год.</t>
  </si>
  <si>
    <t>Случаи госпитализации</t>
  </si>
  <si>
    <t>ВМП</t>
  </si>
  <si>
    <t xml:space="preserve">в том числе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</si>
  <si>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</si>
  <si>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</si>
  <si>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</si>
  <si>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>ФГБУЗ "МСЧ №142 ФМБА"</t>
  </si>
  <si>
    <t>ГБУЗ РБ ГКБ Дёмского района г.Уфы</t>
  </si>
  <si>
    <t>ООО "Клиника глазных болезней" (г.Уфа)</t>
  </si>
  <si>
    <t>ООО "ММЦ "Клиника аллергологии и педиатрии" (г.Уфа)</t>
  </si>
  <si>
    <t>ООО "ММЦ "Профилактическая медицина" (г.Уфа)</t>
  </si>
  <si>
    <t>ООО "Медицинский центр Семья" (г.Уфа)</t>
  </si>
  <si>
    <t>ООО РКСР "Здоровье нации" (г.Уфа)</t>
  </si>
  <si>
    <t>ООО "Санаторий "Зеленая роща" (г.Уфа)</t>
  </si>
  <si>
    <t xml:space="preserve">ООО санаторий "Юматово" </t>
  </si>
  <si>
    <t>ООО "ЦМТ" (г.Уфа)</t>
  </si>
  <si>
    <t>ФБУН "Уфимский НИИ медицины труда и экологии человека"</t>
  </si>
  <si>
    <t>ООО "МД Проект 2010" (г.Уфа)</t>
  </si>
  <si>
    <t>ФГБУ "ВЦГПХ" Минздрава России</t>
  </si>
  <si>
    <t>ИТОГО</t>
  </si>
  <si>
    <t>№ группы ВМП</t>
  </si>
  <si>
    <t>Норматив финансовых затрат на единицу объема ВМП (руб.)</t>
  </si>
  <si>
    <t xml:space="preserve">Онкология </t>
  </si>
  <si>
    <t>Всего</t>
  </si>
  <si>
    <t>ГАУЗ РКВД №1</t>
  </si>
  <si>
    <t>ГБУЗ РКБ им. Г.Г.Куватова</t>
  </si>
  <si>
    <t>ГАУЗ РКОД МЗ РБ</t>
  </si>
  <si>
    <t>ГБУЗ РБ ГДКБ № 17 г. Уфа</t>
  </si>
  <si>
    <t>ГБУЗ РБ ГКБ №1 г.Стерлитамак</t>
  </si>
  <si>
    <t>ГБУЗ РБ ГКБ №18 г.Уфа</t>
  </si>
  <si>
    <t xml:space="preserve">Подуровень 1А                                                                                                                                                                    </t>
  </si>
  <si>
    <t>ГБУЗ РБ КВД г.Салават</t>
  </si>
  <si>
    <t>ГБУЗ РБ КВД г.Стерлитамак</t>
  </si>
  <si>
    <r>
      <t xml:space="preserve">Обособленное структурное подразделение ГБУЗ РБ ГКБ №13 г.Уфа , ранее именуемое </t>
    </r>
    <r>
      <rPr>
        <b/>
        <sz val="9"/>
        <rFont val="Times New Roman"/>
        <family val="1"/>
        <charset val="204"/>
      </rPr>
      <t>ГБУЗ РБ ГБ №12 г.Уфа</t>
    </r>
  </si>
  <si>
    <r>
      <t xml:space="preserve">Обособленное структурное подразделение ГБУЗ РБ ГБ г.Нефтекамск, ранее именуемое </t>
    </r>
    <r>
      <rPr>
        <b/>
        <sz val="9"/>
        <rFont val="Times New Roman"/>
        <family val="1"/>
        <charset val="204"/>
      </rPr>
      <t>ГБУЗ РБ Агидельская ГБ</t>
    </r>
  </si>
  <si>
    <r>
      <t xml:space="preserve">Обособленное структурное подразделение ГБУЗ РБ ЦГБ города Кумертау, ранее именуемое </t>
    </r>
    <r>
      <rPr>
        <b/>
        <sz val="9"/>
        <rFont val="Times New Roman"/>
        <family val="1"/>
        <charset val="204"/>
      </rPr>
      <t>ГБУЗ РБ Ермолаевская ЦРБ</t>
    </r>
  </si>
  <si>
    <r>
      <t xml:space="preserve">Обособленное структурное подразделение ГБУЗ РБ ГБ №4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</si>
  <si>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Городская больница №2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</si>
  <si>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ГКБ №21 г.Уфа , ранее именуемое </t>
    </r>
    <r>
      <rPr>
        <b/>
        <sz val="9"/>
        <rFont val="Times New Roman"/>
        <family val="1"/>
        <charset val="204"/>
      </rPr>
      <t>ГБУЗ РБ Уфимская ЦРП</t>
    </r>
  </si>
  <si>
    <t xml:space="preserve">Подуровень 1Б                                                                                                                                                                </t>
  </si>
  <si>
    <t xml:space="preserve">Подуровень 2А                                                                                                                                                              </t>
  </si>
  <si>
    <t>ГБУЗ РБ Городская больница №2 г.Стерлитамак (16008)</t>
  </si>
  <si>
    <r>
      <t xml:space="preserve">Обособленное структурное подразделение ГБУЗ РБ ГКБ № 1 города Стерлитамак, ранее именуемого </t>
    </r>
    <r>
      <rPr>
        <b/>
        <sz val="9"/>
        <rFont val="Times New Roman"/>
        <family val="1"/>
        <charset val="204"/>
      </rPr>
      <t>ГБУЗ РБ Городская больница № 2 г.Стерлитамак</t>
    </r>
  </si>
  <si>
    <r>
      <t xml:space="preserve">Обособленное структурное подразделение ГБУЗ РБ ГБ города Салават, ранее именуемое </t>
    </r>
    <r>
      <rPr>
        <b/>
        <sz val="9"/>
        <rFont val="Times New Roman"/>
        <family val="1"/>
        <charset val="204"/>
      </rPr>
      <t>ГБУЗ РБ Детская ГБ города Салават</t>
    </r>
  </si>
  <si>
    <r>
      <t xml:space="preserve">Обособленное структурное подразделение </t>
    </r>
    <r>
      <rPr>
        <b/>
        <sz val="9"/>
        <rFont val="Times New Roman"/>
        <family val="1"/>
        <charset val="204"/>
      </rPr>
      <t>Родильный дом</t>
    </r>
    <r>
      <rPr>
        <sz val="9"/>
        <rFont val="Times New Roman"/>
        <family val="1"/>
        <charset val="204"/>
      </rPr>
      <t xml:space="preserve"> ГБУЗ РБ ГБ г.Салават</t>
    </r>
  </si>
  <si>
    <r>
      <t xml:space="preserve">Обособленное структурное подразделение ГБУЗ Республиканская клиническая инфекционная больница, ранее именуемого </t>
    </r>
    <r>
      <rPr>
        <b/>
        <sz val="9"/>
        <rFont val="Times New Roman"/>
        <family val="1"/>
        <charset val="204"/>
      </rPr>
      <t>ГБУЗ РБ Городская инфекционная больница г.Стерлитамак</t>
    </r>
  </si>
  <si>
    <t xml:space="preserve">Подуровень 2Б                                                                                                                                                                                </t>
  </si>
  <si>
    <t>ГБУЗ РБ Учалинская ЦГБ</t>
  </si>
  <si>
    <t xml:space="preserve">Подуровень 3А                                                                                                                                                   </t>
  </si>
  <si>
    <t xml:space="preserve">Подуровень 3Б                                                                                                                                                                          </t>
  </si>
  <si>
    <t>ГБУЗ РКВД №1</t>
  </si>
  <si>
    <t>ГБУЗ Республиканская клиническая инфекционная больница</t>
  </si>
  <si>
    <t xml:space="preserve">Подуровень 3В                                                                                                                                                        </t>
  </si>
  <si>
    <t xml:space="preserve">Подуровень 3Г                                                                                                                                                                                </t>
  </si>
  <si>
    <t>Резерв</t>
  </si>
  <si>
    <t>НСЗ</t>
  </si>
  <si>
    <t>Объем, перечень видов ВМП, финансовое обеспечение которых осуществляется за счет средств ОМС, установленные Комиссией на 2020 год</t>
  </si>
  <si>
    <t>ГБУЗ РБ ГКБ №21 г. Уфа</t>
  </si>
  <si>
    <t>ГБУ  "УфНИИ ГБ АН РБ"</t>
  </si>
  <si>
    <t>ГБУЗ РБ ГБ №10 г. Уфа</t>
  </si>
  <si>
    <t>ГБУЗ РБ ГБ №13 г. Уфа</t>
  </si>
  <si>
    <t>ГАУЗ РБ ГКБ №18 г. Уфа</t>
  </si>
  <si>
    <t>ГБУЗ РБ РД №3 г. Уфа</t>
  </si>
  <si>
    <t>ГБУЗ ГБ г.Кумертау</t>
  </si>
  <si>
    <t>ГБУЗ РБ ГБ г.Нефтекакмск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</si>
  <si>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</si>
  <si>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</si>
  <si>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</si>
  <si>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</si>
  <si>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</si>
  <si>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ИТОГО без резерва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</si>
  <si>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</si>
  <si>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</si>
  <si>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</si>
  <si>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</si>
  <si>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</si>
  <si>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</si>
  <si>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</si>
  <si>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</si>
  <si>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</si>
  <si>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</si>
  <si>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</si>
  <si>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</si>
  <si>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</si>
  <si>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</si>
  <si>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</si>
  <si>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</si>
  <si>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</si>
  <si>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</si>
  <si>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</si>
  <si>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</si>
  <si>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Объемы оказания медицинской помощи в условиях дневных стационаров на 2020 год.</t>
  </si>
  <si>
    <t>(случаи госпитализации)</t>
  </si>
  <si>
    <t>Наименование учреждения здравоохранения</t>
  </si>
  <si>
    <t>В том числе</t>
  </si>
  <si>
    <t>ВМП  профиль "онкология"</t>
  </si>
  <si>
    <t>в том числе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</si>
  <si>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</si>
  <si>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</si>
  <si>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</si>
  <si>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</si>
  <si>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</si>
  <si>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</si>
  <si>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</si>
  <si>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</si>
  <si>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</si>
  <si>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ГАУЗ РБ Санаторий для детей Нур</t>
  </si>
  <si>
    <t>ГБУЗ РБ ГБ г.Нефтекамск</t>
  </si>
  <si>
    <t>ГБУЗ РБ КБ № 1 г.Стерлитамак</t>
  </si>
  <si>
    <t>Обособленное структурное подразделение ГБУЗ РБ ГКБ №1 г. Стерлитамак, ранее именуемое ГБУЗ РБ ГБ №2 г.Стерлитамак</t>
  </si>
  <si>
    <t>ГБУЗ РБ ГБ №2 г.Стерлитамак</t>
  </si>
  <si>
    <t>ГБУЗ РБ ГБ №2 г.Стерлитамак (реорганизованное)</t>
  </si>
  <si>
    <t>ГБУЗ РБ ГБ №4 г.Стерлитамак</t>
  </si>
  <si>
    <t>ГБУЗ РБ ГБ №1 г.Октябрьский</t>
  </si>
  <si>
    <t>ГБУЗ РБ ГИБ г.Стерлитамак</t>
  </si>
  <si>
    <t>ГБУЗ РБ ДБ г. Стерлитамак</t>
  </si>
  <si>
    <t>ОСП ГБУЗ РБ ГБ г.Нефтекамск, ранее именуемое ГБУЗ РБ Агидельская ГБ</t>
  </si>
  <si>
    <t>ОСП ГБУЗ РБ ЦГБ города Кумертау, ранее именуемое ГБУЗ РБ Ермолаевская ЦРБ</t>
  </si>
  <si>
    <t>ОСП ГБУЗ РБ ГБ города Салават, ранее именуемое ГБУЗ РБ Детская ГБ города Салават</t>
  </si>
  <si>
    <t>ОСП Родильный дом ГБУЗ РБ ГБ г.Салават</t>
  </si>
  <si>
    <t>ОСП ГБУЗ РБ ГБ №4 города Стерлитамак ранее именуемое ГБУЗ РБ Стерлитамакская ЦРП</t>
  </si>
  <si>
    <t>ОСП ГБУЗ РБ ГКБ №21 г.Уфа , ранее именуемое ГБУЗ РБ Уфимская ЦРП</t>
  </si>
  <si>
    <t>ООО «АНЭКО»</t>
  </si>
  <si>
    <t>ООО Еромед-Уфа</t>
  </si>
  <si>
    <t>ООО  "Клиника глазных болезней"</t>
  </si>
  <si>
    <t>ООО "Клиника современной флебологии"</t>
  </si>
  <si>
    <t xml:space="preserve">ООО "Лаборатория гемодиализа" </t>
  </si>
  <si>
    <t>ООО "Медсервис"</t>
  </si>
  <si>
    <t>ООО Медсервис (Верхнеяркеево)</t>
  </si>
  <si>
    <t xml:space="preserve">ООО "МД Проект 2010" </t>
  </si>
  <si>
    <t>ООО "ММЦ "Клиника аллергологии и педиатрии"</t>
  </si>
  <si>
    <t>ООО «МЦ МЕГИ»</t>
  </si>
  <si>
    <t xml:space="preserve">ООО МЦ "Семейный доктор" </t>
  </si>
  <si>
    <t>ООО РКСР Здоровье нации</t>
  </si>
  <si>
    <t>ООО «ЦМТ»</t>
  </si>
  <si>
    <t>ООО "Юхелф"</t>
  </si>
  <si>
    <t>Поликлиника УФИЦ РАН</t>
  </si>
  <si>
    <t>ФГБУЗ "Медико-санитарная часть № 142 Федерального медико-биологического агентства"</t>
  </si>
  <si>
    <t>ЧУЗ "РЖД-Медицина" г.Стерлитамак"</t>
  </si>
  <si>
    <t>ГБУЗ РБ ДП № 2 г.Уфа</t>
  </si>
  <si>
    <t>ГБУЗ РБ ДП № 3 г.Уфа</t>
  </si>
  <si>
    <t>ГБУЗ РБ Детская поликлиника № 4</t>
  </si>
  <si>
    <t>ГБУЗ РБ ДП № 5 г.Уфа</t>
  </si>
  <si>
    <t>ГБУЗ РБ ДП № 6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</si>
  <si>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</si>
  <si>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</si>
  <si>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</si>
  <si>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</si>
  <si>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</si>
  <si>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</si>
  <si>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</si>
  <si>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</si>
  <si>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</si>
  <si>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</si>
  <si>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</si>
  <si>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ГКБ Демского района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</si>
  <si>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</si>
  <si>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</si>
  <si>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</si>
  <si>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</si>
  <si>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ГБ № 12 г. Уфа</t>
  </si>
  <si>
    <t>Обособленное структурное подразделение ГБУЗ РБ ГКБ №13 г.Уфа, ранее именуемое ГБУЗ РБ ГБ №12 г.Уфа</t>
  </si>
  <si>
    <t>ГБУЗ РБ ГКБ № 13 г. Уфа</t>
  </si>
  <si>
    <t>ГБУЗ РБ ГДКБ № 17 г.Уфа</t>
  </si>
  <si>
    <t>ГБУЗ РБ ГКБ № 18 г.Уфа</t>
  </si>
  <si>
    <t>ГБУЗ РБ РД № 3 г.Уфа</t>
  </si>
  <si>
    <t>ГБУЗ РКОД МЗ РБ</t>
  </si>
  <si>
    <t>ГБУЗ РМГЦ</t>
  </si>
  <si>
    <t>ГБУЗ РВФД</t>
  </si>
  <si>
    <t>ГБУЗ РБ ГКБ № 21 г. Уфа</t>
  </si>
  <si>
    <t>ООО "ПЭТ-Технолоджи",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</si>
  <si>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</si>
  <si>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</si>
  <si>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</si>
  <si>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ООО "Центр ПЭТ-Технолоджи", в том числе:</t>
  </si>
  <si>
    <t>ООО "ММЦ Медикал Он Груп-Уфа"</t>
  </si>
  <si>
    <t>Обособленное структурное подразделение ГБУЗ РБ ГБ №2 города Стерлитамак (реорганизованное), ранее именуемое ГБУЗ РБ Стерлитамакская ЦРП</t>
  </si>
  <si>
    <t>Обособленное структурное подразделение ГБУЗ Республиканская клиническая инфекционная больница, ранее именуемое ГБУЗ РБ ГИБ г.Стерлитамак</t>
  </si>
  <si>
    <t>Итого</t>
  </si>
  <si>
    <t>ГБУЗ РБ РКИБ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</si>
  <si>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</si>
  <si>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</si>
  <si>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</si>
  <si>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</si>
  <si>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</si>
  <si>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</si>
  <si>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ГБУЗ РБ Большеустикинская ЦРБ</t>
  </si>
  <si>
    <t xml:space="preserve">ГБУЗ РБ ГБ г. Нефтекамск </t>
  </si>
  <si>
    <t>ГБУЗ РБ ГБ № 1 г.Октябрьский</t>
  </si>
  <si>
    <t>ООО "Клиника Эксперт Уфа"</t>
  </si>
  <si>
    <t xml:space="preserve">ООО  "ЛДЦ МИБС-Уфа"                                                                                           </t>
  </si>
  <si>
    <t>ООО "Медсервис" (г. Салават)</t>
  </si>
  <si>
    <t xml:space="preserve">ООО "МедТех"      </t>
  </si>
  <si>
    <t>ООО "МД Проект 2010""</t>
  </si>
  <si>
    <t>ООО МЦ МЕГИ</t>
  </si>
  <si>
    <t>ООО ММЦ Профилактическая медицина</t>
  </si>
  <si>
    <t>ЧУЗ «КБ «РЖД - Медицина» г. Уфа»</t>
  </si>
  <si>
    <t>ГБУЗ РБ Поликлиника№32 г.Уфа</t>
  </si>
  <si>
    <t>ГБУЗ РБ Поликлиника №46 г.Уфа</t>
  </si>
  <si>
    <t>ГБУЗ РБ ГКБ Демского района г. Уфа</t>
  </si>
  <si>
    <t xml:space="preserve">ГБУЗ РБ ГДКБ №17 г.Уфа </t>
  </si>
  <si>
    <t>ГБУЗ "РКПЦ" МЗ РБ</t>
  </si>
  <si>
    <t xml:space="preserve">ГБУЗ РБ ГКБ № 21 г.Уфа </t>
  </si>
  <si>
    <t xml:space="preserve">Количество лабораторных исследований </t>
  </si>
  <si>
    <t xml:space="preserve">ФГБОУ ВО БГМУ Минздрава России </t>
  </si>
  <si>
    <t>ГБУЗ РБ БСМП г. Уфа</t>
  </si>
  <si>
    <t>ГБУЗ РБ ГБ №2 г. Стерлитамак</t>
  </si>
  <si>
    <t xml:space="preserve">ГБУЗ РКИБ </t>
  </si>
  <si>
    <t xml:space="preserve">Объемы лечебно-диагностических исследований, оказываемых в амбулаторно-поликлинических условиях на 2020 год.                                                                                                                                                 </t>
  </si>
  <si>
    <t xml:space="preserve">Радиоизотопная диагностика </t>
  </si>
  <si>
    <t xml:space="preserve">Лучевая терапия                          </t>
  </si>
  <si>
    <t>Компьютер-ная томография в центре ПЭТ</t>
  </si>
  <si>
    <t>Ультразвуковое скрининговое исследование</t>
  </si>
  <si>
    <t xml:space="preserve">Сцинтиграфия </t>
  </si>
  <si>
    <t xml:space="preserve">Рено-графия </t>
  </si>
  <si>
    <t>Ультра-звуковой этап комплекс-ного скрининго-вого исследова-ния в сроке беремен-ности 11-14 недель</t>
  </si>
  <si>
    <t>Ультра-звуковое скрининго-вое исследова-ние в сроке беремен-ности 18-21 неделя</t>
  </si>
  <si>
    <t>Ультра-звуковое скрининго-вое исследова-ние в сроке беремен-ности 30-34 недели</t>
  </si>
  <si>
    <t>сцинти-графия в режиме "все тело"</t>
  </si>
  <si>
    <t>сцинти-графия планарная</t>
  </si>
  <si>
    <t>сцинти-графия дина-мическая</t>
  </si>
  <si>
    <t>Однофотон-ная эмиссион-ная компьютер-ная томография (ОФЭКТ)</t>
  </si>
  <si>
    <t>Однофотон-ная эмиссион-ная компьютер-ная томогра-фия, совмещенная с компьютер-ной томографией (ОФЭКТ/КТ)</t>
  </si>
  <si>
    <t>радио-метрия</t>
  </si>
  <si>
    <t>ГБУЗ РБ Родильный дом №3 г.Уфа</t>
  </si>
  <si>
    <t>ГБУЗ РБ Поликлиника №50 г.Уфа</t>
  </si>
  <si>
    <t xml:space="preserve">ООО "ПЭТ-Технолоджи" </t>
  </si>
  <si>
    <t xml:space="preserve">ООО "Центр ПЭТ-Технолоджи"                           </t>
  </si>
  <si>
    <t>ЧУЗ «КБ «РЖД - Медицина»                    г. Уфа»</t>
  </si>
  <si>
    <t xml:space="preserve">Объемы отдельных диагностических исследований, оказываемых в амбулаторно-поликлинических условиях, на 2020 год.                </t>
  </si>
  <si>
    <t>Наименование медицинских организаций</t>
  </si>
  <si>
    <t>УЗИ сердечно-сосудистой системы</t>
  </si>
  <si>
    <t>Эхо-кардиография</t>
  </si>
  <si>
    <t>УЗДС брахио-цефальных артерий</t>
  </si>
  <si>
    <t>УЗДС магистральных артерий и вен нижних конечностей</t>
  </si>
  <si>
    <t>ГБУЗ РБ Баймакская ЦРБ</t>
  </si>
  <si>
    <t>ГБУЗ РБ Белорецкая ЦРБ</t>
  </si>
  <si>
    <t>ГБУЗ РБ ГБ г. Салават</t>
  </si>
  <si>
    <t>ГБУЗ РБ КБ № 1 г. Стерлитамак</t>
  </si>
  <si>
    <t>ГБУЗ РБ ГБ № 2 г. Стерлитамак</t>
  </si>
  <si>
    <t xml:space="preserve">ГБУЗ РБ ГБ № 4 г. Стерлитамак </t>
  </si>
  <si>
    <t>ГБУЗ РБ ГБ № 1 г. Октябрьский</t>
  </si>
  <si>
    <t>ГБУЗ РБ Детская больница 
г. Стерлитамак</t>
  </si>
  <si>
    <t>ГБУЗ РБ ЦГБ г. Сибай</t>
  </si>
  <si>
    <t>ООО "Медсервис" г. Салават</t>
  </si>
  <si>
    <t>ФГБУЗ РБ "Поликлиника Уфимского НЦ РАН"</t>
  </si>
  <si>
    <t xml:space="preserve">ФГБУЗ МЧС №142 ФМБА </t>
  </si>
  <si>
    <t>ЧУЗ "РЖД- МЕДИЦИНА" г. Стерлитамак"</t>
  </si>
  <si>
    <t>ЧУЗ "КБ "РЖД-МЕДИЦИНА" г. Уфа"</t>
  </si>
  <si>
    <t xml:space="preserve">ГБУЗ РБ Детская поликлиника №2 г. Уфа </t>
  </si>
  <si>
    <t xml:space="preserve">ГБУЗ РБ Детская поликлиника №3 г. Уфа </t>
  </si>
  <si>
    <t xml:space="preserve">ГБУЗ РБ Детская поликлиника №4 г. Уфа </t>
  </si>
  <si>
    <t xml:space="preserve">ГБУЗ РБ Детская поликлиника №5 г. Уфа </t>
  </si>
  <si>
    <t xml:space="preserve">ГБУЗ РБ Детская поликлиника №6 г. Уфа </t>
  </si>
  <si>
    <t>ГБУЗ РБ Поликлиника № 1 г. Уфа</t>
  </si>
  <si>
    <t>ГБУЗ РБ Поликлиника № 2 г. Уфа</t>
  </si>
  <si>
    <t>ГБУЗ РБ Поликлиника № 32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</si>
  <si>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</si>
  <si>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</si>
  <si>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</si>
  <si>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</si>
  <si>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</si>
  <si>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</si>
  <si>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 xml:space="preserve">ГБУЗ РБ ГКБ Демского района г. Уфы  </t>
  </si>
  <si>
    <t xml:space="preserve">ГБУЗ РБ ГКБ № 5 г. Уфа </t>
  </si>
  <si>
    <t>ГБУЗ РБ ГКБ № 8 г. Уфа</t>
  </si>
  <si>
    <t>ГБУЗ РБ ГБ № 9 г. Уфа</t>
  </si>
  <si>
    <t>ГБУЗ РБ ГКБ № 10 г. Уфа</t>
  </si>
  <si>
    <t>ГБУЗ РБ ГКБ № 12 г. Уфа</t>
  </si>
  <si>
    <t>ГБУЗ РБ ГКБ № 18 г. Уфа</t>
  </si>
  <si>
    <t>ГБУЗ РБ Поликлиника № 38</t>
  </si>
  <si>
    <t>ГБУЗ РБ Учалинская ЦРБ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</si>
  <si>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</t>
  </si>
  <si>
    <t>Эндоскопические диагностические исследования</t>
  </si>
  <si>
    <t>Гистологические исследования</t>
  </si>
  <si>
    <t>Молекулярно-генетические исследования</t>
  </si>
  <si>
    <t>Бронхо-скопия</t>
  </si>
  <si>
    <t>Гастро-скопия</t>
  </si>
  <si>
    <t>План в рамках Приказа 364-Д от 28.02.2020г</t>
  </si>
  <si>
    <t>План в рамках Приказа 2269-Д от 19.12.2019 (2 этап скрининга колоректального рака)</t>
  </si>
  <si>
    <t>Колоно-скопия всего</t>
  </si>
  <si>
    <t>2 категория</t>
  </si>
  <si>
    <t>3 категория</t>
  </si>
  <si>
    <t>4 категория</t>
  </si>
  <si>
    <t>5 категория</t>
  </si>
  <si>
    <t>Молекулярно-генетические исследования мутаций в гене EGFR в биопсийном (операционном) материале</t>
  </si>
  <si>
    <t>Молекулярно-генетические исследования мутаций в гене BRAF в биопсийном (операционном) материале</t>
  </si>
  <si>
    <t>Молекулярно-генетические исследования мутаций в гене KRAS в биопсийном (операционном) материале</t>
  </si>
  <si>
    <t>Молекулярно-генетические исследования мутаций в гене NRAS в биопсийном (операционном) материале</t>
  </si>
  <si>
    <t>Молекулярно-генетические исследования мутаций в гене BRCA1/2 в биопсийном (операционном) материале</t>
  </si>
  <si>
    <t>Исследования с применением молекулярно-генетических методов in situ гибридизации FISH</t>
  </si>
  <si>
    <t>Иные**( молекулярно-генетические исследования мутаций в гене MSI, IDH 1/ 2, TP53, MGMT (метил-е), MLH1 (метил-е), стандартные кариотипирование  костного мозга)</t>
  </si>
  <si>
    <t>Колоноскопия</t>
  </si>
  <si>
    <t>Колоно-скопия</t>
  </si>
  <si>
    <t xml:space="preserve">Колоно-скопия с наркозом </t>
  </si>
  <si>
    <t xml:space="preserve">Колоно-скопия с полип-эктомией </t>
  </si>
  <si>
    <t>ГБУЗ РБ Детская больница г. Стерлитамак</t>
  </si>
  <si>
    <t>ФГБУЗ МСЧ № 142 ФМБА</t>
  </si>
  <si>
    <t>ЧУЗ «РЖД- Медицина» г.Стерлитамак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</si>
  <si>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</si>
  <si>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</si>
  <si>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</si>
  <si>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</si>
  <si>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</si>
  <si>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38 г. Уфа</t>
  </si>
  <si>
    <t>ГБУЗ РБ Поликлиника № 48 г. Уфа</t>
  </si>
  <si>
    <t>ГАУЗ РКОД РБ</t>
  </si>
  <si>
    <t>Объемы сеансов (услуг) заместительной почечной терапии методами гемодиализа и перитонеального диализа на 2020 год</t>
  </si>
  <si>
    <t>Наименование МО</t>
  </si>
  <si>
    <t xml:space="preserve">Объемы 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</si>
  <si>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</si>
  <si>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</si>
  <si>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</si>
  <si>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</si>
  <si>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 xml:space="preserve"> В период госпитализации пациентов: </t>
  </si>
  <si>
    <t>Дневной стационар</t>
  </si>
  <si>
    <t>гемодиализ интермиттирующий высокопоточный (А18.05.002.001)</t>
  </si>
  <si>
    <t>перитонеальный диализ при нарушении ультрафильтации  (А18.30.001.003)</t>
  </si>
  <si>
    <t xml:space="preserve">Услуги диализа, оказываемые в отделениях фильтрации </t>
  </si>
  <si>
    <t>гемодиализ интермиттирующий низкопоточный (А18.05.002,
А18.05.002.002)</t>
  </si>
  <si>
    <t>гемодиафильтрация (А18.05.011)</t>
  </si>
  <si>
    <t>гемофильтрация крови продленная (А18.05.003.001)</t>
  </si>
  <si>
    <t>селективная гемосорбция липополисахаридов (А18.05.006.001)</t>
  </si>
  <si>
    <t>ООО "Экома"</t>
  </si>
  <si>
    <t>ООО "МЦ "Агидель""</t>
  </si>
  <si>
    <t>ООО "Сфера Эстейт"</t>
  </si>
  <si>
    <t xml:space="preserve">ООО "ДиаЛайф" </t>
  </si>
  <si>
    <t>Прирост регистра пациентов (на 10%)</t>
  </si>
  <si>
    <t>ИТОГО с учетом прироста регистра пациентов на 10%</t>
  </si>
  <si>
    <t xml:space="preserve">Объемы отдельных диагностических исследований, оказываемых в амбулаторно-поликлинических условиях,                                                                                                     на 2020 год.                                                                                                                                                 </t>
  </si>
  <si>
    <t>ООО "Лаборатория гемодиализа"</t>
  </si>
  <si>
    <t>Объемы обращений в связи с заболеваниями на 2020 год в рамках базовой Программы ОМС</t>
  </si>
  <si>
    <t xml:space="preserve">Обращения </t>
  </si>
  <si>
    <t>в том числе: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</si>
  <si>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</si>
  <si>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</si>
  <si>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</si>
  <si>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</si>
  <si>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</si>
  <si>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</si>
  <si>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</si>
  <si>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</si>
  <si>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</si>
  <si>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</si>
  <si>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</si>
  <si>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"Ваша стоматология" (г.Нефтекамск)</t>
  </si>
  <si>
    <t>ООО "ВИП" (г.Нефтекамск)</t>
  </si>
  <si>
    <t>ООО "Дента" (г.Нефтекамск)</t>
  </si>
  <si>
    <t>ООО "Корона+" (г.Нефтекамск)</t>
  </si>
  <si>
    <t>ООО "Корона" (г.Нефтекамск)</t>
  </si>
  <si>
    <t>ООО "СтомЭл" (г.Нефтекамс)</t>
  </si>
  <si>
    <t>ООО "ЭнжеДент" (г.Нефтекамс)</t>
  </si>
  <si>
    <t>ООО "Дантист+" (г.Нефтекамск)</t>
  </si>
  <si>
    <t>ООО МЦ "СЕМЕЙНЫЙ ДОКТОР" (г.Бирск)</t>
  </si>
  <si>
    <t>ГАУЗ РБ Стоматологическая поликлиника г.Сибай</t>
  </si>
  <si>
    <t>ФГБУЗ МСЧ №142 ФМБА России</t>
  </si>
  <si>
    <t xml:space="preserve">Обособленное структурное подразделение ГБУЗ РБ ГКБ №1 города Стерлитамак, ранее именуемое ГБУЗ РБ ГБ №2 </t>
  </si>
  <si>
    <t>ГБУЗ РБ Городская больница №2 г.Стерлитамак (код 16008)</t>
  </si>
  <si>
    <t xml:space="preserve">ГБУЗ РБ Городская больница №2 г.Стерлитамак </t>
  </si>
  <si>
    <t>Обособленное структурное подразделение ГБУЗ РБ ГБ №4 города Стерлитамак ранее именуемое ГБУЗ РБ Стерлитамакская ЦРП</t>
  </si>
  <si>
    <t>Обособленное структурное подразделение ГБУЗ РБ ГБ № 2 города Стерлитамак (реорганизованное в соответствии с распоряжением Правительства РБ от 21.10.2019 № 1170-р, ранее именуемое ГБУЗ РБ Стерлитамакская ЦРБ)</t>
  </si>
  <si>
    <t>ГБУЗ РБ Стоматологическая поликлиника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</si>
  <si>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</si>
  <si>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Обособленное структурное подразделение Родильный дом ГБУЗ РБ ГБ г.Салават</t>
  </si>
  <si>
    <t>ГБУЗ РБ Стоматологическая поликлиника г.Салават</t>
  </si>
  <si>
    <t>Обособленное структурное подразделение ГБУЗ РБ ЦГБ города Кумертау, ранее именуемое ГБУЗ РБ Ермолаевская ЦРБ</t>
  </si>
  <si>
    <t>ЧУЗ "РЖД-МЕДИЦИНА" Г.СТЕРЛИТАМАК"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</si>
  <si>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</si>
  <si>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</si>
  <si>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</si>
  <si>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"Медсервис" (с.Верхнеяркеево)</t>
  </si>
  <si>
    <t>ООО "Радуга" (с.Киргиз-Мияки)</t>
  </si>
  <si>
    <t>ООО "Центр здоровья и красоты" (с.Киргиз-Мияки)</t>
  </si>
  <si>
    <t>ООО "Экодент" (г.Белебей)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</si>
  <si>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</si>
  <si>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</si>
  <si>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</si>
  <si>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</si>
  <si>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</si>
  <si>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</si>
  <si>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</si>
  <si>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</si>
  <si>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</si>
  <si>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</si>
  <si>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</si>
  <si>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</si>
  <si>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</si>
  <si>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№48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</si>
  <si>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</si>
  <si>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</si>
  <si>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</si>
  <si>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</si>
  <si>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</si>
  <si>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</si>
  <si>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</si>
  <si>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</si>
  <si>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</si>
  <si>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</si>
  <si>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ФГБОУ ВО БГМУ Минздрава России (стоматология)</t>
  </si>
  <si>
    <t>УФИЦ РАН</t>
  </si>
  <si>
    <t>ЧУЗ "КБ "РЖД-МЕДИЦИНА" Г.УФА"</t>
  </si>
  <si>
    <t>ООО "Центр здоровья и красоты" (с.Буздяк)</t>
  </si>
  <si>
    <t>ООО "Витадент Космо" (г.Уфа)</t>
  </si>
  <si>
    <t>ООО "Дантист" (г.Благовещенск)</t>
  </si>
  <si>
    <t>ООО "Евромед-Уфа" (г.Уфа)</t>
  </si>
  <si>
    <t>ООО "Лаборатория гемодиализа" (г.Уфа)</t>
  </si>
  <si>
    <t>ООО "Медхелп" (г.Уфа)</t>
  </si>
  <si>
    <t>ООО "Сфера-Эстейт" (г.Уфа)</t>
  </si>
  <si>
    <t>ООО "Бомонд" (г.Уфа)</t>
  </si>
  <si>
    <t>ООО "Клиника современной флебологии" (г. Уфа)</t>
  </si>
  <si>
    <t>ООО "Экома"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</si>
  <si>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</si>
  <si>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</si>
  <si>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</si>
  <si>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>Обособленное структурное подразделение ГБУЗ РБ ГКБ № 21 г. Уфа ранее именуемое ГБУЗ РБ Уфимская ЦРП</t>
  </si>
  <si>
    <t>АУЗ РСП</t>
  </si>
  <si>
    <t>ООО "ММОЦ" г.Стерлитамак</t>
  </si>
  <si>
    <t>Прирост регистра пациентов</t>
  </si>
  <si>
    <t>Объемы медицинской помощи в амбулаторно-поликлинических условиях
 в неотложной форме на 2020 год</t>
  </si>
  <si>
    <t>Объемы всего на 2020 год</t>
  </si>
  <si>
    <t>План январь - март 2020 г.</t>
  </si>
  <si>
    <t>Реестровый номер</t>
  </si>
  <si>
    <t>уровень</t>
  </si>
  <si>
    <t xml:space="preserve">Объемы всего </t>
  </si>
  <si>
    <t xml:space="preserve">в том числе:          </t>
  </si>
  <si>
    <t>Объемы всего</t>
  </si>
  <si>
    <t xml:space="preserve">в том числе:                                   </t>
  </si>
  <si>
    <t>посещения, финансируемые по реестрм</t>
  </si>
  <si>
    <t>объемы на травмпункты</t>
  </si>
  <si>
    <t>посещения финансируемые по реестрам</t>
  </si>
  <si>
    <t>посещения МО, имеющие прикрепленное население</t>
  </si>
  <si>
    <t>посещения МО, имеющие прикрепленное население по специальности "стоматология"</t>
  </si>
  <si>
    <t>приемное отделение
(для МО г. Уфы)</t>
  </si>
  <si>
    <t>посещения МО, не имеющих прикрепленное население</t>
  </si>
  <si>
    <t>финансируемые по реестрам по специальности "стоматология"</t>
  </si>
  <si>
    <t>по профилю "травматология и ортопедия"</t>
  </si>
  <si>
    <t>по профилю
"офтальмология"</t>
  </si>
  <si>
    <t>024001</t>
  </si>
  <si>
    <t>1А</t>
  </si>
  <si>
    <t>021003</t>
  </si>
  <si>
    <t>022204</t>
  </si>
  <si>
    <t>025004</t>
  </si>
  <si>
    <t>021607</t>
  </si>
  <si>
    <t>022001</t>
  </si>
  <si>
    <t>028004</t>
  </si>
  <si>
    <t>022103</t>
  </si>
  <si>
    <t>023002</t>
  </si>
  <si>
    <t>2Б</t>
  </si>
  <si>
    <t>026005</t>
  </si>
  <si>
    <t>024005</t>
  </si>
  <si>
    <t>2А</t>
  </si>
  <si>
    <t>023005</t>
  </si>
  <si>
    <t>ООО "Академия здоровья" с. Киргиз-Мияки</t>
  </si>
  <si>
    <t xml:space="preserve">ООО "Дентал Стандарт " с. Бижбуляк </t>
  </si>
  <si>
    <t>025001</t>
  </si>
  <si>
    <t>025033</t>
  </si>
  <si>
    <t>ГБУЗ РБ Бирская СП</t>
  </si>
  <si>
    <t>022003</t>
  </si>
  <si>
    <t>022202</t>
  </si>
  <si>
    <t>022060</t>
  </si>
  <si>
    <t xml:space="preserve">ООО Дантист, г. Благовещенск    </t>
  </si>
  <si>
    <t>022002</t>
  </si>
  <si>
    <t>025005</t>
  </si>
  <si>
    <t>024002</t>
  </si>
  <si>
    <t>021605</t>
  </si>
  <si>
    <t>021002</t>
  </si>
  <si>
    <t>026001</t>
  </si>
  <si>
    <t>3А</t>
  </si>
  <si>
    <t>027001</t>
  </si>
  <si>
    <t>027003</t>
  </si>
  <si>
    <t>023006</t>
  </si>
  <si>
    <t>021105</t>
  </si>
  <si>
    <t>022012</t>
  </si>
  <si>
    <t>022201</t>
  </si>
  <si>
    <t>028002</t>
  </si>
  <si>
    <t>029001</t>
  </si>
  <si>
    <t>021206</t>
  </si>
  <si>
    <t>025003</t>
  </si>
  <si>
    <t>022205</t>
  </si>
  <si>
    <t>026004</t>
  </si>
  <si>
    <t>021205</t>
  </si>
  <si>
    <t>021102</t>
  </si>
  <si>
    <t>022208</t>
  </si>
  <si>
    <t>021111</t>
  </si>
  <si>
    <t>ГБУЗ РБ ГБ г.Кумертау - Ермолаевская ЦРБ</t>
  </si>
  <si>
    <t>021104</t>
  </si>
  <si>
    <t>026002</t>
  </si>
  <si>
    <t>025002</t>
  </si>
  <si>
    <t>021001</t>
  </si>
  <si>
    <t xml:space="preserve">ООО "Радуга"  с.Киргиз-Мияки                                             </t>
  </si>
  <si>
    <t>022203</t>
  </si>
  <si>
    <t>026003</t>
  </si>
  <si>
    <t>021606</t>
  </si>
  <si>
    <t>021603</t>
  </si>
  <si>
    <t>ГБУЗ РБ ГБ №4 г.Стерлитамак - Стерлитамакская ЦРП</t>
  </si>
  <si>
    <t>ГБУЗ РБ ГБ №2 г.Стерлитамак - Стерлитамакская ЦРП</t>
  </si>
  <si>
    <t>022102</t>
  </si>
  <si>
    <t>021701</t>
  </si>
  <si>
    <t>022720</t>
  </si>
  <si>
    <t>ГБУЗ РБ ГКБ №21 г.Уфа - Уфимская ЦРП</t>
  </si>
  <si>
    <t>021901</t>
  </si>
  <si>
    <t>ГАУЗ РБ Учалинская ЦГБ</t>
  </si>
  <si>
    <t>021405</t>
  </si>
  <si>
    <t>021501</t>
  </si>
  <si>
    <t>027002</t>
  </si>
  <si>
    <t>022000</t>
  </si>
  <si>
    <t>021706</t>
  </si>
  <si>
    <t>022104</t>
  </si>
  <si>
    <t>024006</t>
  </si>
  <si>
    <t>1Б</t>
  </si>
  <si>
    <t>021201</t>
  </si>
  <si>
    <t>021254</t>
  </si>
  <si>
    <t>ООО Ваша стоматология, 
г. Нефтекамск</t>
  </si>
  <si>
    <t>021256</t>
  </si>
  <si>
    <t>ООО ВИП, г. Нефтекамск</t>
  </si>
  <si>
    <t>021266</t>
  </si>
  <si>
    <t>ООО СтомЭл г. Нефтекамск</t>
  </si>
  <si>
    <t>ООО Корона,  г. Нефтекамск</t>
  </si>
  <si>
    <t>021253</t>
  </si>
  <si>
    <t>ООО Корона+,  г. Нефтекамск</t>
  </si>
  <si>
    <t>ООО Дантист+,  г. Нефтекамск</t>
  </si>
  <si>
    <t>ГБУЗ РБ ГБ г.Нефтекамск - Агидельская ГБ</t>
  </si>
  <si>
    <t>021303</t>
  </si>
  <si>
    <t>021307</t>
  </si>
  <si>
    <t>ГБУЗ РБ Стоматологическая поликлиника г.Октябрьский</t>
  </si>
  <si>
    <t>021502</t>
  </si>
  <si>
    <t>021513</t>
  </si>
  <si>
    <t>021401</t>
  </si>
  <si>
    <t>ООО Медсервис, г. Салават</t>
  </si>
  <si>
    <t>021424</t>
  </si>
  <si>
    <t>021418</t>
  </si>
  <si>
    <t>ГБУЗ РБ ГБ г.Салават - ДБ г.Салават</t>
  </si>
  <si>
    <t>021602</t>
  </si>
  <si>
    <t>021608</t>
  </si>
  <si>
    <t>ГБУЗ РБ Городская больница №2 г.Стерлитамак (закрыто)</t>
  </si>
  <si>
    <t>021601</t>
  </si>
  <si>
    <t xml:space="preserve">Обособленное структурное подразделение ГБУЗ РБ ГКБ №1 г. Стерлитамак, ранее именуемое ГБУЗ РБ ГБ №2 г.Стерлитамак </t>
  </si>
  <si>
    <t>021616</t>
  </si>
  <si>
    <t>ГБУЗ РБ ДБ г.Стерлитамак</t>
  </si>
  <si>
    <t>021636</t>
  </si>
  <si>
    <t>ГБУЗ РБ СП г.Стерлитамак</t>
  </si>
  <si>
    <t>021604</t>
  </si>
  <si>
    <t>027100</t>
  </si>
  <si>
    <t>028300</t>
  </si>
  <si>
    <t>028400</t>
  </si>
  <si>
    <t>028800</t>
  </si>
  <si>
    <t>029100</t>
  </si>
  <si>
    <t>029200</t>
  </si>
  <si>
    <t>029300</t>
  </si>
  <si>
    <t>021210</t>
  </si>
  <si>
    <t>ГБУЗ РБ ГКБ Демского района г.Уфы</t>
  </si>
  <si>
    <t>029500</t>
  </si>
  <si>
    <t>029700</t>
  </si>
  <si>
    <t>029800</t>
  </si>
  <si>
    <t>029900</t>
  </si>
  <si>
    <t>024200</t>
  </si>
  <si>
    <t>021800</t>
  </si>
  <si>
    <t>023000</t>
  </si>
  <si>
    <t>022200</t>
  </si>
  <si>
    <t>Обособленное структурное подразделение ГБУЗ РБ ГКБ №13 г.Уфа ранее именуемое ГБУЗ РБ ГБ №12 г.Уфа</t>
  </si>
  <si>
    <t>022300</t>
  </si>
  <si>
    <t>028000</t>
  </si>
  <si>
    <t>3Б</t>
  </si>
  <si>
    <t>ГАУЗ РБ ГКБ №18 г.Уфа</t>
  </si>
  <si>
    <t>023500</t>
  </si>
  <si>
    <t>021200</t>
  </si>
  <si>
    <t>021110</t>
  </si>
  <si>
    <t>021100</t>
  </si>
  <si>
    <t>027000</t>
  </si>
  <si>
    <t>021120</t>
  </si>
  <si>
    <t>021130</t>
  </si>
  <si>
    <t>021150</t>
  </si>
  <si>
    <t>021050</t>
  </si>
  <si>
    <t>020177</t>
  </si>
  <si>
    <t>ООО Центр здоровья и красоты, с. Буздяк</t>
  </si>
  <si>
    <t>020193</t>
  </si>
  <si>
    <t xml:space="preserve">ООО Эмидент Люкс г. Уфа, ул. Айская, 16 </t>
  </si>
  <si>
    <t>020202</t>
  </si>
  <si>
    <t xml:space="preserve">ООО Эмидент Люкс г. Уфа, ул. Революционная, 99 </t>
  </si>
  <si>
    <t>ООО Эмидент Люкс г. Уфа, ул. Революционная, 57</t>
  </si>
  <si>
    <t xml:space="preserve">ООО Бомонд </t>
  </si>
  <si>
    <t>020171</t>
  </si>
  <si>
    <t>022117</t>
  </si>
  <si>
    <t>022800</t>
  </si>
  <si>
    <t>3Г</t>
  </si>
  <si>
    <t>объемы на прикрепленное</t>
  </si>
  <si>
    <t>022109</t>
  </si>
  <si>
    <t>ГБУ УфНИИ ГБ АН РБ</t>
  </si>
  <si>
    <t>022113</t>
  </si>
  <si>
    <t>3В</t>
  </si>
  <si>
    <t>ГБУЗ РБ ГКБ №21 г.Уфа</t>
  </si>
  <si>
    <t>022400</t>
  </si>
  <si>
    <t>022710</t>
  </si>
  <si>
    <t>х</t>
  </si>
  <si>
    <t>План апрель - декабрь 2020 г.</t>
  </si>
  <si>
    <t xml:space="preserve">Амбулаторно-поликлиническая помощь в части посещений с профилактическими и иными целями  в рамках базовой программы ОМС на 2020 год </t>
  </si>
  <si>
    <t xml:space="preserve">Итого 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</si>
  <si>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</si>
  <si>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</si>
  <si>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</si>
  <si>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 xml:space="preserve">Профилактический медосмотр взрослых, в том числе при первом посещении по поводу диспансерного наблюдения
</t>
  </si>
  <si>
    <t xml:space="preserve">Профилактический медосмотр несовершеннолетних </t>
  </si>
  <si>
    <t xml:space="preserve">Диспансеризация взрослого населения(1 этап)  </t>
  </si>
  <si>
    <t xml:space="preserve"> Диспансеризация детей- сирот</t>
  </si>
  <si>
    <t>ГБУЗ РБ ГБ №2 г.Стерлитамак (реорганизованное )</t>
  </si>
  <si>
    <t>Обособленное структурное подразделение ГБУЗ РБ ГБ №2 г.Стерлитамак, ранее именуемое ГБУЗ РБ Стерлитамакская ЦРП</t>
  </si>
  <si>
    <t>Обособленное структурное подразделение ГБУЗ РБ ГБ №4 города Стерлитамак, ранее именуемое ГБУЗ РБ Стерлитамакская ЦРП</t>
  </si>
  <si>
    <t>Обособленное структурное подразделение Родильный дом ГБУЗ РБ ГБ города Салават</t>
  </si>
  <si>
    <t>ГАУЗ РБ Стоматологическая поликлиника №8 г.Уфа</t>
  </si>
  <si>
    <t>ГАУЗ РБ Стоматологическая поликлиника №9 г.Уфа</t>
  </si>
  <si>
    <t>ЧУЗ «КБ «РЖД- Медицина» г.Уфа</t>
  </si>
  <si>
    <t>Обособленное структурное подразделение ГБУЗ РБ ГКБ № 21 г. Уфа, ранее именуемое ГБУЗ РБ Уфимская ЦРП</t>
  </si>
  <si>
    <t>ГБУЗ РКИБ</t>
  </si>
  <si>
    <t>Обособленное структурное подразделение ГБУЗ РКИБ, ранее именуемое ГБУЗ РБ Городская инфекционная больница г.Стерлитамак</t>
  </si>
  <si>
    <t>ООО "МЦ "Агидель"</t>
  </si>
  <si>
    <t>ООО "Сфера-Эстейт"</t>
  </si>
  <si>
    <t>ООО "ДиаЛайф"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</si>
  <si>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</si>
  <si>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</si>
  <si>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</si>
  <si>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</si>
  <si>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</si>
  <si>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</si>
  <si>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</si>
  <si>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</si>
  <si>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</si>
  <si>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</si>
  <si>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</si>
  <si>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</si>
  <si>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>первичный прием</t>
  </si>
  <si>
    <t>повторная консуль-тация</t>
  </si>
  <si>
    <t xml:space="preserve"> Объемы медицинской помощи, оказываемой в центрах здоровья, на 2020 год.</t>
  </si>
  <si>
    <t>№п/п</t>
  </si>
  <si>
    <t>Всего посещения</t>
  </si>
  <si>
    <t>из них:</t>
  </si>
  <si>
    <t>взрослое население</t>
  </si>
  <si>
    <t>детское население</t>
  </si>
  <si>
    <t>первичное посещение для проведения комплексного обследования</t>
  </si>
  <si>
    <t>посещение для динамического наблюдения</t>
  </si>
  <si>
    <t>Объемы обращений в связи с заболеваниями на 2020 год в рамках базовой Программы ОМС (для медицинских организаций частной формы собственности, не имеющих прикрепленного населения и финансируемых по реестрам)</t>
  </si>
  <si>
    <t xml:space="preserve">Объемы обращений в связи с заболеваниями, всего </t>
  </si>
  <si>
    <t>в том числе по специальностям</t>
  </si>
  <si>
    <t>стоматология</t>
  </si>
  <si>
    <t>акушерство и гинекология</t>
  </si>
  <si>
    <t>ревмато-логия</t>
  </si>
  <si>
    <t>гастроэнтерология</t>
  </si>
  <si>
    <t>дермато-логия</t>
  </si>
  <si>
    <t>колопроктология</t>
  </si>
  <si>
    <t>травматология и ортопедия</t>
  </si>
  <si>
    <t>аллергология и иммунология</t>
  </si>
  <si>
    <t>пульмано-логия</t>
  </si>
  <si>
    <t>сердечно-сосудистая хирургия</t>
  </si>
  <si>
    <t>ООО "Дантист", г. Благовещенск</t>
  </si>
  <si>
    <t>ООО "Дентал стандарт", с. Бижбуляк</t>
  </si>
  <si>
    <t>ООО "Академия здоровья",  с. Киргиз-Мияки</t>
  </si>
  <si>
    <t>ООО "Медсервис", с. Верхнеяркеево</t>
  </si>
  <si>
    <t>ООО МЦ "СЕМЕЙНЫЙ ДОКТОР"</t>
  </si>
  <si>
    <t>ООО "Радуга", с. Киргиз-Мияки</t>
  </si>
  <si>
    <t>ООО "Корона+", г. Нефтекамск</t>
  </si>
  <si>
    <t>ООО "Дента", г. Нефтекамск</t>
  </si>
  <si>
    <t xml:space="preserve">ООО "Ваша стоматология", г. Нефтекамск </t>
  </si>
  <si>
    <t>ООО "ВИП", г. Нефтекамск</t>
  </si>
  <si>
    <t>ООО "СтомЭл", г. Нефтекамск</t>
  </si>
  <si>
    <t>ООО "ЭнжеДент",  г. Нефтекамск</t>
  </si>
  <si>
    <t>ООО "Корона", г. Нефтекамск</t>
  </si>
  <si>
    <t>ООО "Дантист+", г. Нефтекамск</t>
  </si>
  <si>
    <t>ООО "МЦ МЕГИ", г.Уфа</t>
  </si>
  <si>
    <t>ООО "Бомонд", г.Уфа</t>
  </si>
  <si>
    <t>ООО "Витадент Космо", г.Уфа</t>
  </si>
  <si>
    <t>ООО "Медицинский центр Семья", г.Уфа</t>
  </si>
  <si>
    <t>ООО "ЦМТ", г.Уфа</t>
  </si>
  <si>
    <t xml:space="preserve"> ООО "Медхелп", г.Уфа</t>
  </si>
  <si>
    <t>ООО "Клиника современной флебологии", г.Уфа</t>
  </si>
  <si>
    <t>ООО "Евромед-Уфа"</t>
  </si>
  <si>
    <t xml:space="preserve">ООО "Центр здоровья и красоты" , с.Киргиз-Мияки </t>
  </si>
  <si>
    <t>ООО "Центр здоровья и красоты", с. Буздяк</t>
  </si>
  <si>
    <t>ООО "Экодент", г. Белебей</t>
  </si>
  <si>
    <t>ООО "Эмидент Люкс", г.Уфа, ул.Айская, 16</t>
  </si>
  <si>
    <t>ООО "Эмидент Люкс", г.Уфа, ул. Революционная, 99</t>
  </si>
  <si>
    <t>ООО "Эмидент Люкс", г.Уфа, ул. Революционная, 57</t>
  </si>
  <si>
    <t>Объемы лабораторных диагностических исследований с целью выявления возбудителя коронавирусной инфекции COVID-2019 для медицинских организаций, включенных в реестр медицинских организаций, осуществляющих деятельность в сфере обязательного медицинского страхования,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</si>
</sst>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0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000000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9263">
    <xf numFmtId="0" fontId="0" fillId="0" borderId="0"/>
    <xf numFmtId="0" fontId="9" fillId="28" borderId="0" applyNumberFormat="0" applyBorder="0" applyAlignment="0" applyProtection="0"/>
    <xf numFmtId="0" fontId="9" fillId="29" borderId="0"/>
    <xf numFmtId="0" fontId="9" fillId="30" borderId="0" applyNumberFormat="0" applyBorder="0" applyAlignment="0" applyProtection="0"/>
    <xf numFmtId="0" fontId="9" fillId="31" borderId="0"/>
    <xf numFmtId="0" fontId="9" fillId="32" borderId="0" applyNumberFormat="0" applyBorder="0" applyAlignment="0" applyProtection="0"/>
    <xf numFmtId="0" fontId="9" fillId="33" borderId="0"/>
    <xf numFmtId="0" fontId="9" fillId="34" borderId="0" applyNumberFormat="0" applyBorder="0" applyAlignment="0" applyProtection="0"/>
    <xf numFmtId="0" fontId="9" fillId="35" borderId="0"/>
    <xf numFmtId="0" fontId="9" fillId="36" borderId="0" applyNumberFormat="0" applyBorder="0" applyAlignment="0" applyProtection="0"/>
    <xf numFmtId="0" fontId="9" fillId="37" borderId="0"/>
    <xf numFmtId="0" fontId="9" fillId="38" borderId="0" applyNumberFormat="0" applyBorder="0" applyAlignment="0" applyProtection="0"/>
    <xf numFmtId="0" fontId="9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34" borderId="0" applyNumberFormat="0" applyBorder="0" applyAlignment="0" applyProtection="0"/>
    <xf numFmtId="0" fontId="9" fillId="35" borderId="0"/>
    <xf numFmtId="0" fontId="9" fillId="42" borderId="0" applyNumberFormat="0" applyBorder="0" applyAlignment="0" applyProtection="0"/>
    <xf numFmtId="0" fontId="9" fillId="43" borderId="0"/>
    <xf numFmtId="0" fontId="9" fillId="48" borderId="0" applyNumberFormat="0" applyBorder="0" applyAlignment="0" applyProtection="0"/>
    <xf numFmtId="0" fontId="9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/>
    <xf numFmtId="0" fontId="10" fillId="44" borderId="0" applyNumberFormat="0" applyBorder="0" applyAlignment="0" applyProtection="0"/>
    <xf numFmtId="0" fontId="10" fillId="45" borderId="0"/>
    <xf numFmtId="0" fontId="10" fillId="46" borderId="0" applyNumberFormat="0" applyBorder="0" applyAlignment="0" applyProtection="0"/>
    <xf numFmtId="0" fontId="10" fillId="47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58" borderId="0" applyNumberFormat="0" applyBorder="0" applyAlignment="0" applyProtection="0"/>
    <xf numFmtId="0" fontId="10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/>
    <xf numFmtId="0" fontId="10" fillId="62" borderId="0" applyNumberFormat="0" applyBorder="0" applyAlignment="0" applyProtection="0"/>
    <xf numFmtId="0" fontId="10" fillId="63" borderId="0"/>
    <xf numFmtId="0" fontId="10" fillId="64" borderId="0" applyNumberFormat="0" applyBorder="0" applyAlignment="0" applyProtection="0"/>
    <xf numFmtId="0" fontId="10" fillId="65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66" borderId="0" applyNumberFormat="0" applyBorder="0" applyAlignment="0" applyProtection="0"/>
    <xf numFmtId="0" fontId="10" fillId="67" borderId="0"/>
    <xf numFmtId="0" fontId="11" fillId="30" borderId="0" applyNumberFormat="0" applyBorder="0" applyAlignment="0" applyProtection="0"/>
    <xf numFmtId="0" fontId="11" fillId="31" borderId="0"/>
    <xf numFmtId="0" fontId="12" fillId="50" borderId="11" applyNumberFormat="0" applyAlignment="0" applyProtection="0"/>
    <xf numFmtId="0" fontId="12" fillId="68" borderId="11"/>
    <xf numFmtId="0" fontId="13" fillId="69" borderId="12" applyNumberFormat="0" applyAlignment="0" applyProtection="0"/>
    <xf numFmtId="0" fontId="13" fillId="70" borderId="0"/>
    <xf numFmtId="166" fontId="14" fillId="0" borderId="0"/>
    <xf numFmtId="167" fontId="14" fillId="0" borderId="0" applyBorder="0" applyProtection="0"/>
    <xf numFmtId="166" fontId="14" fillId="0" borderId="0" applyBorder="0" applyProtection="0"/>
    <xf numFmtId="166" fontId="14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/>
    <xf numFmtId="0" fontId="18" fillId="0" borderId="0" applyNumberFormat="0" applyBorder="0" applyProtection="0">
      <alignment horizontal="center"/>
    </xf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1" fillId="0" borderId="15" applyNumberFormat="0" applyFill="0" applyAlignment="0" applyProtection="0"/>
    <xf numFmtId="0" fontId="21" fillId="0" borderId="15"/>
    <xf numFmtId="0" fontId="21" fillId="0" borderId="0" applyNumberFormat="0" applyFill="0" applyBorder="0" applyAlignment="0" applyProtection="0"/>
    <xf numFmtId="0" fontId="21" fillId="0" borderId="0"/>
    <xf numFmtId="0" fontId="18" fillId="0" borderId="0" applyNumberFormat="0" applyBorder="0" applyProtection="0">
      <alignment horizontal="center" textRotation="90"/>
    </xf>
    <xf numFmtId="0" fontId="22" fillId="38" borderId="11" applyNumberFormat="0" applyAlignment="0" applyProtection="0"/>
    <xf numFmtId="0" fontId="22" fillId="39" borderId="11"/>
    <xf numFmtId="0" fontId="23" fillId="0" borderId="16" applyNumberFormat="0" applyFill="0" applyAlignment="0" applyProtection="0"/>
    <xf numFmtId="0" fontId="23" fillId="0" borderId="0"/>
    <xf numFmtId="0" fontId="24" fillId="51" borderId="0" applyNumberFormat="0" applyBorder="0" applyAlignment="0" applyProtection="0"/>
    <xf numFmtId="0" fontId="24" fillId="71" borderId="0"/>
    <xf numFmtId="0" fontId="25" fillId="0" borderId="0"/>
    <xf numFmtId="0" fontId="26" fillId="41" borderId="17" applyNumberFormat="0" applyFont="0" applyAlignment="0" applyProtection="0"/>
    <xf numFmtId="0" fontId="27" fillId="72" borderId="17"/>
    <xf numFmtId="0" fontId="28" fillId="50" borderId="18" applyNumberFormat="0" applyAlignment="0" applyProtection="0"/>
    <xf numFmtId="0" fontId="28" fillId="68" borderId="18"/>
    <xf numFmtId="0" fontId="29" fillId="0" borderId="0" applyNumberFormat="0" applyBorder="0" applyProtection="0"/>
    <xf numFmtId="168" fontId="29" fillId="0" borderId="0" applyBorder="0" applyProtection="0"/>
    <xf numFmtId="0" fontId="30" fillId="0" borderId="0" applyNumberFormat="0" applyFill="0" applyBorder="0" applyAlignment="0" applyProtection="0"/>
    <xf numFmtId="0" fontId="30" fillId="0" borderId="0"/>
    <xf numFmtId="0" fontId="31" fillId="0" borderId="19" applyNumberFormat="0" applyFill="0" applyAlignment="0" applyProtection="0"/>
    <xf numFmtId="0" fontId="31" fillId="0" borderId="20"/>
    <xf numFmtId="0" fontId="32" fillId="0" borderId="0" applyNumberFormat="0" applyFill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5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15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22" applyNumberFormat="0" applyFill="0" applyAlignment="0" applyProtection="0"/>
    <xf numFmtId="0" fontId="21" fillId="0" borderId="15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1" fillId="0" borderId="23" applyNumberFormat="0" applyFill="0" applyAlignment="0" applyProtection="0"/>
    <xf numFmtId="0" fontId="31" fillId="0" borderId="2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3" fillId="69" borderId="12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3" fillId="69" borderId="12" applyNumberFormat="0" applyAlignment="0" applyProtection="0"/>
    <xf numFmtId="0" fontId="13" fillId="70" borderId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4" fillId="5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71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52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4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41" borderId="17" applyNumberFormat="0" applyFont="0" applyAlignment="0" applyProtection="0"/>
    <xf numFmtId="0" fontId="50" fillId="41" borderId="17" applyNumberFormat="0" applyFont="0" applyAlignment="0" applyProtection="0"/>
    <xf numFmtId="0" fontId="44" fillId="41" borderId="17" applyNumberFormat="0" applyFont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0" borderId="1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3" fillId="0" borderId="16" applyNumberFormat="0" applyFill="0" applyAlignment="0" applyProtection="0"/>
    <xf numFmtId="0" fontId="23" fillId="0" borderId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9" fontId="59" fillId="0" borderId="0"/>
    <xf numFmtId="165" fontId="9" fillId="0" borderId="0" applyFont="0" applyFill="0" applyBorder="0" applyAlignment="0" applyProtection="0"/>
    <xf numFmtId="167" fontId="52" fillId="0" borderId="0"/>
    <xf numFmtId="167" fontId="52" fillId="0" borderId="0" applyFill="0" applyBorder="0" applyAlignment="0" applyProtection="0"/>
    <xf numFmtId="167" fontId="52" fillId="0" borderId="0"/>
    <xf numFmtId="164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7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9" fillId="0" borderId="0"/>
    <xf numFmtId="0" fontId="1" fillId="0" borderId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6" fillId="0" borderId="0"/>
    <xf numFmtId="0" fontId="26" fillId="0" borderId="0"/>
  </cellStyleXfs>
  <cellXfs count="625">
    <xf numFmtId="0" fontId="0" fillId="0" borderId="0" xfId="0"/>
    <xf numFmtId="0" fontId="62" fillId="74" borderId="0" xfId="0" applyFont="1" applyFill="1"/>
    <xf numFmtId="0" fontId="61" fillId="74" borderId="0" xfId="0" applyFont="1" applyFill="1" applyAlignment="1">
      <alignment horizontal="center" vertical="center"/>
    </xf>
    <xf numFmtId="3" fontId="62" fillId="74" borderId="0" xfId="0" applyNumberFormat="1" applyFont="1" applyFill="1"/>
    <xf numFmtId="3" fontId="62" fillId="74" borderId="0" xfId="0" applyNumberFormat="1" applyFont="1" applyFill="1" applyBorder="1" applyAlignment="1">
      <alignment horizontal="right" vertical="center"/>
    </xf>
    <xf numFmtId="0" fontId="64" fillId="74" borderId="0" xfId="0" applyFont="1" applyFill="1"/>
    <xf numFmtId="0" fontId="64" fillId="74" borderId="0" xfId="0" applyFont="1" applyFill="1" applyAlignment="1">
      <alignment horizontal="center" vertical="center"/>
    </xf>
    <xf numFmtId="0" fontId="62" fillId="74" borderId="10" xfId="0" applyFont="1" applyFill="1" applyBorder="1" applyAlignment="1">
      <alignment horizontal="center" vertical="center" wrapText="1"/>
    </xf>
    <xf numFmtId="0" fontId="63" fillId="74" borderId="10" xfId="0" applyFont="1" applyFill="1" applyBorder="1" applyAlignment="1">
      <alignment horizontal="center" vertical="center"/>
    </xf>
    <xf numFmtId="0" fontId="63" fillId="74" borderId="10" xfId="0" applyFont="1" applyFill="1" applyBorder="1" applyAlignment="1">
      <alignment wrapText="1"/>
    </xf>
    <xf numFmtId="3" fontId="62" fillId="74" borderId="10" xfId="0" applyNumberFormat="1" applyFont="1" applyFill="1" applyBorder="1" applyAlignment="1">
      <alignment horizontal="center" vertical="center"/>
    </xf>
    <xf numFmtId="0" fontId="63" fillId="74" borderId="10" xfId="0" applyFont="1" applyFill="1" applyBorder="1" applyAlignment="1">
      <alignment vertical="center" wrapText="1"/>
    </xf>
    <xf numFmtId="3" fontId="62" fillId="74" borderId="10" xfId="0" applyNumberFormat="1" applyFont="1" applyFill="1" applyBorder="1" applyAlignment="1">
      <alignment horizontal="center"/>
    </xf>
    <xf numFmtId="3" fontId="62" fillId="74" borderId="10" xfId="0" applyNumberFormat="1" applyFont="1" applyFill="1" applyBorder="1"/>
    <xf numFmtId="0" fontId="62" fillId="74" borderId="0" xfId="0" applyFont="1" applyFill="1" applyAlignment="1">
      <alignment vertical="center"/>
    </xf>
    <xf numFmtId="4" fontId="68" fillId="74" borderId="10" xfId="0" applyNumberFormat="1" applyFont="1" applyFill="1" applyBorder="1" applyAlignment="1">
      <alignment vertical="center" wrapText="1"/>
    </xf>
    <xf numFmtId="3" fontId="62" fillId="74" borderId="10" xfId="57736" applyNumberFormat="1" applyFont="1" applyFill="1" applyBorder="1" applyAlignment="1" applyProtection="1">
      <alignment horizontal="center" vertical="center" wrapText="1"/>
      <protection locked="0" hidden="1"/>
    </xf>
    <xf numFmtId="0" fontId="68" fillId="74" borderId="10" xfId="0" applyFont="1" applyFill="1" applyBorder="1" applyAlignment="1">
      <alignment horizontal="center" vertical="center"/>
    </xf>
    <xf numFmtId="3" fontId="64" fillId="74" borderId="10" xfId="0" applyNumberFormat="1" applyFont="1" applyFill="1" applyBorder="1" applyAlignment="1">
      <alignment horizontal="center" vertical="center" wrapText="1"/>
    </xf>
    <xf numFmtId="0" fontId="68" fillId="75" borderId="10" xfId="0" applyFont="1" applyFill="1" applyBorder="1" applyAlignment="1">
      <alignment horizontal="left" vertical="center"/>
    </xf>
    <xf numFmtId="3" fontId="62" fillId="75" borderId="10" xfId="0" applyNumberFormat="1" applyFont="1" applyFill="1" applyBorder="1" applyAlignment="1">
      <alignment horizontal="center" vertical="center"/>
    </xf>
    <xf numFmtId="0" fontId="68" fillId="75" borderId="10" xfId="0" applyFont="1" applyFill="1" applyBorder="1" applyAlignment="1">
      <alignment vertical="center" wrapText="1"/>
    </xf>
    <xf numFmtId="3" fontId="62" fillId="75" borderId="10" xfId="0" applyNumberFormat="1" applyFont="1" applyFill="1" applyBorder="1"/>
    <xf numFmtId="3" fontId="62" fillId="75" borderId="10" xfId="0" applyNumberFormat="1" applyFont="1" applyFill="1" applyBorder="1" applyAlignment="1">
      <alignment horizontal="center"/>
    </xf>
    <xf numFmtId="3" fontId="61" fillId="75" borderId="10" xfId="0" applyNumberFormat="1" applyFont="1" applyFill="1" applyBorder="1" applyAlignment="1">
      <alignment horizontal="center" vertical="center"/>
    </xf>
    <xf numFmtId="0" fontId="68" fillId="76" borderId="10" xfId="0" applyFont="1" applyFill="1" applyBorder="1" applyAlignment="1">
      <alignment horizontal="center" vertical="center"/>
    </xf>
    <xf numFmtId="0" fontId="68" fillId="76" borderId="10" xfId="0" applyFont="1" applyFill="1" applyBorder="1" applyAlignment="1">
      <alignment horizontal="right" wrapText="1"/>
    </xf>
    <xf numFmtId="3" fontId="61" fillId="76" borderId="10" xfId="0" applyNumberFormat="1" applyFont="1" applyFill="1" applyBorder="1" applyAlignment="1">
      <alignment horizontal="center"/>
    </xf>
    <xf numFmtId="0" fontId="61" fillId="74" borderId="0" xfId="0" applyFont="1" applyFill="1"/>
    <xf numFmtId="0" fontId="71" fillId="74" borderId="0" xfId="57846" applyFont="1" applyFill="1" applyProtection="1">
      <protection locked="0"/>
    </xf>
    <xf numFmtId="0" fontId="75" fillId="74" borderId="10" xfId="57846" applyFont="1" applyFill="1" applyBorder="1" applyAlignment="1" applyProtection="1">
      <alignment horizontal="center" vertical="center" wrapText="1"/>
      <protection locked="0"/>
    </xf>
    <xf numFmtId="0" fontId="73" fillId="74" borderId="25" xfId="57846" applyFont="1" applyFill="1" applyBorder="1" applyAlignment="1" applyProtection="1">
      <alignment vertical="center" wrapText="1"/>
      <protection locked="0"/>
    </xf>
    <xf numFmtId="3" fontId="71" fillId="74" borderId="25" xfId="57846" applyNumberFormat="1" applyFont="1" applyFill="1" applyBorder="1" applyAlignment="1" applyProtection="1">
      <alignment horizontal="center" vertical="center"/>
      <protection locked="0"/>
    </xf>
    <xf numFmtId="3" fontId="76" fillId="74" borderId="25" xfId="57846" applyNumberFormat="1" applyFont="1" applyFill="1" applyBorder="1" applyAlignment="1" applyProtection="1">
      <alignment horizontal="center" vertical="center"/>
      <protection locked="0"/>
    </xf>
    <xf numFmtId="3" fontId="71" fillId="74" borderId="10" xfId="57846" applyNumberFormat="1" applyFont="1" applyFill="1" applyBorder="1" applyAlignment="1" applyProtection="1">
      <alignment horizontal="center" vertical="center"/>
      <protection locked="0"/>
    </xf>
    <xf numFmtId="3" fontId="76" fillId="74" borderId="10" xfId="57846" applyNumberFormat="1" applyFont="1" applyFill="1" applyBorder="1" applyAlignment="1" applyProtection="1">
      <alignment horizontal="center" vertical="center"/>
      <protection locked="0"/>
    </xf>
    <xf numFmtId="0" fontId="73" fillId="74" borderId="10" xfId="57846" applyFont="1" applyFill="1" applyBorder="1" applyAlignment="1" applyProtection="1">
      <alignment vertical="center" wrapText="1"/>
      <protection locked="0"/>
    </xf>
    <xf numFmtId="3" fontId="71" fillId="74" borderId="10" xfId="57846" applyNumberFormat="1" applyFont="1" applyFill="1" applyBorder="1" applyAlignment="1" applyProtection="1">
      <alignment vertical="center"/>
      <protection locked="0"/>
    </xf>
    <xf numFmtId="3" fontId="76" fillId="74" borderId="10" xfId="57846" applyNumberFormat="1" applyFont="1" applyFill="1" applyBorder="1" applyAlignment="1" applyProtection="1">
      <alignment vertical="center"/>
      <protection locked="0"/>
    </xf>
    <xf numFmtId="3" fontId="71" fillId="74" borderId="29" xfId="57846" applyNumberFormat="1" applyFont="1" applyFill="1" applyBorder="1" applyAlignment="1" applyProtection="1">
      <alignment horizontal="center" vertical="center"/>
      <protection locked="0"/>
    </xf>
    <xf numFmtId="3" fontId="76" fillId="74" borderId="29" xfId="57846" applyNumberFormat="1" applyFont="1" applyFill="1" applyBorder="1" applyAlignment="1" applyProtection="1">
      <alignment horizontal="center" vertical="center"/>
      <protection locked="0"/>
    </xf>
    <xf numFmtId="3" fontId="71" fillId="74" borderId="29" xfId="57846" applyNumberFormat="1" applyFont="1" applyFill="1" applyBorder="1" applyAlignment="1" applyProtection="1">
      <alignment vertical="center"/>
      <protection locked="0"/>
    </xf>
    <xf numFmtId="3" fontId="71" fillId="74" borderId="25" xfId="57846" applyNumberFormat="1" applyFont="1" applyFill="1" applyBorder="1" applyAlignment="1" applyProtection="1">
      <alignment vertical="center"/>
      <protection locked="0"/>
    </xf>
    <xf numFmtId="3" fontId="73" fillId="74" borderId="10" xfId="57846" applyNumberFormat="1" applyFont="1" applyFill="1" applyBorder="1" applyAlignment="1" applyProtection="1">
      <alignment vertical="center" wrapText="1"/>
      <protection locked="0"/>
    </xf>
    <xf numFmtId="0" fontId="73" fillId="74" borderId="28" xfId="57846" applyFont="1" applyFill="1" applyBorder="1" applyAlignment="1" applyProtection="1">
      <alignment vertical="center" wrapText="1"/>
      <protection locked="0"/>
    </xf>
    <xf numFmtId="3" fontId="71" fillId="74" borderId="28" xfId="57846" applyNumberFormat="1" applyFont="1" applyFill="1" applyBorder="1" applyAlignment="1" applyProtection="1">
      <alignment horizontal="center" vertical="center"/>
      <protection locked="0"/>
    </xf>
    <xf numFmtId="3" fontId="71" fillId="74" borderId="28" xfId="57846" applyNumberFormat="1" applyFont="1" applyFill="1" applyBorder="1" applyAlignment="1" applyProtection="1">
      <alignment vertical="center"/>
      <protection locked="0"/>
    </xf>
    <xf numFmtId="0" fontId="74" fillId="74" borderId="0" xfId="57846" applyFont="1" applyFill="1"/>
    <xf numFmtId="0" fontId="69" fillId="74" borderId="0" xfId="57846" applyFont="1" applyFill="1" applyAlignment="1">
      <alignment horizontal="center"/>
    </xf>
    <xf numFmtId="0" fontId="69" fillId="74" borderId="0" xfId="57846" applyFont="1" applyFill="1"/>
    <xf numFmtId="0" fontId="75" fillId="74" borderId="28" xfId="57846" applyFont="1" applyFill="1" applyBorder="1" applyAlignment="1" applyProtection="1">
      <alignment horizontal="center" vertical="center" wrapText="1"/>
      <protection locked="0"/>
    </xf>
    <xf numFmtId="3" fontId="70" fillId="74" borderId="10" xfId="57846" applyNumberFormat="1" applyFont="1" applyFill="1" applyBorder="1" applyAlignment="1" applyProtection="1">
      <alignment horizontal="center" vertical="center"/>
      <protection locked="0"/>
    </xf>
    <xf numFmtId="0" fontId="70" fillId="74" borderId="0" xfId="57846" applyFont="1" applyFill="1" applyProtection="1">
      <protection locked="0"/>
    </xf>
    <xf numFmtId="3" fontId="73" fillId="74" borderId="25" xfId="57846" applyNumberFormat="1" applyFont="1" applyFill="1" applyBorder="1" applyAlignment="1" applyProtection="1">
      <alignment vertical="center" wrapText="1"/>
      <protection locked="0"/>
    </xf>
    <xf numFmtId="0" fontId="71" fillId="74" borderId="10" xfId="57846" applyFont="1" applyFill="1" applyBorder="1" applyProtection="1">
      <protection locked="0"/>
    </xf>
    <xf numFmtId="3" fontId="71" fillId="74" borderId="10" xfId="57846" applyNumberFormat="1" applyFont="1" applyFill="1" applyBorder="1" applyAlignment="1" applyProtection="1">
      <alignment horizontal="center"/>
      <protection locked="0"/>
    </xf>
    <xf numFmtId="3" fontId="73" fillId="74" borderId="28" xfId="57846" applyNumberFormat="1" applyFont="1" applyFill="1" applyBorder="1" applyAlignment="1" applyProtection="1">
      <alignment vertical="center" wrapText="1"/>
      <protection locked="0"/>
    </xf>
    <xf numFmtId="0" fontId="71" fillId="74" borderId="10" xfId="57846" applyFont="1" applyFill="1" applyBorder="1" applyAlignment="1" applyProtection="1">
      <alignment horizontal="center"/>
      <protection locked="0"/>
    </xf>
    <xf numFmtId="0" fontId="75" fillId="74" borderId="25" xfId="57846" applyFont="1" applyFill="1" applyBorder="1" applyAlignment="1" applyProtection="1">
      <alignment horizontal="center" vertical="center" wrapText="1"/>
      <protection locked="0"/>
    </xf>
    <xf numFmtId="0" fontId="75" fillId="74" borderId="10" xfId="57846" applyFont="1" applyFill="1" applyBorder="1" applyAlignment="1" applyProtection="1">
      <alignment horizontal="center" vertical="center" textRotation="90" wrapText="1"/>
      <protection locked="0"/>
    </xf>
    <xf numFmtId="0" fontId="62" fillId="0" borderId="0" xfId="57788" applyFont="1" applyFill="1" applyAlignment="1">
      <alignment horizontal="center" vertical="center"/>
    </xf>
    <xf numFmtId="3" fontId="62" fillId="0" borderId="24" xfId="57788" applyNumberFormat="1" applyFont="1" applyFill="1" applyBorder="1" applyAlignment="1">
      <alignment horizontal="center" vertical="center" wrapText="1"/>
    </xf>
    <xf numFmtId="3" fontId="61" fillId="0" borderId="24" xfId="57788" applyNumberFormat="1" applyFont="1" applyFill="1" applyBorder="1" applyAlignment="1">
      <alignment horizontal="center" vertical="center" wrapText="1"/>
    </xf>
    <xf numFmtId="0" fontId="62" fillId="0" borderId="30" xfId="57788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2" fillId="0" borderId="31" xfId="57788" applyFont="1" applyFill="1" applyBorder="1" applyAlignment="1">
      <alignment horizontal="left" vertical="center" wrapText="1"/>
    </xf>
    <xf numFmtId="3" fontId="62" fillId="0" borderId="10" xfId="57788" applyNumberFormat="1" applyFont="1" applyFill="1" applyBorder="1" applyAlignment="1">
      <alignment horizontal="center" vertical="center" wrapText="1"/>
    </xf>
    <xf numFmtId="0" fontId="62" fillId="0" borderId="10" xfId="57788" applyFont="1" applyFill="1" applyBorder="1" applyAlignment="1">
      <alignment horizontal="center" vertical="center"/>
    </xf>
    <xf numFmtId="0" fontId="62" fillId="0" borderId="26" xfId="57788" applyFont="1" applyFill="1" applyBorder="1" applyAlignment="1">
      <alignment horizontal="left" vertical="center" wrapText="1"/>
    </xf>
    <xf numFmtId="0" fontId="62" fillId="0" borderId="10" xfId="57788" applyFont="1" applyFill="1" applyBorder="1" applyAlignment="1">
      <alignment horizontal="left" vertical="center" wrapText="1"/>
    </xf>
    <xf numFmtId="0" fontId="61" fillId="0" borderId="10" xfId="57788" applyFont="1" applyFill="1" applyBorder="1" applyAlignment="1">
      <alignment horizontal="center" vertical="center"/>
    </xf>
    <xf numFmtId="0" fontId="61" fillId="0" borderId="0" xfId="57788" applyFont="1" applyFill="1" applyAlignment="1">
      <alignment horizontal="center" vertical="center"/>
    </xf>
    <xf numFmtId="4" fontId="62" fillId="0" borderId="27" xfId="59247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3" fontId="62" fillId="0" borderId="10" xfId="57788" applyNumberFormat="1" applyFont="1" applyFill="1" applyBorder="1" applyAlignment="1">
      <alignment horizontal="left" vertical="center" wrapText="1"/>
    </xf>
    <xf numFmtId="3" fontId="61" fillId="0" borderId="10" xfId="57788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59250" applyFont="1" applyFill="1" applyBorder="1" applyAlignment="1">
      <alignment vertical="center" wrapText="1"/>
    </xf>
    <xf numFmtId="0" fontId="62" fillId="0" borderId="0" xfId="59253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7" fillId="0" borderId="10" xfId="57788" applyFont="1" applyFill="1" applyBorder="1" applyAlignment="1">
      <alignment horizontal="center" vertical="center" wrapText="1"/>
    </xf>
    <xf numFmtId="0" fontId="61" fillId="0" borderId="10" xfId="57788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vertical="center" wrapText="1"/>
    </xf>
    <xf numFmtId="3" fontId="62" fillId="0" borderId="27" xfId="57788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 wrapText="1"/>
    </xf>
    <xf numFmtId="3" fontId="62" fillId="0" borderId="0" xfId="57788" applyNumberFormat="1" applyFont="1" applyFill="1" applyAlignment="1">
      <alignment horizontal="center" vertical="center"/>
    </xf>
    <xf numFmtId="3" fontId="62" fillId="0" borderId="0" xfId="57788" applyNumberFormat="1" applyFont="1" applyFill="1" applyAlignment="1">
      <alignment horizontal="right" vertical="center"/>
    </xf>
    <xf numFmtId="3" fontId="61" fillId="0" borderId="0" xfId="57788" applyNumberFormat="1" applyFont="1" applyFill="1" applyAlignment="1">
      <alignment horizontal="center" vertical="center"/>
    </xf>
    <xf numFmtId="0" fontId="62" fillId="0" borderId="0" xfId="57788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3" fontId="62" fillId="0" borderId="0" xfId="0" applyNumberFormat="1" applyFont="1" applyFill="1" applyAlignment="1">
      <alignment horizontal="center" vertical="center"/>
    </xf>
    <xf numFmtId="0" fontId="62" fillId="0" borderId="40" xfId="0" applyFont="1" applyFill="1" applyBorder="1" applyAlignment="1">
      <alignment horizontal="center" vertical="center" wrapText="1"/>
    </xf>
    <xf numFmtId="3" fontId="62" fillId="0" borderId="42" xfId="0" applyNumberFormat="1" applyFont="1" applyFill="1" applyBorder="1" applyAlignment="1">
      <alignment horizontal="center" vertical="center"/>
    </xf>
    <xf numFmtId="3" fontId="62" fillId="0" borderId="42" xfId="0" applyNumberFormat="1" applyFont="1" applyFill="1" applyBorder="1" applyAlignment="1">
      <alignment horizontal="center" vertical="center" wrapText="1"/>
    </xf>
    <xf numFmtId="3" fontId="62" fillId="0" borderId="43" xfId="0" applyNumberFormat="1" applyFont="1" applyFill="1" applyBorder="1" applyAlignment="1">
      <alignment horizontal="center" vertical="center" wrapText="1"/>
    </xf>
    <xf numFmtId="3" fontId="62" fillId="0" borderId="44" xfId="0" applyNumberFormat="1" applyFont="1" applyFill="1" applyBorder="1" applyAlignment="1">
      <alignment horizontal="center" vertical="center"/>
    </xf>
    <xf numFmtId="3" fontId="62" fillId="0" borderId="41" xfId="0" applyNumberFormat="1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/>
    </xf>
    <xf numFmtId="3" fontId="62" fillId="0" borderId="31" xfId="59261" applyNumberFormat="1" applyFont="1" applyFill="1" applyBorder="1" applyAlignment="1">
      <alignment horizontal="left" vertical="center" wrapText="1"/>
    </xf>
    <xf numFmtId="3" fontId="62" fillId="0" borderId="46" xfId="59261" applyNumberFormat="1" applyFont="1" applyFill="1" applyBorder="1" applyAlignment="1">
      <alignment horizontal="left" vertical="center" wrapText="1"/>
    </xf>
    <xf numFmtId="3" fontId="62" fillId="0" borderId="28" xfId="58105" applyNumberFormat="1" applyFont="1" applyFill="1" applyBorder="1" applyAlignment="1">
      <alignment horizontal="center" vertical="center" wrapText="1"/>
    </xf>
    <xf numFmtId="3" fontId="62" fillId="0" borderId="47" xfId="0" applyNumberFormat="1" applyFont="1" applyFill="1" applyBorder="1" applyAlignment="1">
      <alignment horizontal="center" vertical="center"/>
    </xf>
    <xf numFmtId="3" fontId="62" fillId="0" borderId="48" xfId="0" applyNumberFormat="1" applyFont="1" applyFill="1" applyBorder="1" applyAlignment="1">
      <alignment horizontal="center" vertical="center"/>
    </xf>
    <xf numFmtId="3" fontId="62" fillId="0" borderId="28" xfId="0" applyNumberFormat="1" applyFont="1" applyFill="1" applyBorder="1" applyAlignment="1">
      <alignment horizontal="center" vertical="center"/>
    </xf>
    <xf numFmtId="3" fontId="62" fillId="0" borderId="31" xfId="0" applyNumberFormat="1" applyFont="1" applyFill="1" applyBorder="1" applyAlignment="1">
      <alignment horizontal="center" vertical="center"/>
    </xf>
    <xf numFmtId="3" fontId="62" fillId="0" borderId="49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62" fillId="0" borderId="50" xfId="0" applyFont="1" applyFill="1" applyBorder="1" applyAlignment="1">
      <alignment horizontal="center" vertical="center"/>
    </xf>
    <xf numFmtId="3" fontId="62" fillId="0" borderId="26" xfId="59261" applyNumberFormat="1" applyFont="1" applyFill="1" applyBorder="1" applyAlignment="1">
      <alignment horizontal="left" vertical="center" wrapText="1"/>
    </xf>
    <xf numFmtId="3" fontId="62" fillId="0" borderId="50" xfId="59261" applyNumberFormat="1" applyFont="1" applyFill="1" applyBorder="1" applyAlignment="1">
      <alignment horizontal="left" vertical="center" wrapText="1"/>
    </xf>
    <xf numFmtId="3" fontId="62" fillId="0" borderId="10" xfId="58105" applyNumberFormat="1" applyFont="1" applyFill="1" applyBorder="1" applyAlignment="1">
      <alignment horizontal="center" vertical="center" wrapText="1"/>
    </xf>
    <xf numFmtId="3" fontId="62" fillId="0" borderId="27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62" fillId="0" borderId="26" xfId="0" applyNumberFormat="1" applyFont="1" applyFill="1" applyBorder="1" applyAlignment="1">
      <alignment horizontal="center" vertical="center"/>
    </xf>
    <xf numFmtId="3" fontId="62" fillId="0" borderId="51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vertical="center" wrapText="1"/>
    </xf>
    <xf numFmtId="0" fontId="62" fillId="0" borderId="50" xfId="0" applyFont="1" applyFill="1" applyBorder="1" applyAlignment="1">
      <alignment vertical="center" wrapText="1"/>
    </xf>
    <xf numFmtId="3" fontId="62" fillId="0" borderId="26" xfId="59251" applyNumberFormat="1" applyFont="1" applyFill="1" applyBorder="1" applyAlignment="1">
      <alignment horizontal="left" vertical="center" wrapText="1"/>
    </xf>
    <xf numFmtId="3" fontId="62" fillId="0" borderId="50" xfId="59251" applyNumberFormat="1" applyFont="1" applyFill="1" applyBorder="1" applyAlignment="1">
      <alignment horizontal="left" vertical="center" wrapText="1"/>
    </xf>
    <xf numFmtId="1" fontId="62" fillId="0" borderId="26" xfId="59261" applyNumberFormat="1" applyFont="1" applyFill="1" applyBorder="1" applyAlignment="1">
      <alignment horizontal="left" vertical="center" wrapText="1"/>
    </xf>
    <xf numFmtId="1" fontId="62" fillId="0" borderId="50" xfId="59261" applyNumberFormat="1" applyFont="1" applyFill="1" applyBorder="1" applyAlignment="1">
      <alignment horizontal="left" vertical="center" wrapText="1"/>
    </xf>
    <xf numFmtId="4" fontId="62" fillId="0" borderId="26" xfId="59261" applyNumberFormat="1" applyFont="1" applyFill="1" applyBorder="1" applyAlignment="1">
      <alignment horizontal="left" vertical="center" wrapText="1"/>
    </xf>
    <xf numFmtId="4" fontId="62" fillId="0" borderId="50" xfId="59261" applyNumberFormat="1" applyFont="1" applyFill="1" applyBorder="1" applyAlignment="1">
      <alignment horizontal="left" vertical="center" wrapText="1"/>
    </xf>
    <xf numFmtId="3" fontId="62" fillId="0" borderId="26" xfId="0" applyNumberFormat="1" applyFont="1" applyFill="1" applyBorder="1" applyAlignment="1">
      <alignment vertical="center" wrapText="1"/>
    </xf>
    <xf numFmtId="3" fontId="62" fillId="0" borderId="50" xfId="0" applyNumberFormat="1" applyFont="1" applyFill="1" applyBorder="1" applyAlignment="1">
      <alignment vertical="center" wrapText="1"/>
    </xf>
    <xf numFmtId="3" fontId="62" fillId="0" borderId="53" xfId="59261" applyNumberFormat="1" applyFont="1" applyFill="1" applyBorder="1" applyAlignment="1">
      <alignment horizontal="left" vertical="center" wrapText="1"/>
    </xf>
    <xf numFmtId="3" fontId="62" fillId="0" borderId="27" xfId="59261" applyNumberFormat="1" applyFont="1" applyFill="1" applyBorder="1" applyAlignment="1">
      <alignment horizontal="left" vertical="center" wrapText="1"/>
    </xf>
    <xf numFmtId="3" fontId="62" fillId="0" borderId="53" xfId="0" applyNumberFormat="1" applyFont="1" applyFill="1" applyBorder="1" applyAlignment="1">
      <alignment horizontal="center" vertical="center"/>
    </xf>
    <xf numFmtId="3" fontId="62" fillId="0" borderId="54" xfId="0" applyNumberFormat="1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3" fontId="62" fillId="0" borderId="56" xfId="59251" applyNumberFormat="1" applyFont="1" applyFill="1" applyBorder="1" applyAlignment="1">
      <alignment horizontal="left" vertical="center" wrapText="1"/>
    </xf>
    <xf numFmtId="3" fontId="62" fillId="0" borderId="55" xfId="59251" applyNumberFormat="1" applyFont="1" applyFill="1" applyBorder="1" applyAlignment="1">
      <alignment horizontal="left" vertical="center" wrapText="1"/>
    </xf>
    <xf numFmtId="3" fontId="62" fillId="0" borderId="25" xfId="58105" applyNumberFormat="1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vertical="center"/>
    </xf>
    <xf numFmtId="3" fontId="61" fillId="0" borderId="60" xfId="0" applyNumberFormat="1" applyFont="1" applyFill="1" applyBorder="1" applyAlignment="1">
      <alignment horizontal="center" vertical="center"/>
    </xf>
    <xf numFmtId="3" fontId="61" fillId="0" borderId="62" xfId="0" applyNumberFormat="1" applyFont="1" applyFill="1" applyBorder="1" applyAlignment="1">
      <alignment horizontal="center" vertical="center"/>
    </xf>
    <xf numFmtId="3" fontId="61" fillId="0" borderId="63" xfId="0" applyNumberFormat="1" applyFont="1" applyFill="1" applyBorder="1" applyAlignment="1">
      <alignment horizontal="center" vertical="center"/>
    </xf>
    <xf numFmtId="3" fontId="61" fillId="0" borderId="64" xfId="0" applyNumberFormat="1" applyFont="1" applyFill="1" applyBorder="1" applyAlignment="1">
      <alignment horizontal="center" vertical="center"/>
    </xf>
    <xf numFmtId="3" fontId="61" fillId="0" borderId="61" xfId="0" applyNumberFormat="1" applyFont="1" applyFill="1" applyBorder="1" applyAlignment="1">
      <alignment horizontal="center" vertical="center"/>
    </xf>
    <xf numFmtId="3" fontId="61" fillId="0" borderId="65" xfId="0" applyNumberFormat="1" applyFont="1" applyFill="1" applyBorder="1" applyAlignment="1">
      <alignment horizontal="center" vertical="center"/>
    </xf>
    <xf numFmtId="3" fontId="62" fillId="0" borderId="27" xfId="58105" applyNumberFormat="1" applyFont="1" applyFill="1" applyBorder="1" applyAlignment="1">
      <alignment horizontal="center" vertical="center" wrapText="1"/>
    </xf>
    <xf numFmtId="3" fontId="62" fillId="0" borderId="57" xfId="0" applyNumberFormat="1" applyFont="1" applyFill="1" applyBorder="1" applyAlignment="1">
      <alignment horizontal="center" vertical="center"/>
    </xf>
    <xf numFmtId="3" fontId="62" fillId="0" borderId="58" xfId="0" applyNumberFormat="1" applyFont="1" applyFill="1" applyBorder="1" applyAlignment="1">
      <alignment horizontal="center" vertical="center"/>
    </xf>
    <xf numFmtId="3" fontId="62" fillId="0" borderId="59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3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3" fontId="77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3" fontId="80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3" fontId="64" fillId="0" borderId="0" xfId="0" applyNumberFormat="1" applyFont="1" applyFill="1" applyAlignment="1">
      <alignment horizontal="center" vertical="center"/>
    </xf>
    <xf numFmtId="3" fontId="64" fillId="0" borderId="40" xfId="0" applyNumberFormat="1" applyFont="1" applyFill="1" applyBorder="1" applyAlignment="1">
      <alignment horizontal="center" vertical="center" wrapText="1" shrinkToFit="1"/>
    </xf>
    <xf numFmtId="3" fontId="64" fillId="0" borderId="42" xfId="0" applyNumberFormat="1" applyFont="1" applyFill="1" applyBorder="1" applyAlignment="1">
      <alignment horizontal="center" vertical="center" wrapText="1" shrinkToFit="1"/>
    </xf>
    <xf numFmtId="0" fontId="64" fillId="0" borderId="46" xfId="0" applyFont="1" applyFill="1" applyBorder="1" applyAlignment="1">
      <alignment horizontal="center" vertical="center"/>
    </xf>
    <xf numFmtId="3" fontId="64" fillId="0" borderId="47" xfId="59261" applyNumberFormat="1" applyFont="1" applyFill="1" applyBorder="1" applyAlignment="1">
      <alignment horizontal="left" vertical="center" wrapText="1"/>
    </xf>
    <xf numFmtId="3" fontId="64" fillId="0" borderId="46" xfId="0" applyNumberFormat="1" applyFont="1" applyFill="1" applyBorder="1" applyAlignment="1">
      <alignment horizontal="center" vertical="center"/>
    </xf>
    <xf numFmtId="3" fontId="64" fillId="0" borderId="48" xfId="0" applyNumberFormat="1" applyFont="1" applyFill="1" applyBorder="1" applyAlignment="1">
      <alignment horizontal="center" vertical="center"/>
    </xf>
    <xf numFmtId="3" fontId="64" fillId="0" borderId="28" xfId="0" applyNumberFormat="1" applyFont="1" applyFill="1" applyBorder="1" applyAlignment="1">
      <alignment horizontal="center" vertical="center"/>
    </xf>
    <xf numFmtId="3" fontId="64" fillId="0" borderId="31" xfId="0" applyNumberFormat="1" applyFont="1" applyFill="1" applyBorder="1" applyAlignment="1">
      <alignment horizontal="center" vertical="center"/>
    </xf>
    <xf numFmtId="3" fontId="64" fillId="0" borderId="76" xfId="0" applyNumberFormat="1" applyFont="1" applyFill="1" applyBorder="1" applyAlignment="1">
      <alignment horizontal="center" vertical="center"/>
    </xf>
    <xf numFmtId="3" fontId="64" fillId="0" borderId="47" xfId="0" applyNumberFormat="1" applyFont="1" applyFill="1" applyBorder="1" applyAlignment="1">
      <alignment horizontal="center" vertical="center"/>
    </xf>
    <xf numFmtId="3" fontId="64" fillId="0" borderId="77" xfId="0" applyNumberFormat="1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3" fontId="64" fillId="0" borderId="53" xfId="59261" applyNumberFormat="1" applyFont="1" applyFill="1" applyBorder="1" applyAlignment="1">
      <alignment horizontal="left" vertical="center" wrapText="1"/>
    </xf>
    <xf numFmtId="3" fontId="64" fillId="0" borderId="50" xfId="0" applyNumberFormat="1" applyFont="1" applyFill="1" applyBorder="1" applyAlignment="1">
      <alignment horizontal="center" vertical="center"/>
    </xf>
    <xf numFmtId="3" fontId="64" fillId="0" borderId="27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4" fillId="0" borderId="69" xfId="0" applyNumberFormat="1" applyFont="1" applyFill="1" applyBorder="1" applyAlignment="1">
      <alignment horizontal="center" vertical="center"/>
    </xf>
    <xf numFmtId="3" fontId="64" fillId="0" borderId="5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3" fontId="64" fillId="0" borderId="53" xfId="59251" applyNumberFormat="1" applyFont="1" applyFill="1" applyBorder="1" applyAlignment="1">
      <alignment horizontal="left" vertical="center" wrapText="1"/>
    </xf>
    <xf numFmtId="1" fontId="64" fillId="0" borderId="53" xfId="59261" applyNumberFormat="1" applyFont="1" applyFill="1" applyBorder="1" applyAlignment="1">
      <alignment horizontal="left" vertical="center" wrapText="1"/>
    </xf>
    <xf numFmtId="3" fontId="64" fillId="0" borderId="53" xfId="0" applyNumberFormat="1" applyFont="1" applyFill="1" applyBorder="1" applyAlignment="1">
      <alignment vertical="center" wrapText="1"/>
    </xf>
    <xf numFmtId="4" fontId="64" fillId="0" borderId="53" xfId="59261" applyNumberFormat="1" applyFont="1" applyFill="1" applyBorder="1" applyAlignment="1">
      <alignment horizontal="left" vertical="center" wrapText="1"/>
    </xf>
    <xf numFmtId="0" fontId="64" fillId="0" borderId="55" xfId="0" applyFont="1" applyFill="1" applyBorder="1" applyAlignment="1">
      <alignment horizontal="center" vertical="center"/>
    </xf>
    <xf numFmtId="3" fontId="64" fillId="0" borderId="58" xfId="0" applyNumberFormat="1" applyFont="1" applyFill="1" applyBorder="1" applyAlignment="1">
      <alignment vertical="center" wrapText="1"/>
    </xf>
    <xf numFmtId="3" fontId="64" fillId="0" borderId="55" xfId="0" applyNumberFormat="1" applyFont="1" applyFill="1" applyBorder="1" applyAlignment="1">
      <alignment horizontal="center" vertical="center"/>
    </xf>
    <xf numFmtId="3" fontId="64" fillId="0" borderId="57" xfId="0" applyNumberFormat="1" applyFont="1" applyFill="1" applyBorder="1" applyAlignment="1">
      <alignment horizontal="center" vertical="center"/>
    </xf>
    <xf numFmtId="3" fontId="64" fillId="0" borderId="25" xfId="0" applyNumberFormat="1" applyFont="1" applyFill="1" applyBorder="1" applyAlignment="1">
      <alignment horizontal="center" vertical="center"/>
    </xf>
    <xf numFmtId="3" fontId="64" fillId="0" borderId="52" xfId="0" applyNumberFormat="1" applyFont="1" applyFill="1" applyBorder="1" applyAlignment="1">
      <alignment horizontal="center" vertical="center"/>
    </xf>
    <xf numFmtId="3" fontId="64" fillId="0" borderId="58" xfId="0" applyNumberFormat="1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81" fillId="0" borderId="61" xfId="0" applyFont="1" applyFill="1" applyBorder="1" applyAlignment="1">
      <alignment vertical="center"/>
    </xf>
    <xf numFmtId="3" fontId="81" fillId="0" borderId="60" xfId="0" applyNumberFormat="1" applyFont="1" applyFill="1" applyBorder="1" applyAlignment="1">
      <alignment horizontal="center" vertical="center"/>
    </xf>
    <xf numFmtId="3" fontId="81" fillId="0" borderId="62" xfId="0" applyNumberFormat="1" applyFont="1" applyFill="1" applyBorder="1" applyAlignment="1">
      <alignment horizontal="center" vertical="center"/>
    </xf>
    <xf numFmtId="3" fontId="81" fillId="0" borderId="61" xfId="0" applyNumberFormat="1" applyFont="1" applyFill="1" applyBorder="1" applyAlignment="1">
      <alignment horizontal="center" vertical="center"/>
    </xf>
    <xf numFmtId="3" fontId="81" fillId="0" borderId="78" xfId="0" applyNumberFormat="1" applyFont="1" applyFill="1" applyBorder="1" applyAlignment="1">
      <alignment horizontal="center" vertical="center"/>
    </xf>
    <xf numFmtId="3" fontId="81" fillId="0" borderId="63" xfId="0" applyNumberFormat="1" applyFont="1" applyFill="1" applyBorder="1" applyAlignment="1">
      <alignment horizontal="center" vertical="center"/>
    </xf>
    <xf numFmtId="3" fontId="81" fillId="0" borderId="79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horizontal="left" vertical="center"/>
    </xf>
    <xf numFmtId="3" fontId="62" fillId="0" borderId="55" xfId="0" applyNumberFormat="1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/>
    </xf>
    <xf numFmtId="3" fontId="62" fillId="0" borderId="34" xfId="0" applyNumberFormat="1" applyFont="1" applyFill="1" applyBorder="1" applyAlignment="1">
      <alignment horizontal="left" vertical="center"/>
    </xf>
    <xf numFmtId="3" fontId="62" fillId="0" borderId="32" xfId="0" applyNumberFormat="1" applyFont="1" applyFill="1" applyBorder="1" applyAlignment="1">
      <alignment horizontal="center" vertical="center"/>
    </xf>
    <xf numFmtId="3" fontId="62" fillId="0" borderId="38" xfId="0" applyNumberFormat="1" applyFont="1" applyFill="1" applyBorder="1" applyAlignment="1">
      <alignment horizontal="center" vertical="center"/>
    </xf>
    <xf numFmtId="3" fontId="62" fillId="0" borderId="66" xfId="0" applyNumberFormat="1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3" fontId="62" fillId="0" borderId="69" xfId="0" applyNumberFormat="1" applyFont="1" applyFill="1" applyBorder="1" applyAlignment="1">
      <alignment horizontal="left" vertical="center"/>
    </xf>
    <xf numFmtId="3" fontId="62" fillId="0" borderId="50" xfId="0" applyNumberFormat="1" applyFont="1" applyFill="1" applyBorder="1" applyAlignment="1">
      <alignment horizontal="center" vertical="center"/>
    </xf>
    <xf numFmtId="3" fontId="62" fillId="0" borderId="51" xfId="0" applyNumberFormat="1" applyFont="1" applyFill="1" applyBorder="1" applyAlignment="1">
      <alignment horizontal="left" vertical="center"/>
    </xf>
    <xf numFmtId="4" fontId="62" fillId="0" borderId="51" xfId="59247" applyNumberFormat="1" applyFont="1" applyFill="1" applyBorder="1" applyAlignment="1">
      <alignment vertical="center" wrapText="1"/>
    </xf>
    <xf numFmtId="0" fontId="62" fillId="0" borderId="83" xfId="0" applyFont="1" applyFill="1" applyBorder="1" applyAlignment="1">
      <alignment vertical="center" wrapText="1"/>
    </xf>
    <xf numFmtId="3" fontId="62" fillId="0" borderId="69" xfId="0" applyNumberFormat="1" applyFont="1" applyFill="1" applyBorder="1" applyAlignment="1">
      <alignment horizontal="left" vertical="center" wrapText="1"/>
    </xf>
    <xf numFmtId="0" fontId="62" fillId="0" borderId="49" xfId="0" applyFont="1" applyFill="1" applyBorder="1" applyAlignment="1">
      <alignment horizontal="center" vertical="center"/>
    </xf>
    <xf numFmtId="3" fontId="62" fillId="0" borderId="69" xfId="57788" applyNumberFormat="1" applyFont="1" applyFill="1" applyBorder="1" applyAlignment="1">
      <alignment horizontal="left" vertical="center" wrapText="1"/>
    </xf>
    <xf numFmtId="0" fontId="62" fillId="0" borderId="83" xfId="0" applyFont="1" applyFill="1" applyBorder="1" applyAlignment="1">
      <alignment horizontal="center" vertical="center"/>
    </xf>
    <xf numFmtId="3" fontId="62" fillId="0" borderId="83" xfId="0" applyNumberFormat="1" applyFont="1" applyFill="1" applyBorder="1" applyAlignment="1">
      <alignment horizontal="left" vertical="center"/>
    </xf>
    <xf numFmtId="0" fontId="62" fillId="0" borderId="65" xfId="0" applyFont="1" applyFill="1" applyBorder="1" applyAlignment="1">
      <alignment horizontal="center" vertical="center"/>
    </xf>
    <xf numFmtId="3" fontId="61" fillId="0" borderId="65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3" fontId="64" fillId="0" borderId="42" xfId="0" applyNumberFormat="1" applyFont="1" applyFill="1" applyBorder="1" applyAlignment="1">
      <alignment horizontal="center" vertical="center" wrapText="1"/>
    </xf>
    <xf numFmtId="4" fontId="64" fillId="0" borderId="42" xfId="0" applyNumberFormat="1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3" fontId="63" fillId="0" borderId="88" xfId="59261" applyNumberFormat="1" applyFont="1" applyFill="1" applyBorder="1" applyAlignment="1">
      <alignment horizontal="left" vertical="center" wrapText="1"/>
    </xf>
    <xf numFmtId="3" fontId="63" fillId="0" borderId="48" xfId="58105" applyNumberFormat="1" applyFont="1" applyFill="1" applyBorder="1" applyAlignment="1">
      <alignment horizontal="center" vertical="center" wrapText="1"/>
    </xf>
    <xf numFmtId="3" fontId="63" fillId="0" borderId="28" xfId="58105" applyNumberFormat="1" applyFont="1" applyFill="1" applyBorder="1" applyAlignment="1">
      <alignment horizontal="center" vertical="center" wrapText="1"/>
    </xf>
    <xf numFmtId="3" fontId="63" fillId="0" borderId="31" xfId="0" applyNumberFormat="1" applyFont="1" applyFill="1" applyBorder="1" applyAlignment="1">
      <alignment horizontal="center" vertical="center"/>
    </xf>
    <xf numFmtId="3" fontId="63" fillId="0" borderId="46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47" xfId="0" applyNumberFormat="1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3" fontId="63" fillId="0" borderId="58" xfId="59261" applyNumberFormat="1" applyFont="1" applyFill="1" applyBorder="1" applyAlignment="1">
      <alignment horizontal="left" vertical="center" wrapText="1"/>
    </xf>
    <xf numFmtId="3" fontId="63" fillId="0" borderId="50" xfId="58105" applyNumberFormat="1" applyFont="1" applyFill="1" applyBorder="1" applyAlignment="1">
      <alignment horizontal="center" vertical="center" wrapText="1"/>
    </xf>
    <xf numFmtId="3" fontId="63" fillId="0" borderId="10" xfId="58105" applyNumberFormat="1" applyFont="1" applyFill="1" applyBorder="1" applyAlignment="1">
      <alignment horizontal="center" vertical="center" wrapText="1"/>
    </xf>
    <xf numFmtId="3" fontId="63" fillId="0" borderId="5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3" fontId="63" fillId="0" borderId="31" xfId="58105" applyNumberFormat="1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left" vertical="center" wrapText="1"/>
    </xf>
    <xf numFmtId="3" fontId="63" fillId="0" borderId="53" xfId="59261" applyNumberFormat="1" applyFont="1" applyFill="1" applyBorder="1" applyAlignment="1">
      <alignment horizontal="left" vertical="center" wrapText="1"/>
    </xf>
    <xf numFmtId="3" fontId="63" fillId="0" borderId="53" xfId="59251" applyNumberFormat="1" applyFont="1" applyFill="1" applyBorder="1" applyAlignment="1">
      <alignment horizontal="left" vertical="center" wrapText="1"/>
    </xf>
    <xf numFmtId="3" fontId="63" fillId="0" borderId="58" xfId="59251" applyNumberFormat="1" applyFont="1" applyFill="1" applyBorder="1" applyAlignment="1">
      <alignment horizontal="left" vertical="center" wrapText="1"/>
    </xf>
    <xf numFmtId="0" fontId="63" fillId="0" borderId="69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vertical="center"/>
    </xf>
    <xf numFmtId="3" fontId="63" fillId="0" borderId="53" xfId="0" applyNumberFormat="1" applyFont="1" applyFill="1" applyBorder="1" applyAlignment="1">
      <alignment vertical="center" wrapText="1"/>
    </xf>
    <xf numFmtId="3" fontId="62" fillId="0" borderId="53" xfId="0" applyNumberFormat="1" applyFont="1" applyFill="1" applyBorder="1" applyAlignment="1">
      <alignment horizontal="left" vertical="center" wrapText="1"/>
    </xf>
    <xf numFmtId="3" fontId="63" fillId="0" borderId="27" xfId="58105" applyNumberFormat="1" applyFont="1" applyFill="1" applyBorder="1" applyAlignment="1">
      <alignment horizontal="center" vertical="center" wrapText="1"/>
    </xf>
    <xf numFmtId="3" fontId="63" fillId="0" borderId="26" xfId="59251" applyNumberFormat="1" applyFont="1" applyFill="1" applyBorder="1" applyAlignment="1">
      <alignment horizontal="left" vertical="center" wrapText="1"/>
    </xf>
    <xf numFmtId="3" fontId="63" fillId="0" borderId="53" xfId="0" applyNumberFormat="1" applyFont="1" applyFill="1" applyBorder="1" applyAlignment="1">
      <alignment horizontal="center" vertical="center"/>
    </xf>
    <xf numFmtId="3" fontId="63" fillId="0" borderId="27" xfId="0" applyNumberFormat="1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3" fontId="63" fillId="0" borderId="56" xfId="59251" applyNumberFormat="1" applyFont="1" applyFill="1" applyBorder="1" applyAlignment="1">
      <alignment horizontal="left" vertical="center" wrapText="1"/>
    </xf>
    <xf numFmtId="3" fontId="63" fillId="0" borderId="55" xfId="58105" applyNumberFormat="1" applyFont="1" applyFill="1" applyBorder="1" applyAlignment="1">
      <alignment horizontal="center" vertical="center" wrapText="1"/>
    </xf>
    <xf numFmtId="3" fontId="63" fillId="0" borderId="25" xfId="58105" applyNumberFormat="1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/>
    </xf>
    <xf numFmtId="3" fontId="63" fillId="0" borderId="58" xfId="0" applyNumberFormat="1" applyFont="1" applyFill="1" applyBorder="1" applyAlignment="1">
      <alignment horizontal="center" vertical="center"/>
    </xf>
    <xf numFmtId="3" fontId="63" fillId="0" borderId="57" xfId="0" applyNumberFormat="1" applyFont="1" applyFill="1" applyBorder="1" applyAlignment="1">
      <alignment horizontal="center" vertical="center"/>
    </xf>
    <xf numFmtId="3" fontId="63" fillId="0" borderId="25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3" fontId="63" fillId="0" borderId="55" xfId="0" applyNumberFormat="1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vertical="center"/>
    </xf>
    <xf numFmtId="3" fontId="68" fillId="0" borderId="60" xfId="0" applyNumberFormat="1" applyFont="1" applyFill="1" applyBorder="1" applyAlignment="1">
      <alignment horizontal="center" vertical="center"/>
    </xf>
    <xf numFmtId="3" fontId="68" fillId="0" borderId="62" xfId="0" applyNumberFormat="1" applyFont="1" applyFill="1" applyBorder="1" applyAlignment="1">
      <alignment horizontal="center" vertical="center"/>
    </xf>
    <xf numFmtId="3" fontId="68" fillId="0" borderId="63" xfId="0" applyNumberFormat="1" applyFont="1" applyFill="1" applyBorder="1" applyAlignment="1">
      <alignment horizontal="center" vertical="center"/>
    </xf>
    <xf numFmtId="3" fontId="68" fillId="0" borderId="64" xfId="0" applyNumberFormat="1" applyFont="1" applyFill="1" applyBorder="1" applyAlignment="1">
      <alignment horizontal="center" vertical="center"/>
    </xf>
    <xf numFmtId="3" fontId="68" fillId="0" borderId="61" xfId="0" applyNumberFormat="1" applyFont="1" applyFill="1" applyBorder="1" applyAlignment="1">
      <alignment horizontal="center" vertical="center"/>
    </xf>
    <xf numFmtId="3" fontId="63" fillId="0" borderId="26" xfId="59261" applyNumberFormat="1" applyFont="1" applyFill="1" applyBorder="1" applyAlignment="1">
      <alignment horizontal="left" vertical="center" wrapText="1"/>
    </xf>
    <xf numFmtId="3" fontId="63" fillId="0" borderId="26" xfId="58105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86" fillId="0" borderId="0" xfId="0" applyFont="1" applyFill="1"/>
    <xf numFmtId="0" fontId="86" fillId="0" borderId="0" xfId="0" applyFont="1" applyFill="1" applyAlignment="1">
      <alignment horizontal="center" vertical="center"/>
    </xf>
    <xf numFmtId="3" fontId="74" fillId="0" borderId="0" xfId="0" applyNumberFormat="1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3" fontId="71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3" fontId="7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10" xfId="0" applyFont="1" applyFill="1" applyBorder="1" applyAlignment="1" applyProtection="1">
      <alignment horizontal="left" vertical="center" wrapText="1"/>
      <protection locked="0"/>
    </xf>
    <xf numFmtId="3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69" fillId="0" borderId="0" xfId="0" applyNumberFormat="1" applyFont="1" applyFill="1"/>
    <xf numFmtId="0" fontId="69" fillId="0" borderId="10" xfId="0" applyFont="1" applyFill="1" applyBorder="1" applyAlignment="1" applyProtection="1">
      <alignment horizontal="left" vertical="center"/>
      <protection locked="0"/>
    </xf>
    <xf numFmtId="0" fontId="74" fillId="0" borderId="10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horizontal="left" vertical="center"/>
      <protection locked="0"/>
    </xf>
    <xf numFmtId="3" fontId="74" fillId="0" borderId="10" xfId="0" applyNumberFormat="1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Fill="1"/>
    <xf numFmtId="0" fontId="78" fillId="0" borderId="0" xfId="0" applyFont="1" applyFill="1" applyAlignment="1">
      <alignment horizontal="right"/>
    </xf>
    <xf numFmtId="3" fontId="78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right"/>
    </xf>
    <xf numFmtId="3" fontId="69" fillId="0" borderId="0" xfId="0" applyNumberFormat="1" applyFont="1" applyFill="1" applyAlignment="1">
      <alignment horizontal="center"/>
    </xf>
    <xf numFmtId="3" fontId="68" fillId="0" borderId="26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74" borderId="0" xfId="0" applyFill="1"/>
    <xf numFmtId="0" fontId="88" fillId="74" borderId="0" xfId="0" applyFont="1" applyFill="1"/>
    <xf numFmtId="0" fontId="71" fillId="74" borderId="0" xfId="0" applyFont="1" applyFill="1"/>
    <xf numFmtId="3" fontId="63" fillId="74" borderId="10" xfId="59248" applyNumberFormat="1" applyFont="1" applyFill="1" applyBorder="1" applyAlignment="1">
      <alignment horizontal="center" vertical="center" wrapText="1"/>
    </xf>
    <xf numFmtId="0" fontId="62" fillId="74" borderId="10" xfId="59247" applyFont="1" applyFill="1" applyBorder="1" applyAlignment="1">
      <alignment horizontal="center" vertical="center"/>
    </xf>
    <xf numFmtId="4" fontId="62" fillId="74" borderId="10" xfId="59247" applyNumberFormat="1" applyFont="1" applyFill="1" applyBorder="1" applyAlignment="1">
      <alignment horizontal="left" vertical="center" wrapText="1"/>
    </xf>
    <xf numFmtId="3" fontId="62" fillId="74" borderId="10" xfId="59247" applyNumberFormat="1" applyFont="1" applyFill="1" applyBorder="1" applyAlignment="1">
      <alignment horizontal="center" vertical="center" wrapText="1"/>
    </xf>
    <xf numFmtId="4" fontId="62" fillId="74" borderId="10" xfId="59247" applyNumberFormat="1" applyFont="1" applyFill="1" applyBorder="1" applyAlignment="1">
      <alignment vertical="center" wrapText="1"/>
    </xf>
    <xf numFmtId="4" fontId="62" fillId="74" borderId="10" xfId="59262" applyNumberFormat="1" applyFont="1" applyFill="1" applyBorder="1" applyAlignment="1">
      <alignment vertical="center" wrapText="1"/>
    </xf>
    <xf numFmtId="4" fontId="89" fillId="74" borderId="10" xfId="59262" applyNumberFormat="1" applyFont="1" applyFill="1" applyBorder="1" applyAlignment="1">
      <alignment horizontal="left" vertical="center" wrapText="1"/>
    </xf>
    <xf numFmtId="3" fontId="89" fillId="74" borderId="10" xfId="59247" applyNumberFormat="1" applyFont="1" applyFill="1" applyBorder="1" applyAlignment="1">
      <alignment horizontal="center" vertical="center" wrapText="1"/>
    </xf>
    <xf numFmtId="0" fontId="62" fillId="74" borderId="28" xfId="59247" applyFont="1" applyFill="1" applyBorder="1" applyAlignment="1">
      <alignment horizontal="center" vertical="center"/>
    </xf>
    <xf numFmtId="4" fontId="62" fillId="74" borderId="10" xfId="59262" applyNumberFormat="1" applyFont="1" applyFill="1" applyBorder="1" applyAlignment="1">
      <alignment horizontal="left" vertical="center" wrapText="1"/>
    </xf>
    <xf numFmtId="4" fontId="62" fillId="74" borderId="10" xfId="57748" applyNumberFormat="1" applyFont="1" applyFill="1" applyBorder="1" applyAlignment="1">
      <alignment horizontal="left" vertical="center" wrapText="1"/>
    </xf>
    <xf numFmtId="3" fontId="62" fillId="74" borderId="10" xfId="59247" applyNumberFormat="1" applyFont="1" applyFill="1" applyBorder="1" applyAlignment="1">
      <alignment vertical="center" wrapText="1"/>
    </xf>
    <xf numFmtId="3" fontId="89" fillId="74" borderId="10" xfId="59247" applyNumberFormat="1" applyFont="1" applyFill="1" applyBorder="1" applyAlignment="1">
      <alignment vertical="center" wrapText="1"/>
    </xf>
    <xf numFmtId="3" fontId="77" fillId="74" borderId="10" xfId="59247" applyNumberFormat="1" applyFont="1" applyFill="1" applyBorder="1" applyAlignment="1">
      <alignment horizontal="center" vertical="center" wrapText="1"/>
    </xf>
    <xf numFmtId="4" fontId="62" fillId="74" borderId="10" xfId="59248" applyNumberFormat="1" applyFont="1" applyFill="1" applyBorder="1" applyAlignment="1">
      <alignment vertical="center" wrapText="1"/>
    </xf>
    <xf numFmtId="3" fontId="61" fillId="74" borderId="10" xfId="59247" applyNumberFormat="1" applyFont="1" applyFill="1" applyBorder="1" applyAlignment="1">
      <alignment horizontal="left" vertical="center"/>
    </xf>
    <xf numFmtId="3" fontId="61" fillId="74" borderId="10" xfId="59247" applyNumberFormat="1" applyFont="1" applyFill="1" applyBorder="1" applyAlignment="1">
      <alignment horizontal="center" vertical="center" wrapText="1"/>
    </xf>
    <xf numFmtId="3" fontId="90" fillId="74" borderId="0" xfId="0" applyNumberFormat="1" applyFont="1" applyFill="1" applyAlignment="1">
      <alignment horizontal="center" vertical="center" wrapText="1"/>
    </xf>
    <xf numFmtId="3" fontId="8" fillId="74" borderId="0" xfId="0" applyNumberFormat="1" applyFont="1" applyFill="1" applyAlignment="1">
      <alignment horizontal="left" vertical="center" wrapText="1"/>
    </xf>
    <xf numFmtId="3" fontId="8" fillId="74" borderId="0" xfId="0" applyNumberFormat="1" applyFont="1" applyFill="1" applyAlignment="1">
      <alignment horizontal="center" vertical="center" wrapText="1"/>
    </xf>
    <xf numFmtId="3" fontId="90" fillId="74" borderId="0" xfId="0" applyNumberFormat="1" applyFont="1" applyFill="1" applyAlignment="1">
      <alignment horizontal="center" vertical="center"/>
    </xf>
    <xf numFmtId="3" fontId="91" fillId="74" borderId="0" xfId="0" applyNumberFormat="1" applyFont="1" applyFill="1" applyAlignment="1">
      <alignment horizontal="center" vertical="center"/>
    </xf>
    <xf numFmtId="3" fontId="8" fillId="74" borderId="0" xfId="0" applyNumberFormat="1" applyFont="1" applyFill="1" applyAlignment="1">
      <alignment horizontal="left" vertical="center"/>
    </xf>
    <xf numFmtId="3" fontId="8" fillId="74" borderId="0" xfId="0" applyNumberFormat="1" applyFont="1" applyFill="1" applyAlignment="1">
      <alignment horizontal="center" vertical="center"/>
    </xf>
    <xf numFmtId="3" fontId="91" fillId="74" borderId="10" xfId="0" applyNumberFormat="1" applyFont="1" applyFill="1" applyBorder="1" applyAlignment="1">
      <alignment horizontal="center" vertical="center"/>
    </xf>
    <xf numFmtId="3" fontId="92" fillId="74" borderId="10" xfId="0" applyNumberFormat="1" applyFont="1" applyFill="1" applyBorder="1" applyAlignment="1">
      <alignment horizontal="center" vertical="center" wrapText="1"/>
    </xf>
    <xf numFmtId="3" fontId="92" fillId="74" borderId="10" xfId="0" applyNumberFormat="1" applyFont="1" applyFill="1" applyBorder="1" applyAlignment="1">
      <alignment horizontal="left" vertical="center" wrapText="1"/>
    </xf>
    <xf numFmtId="3" fontId="93" fillId="74" borderId="10" xfId="0" applyNumberFormat="1" applyFont="1" applyFill="1" applyBorder="1" applyAlignment="1">
      <alignment horizontal="center" vertical="center"/>
    </xf>
    <xf numFmtId="3" fontId="93" fillId="74" borderId="0" xfId="0" applyNumberFormat="1" applyFont="1" applyFill="1" applyAlignment="1">
      <alignment horizontal="center" vertical="center"/>
    </xf>
    <xf numFmtId="3" fontId="94" fillId="74" borderId="10" xfId="0" applyNumberFormat="1" applyFont="1" applyFill="1" applyBorder="1" applyAlignment="1">
      <alignment horizontal="center" vertical="center"/>
    </xf>
    <xf numFmtId="49" fontId="92" fillId="74" borderId="10" xfId="0" applyNumberFormat="1" applyFont="1" applyFill="1" applyBorder="1" applyAlignment="1">
      <alignment horizontal="center" vertical="center" wrapText="1"/>
    </xf>
    <xf numFmtId="3" fontId="92" fillId="74" borderId="10" xfId="0" applyNumberFormat="1" applyFont="1" applyFill="1" applyBorder="1" applyAlignment="1">
      <alignment horizontal="center" vertical="center"/>
    </xf>
    <xf numFmtId="3" fontId="93" fillId="74" borderId="0" xfId="0" applyNumberFormat="1" applyFont="1" applyFill="1" applyAlignment="1">
      <alignment horizontal="left" vertical="center"/>
    </xf>
    <xf numFmtId="3" fontId="92" fillId="74" borderId="0" xfId="0" applyNumberFormat="1" applyFont="1" applyFill="1" applyAlignment="1">
      <alignment horizontal="center" vertical="center"/>
    </xf>
    <xf numFmtId="3" fontId="95" fillId="74" borderId="10" xfId="0" applyNumberFormat="1" applyFont="1" applyFill="1" applyBorder="1" applyAlignment="1">
      <alignment horizontal="center" vertical="center" wrapText="1"/>
    </xf>
    <xf numFmtId="3" fontId="96" fillId="74" borderId="10" xfId="0" applyNumberFormat="1" applyFont="1" applyFill="1" applyBorder="1" applyAlignment="1">
      <alignment horizontal="left" vertical="center" wrapText="1"/>
    </xf>
    <xf numFmtId="3" fontId="96" fillId="74" borderId="10" xfId="0" applyNumberFormat="1" applyFont="1" applyFill="1" applyBorder="1" applyAlignment="1">
      <alignment horizontal="center" vertical="center" wrapText="1"/>
    </xf>
    <xf numFmtId="3" fontId="97" fillId="74" borderId="0" xfId="0" applyNumberFormat="1" applyFont="1" applyFill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69" fillId="0" borderId="0" xfId="0" applyFont="1" applyFill="1" applyAlignment="1">
      <alignment horizontal="justify" vertical="center"/>
    </xf>
    <xf numFmtId="0" fontId="69" fillId="0" borderId="0" xfId="0" applyFont="1" applyFill="1" applyBorder="1" applyAlignment="1">
      <alignment horizontal="center"/>
    </xf>
    <xf numFmtId="0" fontId="80" fillId="0" borderId="0" xfId="57572" applyFont="1" applyFill="1" applyBorder="1" applyAlignment="1">
      <alignment horizontal="center" vertical="center" wrapText="1"/>
    </xf>
    <xf numFmtId="0" fontId="69" fillId="0" borderId="0" xfId="57572" applyFont="1" applyFill="1"/>
    <xf numFmtId="0" fontId="77" fillId="0" borderId="0" xfId="57572" applyFont="1" applyFill="1" applyBorder="1" applyAlignment="1">
      <alignment horizontal="center" vertical="center" wrapText="1"/>
    </xf>
    <xf numFmtId="0" fontId="99" fillId="0" borderId="10" xfId="57572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left" vertical="center" wrapText="1"/>
    </xf>
    <xf numFmtId="3" fontId="77" fillId="0" borderId="10" xfId="57572" applyNumberFormat="1" applyFont="1" applyFill="1" applyBorder="1" applyAlignment="1">
      <alignment horizontal="center" vertical="center"/>
    </xf>
    <xf numFmtId="3" fontId="77" fillId="0" borderId="10" xfId="0" applyNumberFormat="1" applyFont="1" applyFill="1" applyBorder="1" applyAlignment="1">
      <alignment horizontal="center" vertical="center"/>
    </xf>
    <xf numFmtId="3" fontId="77" fillId="0" borderId="27" xfId="57572" applyNumberFormat="1" applyFont="1" applyFill="1" applyBorder="1" applyAlignment="1">
      <alignment horizontal="center" vertical="center"/>
    </xf>
    <xf numFmtId="3" fontId="77" fillId="0" borderId="0" xfId="57572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vertical="center" wrapText="1"/>
    </xf>
    <xf numFmtId="3" fontId="69" fillId="0" borderId="0" xfId="0" applyNumberFormat="1" applyFont="1" applyFill="1"/>
    <xf numFmtId="4" fontId="62" fillId="0" borderId="10" xfId="59262" applyNumberFormat="1" applyFont="1" applyFill="1" applyBorder="1" applyAlignment="1">
      <alignment vertical="center" wrapText="1"/>
    </xf>
    <xf numFmtId="4" fontId="89" fillId="0" borderId="10" xfId="59262" applyNumberFormat="1" applyFont="1" applyFill="1" applyBorder="1" applyAlignment="1">
      <alignment horizontal="left" vertical="center" wrapText="1"/>
    </xf>
    <xf numFmtId="3" fontId="77" fillId="0" borderId="0" xfId="57572" applyNumberFormat="1" applyFont="1" applyFill="1" applyBorder="1" applyAlignment="1">
      <alignment horizontal="center"/>
    </xf>
    <xf numFmtId="4" fontId="62" fillId="0" borderId="10" xfId="59262" applyNumberFormat="1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center" vertical="center"/>
    </xf>
    <xf numFmtId="3" fontId="77" fillId="0" borderId="28" xfId="0" applyNumberFormat="1" applyFont="1" applyFill="1" applyBorder="1" applyAlignment="1">
      <alignment horizontal="center" vertical="center"/>
    </xf>
    <xf numFmtId="3" fontId="77" fillId="0" borderId="28" xfId="57572" applyNumberFormat="1" applyFont="1" applyFill="1" applyBorder="1" applyAlignment="1">
      <alignment horizontal="center" vertical="center"/>
    </xf>
    <xf numFmtId="3" fontId="89" fillId="0" borderId="0" xfId="0" applyNumberFormat="1" applyFont="1" applyFill="1"/>
    <xf numFmtId="0" fontId="77" fillId="0" borderId="10" xfId="0" applyFont="1" applyFill="1" applyBorder="1" applyAlignment="1">
      <alignment horizontal="left" vertical="center" wrapText="1"/>
    </xf>
    <xf numFmtId="3" fontId="62" fillId="0" borderId="27" xfId="59247" applyNumberFormat="1" applyFont="1" applyFill="1" applyBorder="1" applyAlignment="1">
      <alignment vertical="center" wrapText="1"/>
    </xf>
    <xf numFmtId="0" fontId="77" fillId="0" borderId="0" xfId="0" applyFont="1" applyFill="1" applyAlignment="1">
      <alignment horizontal="left" vertical="center" wrapText="1"/>
    </xf>
    <xf numFmtId="3" fontId="74" fillId="0" borderId="0" xfId="0" applyNumberFormat="1" applyFont="1" applyFill="1"/>
    <xf numFmtId="0" fontId="89" fillId="0" borderId="10" xfId="0" applyFont="1" applyFill="1" applyBorder="1" applyAlignment="1">
      <alignment wrapText="1"/>
    </xf>
    <xf numFmtId="4" fontId="89" fillId="0" borderId="10" xfId="0" applyNumberFormat="1" applyFont="1" applyFill="1" applyBorder="1" applyAlignment="1">
      <alignment vertical="center" wrapText="1"/>
    </xf>
    <xf numFmtId="3" fontId="7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1" fillId="0" borderId="10" xfId="0" applyNumberFormat="1" applyFont="1" applyFill="1" applyBorder="1" applyAlignment="1" applyProtection="1">
      <alignment horizontal="left" vertical="center"/>
      <protection locked="0"/>
    </xf>
    <xf numFmtId="4" fontId="71" fillId="0" borderId="57" xfId="59249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left" vertical="center"/>
    </xf>
    <xf numFmtId="3" fontId="74" fillId="0" borderId="10" xfId="0" applyNumberFormat="1" applyFont="1" applyFill="1" applyBorder="1" applyAlignment="1">
      <alignment horizontal="center" vertical="center"/>
    </xf>
    <xf numFmtId="3" fontId="80" fillId="0" borderId="10" xfId="57572" applyNumberFormat="1" applyFont="1" applyFill="1" applyBorder="1" applyAlignment="1">
      <alignment horizontal="center" vertical="center"/>
    </xf>
    <xf numFmtId="3" fontId="74" fillId="0" borderId="28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3" fontId="61" fillId="0" borderId="0" xfId="0" applyNumberFormat="1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center" vertical="center"/>
    </xf>
    <xf numFmtId="3" fontId="74" fillId="0" borderId="89" xfId="0" applyNumberFormat="1" applyFont="1" applyFill="1" applyBorder="1" applyAlignment="1">
      <alignment horizontal="center" vertical="center"/>
    </xf>
    <xf numFmtId="0" fontId="0" fillId="0" borderId="0" xfId="0" applyFill="1"/>
    <xf numFmtId="0" fontId="99" fillId="0" borderId="28" xfId="57572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3" fontId="99" fillId="0" borderId="10" xfId="57572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99" fillId="0" borderId="10" xfId="0" applyNumberFormat="1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3" fontId="99" fillId="0" borderId="28" xfId="57572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1" fillId="0" borderId="10" xfId="0" applyFont="1" applyFill="1" applyBorder="1" applyAlignment="1">
      <alignment horizontal="center" vertical="center"/>
    </xf>
    <xf numFmtId="3" fontId="81" fillId="0" borderId="10" xfId="0" applyNumberFormat="1" applyFont="1" applyFill="1" applyBorder="1" applyAlignment="1">
      <alignment horizontal="left" vertical="center"/>
    </xf>
    <xf numFmtId="3" fontId="102" fillId="0" borderId="10" xfId="0" applyNumberFormat="1" applyFont="1" applyFill="1" applyBorder="1" applyAlignment="1">
      <alignment horizontal="center" vertical="center"/>
    </xf>
    <xf numFmtId="0" fontId="49" fillId="0" borderId="0" xfId="57736" applyFill="1"/>
    <xf numFmtId="0" fontId="101" fillId="0" borderId="10" xfId="57736" applyFont="1" applyFill="1" applyBorder="1" applyAlignment="1">
      <alignment horizontal="center" vertical="center" wrapText="1"/>
    </xf>
    <xf numFmtId="0" fontId="101" fillId="0" borderId="10" xfId="57736" applyFont="1" applyFill="1" applyBorder="1" applyAlignment="1">
      <alignment horizontal="center" vertical="center"/>
    </xf>
    <xf numFmtId="0" fontId="101" fillId="0" borderId="0" xfId="57736" applyFont="1" applyFill="1"/>
    <xf numFmtId="0" fontId="49" fillId="0" borderId="10" xfId="57736" applyFill="1" applyBorder="1" applyAlignment="1">
      <alignment horizontal="center" vertical="center" wrapText="1"/>
    </xf>
    <xf numFmtId="0" fontId="69" fillId="0" borderId="10" xfId="57736" applyFont="1" applyFill="1" applyBorder="1" applyAlignment="1">
      <alignment vertical="center" wrapText="1"/>
    </xf>
    <xf numFmtId="3" fontId="49" fillId="0" borderId="10" xfId="57736" applyNumberFormat="1" applyFill="1" applyBorder="1" applyAlignment="1">
      <alignment horizontal="center" vertical="center"/>
    </xf>
    <xf numFmtId="3" fontId="49" fillId="0" borderId="0" xfId="57736" applyNumberFormat="1" applyFill="1"/>
    <xf numFmtId="3" fontId="74" fillId="0" borderId="10" xfId="57736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3" fontId="71" fillId="0" borderId="0" xfId="0" applyNumberFormat="1" applyFont="1" applyFill="1" applyAlignment="1">
      <alignment vertical="center" wrapText="1"/>
    </xf>
    <xf numFmtId="0" fontId="45" fillId="74" borderId="0" xfId="57580" applyFill="1"/>
    <xf numFmtId="0" fontId="79" fillId="74" borderId="0" xfId="57580" applyFont="1" applyFill="1" applyBorder="1" applyAlignment="1">
      <alignment horizontal="center" vertical="center" wrapText="1"/>
    </xf>
    <xf numFmtId="0" fontId="77" fillId="74" borderId="10" xfId="57580" applyFont="1" applyFill="1" applyBorder="1" applyAlignment="1">
      <alignment horizontal="center" vertical="center" wrapText="1"/>
    </xf>
    <xf numFmtId="0" fontId="77" fillId="74" borderId="10" xfId="57580" applyFont="1" applyFill="1" applyBorder="1" applyAlignment="1">
      <alignment horizontal="center" vertical="center"/>
    </xf>
    <xf numFmtId="0" fontId="77" fillId="74" borderId="10" xfId="57580" applyFont="1" applyFill="1" applyBorder="1" applyAlignment="1">
      <alignment vertical="center" wrapText="1"/>
    </xf>
    <xf numFmtId="0" fontId="79" fillId="74" borderId="10" xfId="57580" applyFont="1" applyFill="1" applyBorder="1" applyAlignment="1">
      <alignment horizontal="center" vertical="center"/>
    </xf>
    <xf numFmtId="0" fontId="105" fillId="74" borderId="10" xfId="57580" applyFont="1" applyFill="1" applyBorder="1" applyAlignment="1">
      <alignment horizontal="center" vertical="center"/>
    </xf>
    <xf numFmtId="0" fontId="105" fillId="74" borderId="10" xfId="57580" applyFont="1" applyFill="1" applyBorder="1" applyAlignment="1">
      <alignment vertical="center" wrapText="1"/>
    </xf>
    <xf numFmtId="0" fontId="62" fillId="0" borderId="10" xfId="57788" applyFont="1" applyFill="1" applyBorder="1" applyAlignment="1">
      <alignment horizontal="center" vertical="center" wrapText="1"/>
    </xf>
    <xf numFmtId="2" fontId="65" fillId="74" borderId="0" xfId="0" applyNumberFormat="1" applyFont="1" applyFill="1" applyAlignment="1">
      <alignment horizontal="center" vertical="center" wrapText="1"/>
    </xf>
    <xf numFmtId="0" fontId="8" fillId="74" borderId="0" xfId="0" applyFont="1" applyFill="1" applyAlignment="1">
      <alignment horizontal="center" vertical="center" wrapText="1"/>
    </xf>
    <xf numFmtId="0" fontId="64" fillId="74" borderId="10" xfId="0" applyFont="1" applyFill="1" applyBorder="1" applyAlignment="1">
      <alignment horizontal="center" vertical="center" wrapText="1"/>
    </xf>
    <xf numFmtId="0" fontId="64" fillId="74" borderId="10" xfId="0" applyFont="1" applyFill="1" applyBorder="1" applyAlignment="1">
      <alignment horizontal="center"/>
    </xf>
    <xf numFmtId="3" fontId="64" fillId="74" borderId="10" xfId="0" applyNumberFormat="1" applyFont="1" applyFill="1" applyBorder="1" applyAlignment="1">
      <alignment horizontal="center" vertical="center" wrapText="1"/>
    </xf>
    <xf numFmtId="0" fontId="66" fillId="74" borderId="10" xfId="0" applyFont="1" applyFill="1" applyBorder="1" applyAlignment="1">
      <alignment horizontal="center" vertical="center"/>
    </xf>
    <xf numFmtId="0" fontId="66" fillId="74" borderId="10" xfId="0" applyFont="1" applyFill="1" applyBorder="1" applyAlignment="1">
      <alignment horizontal="center" vertical="center" wrapText="1"/>
    </xf>
    <xf numFmtId="0" fontId="63" fillId="74" borderId="25" xfId="0" applyFont="1" applyFill="1" applyBorder="1" applyAlignment="1">
      <alignment horizontal="center" vertical="center"/>
    </xf>
    <xf numFmtId="0" fontId="63" fillId="74" borderId="28" xfId="0" applyFont="1" applyFill="1" applyBorder="1" applyAlignment="1">
      <alignment horizontal="center" vertical="center"/>
    </xf>
    <xf numFmtId="0" fontId="68" fillId="76" borderId="10" xfId="0" applyFont="1" applyFill="1" applyBorder="1" applyAlignment="1">
      <alignment horizontal="center" vertical="center"/>
    </xf>
    <xf numFmtId="0" fontId="72" fillId="74" borderId="26" xfId="57846" applyFont="1" applyFill="1" applyBorder="1" applyAlignment="1" applyProtection="1">
      <alignment horizontal="center" vertical="center" wrapText="1"/>
      <protection locked="0"/>
    </xf>
    <xf numFmtId="0" fontId="72" fillId="74" borderId="27" xfId="57846" applyFont="1" applyFill="1" applyBorder="1" applyAlignment="1" applyProtection="1">
      <alignment horizontal="center" vertical="center" wrapText="1"/>
      <protection locked="0"/>
    </xf>
    <xf numFmtId="0" fontId="74" fillId="74" borderId="24" xfId="57846" applyFont="1" applyFill="1" applyBorder="1" applyAlignment="1">
      <alignment horizontal="center" vertical="center" wrapText="1"/>
    </xf>
    <xf numFmtId="0" fontId="72" fillId="74" borderId="10" xfId="57846" applyFont="1" applyFill="1" applyBorder="1" applyAlignment="1" applyProtection="1">
      <alignment horizontal="center" vertical="center" wrapText="1"/>
      <protection locked="0"/>
    </xf>
    <xf numFmtId="0" fontId="62" fillId="0" borderId="10" xfId="57788" applyFont="1" applyFill="1" applyBorder="1" applyAlignment="1">
      <alignment horizontal="center" vertical="center" wrapText="1"/>
    </xf>
    <xf numFmtId="3" fontId="65" fillId="0" borderId="0" xfId="577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2" fillId="0" borderId="24" xfId="57788" applyNumberFormat="1" applyFont="1" applyFill="1" applyBorder="1" applyAlignment="1">
      <alignment horizontal="right" vertical="center" wrapText="1"/>
    </xf>
    <xf numFmtId="0" fontId="62" fillId="0" borderId="24" xfId="0" applyFont="1" applyFill="1" applyBorder="1" applyAlignment="1">
      <alignment horizontal="right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2" fillId="0" borderId="25" xfId="57788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2" fillId="0" borderId="3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3" fontId="62" fillId="0" borderId="37" xfId="0" applyNumberFormat="1" applyFont="1" applyFill="1" applyBorder="1" applyAlignment="1">
      <alignment horizontal="center" vertical="center" wrapText="1"/>
    </xf>
    <xf numFmtId="3" fontId="62" fillId="0" borderId="38" xfId="0" applyNumberFormat="1" applyFont="1" applyFill="1" applyBorder="1" applyAlignment="1">
      <alignment horizontal="center" vertical="center" wrapText="1"/>
    </xf>
    <xf numFmtId="3" fontId="62" fillId="0" borderId="33" xfId="0" applyNumberFormat="1" applyFont="1" applyFill="1" applyBorder="1" applyAlignment="1">
      <alignment horizontal="center" vertical="center" wrapText="1"/>
    </xf>
    <xf numFmtId="3" fontId="62" fillId="0" borderId="39" xfId="0" applyNumberFormat="1" applyFont="1" applyFill="1" applyBorder="1" applyAlignment="1">
      <alignment horizontal="center" vertical="center" wrapText="1"/>
    </xf>
    <xf numFmtId="3" fontId="62" fillId="0" borderId="45" xfId="0" applyNumberFormat="1" applyFont="1" applyFill="1" applyBorder="1" applyAlignment="1">
      <alignment horizontal="center" vertical="center" wrapText="1"/>
    </xf>
    <xf numFmtId="0" fontId="62" fillId="0" borderId="83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" fontId="83" fillId="0" borderId="0" xfId="0" applyNumberFormat="1" applyFont="1" applyFill="1" applyAlignment="1">
      <alignment horizontal="center" vertical="center" wrapText="1"/>
    </xf>
    <xf numFmtId="0" fontId="106" fillId="0" borderId="0" xfId="0" applyFont="1" applyFill="1" applyAlignment="1">
      <alignment horizontal="center" vertical="center" wrapText="1"/>
    </xf>
    <xf numFmtId="3" fontId="62" fillId="0" borderId="80" xfId="0" applyNumberFormat="1" applyFont="1" applyFill="1" applyBorder="1" applyAlignment="1">
      <alignment horizontal="center" vertical="center" wrapText="1"/>
    </xf>
    <xf numFmtId="0" fontId="82" fillId="0" borderId="81" xfId="0" applyFont="1" applyFill="1" applyBorder="1" applyAlignment="1">
      <alignment horizontal="center" vertical="center" wrapText="1"/>
    </xf>
    <xf numFmtId="3" fontId="62" fillId="0" borderId="35" xfId="59252" applyNumberFormat="1" applyFont="1" applyFill="1" applyBorder="1" applyAlignment="1">
      <alignment horizontal="center" vertical="center" wrapText="1"/>
    </xf>
    <xf numFmtId="3" fontId="62" fillId="0" borderId="82" xfId="59252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/>
    </xf>
    <xf numFmtId="3" fontId="62" fillId="0" borderId="38" xfId="0" applyNumberFormat="1" applyFont="1" applyFill="1" applyBorder="1" applyAlignment="1">
      <alignment horizontal="center" vertical="center"/>
    </xf>
    <xf numFmtId="3" fontId="62" fillId="0" borderId="66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 wrapText="1"/>
    </xf>
    <xf numFmtId="0" fontId="64" fillId="0" borderId="84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4" fillId="0" borderId="86" xfId="0" applyFont="1" applyFill="1" applyBorder="1" applyAlignment="1">
      <alignment horizontal="center" vertical="center" wrapText="1"/>
    </xf>
    <xf numFmtId="0" fontId="64" fillId="0" borderId="85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87" xfId="0" applyFont="1" applyFill="1" applyBorder="1" applyAlignment="1">
      <alignment horizontal="center" vertical="center" wrapText="1"/>
    </xf>
    <xf numFmtId="3" fontId="64" fillId="0" borderId="34" xfId="0" applyNumberFormat="1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 wrapText="1"/>
    </xf>
    <xf numFmtId="4" fontId="64" fillId="0" borderId="32" xfId="0" applyNumberFormat="1" applyFont="1" applyFill="1" applyBorder="1" applyAlignment="1">
      <alignment horizontal="center" vertical="center" wrapText="1"/>
    </xf>
    <xf numFmtId="4" fontId="64" fillId="0" borderId="38" xfId="0" applyNumberFormat="1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3" fontId="64" fillId="0" borderId="50" xfId="0" applyNumberFormat="1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3" fontId="64" fillId="0" borderId="25" xfId="0" applyNumberFormat="1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3" fontId="64" fillId="0" borderId="53" xfId="0" applyNumberFormat="1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/>
    </xf>
    <xf numFmtId="0" fontId="85" fillId="0" borderId="46" xfId="0" applyFont="1" applyFill="1" applyBorder="1" applyAlignment="1">
      <alignment horizontal="center" vertical="center"/>
    </xf>
    <xf numFmtId="4" fontId="64" fillId="0" borderId="50" xfId="0" applyNumberFormat="1" applyFont="1" applyFill="1" applyBorder="1" applyAlignment="1">
      <alignment horizontal="center" vertical="center" wrapText="1"/>
    </xf>
    <xf numFmtId="3" fontId="64" fillId="0" borderId="56" xfId="0" applyNumberFormat="1" applyFont="1" applyFill="1" applyBorder="1" applyAlignment="1">
      <alignment horizontal="center" vertical="center" wrapText="1"/>
    </xf>
    <xf numFmtId="0" fontId="85" fillId="0" borderId="87" xfId="0" applyFont="1" applyFill="1" applyBorder="1" applyAlignment="1">
      <alignment horizontal="center" vertical="center" wrapText="1"/>
    </xf>
    <xf numFmtId="3" fontId="63" fillId="0" borderId="50" xfId="0" applyNumberFormat="1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horizontal="center" vertical="center" wrapText="1"/>
    </xf>
    <xf numFmtId="3" fontId="63" fillId="0" borderId="53" xfId="0" applyNumberFormat="1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3" fontId="64" fillId="0" borderId="32" xfId="0" applyNumberFormat="1" applyFont="1" applyFill="1" applyBorder="1" applyAlignment="1">
      <alignment horizontal="center" vertical="center" wrapText="1"/>
    </xf>
    <xf numFmtId="3" fontId="64" fillId="0" borderId="37" xfId="0" applyNumberFormat="1" applyFont="1" applyFill="1" applyBorder="1" applyAlignment="1">
      <alignment horizontal="center" vertical="center" wrapText="1"/>
    </xf>
    <xf numFmtId="3" fontId="64" fillId="0" borderId="38" xfId="0" applyNumberFormat="1" applyFont="1" applyFill="1" applyBorder="1" applyAlignment="1">
      <alignment horizontal="center" vertical="center" wrapText="1"/>
    </xf>
    <xf numFmtId="3" fontId="64" fillId="0" borderId="66" xfId="0" applyNumberFormat="1" applyFont="1" applyFill="1" applyBorder="1" applyAlignment="1">
      <alignment horizontal="center" vertical="center" wrapText="1"/>
    </xf>
    <xf numFmtId="3" fontId="64" fillId="0" borderId="70" xfId="0" applyNumberFormat="1" applyFont="1" applyFill="1" applyBorder="1" applyAlignment="1">
      <alignment horizontal="center" vertical="center" wrapText="1"/>
    </xf>
    <xf numFmtId="3" fontId="64" fillId="0" borderId="74" xfId="0" applyNumberFormat="1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vertical="center" wrapText="1"/>
    </xf>
    <xf numFmtId="3" fontId="64" fillId="0" borderId="36" xfId="0" applyNumberFormat="1" applyFont="1" applyFill="1" applyBorder="1" applyAlignment="1">
      <alignment horizontal="center" vertical="center" wrapText="1"/>
    </xf>
    <xf numFmtId="3" fontId="64" fillId="0" borderId="71" xfId="0" applyNumberFormat="1" applyFont="1" applyFill="1" applyBorder="1" applyAlignment="1">
      <alignment horizontal="center" vertical="center" wrapText="1"/>
    </xf>
    <xf numFmtId="3" fontId="64" fillId="0" borderId="75" xfId="0" applyNumberFormat="1" applyFont="1" applyFill="1" applyBorder="1" applyAlignment="1">
      <alignment horizontal="center" vertical="center" wrapText="1"/>
    </xf>
    <xf numFmtId="3" fontId="64" fillId="0" borderId="69" xfId="0" applyNumberFormat="1" applyFont="1" applyFill="1" applyBorder="1" applyAlignment="1">
      <alignment horizontal="center" vertical="center" wrapText="1"/>
    </xf>
    <xf numFmtId="3" fontId="64" fillId="0" borderId="58" xfId="0" applyNumberFormat="1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71" fillId="0" borderId="26" xfId="0" applyFont="1" applyFill="1" applyBorder="1" applyAlignment="1" applyProtection="1">
      <alignment horizontal="center" vertical="center" wrapText="1"/>
      <protection locked="0"/>
    </xf>
    <xf numFmtId="0" fontId="71" fillId="0" borderId="25" xfId="0" applyFont="1" applyFill="1" applyBorder="1" applyAlignment="1" applyProtection="1">
      <alignment horizontal="center" vertical="center"/>
      <protection locked="0"/>
    </xf>
    <xf numFmtId="0" fontId="71" fillId="0" borderId="29" xfId="0" applyFont="1" applyFill="1" applyBorder="1" applyAlignment="1" applyProtection="1">
      <alignment horizontal="center" vertical="center"/>
      <protection locked="0"/>
    </xf>
    <xf numFmtId="0" fontId="71" fillId="0" borderId="28" xfId="0" applyFont="1" applyFill="1" applyBorder="1" applyAlignment="1" applyProtection="1">
      <alignment horizontal="center" vertical="center"/>
      <protection locked="0"/>
    </xf>
    <xf numFmtId="3" fontId="70" fillId="0" borderId="26" xfId="0" applyNumberFormat="1" applyFont="1" applyFill="1" applyBorder="1" applyAlignment="1" applyProtection="1">
      <alignment horizontal="center" vertical="center"/>
      <protection locked="0"/>
    </xf>
    <xf numFmtId="3" fontId="70" fillId="0" borderId="30" xfId="0" applyNumberFormat="1" applyFont="1" applyFill="1" applyBorder="1" applyAlignment="1" applyProtection="1">
      <alignment horizontal="center" vertical="center"/>
      <protection locked="0"/>
    </xf>
    <xf numFmtId="3" fontId="70" fillId="0" borderId="27" xfId="0" applyNumberFormat="1" applyFont="1" applyFill="1" applyBorder="1" applyAlignment="1" applyProtection="1">
      <alignment horizontal="center" vertical="center"/>
      <protection locked="0"/>
    </xf>
    <xf numFmtId="3" fontId="70" fillId="0" borderId="10" xfId="0" applyNumberFormat="1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10" xfId="0" applyNumberFormat="1" applyFont="1" applyFill="1" applyBorder="1" applyAlignment="1" applyProtection="1">
      <alignment horizontal="center" vertical="center"/>
      <protection locked="0"/>
    </xf>
    <xf numFmtId="3" fontId="71" fillId="0" borderId="25" xfId="0" applyNumberFormat="1" applyFont="1" applyFill="1" applyBorder="1" applyAlignment="1">
      <alignment horizontal="center" vertical="center"/>
    </xf>
    <xf numFmtId="3" fontId="71" fillId="0" borderId="29" xfId="0" applyNumberFormat="1" applyFont="1" applyFill="1" applyBorder="1" applyAlignment="1">
      <alignment horizontal="center" vertical="center"/>
    </xf>
    <xf numFmtId="3" fontId="71" fillId="0" borderId="28" xfId="0" applyNumberFormat="1" applyFont="1" applyFill="1" applyBorder="1" applyAlignment="1">
      <alignment horizontal="center" vertical="center"/>
    </xf>
    <xf numFmtId="3" fontId="71" fillId="0" borderId="26" xfId="0" applyNumberFormat="1" applyFont="1" applyFill="1" applyBorder="1" applyAlignment="1">
      <alignment horizontal="center" vertical="center" wrapText="1"/>
    </xf>
    <xf numFmtId="3" fontId="71" fillId="0" borderId="27" xfId="0" applyNumberFormat="1" applyFont="1" applyFill="1" applyBorder="1" applyAlignment="1">
      <alignment horizontal="center" vertical="center" wrapText="1"/>
    </xf>
    <xf numFmtId="3" fontId="71" fillId="0" borderId="56" xfId="0" applyNumberFormat="1" applyFont="1" applyFill="1" applyBorder="1" applyAlignment="1">
      <alignment horizontal="center" vertical="center" wrapText="1"/>
    </xf>
    <xf numFmtId="3" fontId="71" fillId="0" borderId="89" xfId="0" applyNumberFormat="1" applyFont="1" applyFill="1" applyBorder="1" applyAlignment="1">
      <alignment horizontal="center" vertical="center" wrapText="1"/>
    </xf>
    <xf numFmtId="3" fontId="71" fillId="0" borderId="57" xfId="0" applyNumberFormat="1" applyFont="1" applyFill="1" applyBorder="1" applyAlignment="1">
      <alignment horizontal="center" vertical="center" wrapText="1"/>
    </xf>
    <xf numFmtId="3" fontId="71" fillId="0" borderId="31" xfId="0" applyNumberFormat="1" applyFont="1" applyFill="1" applyBorder="1" applyAlignment="1">
      <alignment horizontal="center" vertical="center" wrapText="1"/>
    </xf>
    <xf numFmtId="3" fontId="71" fillId="0" borderId="24" xfId="0" applyNumberFormat="1" applyFont="1" applyFill="1" applyBorder="1" applyAlignment="1">
      <alignment horizontal="center" vertical="center" wrapText="1"/>
    </xf>
    <xf numFmtId="3" fontId="71" fillId="0" borderId="48" xfId="0" applyNumberFormat="1" applyFont="1" applyFill="1" applyBorder="1" applyAlignment="1">
      <alignment horizontal="center" vertical="center" wrapText="1"/>
    </xf>
    <xf numFmtId="3" fontId="7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/>
    </xf>
    <xf numFmtId="0" fontId="62" fillId="74" borderId="25" xfId="59247" applyFont="1" applyFill="1" applyBorder="1" applyAlignment="1">
      <alignment horizontal="center" vertical="center"/>
    </xf>
    <xf numFmtId="0" fontId="62" fillId="74" borderId="29" xfId="59247" applyFont="1" applyFill="1" applyBorder="1" applyAlignment="1">
      <alignment horizontal="center" vertical="center"/>
    </xf>
    <xf numFmtId="0" fontId="62" fillId="74" borderId="28" xfId="59247" applyFont="1" applyFill="1" applyBorder="1" applyAlignment="1">
      <alignment horizontal="center" vertical="center"/>
    </xf>
    <xf numFmtId="0" fontId="86" fillId="74" borderId="0" xfId="0" applyFont="1" applyFill="1" applyAlignment="1">
      <alignment horizontal="center"/>
    </xf>
    <xf numFmtId="0" fontId="63" fillId="74" borderId="10" xfId="59247" applyFont="1" applyFill="1" applyBorder="1" applyAlignment="1">
      <alignment horizontal="center" vertical="center" wrapText="1"/>
    </xf>
    <xf numFmtId="0" fontId="71" fillId="74" borderId="10" xfId="0" applyFont="1" applyFill="1" applyBorder="1" applyAlignment="1">
      <alignment horizontal="center"/>
    </xf>
    <xf numFmtId="3" fontId="63" fillId="74" borderId="10" xfId="59248" applyNumberFormat="1" applyFont="1" applyFill="1" applyBorder="1" applyAlignment="1">
      <alignment horizontal="center" vertical="center" wrapText="1"/>
    </xf>
    <xf numFmtId="0" fontId="62" fillId="74" borderId="10" xfId="59247" applyFont="1" applyFill="1" applyBorder="1" applyAlignment="1">
      <alignment horizontal="center" vertical="center"/>
    </xf>
    <xf numFmtId="3" fontId="93" fillId="74" borderId="10" xfId="0" applyNumberFormat="1" applyFont="1" applyFill="1" applyBorder="1" applyAlignment="1">
      <alignment horizontal="center" vertical="center"/>
    </xf>
    <xf numFmtId="3" fontId="92" fillId="74" borderId="10" xfId="0" applyNumberFormat="1" applyFont="1" applyFill="1" applyBorder="1" applyAlignment="1">
      <alignment horizontal="center" vertical="center" wrapText="1"/>
    </xf>
    <xf numFmtId="3" fontId="92" fillId="74" borderId="26" xfId="0" applyNumberFormat="1" applyFont="1" applyFill="1" applyBorder="1" applyAlignment="1">
      <alignment horizontal="center" vertical="center" wrapText="1"/>
    </xf>
    <xf numFmtId="3" fontId="92" fillId="74" borderId="30" xfId="0" applyNumberFormat="1" applyFont="1" applyFill="1" applyBorder="1" applyAlignment="1">
      <alignment horizontal="center" vertical="center" wrapText="1"/>
    </xf>
    <xf numFmtId="3" fontId="92" fillId="74" borderId="27" xfId="0" applyNumberFormat="1" applyFont="1" applyFill="1" applyBorder="1" applyAlignment="1">
      <alignment horizontal="center" vertical="center" wrapText="1"/>
    </xf>
    <xf numFmtId="3" fontId="93" fillId="74" borderId="10" xfId="0" applyNumberFormat="1" applyFont="1" applyFill="1" applyBorder="1" applyAlignment="1">
      <alignment horizontal="center" vertical="center" wrapText="1"/>
    </xf>
    <xf numFmtId="3" fontId="107" fillId="74" borderId="0" xfId="0" applyNumberFormat="1" applyFont="1" applyFill="1" applyAlignment="1">
      <alignment horizontal="center" vertical="center" wrapText="1"/>
    </xf>
    <xf numFmtId="3" fontId="92" fillId="74" borderId="25" xfId="0" applyNumberFormat="1" applyFont="1" applyFill="1" applyBorder="1" applyAlignment="1">
      <alignment horizontal="center" vertical="center" wrapText="1"/>
    </xf>
    <xf numFmtId="3" fontId="92" fillId="74" borderId="29" xfId="0" applyNumberFormat="1" applyFont="1" applyFill="1" applyBorder="1" applyAlignment="1">
      <alignment horizontal="center" vertical="center" wrapText="1"/>
    </xf>
    <xf numFmtId="3" fontId="92" fillId="74" borderId="28" xfId="0" applyNumberFormat="1" applyFont="1" applyFill="1" applyBorder="1" applyAlignment="1">
      <alignment horizontal="center" vertical="center" wrapText="1"/>
    </xf>
    <xf numFmtId="3" fontId="93" fillId="74" borderId="26" xfId="0" applyNumberFormat="1" applyFont="1" applyFill="1" applyBorder="1" applyAlignment="1">
      <alignment horizontal="center" vertical="center"/>
    </xf>
    <xf numFmtId="3" fontId="93" fillId="74" borderId="30" xfId="0" applyNumberFormat="1" applyFont="1" applyFill="1" applyBorder="1" applyAlignment="1">
      <alignment horizontal="center" vertical="center"/>
    </xf>
    <xf numFmtId="3" fontId="93" fillId="74" borderId="27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 wrapText="1"/>
    </xf>
    <xf numFmtId="0" fontId="77" fillId="0" borderId="10" xfId="57572" applyFont="1" applyFill="1" applyBorder="1" applyAlignment="1">
      <alignment horizontal="center" vertical="center" wrapText="1"/>
    </xf>
    <xf numFmtId="0" fontId="77" fillId="0" borderId="25" xfId="57572" applyFont="1" applyFill="1" applyBorder="1" applyAlignment="1">
      <alignment horizontal="center" vertical="center" wrapText="1"/>
    </xf>
    <xf numFmtId="0" fontId="77" fillId="0" borderId="29" xfId="57572" applyFont="1" applyFill="1" applyBorder="1" applyAlignment="1">
      <alignment horizontal="center" vertical="center" wrapText="1"/>
    </xf>
    <xf numFmtId="0" fontId="77" fillId="0" borderId="28" xfId="57572" applyFont="1" applyFill="1" applyBorder="1" applyAlignment="1">
      <alignment horizontal="center" vertical="center" wrapText="1"/>
    </xf>
    <xf numFmtId="0" fontId="77" fillId="0" borderId="57" xfId="57572" applyFont="1" applyFill="1" applyBorder="1" applyAlignment="1">
      <alignment horizontal="center" vertical="center" wrapText="1"/>
    </xf>
    <xf numFmtId="0" fontId="77" fillId="0" borderId="90" xfId="57572" applyFont="1" applyFill="1" applyBorder="1" applyAlignment="1">
      <alignment horizontal="center" vertical="center" wrapText="1"/>
    </xf>
    <xf numFmtId="0" fontId="77" fillId="0" borderId="48" xfId="57572" applyFont="1" applyFill="1" applyBorder="1" applyAlignment="1">
      <alignment horizontal="center" vertical="center" wrapText="1"/>
    </xf>
    <xf numFmtId="0" fontId="77" fillId="0" borderId="26" xfId="57572" applyFont="1" applyFill="1" applyBorder="1" applyAlignment="1">
      <alignment horizontal="center" vertical="center" wrapText="1"/>
    </xf>
    <xf numFmtId="0" fontId="77" fillId="0" borderId="27" xfId="57572" applyFont="1" applyFill="1" applyBorder="1" applyAlignment="1">
      <alignment horizontal="center" vertical="center" wrapText="1"/>
    </xf>
    <xf numFmtId="0" fontId="62" fillId="0" borderId="25" xfId="57572" applyFont="1" applyFill="1" applyBorder="1" applyAlignment="1">
      <alignment horizontal="center" vertical="center" wrapText="1"/>
    </xf>
    <xf numFmtId="0" fontId="62" fillId="0" borderId="29" xfId="57572" applyFont="1" applyFill="1" applyBorder="1" applyAlignment="1">
      <alignment horizontal="center" vertical="center" wrapText="1"/>
    </xf>
    <xf numFmtId="0" fontId="62" fillId="0" borderId="28" xfId="57572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9" fillId="0" borderId="25" xfId="57572" applyFont="1" applyFill="1" applyBorder="1" applyAlignment="1">
      <alignment horizontal="center" vertical="center" wrapText="1"/>
    </xf>
    <xf numFmtId="0" fontId="99" fillId="0" borderId="29" xfId="57572" applyFont="1" applyFill="1" applyBorder="1" applyAlignment="1">
      <alignment horizontal="center" vertical="center" wrapText="1"/>
    </xf>
    <xf numFmtId="0" fontId="99" fillId="0" borderId="28" xfId="57572" applyFont="1" applyFill="1" applyBorder="1" applyAlignment="1">
      <alignment horizontal="center" vertical="center" wrapText="1"/>
    </xf>
    <xf numFmtId="0" fontId="99" fillId="0" borderId="10" xfId="57572" applyFont="1" applyFill="1" applyBorder="1" applyAlignment="1">
      <alignment horizontal="center" vertical="center" wrapText="1"/>
    </xf>
    <xf numFmtId="0" fontId="99" fillId="0" borderId="30" xfId="57572" applyFont="1" applyFill="1" applyBorder="1" applyAlignment="1">
      <alignment horizontal="center" vertical="center" wrapText="1"/>
    </xf>
    <xf numFmtId="0" fontId="99" fillId="0" borderId="27" xfId="57572" applyFont="1" applyFill="1" applyBorder="1" applyAlignment="1">
      <alignment horizontal="center" vertical="center" wrapText="1"/>
    </xf>
    <xf numFmtId="0" fontId="99" fillId="0" borderId="89" xfId="57572" applyFont="1" applyFill="1" applyBorder="1" applyAlignment="1">
      <alignment horizontal="center" vertical="center" wrapText="1"/>
    </xf>
    <xf numFmtId="0" fontId="99" fillId="0" borderId="57" xfId="57572" applyFont="1" applyFill="1" applyBorder="1" applyAlignment="1">
      <alignment horizontal="center" vertical="center" wrapText="1"/>
    </xf>
    <xf numFmtId="0" fontId="99" fillId="0" borderId="24" xfId="57572" applyFont="1" applyFill="1" applyBorder="1" applyAlignment="1">
      <alignment horizontal="center" vertical="center" wrapText="1"/>
    </xf>
    <xf numFmtId="0" fontId="99" fillId="0" borderId="48" xfId="57572" applyFont="1" applyFill="1" applyBorder="1" applyAlignment="1">
      <alignment horizontal="center" vertical="center" wrapText="1"/>
    </xf>
    <xf numFmtId="0" fontId="99" fillId="0" borderId="56" xfId="57572" applyFont="1" applyFill="1" applyBorder="1" applyAlignment="1">
      <alignment horizontal="center" vertical="center" wrapText="1"/>
    </xf>
    <xf numFmtId="0" fontId="99" fillId="0" borderId="31" xfId="57572" applyFont="1" applyFill="1" applyBorder="1" applyAlignment="1">
      <alignment horizontal="center" vertical="center" wrapText="1"/>
    </xf>
    <xf numFmtId="0" fontId="99" fillId="0" borderId="26" xfId="57572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99" fillId="0" borderId="68" xfId="57572" applyFont="1" applyFill="1" applyBorder="1" applyAlignment="1">
      <alignment horizontal="center" vertical="center" wrapText="1"/>
    </xf>
    <xf numFmtId="0" fontId="74" fillId="0" borderId="26" xfId="57736" applyFont="1" applyFill="1" applyBorder="1" applyAlignment="1">
      <alignment horizontal="center" vertical="center" wrapText="1"/>
    </xf>
    <xf numFmtId="0" fontId="74" fillId="0" borderId="27" xfId="57736" applyFont="1" applyFill="1" applyBorder="1" applyAlignment="1">
      <alignment horizontal="center" vertical="center" wrapText="1"/>
    </xf>
    <xf numFmtId="0" fontId="49" fillId="0" borderId="0" xfId="57736" applyFill="1" applyAlignment="1">
      <alignment horizontal="right" vertical="top"/>
    </xf>
    <xf numFmtId="0" fontId="100" fillId="0" borderId="0" xfId="57736" applyFont="1" applyFill="1" applyAlignment="1">
      <alignment horizontal="center"/>
    </xf>
    <xf numFmtId="0" fontId="49" fillId="0" borderId="25" xfId="57736" applyFill="1" applyBorder="1" applyAlignment="1">
      <alignment horizontal="center" vertical="center" wrapText="1"/>
    </xf>
    <xf numFmtId="0" fontId="49" fillId="0" borderId="29" xfId="57736" applyFill="1" applyBorder="1" applyAlignment="1">
      <alignment horizontal="center" vertical="center" wrapText="1"/>
    </xf>
    <xf numFmtId="0" fontId="49" fillId="0" borderId="28" xfId="57736" applyFill="1" applyBorder="1" applyAlignment="1">
      <alignment horizontal="center" vertical="center" wrapText="1"/>
    </xf>
    <xf numFmtId="0" fontId="71" fillId="0" borderId="10" xfId="57736" applyFont="1" applyFill="1" applyBorder="1" applyAlignment="1">
      <alignment horizontal="center" vertical="center" wrapText="1"/>
    </xf>
    <xf numFmtId="0" fontId="49" fillId="0" borderId="10" xfId="57736" applyFill="1" applyBorder="1" applyAlignment="1">
      <alignment horizontal="center"/>
    </xf>
    <xf numFmtId="0" fontId="71" fillId="0" borderId="10" xfId="57736" applyFont="1" applyFill="1" applyBorder="1" applyAlignment="1">
      <alignment horizontal="center" vertical="center"/>
    </xf>
    <xf numFmtId="0" fontId="79" fillId="74" borderId="25" xfId="57580" applyFont="1" applyFill="1" applyBorder="1" applyAlignment="1">
      <alignment horizontal="center" vertical="center" wrapText="1"/>
    </xf>
    <xf numFmtId="0" fontId="77" fillId="74" borderId="10" xfId="57580" applyFont="1" applyFill="1" applyBorder="1" applyAlignment="1">
      <alignment horizontal="center" vertical="center" wrapText="1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2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3"/>
    <cellStyle name="Обычный 2 2 2 3" xfId="59249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1"/>
    <cellStyle name="Обычный 2 3 3" xfId="59254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5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0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6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7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61"/>
    <cellStyle name="Обычный_Ежемесячный отчет 2004 г." xfId="59262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58"/>
    <cellStyle name="Процентный 3" xfId="58696"/>
    <cellStyle name="Процентный 4" xfId="58697"/>
    <cellStyle name="Процентный 5" xfId="59259"/>
    <cellStyle name="Процентный 6" xfId="59260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foms-rb.ru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57;&#1074;&#1086;&#1076;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foms-rb.ru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62;&#1077;&#1085;&#1090;&#1088;&#1099;%20&#1079;&#1076;&#1086;&#1088;&#1086;&#1074;&#1100;&#1103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Проф.иные Пр.108-107 сумма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профил.2020 Пр.110"/>
      <sheetName val="Всего проф.2020 Пр.110-109"/>
      <sheetName val="Проф.с иными целями Пр.110"/>
      <sheetName val="Проф.иными цел.Пр.110-109 объем"/>
      <sheetName val="Проф.ин.цел.Пр.110-109 финансы"/>
      <sheetName val="Всего профил.2020 Пр.111"/>
      <sheetName val="Всего профил.2020 Пр.111 -110"/>
      <sheetName val="Проф.с иными целями Пр.111"/>
      <sheetName val="Проф.с иными целями Пр.111-110"/>
      <sheetName val="Всего профил. Пр.111 -110финанс"/>
      <sheetName val="Проф.с иными цел Пр.111-110фин "/>
      <sheetName val="Всего профил.2020 Пр.113"/>
      <sheetName val="Всего профил.2020 Пр.113-111"/>
      <sheetName val="Проф.с иными целями Пр.113"/>
      <sheetName val="Проф.с иными целями Пр.113 -111"/>
      <sheetName val="Всего профил.2020 Пр.113-111 фи"/>
      <sheetName val="Проф.с иными целями Пр.113-111ф"/>
      <sheetName val="Всего профил.2020 Пр.114"/>
      <sheetName val="Всего профил.2020 Пр.114-113"/>
      <sheetName val="Проф.с иными целями Пр.114"/>
      <sheetName val="Проф.с иными целями Пр.114-113"/>
      <sheetName val="Всего профил. Пр.114-113 финанс"/>
      <sheetName val="Проф.с иными цел. Пр.114-113ф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0">
          <cell r="C10">
            <v>134795</v>
          </cell>
        </row>
        <row r="11">
          <cell r="C11">
            <v>1403</v>
          </cell>
        </row>
        <row r="12">
          <cell r="C12">
            <v>134339</v>
          </cell>
        </row>
        <row r="13">
          <cell r="C13">
            <v>1297</v>
          </cell>
        </row>
        <row r="14">
          <cell r="C14">
            <v>315145</v>
          </cell>
        </row>
        <row r="15">
          <cell r="C15">
            <v>40884</v>
          </cell>
        </row>
        <row r="16">
          <cell r="C16">
            <v>98323</v>
          </cell>
        </row>
        <row r="17">
          <cell r="C17">
            <v>41931</v>
          </cell>
        </row>
        <row r="18">
          <cell r="C18">
            <v>43971</v>
          </cell>
        </row>
        <row r="19">
          <cell r="C19">
            <v>47619</v>
          </cell>
        </row>
        <row r="20">
          <cell r="C20">
            <v>50929</v>
          </cell>
        </row>
        <row r="21">
          <cell r="C21">
            <v>52970</v>
          </cell>
        </row>
        <row r="22">
          <cell r="C22">
            <v>49970</v>
          </cell>
        </row>
        <row r="23">
          <cell r="C23">
            <v>59397</v>
          </cell>
        </row>
        <row r="24">
          <cell r="C24">
            <v>47782</v>
          </cell>
        </row>
        <row r="25">
          <cell r="C25">
            <v>6</v>
          </cell>
        </row>
        <row r="26">
          <cell r="C26">
            <v>141873</v>
          </cell>
        </row>
        <row r="27">
          <cell r="C27">
            <v>2391</v>
          </cell>
        </row>
        <row r="28">
          <cell r="C28">
            <v>119360</v>
          </cell>
        </row>
        <row r="29">
          <cell r="C29">
            <v>235833</v>
          </cell>
        </row>
        <row r="30">
          <cell r="C30">
            <v>156323</v>
          </cell>
        </row>
        <row r="31">
          <cell r="C31">
            <v>35612</v>
          </cell>
        </row>
        <row r="32">
          <cell r="C32">
            <v>64168</v>
          </cell>
        </row>
        <row r="33">
          <cell r="C33">
            <v>87341</v>
          </cell>
        </row>
        <row r="34">
          <cell r="C34">
            <v>35929</v>
          </cell>
        </row>
        <row r="35">
          <cell r="C35">
            <v>30212</v>
          </cell>
        </row>
        <row r="36">
          <cell r="C36">
            <v>75509</v>
          </cell>
        </row>
        <row r="37">
          <cell r="C37">
            <v>84268</v>
          </cell>
        </row>
        <row r="38">
          <cell r="C38">
            <v>13457</v>
          </cell>
        </row>
        <row r="39">
          <cell r="C39">
            <v>171500</v>
          </cell>
        </row>
        <row r="40">
          <cell r="C40">
            <v>80024</v>
          </cell>
        </row>
        <row r="41">
          <cell r="C41">
            <v>15230</v>
          </cell>
        </row>
        <row r="42">
          <cell r="C42">
            <v>24416</v>
          </cell>
        </row>
        <row r="43">
          <cell r="C43">
            <v>479</v>
          </cell>
        </row>
        <row r="44">
          <cell r="C44">
            <v>244235</v>
          </cell>
        </row>
        <row r="45">
          <cell r="C45">
            <v>12000</v>
          </cell>
        </row>
        <row r="46">
          <cell r="C46">
            <v>10266</v>
          </cell>
        </row>
        <row r="47">
          <cell r="C47">
            <v>127436</v>
          </cell>
        </row>
        <row r="48">
          <cell r="C48">
            <v>129391</v>
          </cell>
        </row>
        <row r="49">
          <cell r="C49">
            <v>22000</v>
          </cell>
        </row>
        <row r="50">
          <cell r="C50">
            <v>4198</v>
          </cell>
        </row>
        <row r="51">
          <cell r="C51">
            <v>11900</v>
          </cell>
        </row>
        <row r="52">
          <cell r="C52">
            <v>141050</v>
          </cell>
        </row>
        <row r="53">
          <cell r="C53">
            <v>52278</v>
          </cell>
        </row>
        <row r="54">
          <cell r="C54">
            <v>187773</v>
          </cell>
        </row>
        <row r="55">
          <cell r="C55">
            <v>177627</v>
          </cell>
        </row>
        <row r="56">
          <cell r="C56">
            <v>54964</v>
          </cell>
        </row>
        <row r="57">
          <cell r="C57">
            <v>67984</v>
          </cell>
        </row>
        <row r="58">
          <cell r="C58">
            <v>63682</v>
          </cell>
        </row>
        <row r="59">
          <cell r="C59">
            <v>41258</v>
          </cell>
        </row>
        <row r="60">
          <cell r="C60">
            <v>71389</v>
          </cell>
        </row>
        <row r="61">
          <cell r="C61">
            <v>33834</v>
          </cell>
        </row>
        <row r="62">
          <cell r="C62">
            <v>10138</v>
          </cell>
        </row>
        <row r="63">
          <cell r="C63">
            <v>20116</v>
          </cell>
        </row>
        <row r="64">
          <cell r="C64">
            <v>287540</v>
          </cell>
        </row>
        <row r="65">
          <cell r="C65">
            <v>200670</v>
          </cell>
        </row>
        <row r="66">
          <cell r="C66">
            <v>250971</v>
          </cell>
        </row>
        <row r="67">
          <cell r="C67">
            <v>2203</v>
          </cell>
        </row>
        <row r="68">
          <cell r="C68">
            <v>81558</v>
          </cell>
        </row>
        <row r="69">
          <cell r="C69">
            <v>58775</v>
          </cell>
        </row>
        <row r="70">
          <cell r="C70">
            <v>45149</v>
          </cell>
        </row>
        <row r="71">
          <cell r="C71">
            <v>68427</v>
          </cell>
        </row>
        <row r="72">
          <cell r="C72">
            <v>44</v>
          </cell>
        </row>
        <row r="73">
          <cell r="C73">
            <v>28865</v>
          </cell>
        </row>
        <row r="74">
          <cell r="C74">
            <v>57518</v>
          </cell>
        </row>
        <row r="75">
          <cell r="C75">
            <v>84038</v>
          </cell>
        </row>
        <row r="76">
          <cell r="C76">
            <v>45743</v>
          </cell>
        </row>
        <row r="77">
          <cell r="C77">
            <v>55</v>
          </cell>
        </row>
        <row r="78">
          <cell r="C78">
            <v>25</v>
          </cell>
        </row>
        <row r="79">
          <cell r="C79">
            <v>22</v>
          </cell>
        </row>
        <row r="80">
          <cell r="C80">
            <v>195871</v>
          </cell>
        </row>
        <row r="81">
          <cell r="C81">
            <v>169216</v>
          </cell>
        </row>
        <row r="82">
          <cell r="C82">
            <v>233874</v>
          </cell>
        </row>
        <row r="83">
          <cell r="C83">
            <v>291759</v>
          </cell>
        </row>
        <row r="84">
          <cell r="C84">
            <v>105540</v>
          </cell>
        </row>
        <row r="85">
          <cell r="C85">
            <v>29476</v>
          </cell>
        </row>
        <row r="86">
          <cell r="C86">
            <v>31433</v>
          </cell>
        </row>
        <row r="87">
          <cell r="C87">
            <v>80354</v>
          </cell>
        </row>
        <row r="88">
          <cell r="C88">
            <v>56138</v>
          </cell>
        </row>
        <row r="89">
          <cell r="C89">
            <v>46233</v>
          </cell>
        </row>
        <row r="90">
          <cell r="C90">
            <v>47678</v>
          </cell>
        </row>
        <row r="91">
          <cell r="C91">
            <v>115818</v>
          </cell>
        </row>
        <row r="92">
          <cell r="C92">
            <v>58856</v>
          </cell>
        </row>
        <row r="93">
          <cell r="C93">
            <v>61738</v>
          </cell>
        </row>
        <row r="94">
          <cell r="C94">
            <v>29738</v>
          </cell>
        </row>
        <row r="95">
          <cell r="C95">
            <v>118124</v>
          </cell>
        </row>
        <row r="96">
          <cell r="C96">
            <v>39483</v>
          </cell>
        </row>
        <row r="97">
          <cell r="C97">
            <v>38679</v>
          </cell>
        </row>
        <row r="98">
          <cell r="C98">
            <v>3111</v>
          </cell>
        </row>
        <row r="99">
          <cell r="C99">
            <v>3578</v>
          </cell>
        </row>
        <row r="100">
          <cell r="C100">
            <v>4126</v>
          </cell>
        </row>
        <row r="101">
          <cell r="C101">
            <v>3480</v>
          </cell>
        </row>
        <row r="102">
          <cell r="C102">
            <v>13472</v>
          </cell>
        </row>
        <row r="103">
          <cell r="C103">
            <v>3172</v>
          </cell>
        </row>
        <row r="104">
          <cell r="C104">
            <v>2676</v>
          </cell>
        </row>
        <row r="105">
          <cell r="C105">
            <v>181509</v>
          </cell>
        </row>
        <row r="106">
          <cell r="C106">
            <v>77211</v>
          </cell>
        </row>
        <row r="107">
          <cell r="C107">
            <v>59911</v>
          </cell>
        </row>
        <row r="108">
          <cell r="C108">
            <v>32802</v>
          </cell>
        </row>
        <row r="109">
          <cell r="C109">
            <v>21432</v>
          </cell>
        </row>
        <row r="110">
          <cell r="C110">
            <v>2993</v>
          </cell>
        </row>
        <row r="111">
          <cell r="C111">
            <v>24045</v>
          </cell>
        </row>
        <row r="112">
          <cell r="C112">
            <v>188584</v>
          </cell>
        </row>
        <row r="113">
          <cell r="C113">
            <v>174209</v>
          </cell>
        </row>
        <row r="114">
          <cell r="C114">
            <v>75129</v>
          </cell>
        </row>
        <row r="115">
          <cell r="C115">
            <v>45026</v>
          </cell>
        </row>
        <row r="116">
          <cell r="C116">
            <v>25334</v>
          </cell>
        </row>
        <row r="117">
          <cell r="C117">
            <v>3600</v>
          </cell>
        </row>
        <row r="118">
          <cell r="C118">
            <v>8400</v>
          </cell>
        </row>
        <row r="119">
          <cell r="C119">
            <v>6644</v>
          </cell>
        </row>
        <row r="120">
          <cell r="C120">
            <v>37677</v>
          </cell>
        </row>
        <row r="121">
          <cell r="C121">
            <v>38971</v>
          </cell>
        </row>
        <row r="122">
          <cell r="C122">
            <v>105045</v>
          </cell>
        </row>
        <row r="123">
          <cell r="C123">
            <v>47375</v>
          </cell>
        </row>
        <row r="124">
          <cell r="C124">
            <v>59698</v>
          </cell>
        </row>
        <row r="125">
          <cell r="C125">
            <v>28</v>
          </cell>
        </row>
        <row r="126">
          <cell r="C126">
            <v>111645</v>
          </cell>
        </row>
        <row r="127">
          <cell r="C127">
            <v>101666</v>
          </cell>
        </row>
        <row r="128">
          <cell r="C128">
            <v>35149</v>
          </cell>
        </row>
        <row r="129">
          <cell r="C129">
            <v>55687</v>
          </cell>
        </row>
        <row r="130">
          <cell r="C130">
            <v>53739</v>
          </cell>
        </row>
        <row r="131">
          <cell r="C131">
            <v>68409</v>
          </cell>
        </row>
        <row r="132">
          <cell r="C132">
            <v>40561</v>
          </cell>
        </row>
        <row r="133">
          <cell r="C133">
            <v>61412</v>
          </cell>
        </row>
        <row r="134">
          <cell r="C134">
            <v>103059</v>
          </cell>
        </row>
        <row r="135">
          <cell r="C135">
            <v>48495</v>
          </cell>
        </row>
        <row r="136">
          <cell r="C136">
            <v>37892</v>
          </cell>
        </row>
        <row r="137">
          <cell r="C137">
            <v>0</v>
          </cell>
        </row>
        <row r="138">
          <cell r="C138">
            <v>25</v>
          </cell>
        </row>
        <row r="139">
          <cell r="C139">
            <v>66</v>
          </cell>
        </row>
        <row r="140">
          <cell r="C140">
            <v>219</v>
          </cell>
        </row>
        <row r="141">
          <cell r="C141">
            <v>8</v>
          </cell>
        </row>
        <row r="142">
          <cell r="C142">
            <v>8</v>
          </cell>
        </row>
        <row r="143">
          <cell r="C143">
            <v>8</v>
          </cell>
        </row>
        <row r="144">
          <cell r="C144">
            <v>217195</v>
          </cell>
        </row>
        <row r="145">
          <cell r="C145">
            <v>130000</v>
          </cell>
        </row>
        <row r="146">
          <cell r="C146">
            <v>85000</v>
          </cell>
        </row>
        <row r="147">
          <cell r="C147">
            <v>113400</v>
          </cell>
        </row>
        <row r="148">
          <cell r="C148">
            <v>8000</v>
          </cell>
        </row>
        <row r="149">
          <cell r="C149">
            <v>65356</v>
          </cell>
        </row>
        <row r="150">
          <cell r="C150">
            <v>57642</v>
          </cell>
        </row>
        <row r="151">
          <cell r="C151">
            <v>91000</v>
          </cell>
        </row>
        <row r="152">
          <cell r="C152">
            <v>10328</v>
          </cell>
        </row>
        <row r="153">
          <cell r="C153">
            <v>57392</v>
          </cell>
        </row>
        <row r="154">
          <cell r="C154">
            <v>1009</v>
          </cell>
        </row>
        <row r="155">
          <cell r="C155">
            <v>75757</v>
          </cell>
        </row>
        <row r="156">
          <cell r="C156">
            <v>159645</v>
          </cell>
        </row>
        <row r="157">
          <cell r="C157">
            <v>3000</v>
          </cell>
        </row>
        <row r="158">
          <cell r="C158">
            <v>1442</v>
          </cell>
        </row>
        <row r="159">
          <cell r="C159">
            <v>9830</v>
          </cell>
        </row>
        <row r="160">
          <cell r="C160">
            <v>26480</v>
          </cell>
        </row>
        <row r="161">
          <cell r="C161">
            <v>10080</v>
          </cell>
        </row>
        <row r="162">
          <cell r="C162">
            <v>5480</v>
          </cell>
        </row>
        <row r="163">
          <cell r="C163">
            <v>2600</v>
          </cell>
        </row>
        <row r="164">
          <cell r="C164">
            <v>640</v>
          </cell>
        </row>
        <row r="165">
          <cell r="C165">
            <v>302720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ЦЗ 2020 Пр.107 объем.утв. "/>
      <sheetName val="ЦЗ 2020 Пр.107 сумма утв."/>
      <sheetName val="ЦЗ 2020 Пр.110 объемы уточ."/>
      <sheetName val="Пр.110-Пр.107 изм.объемов"/>
      <sheetName val="Пр.110-Пр.107 изм.финансов"/>
      <sheetName val="Прот.110 сумма уточненная"/>
      <sheetName val="ЦЗ  Пр.111 уточнение объемов"/>
      <sheetName val="ЦЗ  Пр.111 уточненные объемы"/>
      <sheetName val="ЦЗ  Пр.111 уточнение суммы"/>
      <sheetName val="ЦЗ  Пр.111 уточненная сумма"/>
      <sheetName val="ЦЗ  Пр.114 уточненные объем "/>
      <sheetName val="ЦЗ  Пр.114 -113"/>
      <sheetName val="ЦЗ  Пр.114 -113 финансы"/>
      <sheetName val="ЦЗ  Пр.114 уточненная сумма"/>
    </sheetNames>
    <sheetDataSet>
      <sheetData sheetId="0"/>
      <sheetData sheetId="1"/>
      <sheetData sheetId="2"/>
      <sheetData sheetId="3">
        <row r="9">
          <cell r="F9">
            <v>8672</v>
          </cell>
          <cell r="G9">
            <v>2168</v>
          </cell>
          <cell r="H9">
            <v>2847</v>
          </cell>
          <cell r="I9">
            <v>712</v>
          </cell>
        </row>
        <row r="10">
          <cell r="F10">
            <v>5997</v>
          </cell>
          <cell r="G10">
            <v>1499</v>
          </cell>
          <cell r="H10">
            <v>1741</v>
          </cell>
          <cell r="I10">
            <v>435</v>
          </cell>
        </row>
        <row r="11">
          <cell r="F11">
            <v>5995</v>
          </cell>
          <cell r="G11">
            <v>369</v>
          </cell>
          <cell r="H11">
            <v>1474</v>
          </cell>
          <cell r="I11">
            <v>369</v>
          </cell>
        </row>
        <row r="12">
          <cell r="F12">
            <v>3875</v>
          </cell>
          <cell r="G12">
            <v>969</v>
          </cell>
          <cell r="H12">
            <v>1281</v>
          </cell>
          <cell r="I12">
            <v>320</v>
          </cell>
        </row>
        <row r="13">
          <cell r="F13">
            <v>10036</v>
          </cell>
          <cell r="G13">
            <v>2509</v>
          </cell>
          <cell r="H13">
            <v>2939</v>
          </cell>
          <cell r="I13">
            <v>735</v>
          </cell>
        </row>
        <row r="14">
          <cell r="F14">
            <v>5602</v>
          </cell>
          <cell r="G14">
            <v>1400</v>
          </cell>
          <cell r="H14">
            <v>1979</v>
          </cell>
          <cell r="I14">
            <v>495</v>
          </cell>
        </row>
        <row r="15">
          <cell r="H15">
            <v>0</v>
          </cell>
          <cell r="I15">
            <v>0</v>
          </cell>
        </row>
        <row r="16">
          <cell r="F16">
            <v>15970</v>
          </cell>
          <cell r="G16">
            <v>3993</v>
          </cell>
          <cell r="H16">
            <v>2073</v>
          </cell>
          <cell r="I16">
            <v>518</v>
          </cell>
        </row>
        <row r="17">
          <cell r="F17">
            <v>8486</v>
          </cell>
          <cell r="G17">
            <v>2121</v>
          </cell>
          <cell r="H17">
            <v>1132</v>
          </cell>
          <cell r="I17">
            <v>283</v>
          </cell>
        </row>
        <row r="18">
          <cell r="F18">
            <v>0</v>
          </cell>
          <cell r="G18">
            <v>0</v>
          </cell>
          <cell r="H18">
            <v>5074</v>
          </cell>
          <cell r="I18">
            <v>1269</v>
          </cell>
        </row>
        <row r="19">
          <cell r="F19">
            <v>5282</v>
          </cell>
          <cell r="G19">
            <v>1320</v>
          </cell>
          <cell r="H19">
            <v>1451</v>
          </cell>
          <cell r="I19">
            <v>363</v>
          </cell>
        </row>
        <row r="20">
          <cell r="F20">
            <v>3048</v>
          </cell>
          <cell r="G20">
            <v>762</v>
          </cell>
          <cell r="H20">
            <v>901</v>
          </cell>
          <cell r="I20">
            <v>225</v>
          </cell>
        </row>
        <row r="21">
          <cell r="F21">
            <v>8704</v>
          </cell>
          <cell r="G21">
            <v>2176</v>
          </cell>
          <cell r="H21">
            <v>2372</v>
          </cell>
          <cell r="I21">
            <v>593</v>
          </cell>
        </row>
        <row r="22">
          <cell r="F22">
            <v>0</v>
          </cell>
          <cell r="G22">
            <v>0</v>
          </cell>
          <cell r="H22">
            <v>2480</v>
          </cell>
          <cell r="I22">
            <v>620</v>
          </cell>
        </row>
        <row r="23">
          <cell r="F23">
            <v>0</v>
          </cell>
          <cell r="G23">
            <v>0</v>
          </cell>
          <cell r="H23">
            <v>7786</v>
          </cell>
          <cell r="I23">
            <v>1946</v>
          </cell>
        </row>
        <row r="24">
          <cell r="F24">
            <v>8945</v>
          </cell>
          <cell r="G24">
            <v>2236</v>
          </cell>
          <cell r="H24">
            <v>0</v>
          </cell>
          <cell r="I24">
            <v>0</v>
          </cell>
        </row>
        <row r="25">
          <cell r="F25">
            <v>13304</v>
          </cell>
          <cell r="G25">
            <v>3326</v>
          </cell>
          <cell r="H25">
            <v>0</v>
          </cell>
          <cell r="I25">
            <v>0</v>
          </cell>
        </row>
        <row r="26">
          <cell r="F26">
            <v>8636</v>
          </cell>
          <cell r="G26">
            <v>2159</v>
          </cell>
          <cell r="H26">
            <v>0</v>
          </cell>
          <cell r="I26">
            <v>0</v>
          </cell>
        </row>
        <row r="27">
          <cell r="F27">
            <v>5203</v>
          </cell>
          <cell r="G27">
            <v>1301</v>
          </cell>
          <cell r="H27">
            <v>1482</v>
          </cell>
          <cell r="I27">
            <v>371</v>
          </cell>
        </row>
        <row r="28">
          <cell r="F28">
            <v>6252</v>
          </cell>
          <cell r="G28">
            <v>1563</v>
          </cell>
          <cell r="H28">
            <v>1642</v>
          </cell>
          <cell r="I28">
            <v>411</v>
          </cell>
        </row>
        <row r="29">
          <cell r="F29">
            <v>0</v>
          </cell>
          <cell r="G29">
            <v>0</v>
          </cell>
          <cell r="H29">
            <v>4960</v>
          </cell>
          <cell r="I29">
            <v>1240</v>
          </cell>
        </row>
        <row r="30">
          <cell r="F30">
            <v>9343</v>
          </cell>
          <cell r="G30">
            <v>2336</v>
          </cell>
          <cell r="H30">
            <v>0</v>
          </cell>
          <cell r="I30">
            <v>0</v>
          </cell>
        </row>
      </sheetData>
      <sheetData sheetId="4"/>
      <sheetData sheetId="5"/>
      <sheetData sheetId="6"/>
      <sheetData sheetId="7">
        <row r="9">
          <cell r="F9">
            <v>-1278</v>
          </cell>
          <cell r="G9">
            <v>-313</v>
          </cell>
          <cell r="H9">
            <v>-415</v>
          </cell>
          <cell r="I9">
            <v>-103</v>
          </cell>
        </row>
        <row r="10">
          <cell r="F10">
            <v>-902</v>
          </cell>
          <cell r="G10">
            <v>-230</v>
          </cell>
          <cell r="H10">
            <v>-252</v>
          </cell>
          <cell r="I10">
            <v>-63</v>
          </cell>
        </row>
        <row r="11">
          <cell r="F11">
            <v>-851</v>
          </cell>
          <cell r="G11">
            <v>-173</v>
          </cell>
          <cell r="H11">
            <v>-236</v>
          </cell>
          <cell r="I11">
            <v>-54</v>
          </cell>
        </row>
        <row r="12">
          <cell r="F12">
            <v>-667</v>
          </cell>
          <cell r="G12">
            <v>-140</v>
          </cell>
          <cell r="H12">
            <v>-221</v>
          </cell>
          <cell r="I12">
            <v>-55</v>
          </cell>
        </row>
        <row r="13">
          <cell r="F13">
            <v>-1452</v>
          </cell>
          <cell r="G13">
            <v>-363</v>
          </cell>
          <cell r="H13">
            <v>-424</v>
          </cell>
          <cell r="I13">
            <v>-106</v>
          </cell>
        </row>
        <row r="14">
          <cell r="F14">
            <v>-813</v>
          </cell>
          <cell r="G14">
            <v>-203</v>
          </cell>
          <cell r="H14">
            <v>-286</v>
          </cell>
          <cell r="I14">
            <v>-71</v>
          </cell>
        </row>
        <row r="15">
          <cell r="H15">
            <v>0</v>
          </cell>
          <cell r="I15">
            <v>0</v>
          </cell>
        </row>
        <row r="17">
          <cell r="F17">
            <v>-2311</v>
          </cell>
          <cell r="G17">
            <v>-578</v>
          </cell>
          <cell r="H17">
            <v>-300</v>
          </cell>
          <cell r="I17">
            <v>-76</v>
          </cell>
        </row>
        <row r="18">
          <cell r="F18">
            <v>-1333</v>
          </cell>
          <cell r="G18">
            <v>-306</v>
          </cell>
          <cell r="H18">
            <v>-164</v>
          </cell>
          <cell r="I18">
            <v>-41</v>
          </cell>
        </row>
        <row r="19">
          <cell r="F19">
            <v>0</v>
          </cell>
          <cell r="G19">
            <v>0</v>
          </cell>
          <cell r="H19">
            <v>-787</v>
          </cell>
          <cell r="I19">
            <v>-192</v>
          </cell>
        </row>
        <row r="20">
          <cell r="F20">
            <v>-773</v>
          </cell>
          <cell r="G20">
            <v>-191</v>
          </cell>
          <cell r="H20">
            <v>-214</v>
          </cell>
          <cell r="I20">
            <v>-52</v>
          </cell>
        </row>
        <row r="21">
          <cell r="F21">
            <v>-441</v>
          </cell>
          <cell r="G21">
            <v>-111</v>
          </cell>
          <cell r="H21">
            <v>-130</v>
          </cell>
          <cell r="I21">
            <v>-33</v>
          </cell>
        </row>
        <row r="22">
          <cell r="F22">
            <v>-1261</v>
          </cell>
          <cell r="G22">
            <v>-347</v>
          </cell>
          <cell r="H22">
            <v>-343</v>
          </cell>
          <cell r="I22">
            <v>-86</v>
          </cell>
        </row>
        <row r="23">
          <cell r="F23">
            <v>0</v>
          </cell>
          <cell r="G23">
            <v>0</v>
          </cell>
          <cell r="H23">
            <v>-358</v>
          </cell>
          <cell r="I23">
            <v>-90</v>
          </cell>
        </row>
        <row r="24">
          <cell r="F24">
            <v>0</v>
          </cell>
          <cell r="G24">
            <v>0</v>
          </cell>
          <cell r="H24">
            <v>-1141</v>
          </cell>
          <cell r="I24">
            <v>-281</v>
          </cell>
        </row>
        <row r="25">
          <cell r="F25">
            <v>-1411</v>
          </cell>
          <cell r="G25">
            <v>-342</v>
          </cell>
          <cell r="H25">
            <v>0</v>
          </cell>
          <cell r="I25">
            <v>0</v>
          </cell>
        </row>
        <row r="26">
          <cell r="F26">
            <v>-2164</v>
          </cell>
          <cell r="G26">
            <v>-480</v>
          </cell>
          <cell r="H26">
            <v>0</v>
          </cell>
          <cell r="I26">
            <v>0</v>
          </cell>
        </row>
        <row r="27">
          <cell r="F27">
            <v>-1249</v>
          </cell>
          <cell r="G27">
            <v>-312</v>
          </cell>
          <cell r="H27">
            <v>0</v>
          </cell>
          <cell r="I27">
            <v>0</v>
          </cell>
        </row>
        <row r="28">
          <cell r="F28">
            <v>-755</v>
          </cell>
          <cell r="G28">
            <v>-188</v>
          </cell>
          <cell r="H28">
            <v>-233</v>
          </cell>
          <cell r="I28">
            <v>-53</v>
          </cell>
        </row>
        <row r="29">
          <cell r="F29">
            <v>-980</v>
          </cell>
          <cell r="G29">
            <v>-226</v>
          </cell>
          <cell r="H29">
            <v>-245</v>
          </cell>
          <cell r="I29">
            <v>-60</v>
          </cell>
        </row>
        <row r="30">
          <cell r="F30">
            <v>0</v>
          </cell>
          <cell r="G30">
            <v>0</v>
          </cell>
          <cell r="H30">
            <v>-717</v>
          </cell>
          <cell r="I30">
            <v>-179</v>
          </cell>
        </row>
        <row r="31">
          <cell r="F31">
            <v>-1515</v>
          </cell>
          <cell r="G31">
            <v>-337</v>
          </cell>
          <cell r="H31">
            <v>0</v>
          </cell>
          <cell r="I3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="90" zoomScaleNormal="90" workbookViewId="0">
      <pane xSplit="2" ySplit="5" topLeftCell="C97" activePane="bottomRight" state="frozen"/>
      <selection pane="topRight" activeCell="C1" sqref="C1"/>
      <selection pane="bottomLeft" activeCell="A5" sqref="A5"/>
      <selection pane="bottomRight" activeCell="G103" sqref="G103"/>
    </sheetView>
  </sheetViews>
  <sheetFormatPr defaultRowHeight="12.75" x14ac:dyDescent="0.2"/>
  <cols>
    <col min="1" max="1" width="4.42578125" style="14" customWidth="1"/>
    <col min="2" max="2" width="42.140625" style="1" customWidth="1"/>
    <col min="3" max="3" width="10.42578125" style="1" customWidth="1"/>
    <col min="4" max="4" width="7.28515625" style="3" customWidth="1"/>
    <col min="5" max="5" width="11.140625" style="3" customWidth="1"/>
    <col min="6" max="6" width="10.28515625" style="3" customWidth="1"/>
    <col min="7" max="7" width="12.85546875" style="3" customWidth="1"/>
    <col min="8" max="8" width="12.42578125" style="3" customWidth="1"/>
    <col min="9" max="9" width="10.85546875" style="3" customWidth="1"/>
    <col min="10" max="16384" width="9.140625" style="1"/>
  </cols>
  <sheetData>
    <row r="1" spans="1:9" ht="32.25" customHeight="1" x14ac:dyDescent="0.2">
      <c r="A1" s="419" t="s">
        <v>86</v>
      </c>
      <c r="B1" s="420"/>
      <c r="C1" s="420"/>
      <c r="D1" s="420"/>
      <c r="E1" s="420"/>
      <c r="F1" s="420"/>
      <c r="G1" s="420"/>
      <c r="H1" s="420"/>
      <c r="I1" s="420"/>
    </row>
    <row r="2" spans="1:9" ht="17.25" customHeight="1" x14ac:dyDescent="0.2">
      <c r="A2" s="2"/>
      <c r="F2" s="4"/>
      <c r="G2" s="4"/>
      <c r="H2" s="4"/>
      <c r="I2" s="4"/>
    </row>
    <row r="3" spans="1:9" s="5" customFormat="1" ht="9" customHeight="1" x14ac:dyDescent="0.2">
      <c r="A3" s="421" t="s">
        <v>0</v>
      </c>
      <c r="B3" s="421" t="s">
        <v>82</v>
      </c>
      <c r="C3" s="422" t="s">
        <v>87</v>
      </c>
      <c r="D3" s="422"/>
      <c r="E3" s="422"/>
      <c r="F3" s="422"/>
      <c r="G3" s="422"/>
      <c r="H3" s="422"/>
      <c r="I3" s="422"/>
    </row>
    <row r="4" spans="1:9" s="5" customFormat="1" ht="17.25" customHeight="1" x14ac:dyDescent="0.2">
      <c r="A4" s="421"/>
      <c r="B4" s="421"/>
      <c r="C4" s="421" t="s">
        <v>83</v>
      </c>
      <c r="D4" s="423" t="s">
        <v>88</v>
      </c>
      <c r="E4" s="18" t="s">
        <v>89</v>
      </c>
      <c r="F4" s="423" t="s">
        <v>84</v>
      </c>
      <c r="G4" s="423" t="s">
        <v>89</v>
      </c>
      <c r="H4" s="425"/>
      <c r="I4" s="423" t="s">
        <v>90</v>
      </c>
    </row>
    <row r="5" spans="1:9" s="6" customFormat="1" ht="40.5" customHeight="1" x14ac:dyDescent="0.25">
      <c r="A5" s="421"/>
      <c r="B5" s="421"/>
      <c r="C5" s="421"/>
      <c r="D5" s="424"/>
      <c r="E5" s="18" t="s">
        <v>91</v>
      </c>
      <c r="F5" s="425"/>
      <c r="G5" s="18" t="s">
        <v>92</v>
      </c>
      <c r="H5" s="18" t="s">
        <v>91</v>
      </c>
      <c r="I5" s="425"/>
    </row>
    <row r="6" spans="1:9" x14ac:dyDescent="0.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x14ac:dyDescent="0.2">
      <c r="A7" s="19" t="s">
        <v>117</v>
      </c>
      <c r="B7" s="19"/>
      <c r="C7" s="20"/>
      <c r="D7" s="20"/>
      <c r="E7" s="20"/>
      <c r="F7" s="20"/>
      <c r="G7" s="20"/>
      <c r="H7" s="20"/>
      <c r="I7" s="20"/>
    </row>
    <row r="8" spans="1:9" x14ac:dyDescent="0.2">
      <c r="A8" s="8">
        <v>1</v>
      </c>
      <c r="B8" s="9" t="s">
        <v>118</v>
      </c>
      <c r="C8" s="10">
        <v>755</v>
      </c>
      <c r="D8" s="10"/>
      <c r="E8" s="10"/>
      <c r="F8" s="10">
        <v>755</v>
      </c>
      <c r="G8" s="10"/>
      <c r="H8" s="10"/>
      <c r="I8" s="10"/>
    </row>
    <row r="9" spans="1:9" x14ac:dyDescent="0.2">
      <c r="A9" s="8">
        <v>2</v>
      </c>
      <c r="B9" s="9" t="s">
        <v>119</v>
      </c>
      <c r="C9" s="10">
        <v>729</v>
      </c>
      <c r="D9" s="10"/>
      <c r="E9" s="10"/>
      <c r="F9" s="10">
        <v>729</v>
      </c>
      <c r="G9" s="10"/>
      <c r="H9" s="10"/>
      <c r="I9" s="10"/>
    </row>
    <row r="10" spans="1:9" x14ac:dyDescent="0.2">
      <c r="A10" s="8">
        <v>3</v>
      </c>
      <c r="B10" s="9" t="s">
        <v>47</v>
      </c>
      <c r="C10" s="10">
        <v>3219</v>
      </c>
      <c r="D10" s="10"/>
      <c r="E10" s="10"/>
      <c r="F10" s="10">
        <v>3219</v>
      </c>
      <c r="G10" s="10"/>
      <c r="H10" s="10"/>
      <c r="I10" s="10"/>
    </row>
    <row r="11" spans="1:9" x14ac:dyDescent="0.2">
      <c r="A11" s="8">
        <v>4</v>
      </c>
      <c r="B11" s="9" t="s">
        <v>3</v>
      </c>
      <c r="C11" s="10">
        <v>1945</v>
      </c>
      <c r="D11" s="10"/>
      <c r="E11" s="10"/>
      <c r="F11" s="10">
        <v>1945</v>
      </c>
      <c r="G11" s="10"/>
      <c r="H11" s="10"/>
      <c r="I11" s="10"/>
    </row>
    <row r="12" spans="1:9" ht="12.75" customHeight="1" x14ac:dyDescent="0.2">
      <c r="A12" s="8">
        <v>5</v>
      </c>
      <c r="B12" s="9" t="s">
        <v>1</v>
      </c>
      <c r="C12" s="10">
        <v>4277</v>
      </c>
      <c r="D12" s="10"/>
      <c r="E12" s="10"/>
      <c r="F12" s="10">
        <v>4277</v>
      </c>
      <c r="G12" s="10"/>
      <c r="H12" s="10"/>
      <c r="I12" s="10"/>
    </row>
    <row r="13" spans="1:9" x14ac:dyDescent="0.2">
      <c r="A13" s="8">
        <v>6</v>
      </c>
      <c r="B13" s="9" t="s">
        <v>4</v>
      </c>
      <c r="C13" s="10">
        <v>2357</v>
      </c>
      <c r="D13" s="10"/>
      <c r="E13" s="10"/>
      <c r="F13" s="10">
        <v>2357</v>
      </c>
      <c r="G13" s="10"/>
      <c r="H13" s="10"/>
      <c r="I13" s="10"/>
    </row>
    <row r="14" spans="1:9" x14ac:dyDescent="0.2">
      <c r="A14" s="8">
        <v>7</v>
      </c>
      <c r="B14" s="9" t="s">
        <v>6</v>
      </c>
      <c r="C14" s="10">
        <v>6602</v>
      </c>
      <c r="D14" s="10"/>
      <c r="E14" s="10"/>
      <c r="F14" s="10">
        <v>6602</v>
      </c>
      <c r="G14" s="10"/>
      <c r="H14" s="10">
        <v>5</v>
      </c>
      <c r="I14" s="10"/>
    </row>
    <row r="15" spans="1:9" x14ac:dyDescent="0.2">
      <c r="A15" s="8">
        <v>8</v>
      </c>
      <c r="B15" s="9" t="s">
        <v>7</v>
      </c>
      <c r="C15" s="10">
        <v>3102</v>
      </c>
      <c r="D15" s="10"/>
      <c r="E15" s="10"/>
      <c r="F15" s="10">
        <v>3102</v>
      </c>
      <c r="G15" s="10"/>
      <c r="H15" s="10">
        <v>4</v>
      </c>
      <c r="I15" s="10"/>
    </row>
    <row r="16" spans="1:9" x14ac:dyDescent="0.2">
      <c r="A16" s="8">
        <v>9</v>
      </c>
      <c r="B16" s="9" t="s">
        <v>8</v>
      </c>
      <c r="C16" s="10">
        <v>1898</v>
      </c>
      <c r="D16" s="10"/>
      <c r="E16" s="10"/>
      <c r="F16" s="10">
        <v>1898</v>
      </c>
      <c r="G16" s="10"/>
      <c r="H16" s="10">
        <v>9</v>
      </c>
      <c r="I16" s="10"/>
    </row>
    <row r="17" spans="1:9" x14ac:dyDescent="0.2">
      <c r="A17" s="8">
        <v>10</v>
      </c>
      <c r="B17" s="9" t="s">
        <v>10</v>
      </c>
      <c r="C17" s="10">
        <v>2218</v>
      </c>
      <c r="D17" s="10"/>
      <c r="E17" s="10"/>
      <c r="F17" s="10">
        <v>2218</v>
      </c>
      <c r="G17" s="10"/>
      <c r="H17" s="10">
        <v>3</v>
      </c>
      <c r="I17" s="10"/>
    </row>
    <row r="18" spans="1:9" x14ac:dyDescent="0.2">
      <c r="A18" s="8">
        <v>11</v>
      </c>
      <c r="B18" s="9" t="s">
        <v>12</v>
      </c>
      <c r="C18" s="10">
        <v>2399</v>
      </c>
      <c r="D18" s="10"/>
      <c r="E18" s="10"/>
      <c r="F18" s="10">
        <v>2399</v>
      </c>
      <c r="G18" s="10"/>
      <c r="H18" s="10">
        <v>3</v>
      </c>
      <c r="I18" s="10"/>
    </row>
    <row r="19" spans="1:9" x14ac:dyDescent="0.2">
      <c r="A19" s="8">
        <v>12</v>
      </c>
      <c r="B19" s="9" t="s">
        <v>15</v>
      </c>
      <c r="C19" s="10">
        <v>5371</v>
      </c>
      <c r="D19" s="10"/>
      <c r="E19" s="10"/>
      <c r="F19" s="10">
        <v>5371</v>
      </c>
      <c r="G19" s="10"/>
      <c r="H19" s="10">
        <v>2</v>
      </c>
      <c r="I19" s="10"/>
    </row>
    <row r="20" spans="1:9" x14ac:dyDescent="0.2">
      <c r="A20" s="8">
        <v>13</v>
      </c>
      <c r="B20" s="9" t="s">
        <v>38</v>
      </c>
      <c r="C20" s="10">
        <v>2705</v>
      </c>
      <c r="D20" s="10"/>
      <c r="E20" s="10"/>
      <c r="F20" s="10">
        <v>2705</v>
      </c>
      <c r="G20" s="10"/>
      <c r="H20" s="10">
        <v>2</v>
      </c>
      <c r="I20" s="10"/>
    </row>
    <row r="21" spans="1:9" x14ac:dyDescent="0.2">
      <c r="A21" s="8">
        <v>14</v>
      </c>
      <c r="B21" s="9" t="s">
        <v>16</v>
      </c>
      <c r="C21" s="10">
        <v>3674</v>
      </c>
      <c r="D21" s="10"/>
      <c r="E21" s="10"/>
      <c r="F21" s="10">
        <v>3674</v>
      </c>
      <c r="G21" s="10"/>
      <c r="H21" s="10">
        <v>12</v>
      </c>
      <c r="I21" s="10"/>
    </row>
    <row r="22" spans="1:9" x14ac:dyDescent="0.2">
      <c r="A22" s="8">
        <v>15</v>
      </c>
      <c r="B22" s="9" t="s">
        <v>17</v>
      </c>
      <c r="C22" s="10">
        <v>2099</v>
      </c>
      <c r="D22" s="10"/>
      <c r="E22" s="10"/>
      <c r="F22" s="10">
        <v>2099</v>
      </c>
      <c r="G22" s="10"/>
      <c r="H22" s="10">
        <v>7</v>
      </c>
      <c r="I22" s="10"/>
    </row>
    <row r="23" spans="1:9" x14ac:dyDescent="0.2">
      <c r="A23" s="8">
        <v>16</v>
      </c>
      <c r="B23" s="9" t="s">
        <v>18</v>
      </c>
      <c r="C23" s="10">
        <v>1734</v>
      </c>
      <c r="D23" s="10"/>
      <c r="E23" s="10"/>
      <c r="F23" s="10">
        <v>1734</v>
      </c>
      <c r="G23" s="10"/>
      <c r="H23" s="10"/>
      <c r="I23" s="10"/>
    </row>
    <row r="24" spans="1:9" ht="12.75" customHeight="1" x14ac:dyDescent="0.2">
      <c r="A24" s="8">
        <v>17</v>
      </c>
      <c r="B24" s="9" t="s">
        <v>44</v>
      </c>
      <c r="C24" s="10">
        <v>2530</v>
      </c>
      <c r="D24" s="10"/>
      <c r="E24" s="10"/>
      <c r="F24" s="10">
        <v>2530</v>
      </c>
      <c r="G24" s="10"/>
      <c r="H24" s="10"/>
      <c r="I24" s="10"/>
    </row>
    <row r="25" spans="1:9" x14ac:dyDescent="0.2">
      <c r="A25" s="8">
        <v>18</v>
      </c>
      <c r="B25" s="9" t="s">
        <v>27</v>
      </c>
      <c r="C25" s="10">
        <v>3643</v>
      </c>
      <c r="D25" s="10"/>
      <c r="E25" s="10"/>
      <c r="F25" s="10">
        <v>3643</v>
      </c>
      <c r="G25" s="10"/>
      <c r="H25" s="10"/>
      <c r="I25" s="10"/>
    </row>
    <row r="26" spans="1:9" x14ac:dyDescent="0.2">
      <c r="A26" s="8">
        <v>19</v>
      </c>
      <c r="B26" s="9" t="s">
        <v>20</v>
      </c>
      <c r="C26" s="10">
        <v>4448</v>
      </c>
      <c r="D26" s="10"/>
      <c r="E26" s="10"/>
      <c r="F26" s="10">
        <v>4448</v>
      </c>
      <c r="G26" s="10"/>
      <c r="H26" s="10"/>
      <c r="I26" s="10"/>
    </row>
    <row r="27" spans="1:9" x14ac:dyDescent="0.2">
      <c r="A27" s="8">
        <v>20</v>
      </c>
      <c r="B27" s="9" t="s">
        <v>23</v>
      </c>
      <c r="C27" s="10">
        <v>1644</v>
      </c>
      <c r="D27" s="10"/>
      <c r="E27" s="10"/>
      <c r="F27" s="10">
        <v>1644</v>
      </c>
      <c r="G27" s="10"/>
      <c r="H27" s="10"/>
      <c r="I27" s="10"/>
    </row>
    <row r="28" spans="1:9" x14ac:dyDescent="0.2">
      <c r="A28" s="8">
        <v>21</v>
      </c>
      <c r="B28" s="9" t="s">
        <v>25</v>
      </c>
      <c r="C28" s="10">
        <v>1669</v>
      </c>
      <c r="D28" s="10"/>
      <c r="E28" s="10"/>
      <c r="F28" s="10">
        <v>1669</v>
      </c>
      <c r="G28" s="10"/>
      <c r="H28" s="10"/>
      <c r="I28" s="10"/>
    </row>
    <row r="29" spans="1:9" x14ac:dyDescent="0.2">
      <c r="A29" s="8">
        <v>22</v>
      </c>
      <c r="B29" s="9" t="s">
        <v>26</v>
      </c>
      <c r="C29" s="10">
        <v>3566</v>
      </c>
      <c r="D29" s="10"/>
      <c r="E29" s="10"/>
      <c r="F29" s="10">
        <v>3566</v>
      </c>
      <c r="G29" s="10"/>
      <c r="H29" s="10"/>
      <c r="I29" s="10"/>
    </row>
    <row r="30" spans="1:9" x14ac:dyDescent="0.2">
      <c r="A30" s="8">
        <v>23</v>
      </c>
      <c r="B30" s="9" t="s">
        <v>24</v>
      </c>
      <c r="C30" s="10">
        <v>3030</v>
      </c>
      <c r="D30" s="10"/>
      <c r="E30" s="10"/>
      <c r="F30" s="10">
        <v>3030</v>
      </c>
      <c r="G30" s="10"/>
      <c r="H30" s="10"/>
      <c r="I30" s="10"/>
    </row>
    <row r="31" spans="1:9" x14ac:dyDescent="0.2">
      <c r="A31" s="8">
        <v>24</v>
      </c>
      <c r="B31" s="9" t="s">
        <v>29</v>
      </c>
      <c r="C31" s="10">
        <v>2068</v>
      </c>
      <c r="D31" s="10"/>
      <c r="E31" s="10"/>
      <c r="F31" s="10">
        <v>2068</v>
      </c>
      <c r="G31" s="10"/>
      <c r="H31" s="10"/>
      <c r="I31" s="10"/>
    </row>
    <row r="32" spans="1:9" x14ac:dyDescent="0.2">
      <c r="A32" s="8">
        <v>25</v>
      </c>
      <c r="B32" s="9" t="s">
        <v>30</v>
      </c>
      <c r="C32" s="10">
        <v>3046</v>
      </c>
      <c r="D32" s="10"/>
      <c r="E32" s="10"/>
      <c r="F32" s="10">
        <v>3046</v>
      </c>
      <c r="G32" s="10"/>
      <c r="H32" s="10"/>
      <c r="I32" s="10"/>
    </row>
    <row r="33" spans="1:9" ht="14.25" customHeight="1" x14ac:dyDescent="0.2">
      <c r="A33" s="8">
        <v>26</v>
      </c>
      <c r="B33" s="9" t="s">
        <v>31</v>
      </c>
      <c r="C33" s="10">
        <v>4716</v>
      </c>
      <c r="D33" s="10"/>
      <c r="E33" s="10"/>
      <c r="F33" s="10">
        <v>4716</v>
      </c>
      <c r="G33" s="10"/>
      <c r="H33" s="10">
        <v>11</v>
      </c>
      <c r="I33" s="10"/>
    </row>
    <row r="34" spans="1:9" ht="14.25" customHeight="1" x14ac:dyDescent="0.2">
      <c r="A34" s="8">
        <v>27</v>
      </c>
      <c r="B34" s="9" t="s">
        <v>32</v>
      </c>
      <c r="C34" s="10">
        <v>1736</v>
      </c>
      <c r="D34" s="10"/>
      <c r="E34" s="10"/>
      <c r="F34" s="10">
        <v>1736</v>
      </c>
      <c r="G34" s="10"/>
      <c r="H34" s="10"/>
      <c r="I34" s="10"/>
    </row>
    <row r="35" spans="1:9" x14ac:dyDescent="0.2">
      <c r="A35" s="8">
        <v>28</v>
      </c>
      <c r="B35" s="9" t="s">
        <v>33</v>
      </c>
      <c r="C35" s="10">
        <v>2201</v>
      </c>
      <c r="D35" s="10"/>
      <c r="E35" s="10"/>
      <c r="F35" s="10">
        <v>2201</v>
      </c>
      <c r="G35" s="10"/>
      <c r="H35" s="10"/>
      <c r="I35" s="10"/>
    </row>
    <row r="36" spans="1:9" x14ac:dyDescent="0.2">
      <c r="A36" s="8">
        <v>29</v>
      </c>
      <c r="B36" s="9" t="s">
        <v>19</v>
      </c>
      <c r="C36" s="10">
        <v>3384</v>
      </c>
      <c r="D36" s="10"/>
      <c r="E36" s="10"/>
      <c r="F36" s="10">
        <v>3384</v>
      </c>
      <c r="G36" s="10"/>
      <c r="H36" s="10"/>
      <c r="I36" s="10"/>
    </row>
    <row r="37" spans="1:9" x14ac:dyDescent="0.2">
      <c r="A37" s="8">
        <v>30</v>
      </c>
      <c r="B37" s="9" t="s">
        <v>35</v>
      </c>
      <c r="C37" s="10">
        <v>2535</v>
      </c>
      <c r="D37" s="10"/>
      <c r="E37" s="10"/>
      <c r="F37" s="10">
        <v>2535</v>
      </c>
      <c r="G37" s="10"/>
      <c r="H37" s="10"/>
      <c r="I37" s="10"/>
    </row>
    <row r="38" spans="1:9" x14ac:dyDescent="0.2">
      <c r="A38" s="8">
        <v>31</v>
      </c>
      <c r="B38" s="9" t="s">
        <v>42</v>
      </c>
      <c r="C38" s="10">
        <v>3564</v>
      </c>
      <c r="D38" s="10"/>
      <c r="E38" s="10"/>
      <c r="F38" s="10">
        <v>3564</v>
      </c>
      <c r="G38" s="10"/>
      <c r="H38" s="10">
        <v>100</v>
      </c>
      <c r="I38" s="10"/>
    </row>
    <row r="39" spans="1:9" x14ac:dyDescent="0.2">
      <c r="A39" s="8">
        <v>32</v>
      </c>
      <c r="B39" s="9" t="s">
        <v>39</v>
      </c>
      <c r="C39" s="10">
        <v>2763</v>
      </c>
      <c r="D39" s="10"/>
      <c r="E39" s="10"/>
      <c r="F39" s="10">
        <v>2763</v>
      </c>
      <c r="G39" s="10"/>
      <c r="H39" s="10"/>
      <c r="I39" s="10"/>
    </row>
    <row r="40" spans="1:9" x14ac:dyDescent="0.2">
      <c r="A40" s="8">
        <v>33</v>
      </c>
      <c r="B40" s="9" t="s">
        <v>40</v>
      </c>
      <c r="C40" s="10">
        <v>3192</v>
      </c>
      <c r="D40" s="10"/>
      <c r="E40" s="10"/>
      <c r="F40" s="10">
        <v>3192</v>
      </c>
      <c r="G40" s="10"/>
      <c r="H40" s="10">
        <v>5</v>
      </c>
      <c r="I40" s="10"/>
    </row>
    <row r="41" spans="1:9" x14ac:dyDescent="0.2">
      <c r="A41" s="8">
        <v>34</v>
      </c>
      <c r="B41" s="9" t="s">
        <v>34</v>
      </c>
      <c r="C41" s="10">
        <v>3471</v>
      </c>
      <c r="D41" s="10"/>
      <c r="E41" s="10"/>
      <c r="F41" s="10">
        <v>3471</v>
      </c>
      <c r="G41" s="10"/>
      <c r="H41" s="10"/>
      <c r="I41" s="10"/>
    </row>
    <row r="42" spans="1:9" x14ac:dyDescent="0.2">
      <c r="A42" s="8">
        <v>35</v>
      </c>
      <c r="B42" s="9" t="s">
        <v>41</v>
      </c>
      <c r="C42" s="10">
        <v>2049</v>
      </c>
      <c r="D42" s="10"/>
      <c r="E42" s="10"/>
      <c r="F42" s="10">
        <v>2049</v>
      </c>
      <c r="G42" s="10"/>
      <c r="H42" s="10">
        <v>2</v>
      </c>
      <c r="I42" s="10"/>
    </row>
    <row r="43" spans="1:9" x14ac:dyDescent="0.2">
      <c r="A43" s="8">
        <v>36</v>
      </c>
      <c r="B43" s="9" t="s">
        <v>2</v>
      </c>
      <c r="C43" s="10">
        <v>4456</v>
      </c>
      <c r="D43" s="10"/>
      <c r="E43" s="10"/>
      <c r="F43" s="10">
        <v>4456</v>
      </c>
      <c r="G43" s="10"/>
      <c r="H43" s="10">
        <v>4</v>
      </c>
      <c r="I43" s="10"/>
    </row>
    <row r="44" spans="1:9" x14ac:dyDescent="0.2">
      <c r="A44" s="8">
        <v>37</v>
      </c>
      <c r="B44" s="9" t="s">
        <v>43</v>
      </c>
      <c r="C44" s="10">
        <v>2109</v>
      </c>
      <c r="D44" s="10"/>
      <c r="E44" s="10"/>
      <c r="F44" s="10">
        <v>2109</v>
      </c>
      <c r="G44" s="10"/>
      <c r="H44" s="10"/>
      <c r="I44" s="10"/>
    </row>
    <row r="45" spans="1:9" x14ac:dyDescent="0.2">
      <c r="A45" s="8">
        <v>38</v>
      </c>
      <c r="B45" s="9" t="s">
        <v>5</v>
      </c>
      <c r="C45" s="10">
        <v>2906</v>
      </c>
      <c r="D45" s="10"/>
      <c r="E45" s="10"/>
      <c r="F45" s="10">
        <v>2906</v>
      </c>
      <c r="G45" s="10"/>
      <c r="H45" s="10">
        <v>4</v>
      </c>
      <c r="I45" s="10"/>
    </row>
    <row r="46" spans="1:9" x14ac:dyDescent="0.2">
      <c r="A46" s="8">
        <v>39</v>
      </c>
      <c r="B46" s="9" t="s">
        <v>46</v>
      </c>
      <c r="C46" s="10">
        <v>1634</v>
      </c>
      <c r="D46" s="10"/>
      <c r="E46" s="10"/>
      <c r="F46" s="10">
        <v>1634</v>
      </c>
      <c r="G46" s="10"/>
      <c r="H46" s="10"/>
      <c r="I46" s="10"/>
    </row>
    <row r="47" spans="1:9" x14ac:dyDescent="0.2">
      <c r="A47" s="8">
        <v>40</v>
      </c>
      <c r="B47" s="9" t="s">
        <v>48</v>
      </c>
      <c r="C47" s="10">
        <v>2981</v>
      </c>
      <c r="D47" s="10"/>
      <c r="E47" s="10"/>
      <c r="F47" s="10">
        <v>2981</v>
      </c>
      <c r="G47" s="10"/>
      <c r="H47" s="10"/>
      <c r="I47" s="10"/>
    </row>
    <row r="48" spans="1:9" x14ac:dyDescent="0.2">
      <c r="A48" s="8">
        <v>41</v>
      </c>
      <c r="B48" s="9" t="s">
        <v>49</v>
      </c>
      <c r="C48" s="10">
        <v>4381</v>
      </c>
      <c r="D48" s="10"/>
      <c r="E48" s="10"/>
      <c r="F48" s="10">
        <v>4381</v>
      </c>
      <c r="G48" s="10"/>
      <c r="H48" s="10">
        <v>5</v>
      </c>
      <c r="I48" s="10"/>
    </row>
    <row r="49" spans="1:9" x14ac:dyDescent="0.2">
      <c r="A49" s="8">
        <v>42</v>
      </c>
      <c r="B49" s="9" t="s">
        <v>50</v>
      </c>
      <c r="C49" s="10">
        <v>2649</v>
      </c>
      <c r="D49" s="10"/>
      <c r="E49" s="10"/>
      <c r="F49" s="10">
        <v>2649</v>
      </c>
      <c r="G49" s="10"/>
      <c r="H49" s="10">
        <v>17</v>
      </c>
      <c r="I49" s="10"/>
    </row>
    <row r="50" spans="1:9" x14ac:dyDescent="0.2">
      <c r="A50" s="8">
        <v>43</v>
      </c>
      <c r="B50" s="9" t="s">
        <v>14</v>
      </c>
      <c r="C50" s="10">
        <v>2196</v>
      </c>
      <c r="D50" s="10"/>
      <c r="E50" s="10"/>
      <c r="F50" s="10">
        <v>2196</v>
      </c>
      <c r="G50" s="10"/>
      <c r="H50" s="10"/>
      <c r="I50" s="10"/>
    </row>
    <row r="51" spans="1:9" x14ac:dyDescent="0.2">
      <c r="A51" s="8">
        <v>44</v>
      </c>
      <c r="B51" s="9" t="s">
        <v>51</v>
      </c>
      <c r="C51" s="10">
        <v>5424</v>
      </c>
      <c r="D51" s="10"/>
      <c r="E51" s="10"/>
      <c r="F51" s="10">
        <v>5424</v>
      </c>
      <c r="G51" s="10"/>
      <c r="H51" s="10">
        <v>3</v>
      </c>
      <c r="I51" s="10"/>
    </row>
    <row r="52" spans="1:9" x14ac:dyDescent="0.2">
      <c r="A52" s="8">
        <v>45</v>
      </c>
      <c r="B52" s="9" t="s">
        <v>55</v>
      </c>
      <c r="C52" s="10">
        <v>927</v>
      </c>
      <c r="D52" s="10"/>
      <c r="E52" s="10"/>
      <c r="F52" s="10">
        <v>927</v>
      </c>
      <c r="G52" s="10"/>
      <c r="H52" s="10"/>
      <c r="I52" s="10"/>
    </row>
    <row r="53" spans="1:9" x14ac:dyDescent="0.2">
      <c r="A53" s="8">
        <v>46</v>
      </c>
      <c r="B53" s="9" t="s">
        <v>58</v>
      </c>
      <c r="C53" s="10">
        <v>75</v>
      </c>
      <c r="D53" s="10"/>
      <c r="E53" s="10"/>
      <c r="F53" s="10">
        <v>75</v>
      </c>
      <c r="G53" s="10"/>
      <c r="H53" s="10"/>
      <c r="I53" s="10"/>
    </row>
    <row r="54" spans="1:9" ht="47.25" customHeight="1" x14ac:dyDescent="0.2">
      <c r="A54" s="8">
        <v>47</v>
      </c>
      <c r="B54" s="9" t="s">
        <v>120</v>
      </c>
      <c r="C54" s="10">
        <v>852</v>
      </c>
      <c r="D54" s="10"/>
      <c r="E54" s="10"/>
      <c r="F54" s="10">
        <v>852</v>
      </c>
      <c r="G54" s="10"/>
      <c r="H54" s="10"/>
      <c r="I54" s="10"/>
    </row>
    <row r="55" spans="1:9" ht="48" customHeight="1" x14ac:dyDescent="0.2">
      <c r="A55" s="8">
        <v>48</v>
      </c>
      <c r="B55" s="9" t="s">
        <v>121</v>
      </c>
      <c r="C55" s="10">
        <v>1454</v>
      </c>
      <c r="D55" s="10"/>
      <c r="E55" s="10"/>
      <c r="F55" s="10">
        <v>1454</v>
      </c>
      <c r="G55" s="10"/>
      <c r="H55" s="10"/>
      <c r="I55" s="10"/>
    </row>
    <row r="56" spans="1:9" ht="47.25" customHeight="1" x14ac:dyDescent="0.2">
      <c r="A56" s="8">
        <v>49</v>
      </c>
      <c r="B56" s="9" t="s">
        <v>122</v>
      </c>
      <c r="C56" s="10">
        <v>1183</v>
      </c>
      <c r="D56" s="10"/>
      <c r="E56" s="10"/>
      <c r="F56" s="10">
        <v>1183</v>
      </c>
      <c r="G56" s="10"/>
      <c r="H56" s="10"/>
      <c r="I56" s="10"/>
    </row>
    <row r="57" spans="1:9" ht="59.25" customHeight="1" x14ac:dyDescent="0.2">
      <c r="A57" s="426">
        <v>50</v>
      </c>
      <c r="B57" s="9" t="s">
        <v>123</v>
      </c>
      <c r="C57" s="10">
        <v>199</v>
      </c>
      <c r="D57" s="10"/>
      <c r="E57" s="10"/>
      <c r="F57" s="10">
        <v>199</v>
      </c>
      <c r="G57" s="10"/>
      <c r="H57" s="10"/>
      <c r="I57" s="10"/>
    </row>
    <row r="58" spans="1:9" ht="59.25" customHeight="1" x14ac:dyDescent="0.2">
      <c r="A58" s="427"/>
      <c r="B58" s="9" t="s">
        <v>124</v>
      </c>
      <c r="C58" s="10">
        <v>596</v>
      </c>
      <c r="D58" s="10"/>
      <c r="E58" s="10"/>
      <c r="F58" s="10">
        <v>596</v>
      </c>
      <c r="G58" s="10"/>
      <c r="H58" s="10"/>
      <c r="I58" s="10"/>
    </row>
    <row r="59" spans="1:9" ht="48" customHeight="1" x14ac:dyDescent="0.2">
      <c r="A59" s="8">
        <v>51</v>
      </c>
      <c r="B59" s="9" t="s">
        <v>125</v>
      </c>
      <c r="C59" s="10">
        <v>2258</v>
      </c>
      <c r="D59" s="10"/>
      <c r="E59" s="10"/>
      <c r="F59" s="10">
        <v>2258</v>
      </c>
      <c r="G59" s="10"/>
      <c r="H59" s="10"/>
      <c r="I59" s="10"/>
    </row>
    <row r="60" spans="1:9" ht="27" customHeight="1" x14ac:dyDescent="0.2">
      <c r="A60" s="8">
        <v>52</v>
      </c>
      <c r="B60" s="9" t="s">
        <v>72</v>
      </c>
      <c r="C60" s="10">
        <v>2800</v>
      </c>
      <c r="D60" s="10"/>
      <c r="E60" s="10"/>
      <c r="F60" s="10">
        <v>2800</v>
      </c>
      <c r="G60" s="10"/>
      <c r="H60" s="10"/>
      <c r="I60" s="10"/>
    </row>
    <row r="61" spans="1:9" x14ac:dyDescent="0.2">
      <c r="A61" s="19" t="s">
        <v>126</v>
      </c>
      <c r="B61" s="21"/>
      <c r="C61" s="20"/>
      <c r="D61" s="20"/>
      <c r="E61" s="20"/>
      <c r="F61" s="20"/>
      <c r="G61" s="20"/>
      <c r="H61" s="20"/>
      <c r="I61" s="20"/>
    </row>
    <row r="62" spans="1:9" x14ac:dyDescent="0.2">
      <c r="A62" s="8">
        <v>53</v>
      </c>
      <c r="B62" s="9" t="s">
        <v>93</v>
      </c>
      <c r="C62" s="10">
        <v>2395</v>
      </c>
      <c r="D62" s="10"/>
      <c r="E62" s="10"/>
      <c r="F62" s="10">
        <v>2395</v>
      </c>
      <c r="G62" s="10"/>
      <c r="H62" s="10"/>
      <c r="I62" s="10"/>
    </row>
    <row r="63" spans="1:9" x14ac:dyDescent="0.2">
      <c r="A63" s="19" t="s">
        <v>127</v>
      </c>
      <c r="B63" s="21"/>
      <c r="C63" s="20"/>
      <c r="D63" s="20"/>
      <c r="E63" s="20"/>
      <c r="F63" s="20"/>
      <c r="G63" s="20"/>
      <c r="H63" s="20"/>
      <c r="I63" s="20"/>
    </row>
    <row r="64" spans="1:9" x14ac:dyDescent="0.2">
      <c r="A64" s="8">
        <v>54</v>
      </c>
      <c r="B64" s="9" t="s">
        <v>60</v>
      </c>
      <c r="C64" s="10">
        <v>3819</v>
      </c>
      <c r="D64" s="10"/>
      <c r="E64" s="10"/>
      <c r="F64" s="10">
        <v>3819</v>
      </c>
      <c r="G64" s="10">
        <v>850</v>
      </c>
      <c r="H64" s="10"/>
      <c r="I64" s="10"/>
    </row>
    <row r="65" spans="1:9" x14ac:dyDescent="0.2">
      <c r="A65" s="8">
        <v>55</v>
      </c>
      <c r="B65" s="9" t="s">
        <v>68</v>
      </c>
      <c r="C65" s="10">
        <v>5763</v>
      </c>
      <c r="D65" s="10"/>
      <c r="E65" s="10"/>
      <c r="F65" s="10">
        <v>5763</v>
      </c>
      <c r="G65" s="10"/>
      <c r="H65" s="10"/>
      <c r="I65" s="10"/>
    </row>
    <row r="66" spans="1:9" ht="24" x14ac:dyDescent="0.2">
      <c r="A66" s="426">
        <v>56</v>
      </c>
      <c r="B66" s="9" t="s">
        <v>128</v>
      </c>
      <c r="C66" s="10">
        <v>586</v>
      </c>
      <c r="D66" s="10"/>
      <c r="E66" s="10"/>
      <c r="F66" s="10">
        <v>586</v>
      </c>
      <c r="G66" s="10">
        <v>135</v>
      </c>
      <c r="H66" s="10"/>
      <c r="I66" s="10"/>
    </row>
    <row r="67" spans="1:9" ht="36" x14ac:dyDescent="0.2">
      <c r="A67" s="427"/>
      <c r="B67" s="9" t="s">
        <v>129</v>
      </c>
      <c r="C67" s="10">
        <v>2922</v>
      </c>
      <c r="D67" s="10"/>
      <c r="E67" s="10"/>
      <c r="F67" s="10">
        <v>2922</v>
      </c>
      <c r="G67" s="10">
        <v>670</v>
      </c>
      <c r="H67" s="10"/>
      <c r="I67" s="10"/>
    </row>
    <row r="68" spans="1:9" ht="36" x14ac:dyDescent="0.2">
      <c r="A68" s="8">
        <v>57</v>
      </c>
      <c r="B68" s="9" t="s">
        <v>130</v>
      </c>
      <c r="C68" s="10">
        <v>3226</v>
      </c>
      <c r="D68" s="10"/>
      <c r="E68" s="10"/>
      <c r="F68" s="10">
        <v>3226</v>
      </c>
      <c r="G68" s="10"/>
      <c r="H68" s="10"/>
      <c r="I68" s="10"/>
    </row>
    <row r="69" spans="1:9" ht="36" customHeight="1" x14ac:dyDescent="0.2">
      <c r="A69" s="8">
        <v>58</v>
      </c>
      <c r="B69" s="9" t="s">
        <v>131</v>
      </c>
      <c r="C69" s="10">
        <v>4762</v>
      </c>
      <c r="D69" s="10"/>
      <c r="E69" s="10"/>
      <c r="F69" s="10">
        <v>4762</v>
      </c>
      <c r="G69" s="10"/>
      <c r="H69" s="10"/>
      <c r="I69" s="10"/>
    </row>
    <row r="70" spans="1:9" ht="24" customHeight="1" x14ac:dyDescent="0.2">
      <c r="A70" s="426">
        <v>59</v>
      </c>
      <c r="B70" s="9" t="s">
        <v>78</v>
      </c>
      <c r="C70" s="10">
        <v>967</v>
      </c>
      <c r="D70" s="10"/>
      <c r="E70" s="10"/>
      <c r="F70" s="10">
        <v>967</v>
      </c>
      <c r="G70" s="10"/>
      <c r="H70" s="10"/>
      <c r="I70" s="10"/>
    </row>
    <row r="71" spans="1:9" ht="84" customHeight="1" x14ac:dyDescent="0.2">
      <c r="A71" s="427"/>
      <c r="B71" s="9" t="s">
        <v>132</v>
      </c>
      <c r="C71" s="10">
        <v>2901</v>
      </c>
      <c r="D71" s="10"/>
      <c r="E71" s="10"/>
      <c r="F71" s="10">
        <v>2901</v>
      </c>
      <c r="G71" s="10"/>
      <c r="H71" s="10"/>
      <c r="I71" s="10"/>
    </row>
    <row r="72" spans="1:9" x14ac:dyDescent="0.2">
      <c r="A72" s="8">
        <v>60</v>
      </c>
      <c r="B72" s="9" t="s">
        <v>95</v>
      </c>
      <c r="C72" s="10">
        <v>15</v>
      </c>
      <c r="D72" s="10"/>
      <c r="E72" s="10"/>
      <c r="F72" s="10">
        <v>15</v>
      </c>
      <c r="G72" s="10"/>
      <c r="H72" s="10"/>
      <c r="I72" s="10"/>
    </row>
    <row r="73" spans="1:9" ht="24" x14ac:dyDescent="0.2">
      <c r="A73" s="8">
        <v>61</v>
      </c>
      <c r="B73" s="9" t="s">
        <v>96</v>
      </c>
      <c r="C73" s="10">
        <v>15</v>
      </c>
      <c r="D73" s="10"/>
      <c r="E73" s="10"/>
      <c r="F73" s="10">
        <v>15</v>
      </c>
      <c r="G73" s="10"/>
      <c r="H73" s="10"/>
      <c r="I73" s="10"/>
    </row>
    <row r="74" spans="1:9" x14ac:dyDescent="0.2">
      <c r="A74" s="8">
        <v>62</v>
      </c>
      <c r="B74" s="9" t="s">
        <v>73</v>
      </c>
      <c r="C74" s="10">
        <v>15</v>
      </c>
      <c r="D74" s="10"/>
      <c r="E74" s="10"/>
      <c r="F74" s="10">
        <v>15</v>
      </c>
      <c r="G74" s="10"/>
      <c r="H74" s="10"/>
      <c r="I74" s="10"/>
    </row>
    <row r="75" spans="1:9" ht="12" customHeight="1" x14ac:dyDescent="0.2">
      <c r="A75" s="8">
        <v>63</v>
      </c>
      <c r="B75" s="9" t="s">
        <v>98</v>
      </c>
      <c r="C75" s="10">
        <v>15</v>
      </c>
      <c r="D75" s="10"/>
      <c r="E75" s="10"/>
      <c r="F75" s="10">
        <v>15</v>
      </c>
      <c r="G75" s="10"/>
      <c r="H75" s="10"/>
      <c r="I75" s="10"/>
    </row>
    <row r="76" spans="1:9" ht="27.75" customHeight="1" x14ac:dyDescent="0.2">
      <c r="A76" s="8">
        <v>64</v>
      </c>
      <c r="B76" s="9" t="s">
        <v>99</v>
      </c>
      <c r="C76" s="10">
        <v>15</v>
      </c>
      <c r="D76" s="10"/>
      <c r="E76" s="10"/>
      <c r="F76" s="10">
        <v>15</v>
      </c>
      <c r="G76" s="10"/>
      <c r="H76" s="10"/>
      <c r="I76" s="10"/>
    </row>
    <row r="77" spans="1:9" x14ac:dyDescent="0.2">
      <c r="A77" s="8">
        <v>65</v>
      </c>
      <c r="B77" s="9" t="s">
        <v>102</v>
      </c>
      <c r="C77" s="10">
        <v>15</v>
      </c>
      <c r="D77" s="10"/>
      <c r="E77" s="10"/>
      <c r="F77" s="10">
        <v>15</v>
      </c>
      <c r="G77" s="10"/>
      <c r="H77" s="10"/>
      <c r="I77" s="10"/>
    </row>
    <row r="78" spans="1:9" x14ac:dyDescent="0.2">
      <c r="A78" s="8">
        <v>66</v>
      </c>
      <c r="B78" s="11" t="s">
        <v>100</v>
      </c>
      <c r="C78" s="10">
        <v>3543</v>
      </c>
      <c r="D78" s="10"/>
      <c r="E78" s="10"/>
      <c r="F78" s="10">
        <v>0</v>
      </c>
      <c r="G78" s="10"/>
      <c r="H78" s="10"/>
      <c r="I78" s="10">
        <v>3543</v>
      </c>
    </row>
    <row r="79" spans="1:9" x14ac:dyDescent="0.2">
      <c r="A79" s="8">
        <v>67</v>
      </c>
      <c r="B79" s="11" t="s">
        <v>101</v>
      </c>
      <c r="C79" s="10">
        <v>2092</v>
      </c>
      <c r="D79" s="10"/>
      <c r="E79" s="10"/>
      <c r="F79" s="10">
        <v>0</v>
      </c>
      <c r="G79" s="10"/>
      <c r="H79" s="10"/>
      <c r="I79" s="10">
        <v>2092</v>
      </c>
    </row>
    <row r="80" spans="1:9" ht="24" x14ac:dyDescent="0.2">
      <c r="A80" s="8">
        <v>68</v>
      </c>
      <c r="B80" s="9" t="s">
        <v>103</v>
      </c>
      <c r="C80" s="10">
        <v>792</v>
      </c>
      <c r="D80" s="10"/>
      <c r="E80" s="10"/>
      <c r="F80" s="10">
        <v>792</v>
      </c>
      <c r="G80" s="10"/>
      <c r="H80" s="10"/>
      <c r="I80" s="10"/>
    </row>
    <row r="81" spans="1:9" x14ac:dyDescent="0.2">
      <c r="A81" s="19" t="s">
        <v>133</v>
      </c>
      <c r="B81" s="21"/>
      <c r="C81" s="20"/>
      <c r="D81" s="20"/>
      <c r="E81" s="20"/>
      <c r="F81" s="20"/>
      <c r="G81" s="20"/>
      <c r="H81" s="20"/>
      <c r="I81" s="20"/>
    </row>
    <row r="82" spans="1:9" x14ac:dyDescent="0.2">
      <c r="A82" s="8">
        <v>70</v>
      </c>
      <c r="B82" s="9" t="s">
        <v>56</v>
      </c>
      <c r="C82" s="10">
        <v>17368</v>
      </c>
      <c r="D82" s="10"/>
      <c r="E82" s="10"/>
      <c r="F82" s="10">
        <v>17368</v>
      </c>
      <c r="G82" s="10"/>
      <c r="H82" s="10">
        <v>14</v>
      </c>
      <c r="I82" s="10"/>
    </row>
    <row r="83" spans="1:9" ht="14.25" customHeight="1" x14ac:dyDescent="0.2">
      <c r="A83" s="8">
        <v>71</v>
      </c>
      <c r="B83" s="9" t="s">
        <v>9</v>
      </c>
      <c r="C83" s="10">
        <v>14311</v>
      </c>
      <c r="D83" s="10"/>
      <c r="E83" s="10"/>
      <c r="F83" s="10">
        <v>14311</v>
      </c>
      <c r="G83" s="10"/>
      <c r="H83" s="10">
        <v>601</v>
      </c>
      <c r="I83" s="10"/>
    </row>
    <row r="84" spans="1:9" x14ac:dyDescent="0.2">
      <c r="A84" s="8">
        <v>72</v>
      </c>
      <c r="B84" s="9" t="s">
        <v>11</v>
      </c>
      <c r="C84" s="10">
        <v>19082</v>
      </c>
      <c r="D84" s="10"/>
      <c r="E84" s="10"/>
      <c r="F84" s="10">
        <v>19082</v>
      </c>
      <c r="G84" s="10">
        <v>422</v>
      </c>
      <c r="H84" s="10">
        <v>393</v>
      </c>
      <c r="I84" s="10"/>
    </row>
    <row r="85" spans="1:9" x14ac:dyDescent="0.2">
      <c r="A85" s="8">
        <v>73</v>
      </c>
      <c r="B85" s="9" t="s">
        <v>13</v>
      </c>
      <c r="C85" s="10">
        <v>9220</v>
      </c>
      <c r="D85" s="10"/>
      <c r="E85" s="10"/>
      <c r="F85" s="10">
        <v>9220</v>
      </c>
      <c r="G85" s="10"/>
      <c r="H85" s="10">
        <v>2</v>
      </c>
      <c r="I85" s="10"/>
    </row>
    <row r="86" spans="1:9" ht="22.5" customHeight="1" x14ac:dyDescent="0.2">
      <c r="A86" s="8">
        <v>74</v>
      </c>
      <c r="B86" s="9" t="s">
        <v>94</v>
      </c>
      <c r="C86" s="10">
        <v>9669</v>
      </c>
      <c r="D86" s="10"/>
      <c r="E86" s="10"/>
      <c r="F86" s="10">
        <v>9669</v>
      </c>
      <c r="G86" s="10"/>
      <c r="H86" s="10">
        <v>57</v>
      </c>
      <c r="I86" s="10"/>
    </row>
    <row r="87" spans="1:9" x14ac:dyDescent="0.2">
      <c r="A87" s="8">
        <v>75</v>
      </c>
      <c r="B87" s="9" t="s">
        <v>22</v>
      </c>
      <c r="C87" s="10">
        <v>8206</v>
      </c>
      <c r="D87" s="10"/>
      <c r="E87" s="10"/>
      <c r="F87" s="10">
        <v>8206</v>
      </c>
      <c r="G87" s="10"/>
      <c r="H87" s="10">
        <v>13</v>
      </c>
      <c r="I87" s="10"/>
    </row>
    <row r="88" spans="1:9" x14ac:dyDescent="0.2">
      <c r="A88" s="8">
        <v>76</v>
      </c>
      <c r="B88" s="9" t="s">
        <v>28</v>
      </c>
      <c r="C88" s="10">
        <v>11096</v>
      </c>
      <c r="D88" s="10"/>
      <c r="E88" s="10"/>
      <c r="F88" s="10">
        <v>11096</v>
      </c>
      <c r="G88" s="10"/>
      <c r="H88" s="10">
        <v>28</v>
      </c>
      <c r="I88" s="10"/>
    </row>
    <row r="89" spans="1:9" x14ac:dyDescent="0.2">
      <c r="A89" s="8">
        <v>77</v>
      </c>
      <c r="B89" s="9" t="s">
        <v>37</v>
      </c>
      <c r="C89" s="10">
        <v>10906</v>
      </c>
      <c r="D89" s="10"/>
      <c r="E89" s="10"/>
      <c r="F89" s="10">
        <v>10906</v>
      </c>
      <c r="G89" s="10"/>
      <c r="H89" s="10">
        <v>575</v>
      </c>
      <c r="I89" s="10"/>
    </row>
    <row r="90" spans="1:9" x14ac:dyDescent="0.2">
      <c r="A90" s="8">
        <v>78</v>
      </c>
      <c r="B90" s="9" t="s">
        <v>70</v>
      </c>
      <c r="C90" s="10">
        <v>18102</v>
      </c>
      <c r="D90" s="10"/>
      <c r="E90" s="10"/>
      <c r="F90" s="10">
        <v>18102</v>
      </c>
      <c r="G90" s="10">
        <v>707</v>
      </c>
      <c r="H90" s="10">
        <v>1507</v>
      </c>
      <c r="I90" s="10"/>
    </row>
    <row r="91" spans="1:9" x14ac:dyDescent="0.2">
      <c r="A91" s="8">
        <v>79</v>
      </c>
      <c r="B91" s="9" t="s">
        <v>52</v>
      </c>
      <c r="C91" s="10">
        <v>9919</v>
      </c>
      <c r="D91" s="10"/>
      <c r="E91" s="10"/>
      <c r="F91" s="10">
        <v>9919</v>
      </c>
      <c r="G91" s="10">
        <v>213</v>
      </c>
      <c r="H91" s="10">
        <v>121</v>
      </c>
      <c r="I91" s="10"/>
    </row>
    <row r="92" spans="1:9" x14ac:dyDescent="0.2">
      <c r="A92" s="426">
        <v>80</v>
      </c>
      <c r="B92" s="9" t="s">
        <v>54</v>
      </c>
      <c r="C92" s="10">
        <v>14348</v>
      </c>
      <c r="D92" s="10"/>
      <c r="E92" s="10"/>
      <c r="F92" s="10">
        <v>14348</v>
      </c>
      <c r="G92" s="10"/>
      <c r="H92" s="10">
        <v>195</v>
      </c>
      <c r="I92" s="10"/>
    </row>
    <row r="93" spans="1:9" x14ac:dyDescent="0.2">
      <c r="A93" s="427"/>
      <c r="B93" s="9" t="s">
        <v>67</v>
      </c>
      <c r="C93" s="10">
        <v>682</v>
      </c>
      <c r="D93" s="10"/>
      <c r="E93" s="10"/>
      <c r="F93" s="10">
        <v>682</v>
      </c>
      <c r="G93" s="10"/>
      <c r="H93" s="10">
        <v>59</v>
      </c>
      <c r="I93" s="10"/>
    </row>
    <row r="94" spans="1:9" x14ac:dyDescent="0.2">
      <c r="A94" s="8">
        <v>82</v>
      </c>
      <c r="B94" s="9" t="s">
        <v>45</v>
      </c>
      <c r="C94" s="10">
        <v>16062</v>
      </c>
      <c r="D94" s="10"/>
      <c r="E94" s="10"/>
      <c r="F94" s="10">
        <v>16062</v>
      </c>
      <c r="G94" s="10"/>
      <c r="H94" s="10">
        <v>457</v>
      </c>
      <c r="I94" s="10"/>
    </row>
    <row r="95" spans="1:9" x14ac:dyDescent="0.2">
      <c r="A95" s="8">
        <v>69</v>
      </c>
      <c r="B95" s="9" t="s">
        <v>134</v>
      </c>
      <c r="C95" s="10">
        <v>9867</v>
      </c>
      <c r="D95" s="10"/>
      <c r="E95" s="10"/>
      <c r="F95" s="10">
        <v>9867</v>
      </c>
      <c r="G95" s="10">
        <v>335</v>
      </c>
      <c r="H95" s="10">
        <v>40</v>
      </c>
      <c r="I95" s="10"/>
    </row>
    <row r="96" spans="1:9" x14ac:dyDescent="0.2">
      <c r="A96" s="8">
        <v>83</v>
      </c>
      <c r="B96" s="9" t="s">
        <v>97</v>
      </c>
      <c r="C96" s="10">
        <v>60</v>
      </c>
      <c r="D96" s="10"/>
      <c r="E96" s="10"/>
      <c r="F96" s="10">
        <v>60</v>
      </c>
      <c r="G96" s="10"/>
      <c r="H96" s="10">
        <v>60</v>
      </c>
      <c r="I96" s="10"/>
    </row>
    <row r="97" spans="1:9" ht="12.75" customHeight="1" x14ac:dyDescent="0.2">
      <c r="A97" s="8">
        <v>84</v>
      </c>
      <c r="B97" s="9" t="s">
        <v>85</v>
      </c>
      <c r="C97" s="10">
        <v>7165</v>
      </c>
      <c r="D97" s="10"/>
      <c r="E97" s="10"/>
      <c r="F97" s="10">
        <v>7165</v>
      </c>
      <c r="G97" s="10">
        <v>571</v>
      </c>
      <c r="H97" s="10">
        <v>14</v>
      </c>
      <c r="I97" s="10"/>
    </row>
    <row r="98" spans="1:9" x14ac:dyDescent="0.2">
      <c r="A98" s="19" t="s">
        <v>135</v>
      </c>
      <c r="B98" s="21"/>
      <c r="C98" s="20"/>
      <c r="D98" s="20"/>
      <c r="E98" s="20"/>
      <c r="F98" s="20"/>
      <c r="G98" s="20"/>
      <c r="H98" s="20"/>
      <c r="I98" s="20"/>
    </row>
    <row r="99" spans="1:9" x14ac:dyDescent="0.2">
      <c r="A99" s="8">
        <v>85</v>
      </c>
      <c r="B99" s="9" t="s">
        <v>36</v>
      </c>
      <c r="C99" s="10">
        <v>11162</v>
      </c>
      <c r="D99" s="10">
        <v>59</v>
      </c>
      <c r="E99" s="10"/>
      <c r="F99" s="10">
        <v>11103</v>
      </c>
      <c r="G99" s="10">
        <v>348</v>
      </c>
      <c r="H99" s="10">
        <v>879</v>
      </c>
      <c r="I99" s="10"/>
    </row>
    <row r="100" spans="1:9" x14ac:dyDescent="0.2">
      <c r="A100" s="8">
        <v>86</v>
      </c>
      <c r="B100" s="9" t="s">
        <v>21</v>
      </c>
      <c r="C100" s="10">
        <v>5628</v>
      </c>
      <c r="D100" s="10">
        <v>241</v>
      </c>
      <c r="E100" s="10"/>
      <c r="F100" s="10">
        <v>5387</v>
      </c>
      <c r="G100" s="10">
        <v>374</v>
      </c>
      <c r="H100" s="10">
        <v>426</v>
      </c>
      <c r="I100" s="10"/>
    </row>
    <row r="101" spans="1:9" ht="11.25" customHeight="1" x14ac:dyDescent="0.2">
      <c r="A101" s="8">
        <v>87</v>
      </c>
      <c r="B101" s="9" t="s">
        <v>66</v>
      </c>
      <c r="C101" s="10">
        <v>23550</v>
      </c>
      <c r="D101" s="10">
        <v>133</v>
      </c>
      <c r="E101" s="10"/>
      <c r="F101" s="10">
        <v>23417</v>
      </c>
      <c r="G101" s="10">
        <v>722</v>
      </c>
      <c r="H101" s="10">
        <v>2080</v>
      </c>
      <c r="I101" s="10"/>
    </row>
    <row r="102" spans="1:9" x14ac:dyDescent="0.2">
      <c r="A102" s="8">
        <v>88</v>
      </c>
      <c r="B102" s="9" t="s">
        <v>53</v>
      </c>
      <c r="C102" s="10">
        <v>12213</v>
      </c>
      <c r="D102" s="10">
        <v>20</v>
      </c>
      <c r="E102" s="10"/>
      <c r="F102" s="10">
        <v>12193</v>
      </c>
      <c r="G102" s="10"/>
      <c r="H102" s="10">
        <v>1114</v>
      </c>
      <c r="I102" s="10"/>
    </row>
    <row r="103" spans="1:9" x14ac:dyDescent="0.2">
      <c r="A103" s="8">
        <v>89</v>
      </c>
      <c r="B103" s="9" t="s">
        <v>115</v>
      </c>
      <c r="C103" s="10">
        <v>24802</v>
      </c>
      <c r="D103" s="10">
        <v>813</v>
      </c>
      <c r="E103" s="10">
        <v>89</v>
      </c>
      <c r="F103" s="10">
        <v>23989</v>
      </c>
      <c r="G103" s="10"/>
      <c r="H103" s="10">
        <v>1035</v>
      </c>
      <c r="I103" s="10"/>
    </row>
    <row r="104" spans="1:9" x14ac:dyDescent="0.2">
      <c r="A104" s="8">
        <v>90</v>
      </c>
      <c r="B104" s="9" t="s">
        <v>57</v>
      </c>
      <c r="C104" s="10">
        <v>7177</v>
      </c>
      <c r="D104" s="10">
        <v>200</v>
      </c>
      <c r="E104" s="10"/>
      <c r="F104" s="10">
        <v>6977</v>
      </c>
      <c r="G104" s="10">
        <v>1066</v>
      </c>
      <c r="H104" s="10"/>
      <c r="I104" s="10"/>
    </row>
    <row r="105" spans="1:9" x14ac:dyDescent="0.2">
      <c r="A105" s="8">
        <v>91</v>
      </c>
      <c r="B105" s="9" t="s">
        <v>59</v>
      </c>
      <c r="C105" s="10">
        <v>12861</v>
      </c>
      <c r="D105" s="10">
        <v>341</v>
      </c>
      <c r="E105" s="10"/>
      <c r="F105" s="10">
        <v>12520</v>
      </c>
      <c r="G105" s="10">
        <v>701</v>
      </c>
      <c r="H105" s="10">
        <v>866</v>
      </c>
      <c r="I105" s="10"/>
    </row>
    <row r="106" spans="1:9" x14ac:dyDescent="0.2">
      <c r="A106" s="8">
        <v>92</v>
      </c>
      <c r="B106" s="9" t="s">
        <v>71</v>
      </c>
      <c r="C106" s="10">
        <v>9302</v>
      </c>
      <c r="D106" s="10">
        <v>40</v>
      </c>
      <c r="E106" s="10"/>
      <c r="F106" s="10">
        <v>9262</v>
      </c>
      <c r="G106" s="10"/>
      <c r="H106" s="10"/>
      <c r="I106" s="10"/>
    </row>
    <row r="107" spans="1:9" x14ac:dyDescent="0.2">
      <c r="A107" s="8">
        <v>93</v>
      </c>
      <c r="B107" s="9" t="s">
        <v>69</v>
      </c>
      <c r="C107" s="10">
        <v>958</v>
      </c>
      <c r="D107" s="10">
        <v>277</v>
      </c>
      <c r="E107" s="10">
        <v>5</v>
      </c>
      <c r="F107" s="10">
        <v>681</v>
      </c>
      <c r="G107" s="10"/>
      <c r="H107" s="10">
        <v>53</v>
      </c>
      <c r="I107" s="10"/>
    </row>
    <row r="108" spans="1:9" x14ac:dyDescent="0.2">
      <c r="A108" s="19" t="s">
        <v>136</v>
      </c>
      <c r="B108" s="21"/>
      <c r="C108" s="20"/>
      <c r="D108" s="20"/>
      <c r="E108" s="20"/>
      <c r="F108" s="20"/>
      <c r="G108" s="20"/>
      <c r="H108" s="20"/>
      <c r="I108" s="20"/>
    </row>
    <row r="109" spans="1:9" x14ac:dyDescent="0.2">
      <c r="A109" s="8">
        <v>95</v>
      </c>
      <c r="B109" s="9" t="s">
        <v>79</v>
      </c>
      <c r="C109" s="10">
        <v>23073</v>
      </c>
      <c r="D109" s="10">
        <v>1450</v>
      </c>
      <c r="E109" s="10">
        <v>1450</v>
      </c>
      <c r="F109" s="10">
        <v>21623</v>
      </c>
      <c r="G109" s="10"/>
      <c r="H109" s="10">
        <v>20429</v>
      </c>
      <c r="I109" s="10"/>
    </row>
    <row r="110" spans="1:9" x14ac:dyDescent="0.2">
      <c r="A110" s="8">
        <v>96</v>
      </c>
      <c r="B110" s="9" t="s">
        <v>80</v>
      </c>
      <c r="C110" s="10">
        <v>11942</v>
      </c>
      <c r="D110" s="10">
        <v>3435</v>
      </c>
      <c r="E110" s="10"/>
      <c r="F110" s="10">
        <v>8507</v>
      </c>
      <c r="G110" s="10">
        <v>750</v>
      </c>
      <c r="H110" s="10"/>
      <c r="I110" s="10"/>
    </row>
    <row r="111" spans="1:9" x14ac:dyDescent="0.2">
      <c r="A111" s="8">
        <v>94</v>
      </c>
      <c r="B111" s="9" t="s">
        <v>137</v>
      </c>
      <c r="C111" s="10">
        <v>5366</v>
      </c>
      <c r="D111" s="10">
        <v>52</v>
      </c>
      <c r="E111" s="10"/>
      <c r="F111" s="10">
        <v>5314</v>
      </c>
      <c r="G111" s="10"/>
      <c r="H111" s="10"/>
      <c r="I111" s="10"/>
    </row>
    <row r="112" spans="1:9" ht="24" x14ac:dyDescent="0.2">
      <c r="A112" s="8">
        <v>97</v>
      </c>
      <c r="B112" s="9" t="s">
        <v>138</v>
      </c>
      <c r="C112" s="10">
        <v>18689</v>
      </c>
      <c r="D112" s="10"/>
      <c r="E112" s="10"/>
      <c r="F112" s="10">
        <v>18689</v>
      </c>
      <c r="G112" s="10"/>
      <c r="H112" s="10"/>
      <c r="I112" s="10"/>
    </row>
    <row r="113" spans="1:9" x14ac:dyDescent="0.2">
      <c r="A113" s="8">
        <v>98</v>
      </c>
      <c r="B113" s="9" t="s">
        <v>76</v>
      </c>
      <c r="C113" s="10">
        <v>22944</v>
      </c>
      <c r="D113" s="10">
        <v>728</v>
      </c>
      <c r="E113" s="10"/>
      <c r="F113" s="10">
        <v>22216</v>
      </c>
      <c r="G113" s="10"/>
      <c r="H113" s="10"/>
      <c r="I113" s="10"/>
    </row>
    <row r="114" spans="1:9" x14ac:dyDescent="0.2">
      <c r="A114" s="8">
        <v>100</v>
      </c>
      <c r="B114" s="9" t="s">
        <v>64</v>
      </c>
      <c r="C114" s="10">
        <v>24843</v>
      </c>
      <c r="D114" s="10">
        <v>1082</v>
      </c>
      <c r="E114" s="10"/>
      <c r="F114" s="10">
        <v>23761</v>
      </c>
      <c r="G114" s="10">
        <v>1483</v>
      </c>
      <c r="H114" s="10">
        <v>91</v>
      </c>
      <c r="I114" s="10"/>
    </row>
    <row r="115" spans="1:9" ht="14.25" customHeight="1" x14ac:dyDescent="0.2">
      <c r="A115" s="8">
        <v>101</v>
      </c>
      <c r="B115" s="9" t="s">
        <v>61</v>
      </c>
      <c r="C115" s="10">
        <v>15292</v>
      </c>
      <c r="D115" s="10">
        <v>407</v>
      </c>
      <c r="E115" s="10"/>
      <c r="F115" s="10">
        <v>14885</v>
      </c>
      <c r="G115" s="10">
        <v>3000</v>
      </c>
      <c r="H115" s="10"/>
      <c r="I115" s="10"/>
    </row>
    <row r="116" spans="1:9" x14ac:dyDescent="0.2">
      <c r="A116" s="8">
        <v>102</v>
      </c>
      <c r="B116" s="9" t="s">
        <v>116</v>
      </c>
      <c r="C116" s="10">
        <v>13918</v>
      </c>
      <c r="D116" s="10">
        <v>752</v>
      </c>
      <c r="E116" s="10"/>
      <c r="F116" s="10">
        <v>13166</v>
      </c>
      <c r="G116" s="10">
        <v>1528</v>
      </c>
      <c r="H116" s="10">
        <v>338</v>
      </c>
      <c r="I116" s="10"/>
    </row>
    <row r="117" spans="1:9" x14ac:dyDescent="0.2">
      <c r="A117" s="8">
        <v>103</v>
      </c>
      <c r="B117" s="9" t="s">
        <v>77</v>
      </c>
      <c r="C117" s="10">
        <v>22654</v>
      </c>
      <c r="D117" s="10">
        <v>1254</v>
      </c>
      <c r="E117" s="12"/>
      <c r="F117" s="12">
        <v>21400</v>
      </c>
      <c r="G117" s="12">
        <v>961</v>
      </c>
      <c r="H117" s="10">
        <v>1140</v>
      </c>
      <c r="I117" s="10"/>
    </row>
    <row r="118" spans="1:9" x14ac:dyDescent="0.2">
      <c r="A118" s="8">
        <v>99</v>
      </c>
      <c r="B118" s="9" t="s">
        <v>75</v>
      </c>
      <c r="C118" s="10">
        <v>11851</v>
      </c>
      <c r="D118" s="10">
        <v>2400</v>
      </c>
      <c r="E118" s="10"/>
      <c r="F118" s="10">
        <v>9451</v>
      </c>
      <c r="G118" s="10"/>
      <c r="H118" s="10"/>
      <c r="I118" s="10"/>
    </row>
    <row r="119" spans="1:9" ht="15" customHeight="1" x14ac:dyDescent="0.2">
      <c r="A119" s="19" t="s">
        <v>139</v>
      </c>
      <c r="B119" s="21"/>
      <c r="C119" s="23"/>
      <c r="D119" s="23"/>
      <c r="E119" s="23"/>
      <c r="F119" s="23"/>
      <c r="G119" s="23"/>
      <c r="H119" s="24"/>
      <c r="I119" s="24"/>
    </row>
    <row r="120" spans="1:9" x14ac:dyDescent="0.2">
      <c r="A120" s="8">
        <v>105</v>
      </c>
      <c r="B120" s="9" t="s">
        <v>74</v>
      </c>
      <c r="C120" s="12">
        <v>27199</v>
      </c>
      <c r="D120" s="12">
        <v>2325</v>
      </c>
      <c r="E120" s="12">
        <v>130</v>
      </c>
      <c r="F120" s="12">
        <v>24874</v>
      </c>
      <c r="G120" s="12">
        <v>997</v>
      </c>
      <c r="H120" s="12">
        <v>1238</v>
      </c>
      <c r="I120" s="13"/>
    </row>
    <row r="121" spans="1:9" x14ac:dyDescent="0.2">
      <c r="A121" s="8">
        <v>104</v>
      </c>
      <c r="B121" s="9" t="s">
        <v>63</v>
      </c>
      <c r="C121" s="12">
        <v>18444</v>
      </c>
      <c r="D121" s="12">
        <v>903</v>
      </c>
      <c r="E121" s="12">
        <v>100</v>
      </c>
      <c r="F121" s="12">
        <v>17541</v>
      </c>
      <c r="G121" s="12">
        <v>296</v>
      </c>
      <c r="H121" s="12">
        <v>713</v>
      </c>
      <c r="I121" s="13"/>
    </row>
    <row r="122" spans="1:9" x14ac:dyDescent="0.2">
      <c r="A122" s="8">
        <v>106</v>
      </c>
      <c r="B122" s="9" t="s">
        <v>104</v>
      </c>
      <c r="C122" s="12">
        <v>339</v>
      </c>
      <c r="D122" s="12">
        <v>250</v>
      </c>
      <c r="E122" s="12"/>
      <c r="F122" s="12">
        <v>89</v>
      </c>
      <c r="G122" s="12"/>
      <c r="H122" s="12"/>
      <c r="I122" s="13"/>
    </row>
    <row r="123" spans="1:9" x14ac:dyDescent="0.2">
      <c r="A123" s="19" t="s">
        <v>140</v>
      </c>
      <c r="B123" s="21"/>
      <c r="C123" s="23"/>
      <c r="D123" s="23"/>
      <c r="E123" s="20"/>
      <c r="F123" s="20"/>
      <c r="G123" s="20"/>
      <c r="H123" s="23"/>
      <c r="I123" s="22"/>
    </row>
    <row r="124" spans="1:9" x14ac:dyDescent="0.2">
      <c r="A124" s="8">
        <v>107</v>
      </c>
      <c r="B124" s="9" t="s">
        <v>81</v>
      </c>
      <c r="C124" s="10">
        <v>5799</v>
      </c>
      <c r="D124" s="10">
        <v>210</v>
      </c>
      <c r="E124" s="10"/>
      <c r="F124" s="10">
        <v>5589</v>
      </c>
      <c r="G124" s="10">
        <v>1575</v>
      </c>
      <c r="H124" s="12"/>
      <c r="I124" s="13"/>
    </row>
    <row r="125" spans="1:9" ht="14.25" customHeight="1" x14ac:dyDescent="0.2">
      <c r="A125" s="8">
        <v>108</v>
      </c>
      <c r="B125" s="9" t="s">
        <v>62</v>
      </c>
      <c r="C125" s="12">
        <v>21519</v>
      </c>
      <c r="D125" s="12">
        <v>1637</v>
      </c>
      <c r="E125" s="12">
        <v>150</v>
      </c>
      <c r="F125" s="12">
        <v>19882</v>
      </c>
      <c r="G125" s="12">
        <v>796</v>
      </c>
      <c r="H125" s="12">
        <v>3029</v>
      </c>
      <c r="I125" s="13"/>
    </row>
    <row r="126" spans="1:9" x14ac:dyDescent="0.2">
      <c r="A126" s="8">
        <v>109</v>
      </c>
      <c r="B126" s="9" t="s">
        <v>105</v>
      </c>
      <c r="C126" s="12">
        <v>1210</v>
      </c>
      <c r="D126" s="12">
        <v>200</v>
      </c>
      <c r="E126" s="12"/>
      <c r="F126" s="12">
        <v>1010</v>
      </c>
      <c r="G126" s="12"/>
      <c r="H126" s="12"/>
      <c r="I126" s="13"/>
    </row>
    <row r="127" spans="1:9" s="28" customFormat="1" x14ac:dyDescent="0.2">
      <c r="A127" s="25"/>
      <c r="B127" s="26" t="s">
        <v>110</v>
      </c>
      <c r="C127" s="27">
        <f t="shared" ref="C127:C130" si="0">D127+F127+I127</f>
        <v>702075</v>
      </c>
      <c r="D127" s="27">
        <f t="shared" ref="D127:I127" si="1">SUM(D8:D126)</f>
        <v>19209</v>
      </c>
      <c r="E127" s="27">
        <f t="shared" si="1"/>
        <v>1924</v>
      </c>
      <c r="F127" s="27">
        <f t="shared" si="1"/>
        <v>677231</v>
      </c>
      <c r="G127" s="27">
        <f t="shared" si="1"/>
        <v>18500</v>
      </c>
      <c r="H127" s="27">
        <f t="shared" si="1"/>
        <v>37765</v>
      </c>
      <c r="I127" s="27">
        <f t="shared" si="1"/>
        <v>5635</v>
      </c>
    </row>
    <row r="128" spans="1:9" x14ac:dyDescent="0.2">
      <c r="A128" s="17"/>
      <c r="B128" s="15" t="s">
        <v>65</v>
      </c>
      <c r="C128" s="10">
        <f t="shared" si="0"/>
        <v>15258</v>
      </c>
      <c r="D128" s="12"/>
      <c r="E128" s="12"/>
      <c r="F128" s="16">
        <v>15258</v>
      </c>
      <c r="G128" s="12"/>
      <c r="H128" s="16">
        <v>650</v>
      </c>
      <c r="I128" s="16"/>
    </row>
    <row r="129" spans="1:9" x14ac:dyDescent="0.2">
      <c r="A129" s="17"/>
      <c r="B129" s="15" t="s">
        <v>141</v>
      </c>
      <c r="C129" s="10">
        <f t="shared" si="0"/>
        <v>50</v>
      </c>
      <c r="D129" s="12">
        <v>50</v>
      </c>
      <c r="E129" s="12"/>
      <c r="F129" s="16">
        <f>2836+12-2848</f>
        <v>0</v>
      </c>
      <c r="G129" s="12"/>
      <c r="H129" s="16"/>
      <c r="I129" s="16"/>
    </row>
    <row r="130" spans="1:9" x14ac:dyDescent="0.2">
      <c r="A130" s="17"/>
      <c r="B130" s="15" t="s">
        <v>142</v>
      </c>
      <c r="C130" s="10">
        <f t="shared" si="0"/>
        <v>0</v>
      </c>
      <c r="D130" s="12"/>
      <c r="E130" s="12"/>
      <c r="F130" s="12"/>
      <c r="G130" s="12"/>
      <c r="H130" s="16"/>
      <c r="I130" s="16"/>
    </row>
    <row r="131" spans="1:9" x14ac:dyDescent="0.2">
      <c r="A131" s="428" t="s">
        <v>106</v>
      </c>
      <c r="B131" s="428"/>
      <c r="C131" s="27">
        <f>C127+C128+C129+C130</f>
        <v>717383</v>
      </c>
      <c r="D131" s="27">
        <f t="shared" ref="D131:I131" si="2">D127+D128+D129+D130</f>
        <v>19259</v>
      </c>
      <c r="E131" s="27">
        <f t="shared" si="2"/>
        <v>1924</v>
      </c>
      <c r="F131" s="27">
        <f t="shared" si="2"/>
        <v>692489</v>
      </c>
      <c r="G131" s="27">
        <f t="shared" si="2"/>
        <v>18500</v>
      </c>
      <c r="H131" s="27">
        <f t="shared" si="2"/>
        <v>38415</v>
      </c>
      <c r="I131" s="27">
        <f t="shared" si="2"/>
        <v>5635</v>
      </c>
    </row>
  </sheetData>
  <mergeCells count="14">
    <mergeCell ref="A66:A67"/>
    <mergeCell ref="A70:A71"/>
    <mergeCell ref="A92:A93"/>
    <mergeCell ref="A131:B131"/>
    <mergeCell ref="A57:A58"/>
    <mergeCell ref="A1:I1"/>
    <mergeCell ref="A3:A5"/>
    <mergeCell ref="B3:B5"/>
    <mergeCell ref="C3:I3"/>
    <mergeCell ref="C4:C5"/>
    <mergeCell ref="D4:D5"/>
    <mergeCell ref="F4:F5"/>
    <mergeCell ref="G4:H4"/>
    <mergeCell ref="I4:I5"/>
  </mergeCells>
  <pageMargins left="0.39370078740157483" right="0" top="0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>
      <pane xSplit="2" ySplit="7" topLeftCell="C161" activePane="bottomRight" state="frozen"/>
      <selection pane="topRight" activeCell="C1" sqref="C1"/>
      <selection pane="bottomLeft" activeCell="A9" sqref="A9"/>
      <selection pane="bottomRight" sqref="A1:K1"/>
    </sheetView>
  </sheetViews>
  <sheetFormatPr defaultRowHeight="15" x14ac:dyDescent="0.25"/>
  <cols>
    <col min="1" max="1" width="9.140625" style="303"/>
    <col min="2" max="2" width="44.5703125" style="303" customWidth="1"/>
    <col min="3" max="3" width="10.5703125" style="303" customWidth="1"/>
    <col min="4" max="5" width="9.42578125" style="303" customWidth="1"/>
    <col min="6" max="11" width="10.42578125" style="303" customWidth="1"/>
    <col min="12" max="16384" width="9.140625" style="303"/>
  </cols>
  <sheetData>
    <row r="1" spans="1:11" ht="15.75" x14ac:dyDescent="0.25">
      <c r="A1" s="561" t="s">
        <v>418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x14ac:dyDescent="0.2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x14ac:dyDescent="0.25">
      <c r="A3" s="304"/>
      <c r="B3" s="304"/>
      <c r="C3" s="304"/>
      <c r="D3" s="305"/>
      <c r="E3" s="305"/>
      <c r="F3" s="305"/>
      <c r="G3" s="305"/>
      <c r="H3" s="305"/>
      <c r="I3" s="305"/>
      <c r="J3" s="305"/>
      <c r="K3" s="305"/>
    </row>
    <row r="4" spans="1:11" ht="15" customHeight="1" x14ac:dyDescent="0.25">
      <c r="A4" s="562" t="s">
        <v>0</v>
      </c>
      <c r="B4" s="562" t="s">
        <v>317</v>
      </c>
      <c r="C4" s="562" t="s">
        <v>419</v>
      </c>
      <c r="D4" s="563" t="s">
        <v>420</v>
      </c>
      <c r="E4" s="563"/>
      <c r="F4" s="563"/>
      <c r="G4" s="563"/>
      <c r="H4" s="563"/>
      <c r="I4" s="563"/>
      <c r="J4" s="563"/>
      <c r="K4" s="563"/>
    </row>
    <row r="5" spans="1:11" ht="48" customHeight="1" x14ac:dyDescent="0.25">
      <c r="A5" s="562"/>
      <c r="B5" s="562"/>
      <c r="C5" s="562"/>
      <c r="D5" s="564" t="s">
        <v>421</v>
      </c>
      <c r="E5" s="564" t="s">
        <v>422</v>
      </c>
      <c r="F5" s="564" t="s">
        <v>423</v>
      </c>
      <c r="G5" s="564" t="s">
        <v>424</v>
      </c>
      <c r="H5" s="564" t="s">
        <v>425</v>
      </c>
      <c r="I5" s="564" t="s">
        <v>426</v>
      </c>
      <c r="J5" s="564"/>
      <c r="K5" s="564"/>
    </row>
    <row r="6" spans="1:11" ht="15.75" customHeight="1" x14ac:dyDescent="0.25">
      <c r="A6" s="562"/>
      <c r="B6" s="562"/>
      <c r="C6" s="562"/>
      <c r="D6" s="564"/>
      <c r="E6" s="564"/>
      <c r="F6" s="564"/>
      <c r="G6" s="564"/>
      <c r="H6" s="564"/>
      <c r="I6" s="564" t="s">
        <v>110</v>
      </c>
      <c r="J6" s="564" t="s">
        <v>183</v>
      </c>
      <c r="K6" s="564"/>
    </row>
    <row r="7" spans="1:11" ht="54.75" customHeight="1" x14ac:dyDescent="0.25">
      <c r="A7" s="562"/>
      <c r="B7" s="562"/>
      <c r="C7" s="562"/>
      <c r="D7" s="564"/>
      <c r="E7" s="564"/>
      <c r="F7" s="564"/>
      <c r="G7" s="564"/>
      <c r="H7" s="564"/>
      <c r="I7" s="564"/>
      <c r="J7" s="306" t="s">
        <v>427</v>
      </c>
      <c r="K7" s="306" t="s">
        <v>428</v>
      </c>
    </row>
    <row r="8" spans="1:11" x14ac:dyDescent="0.25">
      <c r="A8" s="307">
        <v>1</v>
      </c>
      <c r="B8" s="308" t="s">
        <v>13</v>
      </c>
      <c r="C8" s="309">
        <f>D8+E8+F8+G8+H8+I8</f>
        <v>99027</v>
      </c>
      <c r="D8" s="309">
        <v>3875</v>
      </c>
      <c r="E8" s="309"/>
      <c r="F8" s="309"/>
      <c r="G8" s="309"/>
      <c r="H8" s="309"/>
      <c r="I8" s="306">
        <v>95152</v>
      </c>
      <c r="J8" s="306">
        <v>27082</v>
      </c>
      <c r="K8" s="306">
        <v>68070</v>
      </c>
    </row>
    <row r="9" spans="1:11" x14ac:dyDescent="0.25">
      <c r="A9" s="307">
        <v>2</v>
      </c>
      <c r="B9" s="308" t="s">
        <v>429</v>
      </c>
      <c r="C9" s="309">
        <f t="shared" ref="C9:C72" si="0">D9+E9+F9+G9+H9+I9</f>
        <v>3683</v>
      </c>
      <c r="D9" s="309"/>
      <c r="E9" s="309"/>
      <c r="F9" s="309">
        <v>3683</v>
      </c>
      <c r="G9" s="309"/>
      <c r="H9" s="309"/>
      <c r="I9" s="306">
        <v>0</v>
      </c>
      <c r="J9" s="306">
        <v>0</v>
      </c>
      <c r="K9" s="306">
        <v>0</v>
      </c>
    </row>
    <row r="10" spans="1:11" x14ac:dyDescent="0.25">
      <c r="A10" s="307">
        <v>3</v>
      </c>
      <c r="B10" s="310" t="s">
        <v>22</v>
      </c>
      <c r="C10" s="309">
        <f t="shared" si="0"/>
        <v>95435</v>
      </c>
      <c r="D10" s="309"/>
      <c r="E10" s="309"/>
      <c r="F10" s="309"/>
      <c r="G10" s="309"/>
      <c r="H10" s="309"/>
      <c r="I10" s="306">
        <v>95435</v>
      </c>
      <c r="J10" s="306">
        <v>24365</v>
      </c>
      <c r="K10" s="306">
        <v>71070</v>
      </c>
    </row>
    <row r="11" spans="1:11" x14ac:dyDescent="0.25">
      <c r="A11" s="307">
        <v>4</v>
      </c>
      <c r="B11" s="310" t="s">
        <v>430</v>
      </c>
      <c r="C11" s="309">
        <f t="shared" si="0"/>
        <v>2227</v>
      </c>
      <c r="D11" s="309"/>
      <c r="E11" s="309"/>
      <c r="F11" s="309">
        <v>2227</v>
      </c>
      <c r="G11" s="309"/>
      <c r="H11" s="309"/>
      <c r="I11" s="306">
        <v>0</v>
      </c>
      <c r="J11" s="306">
        <v>0</v>
      </c>
      <c r="K11" s="306">
        <v>0</v>
      </c>
    </row>
    <row r="12" spans="1:11" x14ac:dyDescent="0.25">
      <c r="A12" s="565">
        <v>5</v>
      </c>
      <c r="B12" s="311" t="s">
        <v>66</v>
      </c>
      <c r="C12" s="309">
        <f t="shared" si="0"/>
        <v>238311</v>
      </c>
      <c r="D12" s="309"/>
      <c r="E12" s="309">
        <v>6481</v>
      </c>
      <c r="F12" s="309"/>
      <c r="G12" s="309"/>
      <c r="H12" s="309"/>
      <c r="I12" s="306">
        <v>231830</v>
      </c>
      <c r="J12" s="306">
        <v>60413</v>
      </c>
      <c r="K12" s="306">
        <v>171417</v>
      </c>
    </row>
    <row r="13" spans="1:11" ht="38.25" x14ac:dyDescent="0.25">
      <c r="A13" s="565"/>
      <c r="B13" s="312" t="s">
        <v>431</v>
      </c>
      <c r="C13" s="309">
        <f t="shared" si="0"/>
        <v>30732</v>
      </c>
      <c r="D13" s="313"/>
      <c r="E13" s="313"/>
      <c r="F13" s="313"/>
      <c r="G13" s="313"/>
      <c r="H13" s="313"/>
      <c r="I13" s="306">
        <v>30732</v>
      </c>
      <c r="J13" s="306">
        <v>8359</v>
      </c>
      <c r="K13" s="306">
        <v>22373</v>
      </c>
    </row>
    <row r="14" spans="1:11" x14ac:dyDescent="0.25">
      <c r="A14" s="314">
        <v>6</v>
      </c>
      <c r="B14" s="310" t="s">
        <v>51</v>
      </c>
      <c r="C14" s="309">
        <f t="shared" si="0"/>
        <v>74709</v>
      </c>
      <c r="D14" s="309"/>
      <c r="E14" s="309"/>
      <c r="F14" s="309"/>
      <c r="G14" s="309"/>
      <c r="H14" s="309"/>
      <c r="I14" s="306">
        <v>74709</v>
      </c>
      <c r="J14" s="306">
        <v>23085</v>
      </c>
      <c r="K14" s="306">
        <v>51624</v>
      </c>
    </row>
    <row r="15" spans="1:11" x14ac:dyDescent="0.25">
      <c r="A15" s="307">
        <v>7</v>
      </c>
      <c r="B15" s="310" t="s">
        <v>4</v>
      </c>
      <c r="C15" s="309">
        <f t="shared" si="0"/>
        <v>32964</v>
      </c>
      <c r="D15" s="309"/>
      <c r="E15" s="309"/>
      <c r="F15" s="309"/>
      <c r="G15" s="309"/>
      <c r="H15" s="309"/>
      <c r="I15" s="306">
        <v>32964</v>
      </c>
      <c r="J15" s="306">
        <v>5823</v>
      </c>
      <c r="K15" s="306">
        <v>27141</v>
      </c>
    </row>
    <row r="16" spans="1:11" x14ac:dyDescent="0.25">
      <c r="A16" s="307">
        <v>8</v>
      </c>
      <c r="B16" s="310" t="s">
        <v>8</v>
      </c>
      <c r="C16" s="309">
        <f t="shared" si="0"/>
        <v>33033</v>
      </c>
      <c r="D16" s="309"/>
      <c r="E16" s="309"/>
      <c r="F16" s="309"/>
      <c r="G16" s="309"/>
      <c r="H16" s="309"/>
      <c r="I16" s="306">
        <v>33033</v>
      </c>
      <c r="J16" s="306">
        <v>6697</v>
      </c>
      <c r="K16" s="306">
        <v>26336</v>
      </c>
    </row>
    <row r="17" spans="1:11" x14ac:dyDescent="0.25">
      <c r="A17" s="307">
        <v>9</v>
      </c>
      <c r="B17" s="310" t="s">
        <v>17</v>
      </c>
      <c r="C17" s="309">
        <f t="shared" si="0"/>
        <v>36711</v>
      </c>
      <c r="D17" s="309"/>
      <c r="E17" s="309"/>
      <c r="F17" s="309"/>
      <c r="G17" s="309"/>
      <c r="H17" s="309"/>
      <c r="I17" s="306">
        <v>36711</v>
      </c>
      <c r="J17" s="306">
        <v>7573</v>
      </c>
      <c r="K17" s="306">
        <v>29138</v>
      </c>
    </row>
    <row r="18" spans="1:11" x14ac:dyDescent="0.25">
      <c r="A18" s="307">
        <v>10</v>
      </c>
      <c r="B18" s="310" t="s">
        <v>44</v>
      </c>
      <c r="C18" s="309">
        <f t="shared" si="0"/>
        <v>39393</v>
      </c>
      <c r="D18" s="309"/>
      <c r="E18" s="309"/>
      <c r="F18" s="309"/>
      <c r="G18" s="309"/>
      <c r="H18" s="309"/>
      <c r="I18" s="306">
        <v>39393</v>
      </c>
      <c r="J18" s="306">
        <v>8675</v>
      </c>
      <c r="K18" s="306">
        <v>30718</v>
      </c>
    </row>
    <row r="19" spans="1:11" x14ac:dyDescent="0.25">
      <c r="A19" s="307">
        <v>11</v>
      </c>
      <c r="B19" s="311" t="s">
        <v>29</v>
      </c>
      <c r="C19" s="309">
        <f t="shared" si="0"/>
        <v>41195</v>
      </c>
      <c r="D19" s="309"/>
      <c r="E19" s="309"/>
      <c r="F19" s="309"/>
      <c r="G19" s="309"/>
      <c r="H19" s="309"/>
      <c r="I19" s="306">
        <v>41195</v>
      </c>
      <c r="J19" s="306">
        <v>13523</v>
      </c>
      <c r="K19" s="306">
        <v>27672</v>
      </c>
    </row>
    <row r="20" spans="1:11" x14ac:dyDescent="0.25">
      <c r="A20" s="307">
        <v>12</v>
      </c>
      <c r="B20" s="310" t="s">
        <v>30</v>
      </c>
      <c r="C20" s="309">
        <f t="shared" si="0"/>
        <v>37749</v>
      </c>
      <c r="D20" s="309"/>
      <c r="E20" s="309"/>
      <c r="F20" s="309"/>
      <c r="G20" s="309"/>
      <c r="H20" s="309"/>
      <c r="I20" s="306">
        <v>37749</v>
      </c>
      <c r="J20" s="306">
        <v>8175</v>
      </c>
      <c r="K20" s="306">
        <v>29574</v>
      </c>
    </row>
    <row r="21" spans="1:11" x14ac:dyDescent="0.25">
      <c r="A21" s="307">
        <v>13</v>
      </c>
      <c r="B21" s="311" t="s">
        <v>33</v>
      </c>
      <c r="C21" s="309">
        <f t="shared" si="0"/>
        <v>45457</v>
      </c>
      <c r="D21" s="309"/>
      <c r="E21" s="309"/>
      <c r="F21" s="309"/>
      <c r="G21" s="309"/>
      <c r="H21" s="309"/>
      <c r="I21" s="306">
        <v>45457</v>
      </c>
      <c r="J21" s="306">
        <v>9943</v>
      </c>
      <c r="K21" s="306">
        <v>35514</v>
      </c>
    </row>
    <row r="22" spans="1:11" x14ac:dyDescent="0.25">
      <c r="A22" s="307">
        <v>14</v>
      </c>
      <c r="B22" s="310" t="s">
        <v>39</v>
      </c>
      <c r="C22" s="309">
        <f t="shared" si="0"/>
        <v>37464</v>
      </c>
      <c r="D22" s="309"/>
      <c r="E22" s="309"/>
      <c r="F22" s="309"/>
      <c r="G22" s="309"/>
      <c r="H22" s="309"/>
      <c r="I22" s="306">
        <v>37464</v>
      </c>
      <c r="J22" s="306">
        <v>8242</v>
      </c>
      <c r="K22" s="306">
        <v>29222</v>
      </c>
    </row>
    <row r="23" spans="1:11" x14ac:dyDescent="0.25">
      <c r="A23" s="307">
        <v>15</v>
      </c>
      <c r="B23" s="310" t="s">
        <v>432</v>
      </c>
      <c r="C23" s="309">
        <f t="shared" si="0"/>
        <v>117</v>
      </c>
      <c r="D23" s="309"/>
      <c r="E23" s="309"/>
      <c r="F23" s="309">
        <v>117</v>
      </c>
      <c r="G23" s="309"/>
      <c r="H23" s="309"/>
      <c r="I23" s="306">
        <v>0</v>
      </c>
      <c r="J23" s="306">
        <v>0</v>
      </c>
      <c r="K23" s="306">
        <v>0</v>
      </c>
    </row>
    <row r="24" spans="1:11" x14ac:dyDescent="0.25">
      <c r="A24" s="307">
        <v>16</v>
      </c>
      <c r="B24" s="310" t="s">
        <v>433</v>
      </c>
      <c r="C24" s="309">
        <f t="shared" si="0"/>
        <v>116</v>
      </c>
      <c r="D24" s="309"/>
      <c r="E24" s="309"/>
      <c r="F24" s="309">
        <v>116</v>
      </c>
      <c r="G24" s="309"/>
      <c r="H24" s="309"/>
      <c r="I24" s="306">
        <v>0</v>
      </c>
      <c r="J24" s="306">
        <v>0</v>
      </c>
      <c r="K24" s="306">
        <v>0</v>
      </c>
    </row>
    <row r="25" spans="1:11" x14ac:dyDescent="0.25">
      <c r="A25" s="307">
        <v>17</v>
      </c>
      <c r="B25" s="310" t="s">
        <v>434</v>
      </c>
      <c r="C25" s="309">
        <f t="shared" si="0"/>
        <v>116</v>
      </c>
      <c r="D25" s="309"/>
      <c r="E25" s="309"/>
      <c r="F25" s="309">
        <v>116</v>
      </c>
      <c r="G25" s="309"/>
      <c r="H25" s="309"/>
      <c r="I25" s="306">
        <v>0</v>
      </c>
      <c r="J25" s="306">
        <v>0</v>
      </c>
      <c r="K25" s="306">
        <v>0</v>
      </c>
    </row>
    <row r="26" spans="1:11" x14ac:dyDescent="0.25">
      <c r="A26" s="307">
        <v>18</v>
      </c>
      <c r="B26" s="311" t="s">
        <v>435</v>
      </c>
      <c r="C26" s="309">
        <f t="shared" si="0"/>
        <v>116</v>
      </c>
      <c r="D26" s="309"/>
      <c r="E26" s="309"/>
      <c r="F26" s="309">
        <v>116</v>
      </c>
      <c r="G26" s="309"/>
      <c r="H26" s="309"/>
      <c r="I26" s="306">
        <v>0</v>
      </c>
      <c r="J26" s="306">
        <v>0</v>
      </c>
      <c r="K26" s="306">
        <v>0</v>
      </c>
    </row>
    <row r="27" spans="1:11" x14ac:dyDescent="0.25">
      <c r="A27" s="307">
        <v>19</v>
      </c>
      <c r="B27" s="311" t="s">
        <v>436</v>
      </c>
      <c r="C27" s="309">
        <f t="shared" si="0"/>
        <v>116</v>
      </c>
      <c r="D27" s="309"/>
      <c r="E27" s="309"/>
      <c r="F27" s="309">
        <v>116</v>
      </c>
      <c r="G27" s="309"/>
      <c r="H27" s="309"/>
      <c r="I27" s="306">
        <v>0</v>
      </c>
      <c r="J27" s="306">
        <v>0</v>
      </c>
      <c r="K27" s="306">
        <v>0</v>
      </c>
    </row>
    <row r="28" spans="1:11" x14ac:dyDescent="0.25">
      <c r="A28" s="307">
        <v>20</v>
      </c>
      <c r="B28" s="310" t="s">
        <v>437</v>
      </c>
      <c r="C28" s="309">
        <f t="shared" si="0"/>
        <v>99</v>
      </c>
      <c r="D28" s="309"/>
      <c r="E28" s="309"/>
      <c r="F28" s="309">
        <v>99</v>
      </c>
      <c r="G28" s="309"/>
      <c r="H28" s="309"/>
      <c r="I28" s="306">
        <v>0</v>
      </c>
      <c r="J28" s="306">
        <v>0</v>
      </c>
      <c r="K28" s="306">
        <v>0</v>
      </c>
    </row>
    <row r="29" spans="1:11" x14ac:dyDescent="0.25">
      <c r="A29" s="307">
        <v>21</v>
      </c>
      <c r="B29" s="310" t="s">
        <v>438</v>
      </c>
      <c r="C29" s="309">
        <f t="shared" si="0"/>
        <v>117</v>
      </c>
      <c r="D29" s="309"/>
      <c r="E29" s="309"/>
      <c r="F29" s="309">
        <v>117</v>
      </c>
      <c r="G29" s="309"/>
      <c r="H29" s="309"/>
      <c r="I29" s="306">
        <v>0</v>
      </c>
      <c r="J29" s="306">
        <v>0</v>
      </c>
      <c r="K29" s="306">
        <v>0</v>
      </c>
    </row>
    <row r="30" spans="1:11" x14ac:dyDescent="0.25">
      <c r="A30" s="307">
        <v>22</v>
      </c>
      <c r="B30" s="311" t="s">
        <v>439</v>
      </c>
      <c r="C30" s="309">
        <f t="shared" si="0"/>
        <v>116</v>
      </c>
      <c r="D30" s="309"/>
      <c r="E30" s="309"/>
      <c r="F30" s="309">
        <v>116</v>
      </c>
      <c r="G30" s="309"/>
      <c r="H30" s="309"/>
      <c r="I30" s="306">
        <v>0</v>
      </c>
      <c r="J30" s="306">
        <v>0</v>
      </c>
      <c r="K30" s="306">
        <v>0</v>
      </c>
    </row>
    <row r="31" spans="1:11" x14ac:dyDescent="0.25">
      <c r="A31" s="307">
        <v>23</v>
      </c>
      <c r="B31" s="310" t="s">
        <v>440</v>
      </c>
      <c r="C31" s="309">
        <f t="shared" si="0"/>
        <v>102</v>
      </c>
      <c r="D31" s="309"/>
      <c r="E31" s="309"/>
      <c r="F31" s="309">
        <v>102</v>
      </c>
      <c r="G31" s="309"/>
      <c r="H31" s="309"/>
      <c r="I31" s="306">
        <v>0</v>
      </c>
      <c r="J31" s="306">
        <v>0</v>
      </c>
      <c r="K31" s="306">
        <v>0</v>
      </c>
    </row>
    <row r="32" spans="1:11" x14ac:dyDescent="0.25">
      <c r="A32" s="307">
        <v>24</v>
      </c>
      <c r="B32" s="310" t="s">
        <v>52</v>
      </c>
      <c r="C32" s="309">
        <f t="shared" si="0"/>
        <v>104272</v>
      </c>
      <c r="D32" s="309">
        <v>3617</v>
      </c>
      <c r="E32" s="309"/>
      <c r="F32" s="309"/>
      <c r="G32" s="309"/>
      <c r="H32" s="309"/>
      <c r="I32" s="306">
        <v>100655</v>
      </c>
      <c r="J32" s="306">
        <v>29582</v>
      </c>
      <c r="K32" s="306">
        <v>71073</v>
      </c>
    </row>
    <row r="33" spans="1:11" x14ac:dyDescent="0.25">
      <c r="A33" s="307">
        <v>25</v>
      </c>
      <c r="B33" s="315" t="s">
        <v>441</v>
      </c>
      <c r="C33" s="309">
        <f t="shared" si="0"/>
        <v>4152</v>
      </c>
      <c r="D33" s="309"/>
      <c r="E33" s="309"/>
      <c r="F33" s="309">
        <v>4152</v>
      </c>
      <c r="G33" s="309"/>
      <c r="H33" s="309"/>
      <c r="I33" s="306">
        <v>0</v>
      </c>
      <c r="J33" s="306">
        <v>0</v>
      </c>
      <c r="K33" s="306">
        <v>0</v>
      </c>
    </row>
    <row r="34" spans="1:11" x14ac:dyDescent="0.25">
      <c r="A34" s="307">
        <v>26</v>
      </c>
      <c r="B34" s="310" t="s">
        <v>6</v>
      </c>
      <c r="C34" s="309">
        <f t="shared" si="0"/>
        <v>93025</v>
      </c>
      <c r="D34" s="309"/>
      <c r="E34" s="309"/>
      <c r="F34" s="309"/>
      <c r="G34" s="309"/>
      <c r="H34" s="309"/>
      <c r="I34" s="306">
        <v>93025</v>
      </c>
      <c r="J34" s="306">
        <v>25697</v>
      </c>
      <c r="K34" s="306">
        <v>67328</v>
      </c>
    </row>
    <row r="35" spans="1:11" x14ac:dyDescent="0.25">
      <c r="A35" s="307">
        <v>27</v>
      </c>
      <c r="B35" s="310" t="s">
        <v>11</v>
      </c>
      <c r="C35" s="309">
        <f t="shared" si="0"/>
        <v>176859</v>
      </c>
      <c r="D35" s="309"/>
      <c r="E35" s="309">
        <v>5599</v>
      </c>
      <c r="F35" s="309"/>
      <c r="G35" s="309"/>
      <c r="H35" s="309"/>
      <c r="I35" s="306">
        <v>171260</v>
      </c>
      <c r="J35" s="306">
        <v>46688</v>
      </c>
      <c r="K35" s="306">
        <v>124572</v>
      </c>
    </row>
    <row r="36" spans="1:11" x14ac:dyDescent="0.25">
      <c r="A36" s="307">
        <v>28</v>
      </c>
      <c r="B36" s="310" t="s">
        <v>134</v>
      </c>
      <c r="C36" s="309">
        <f t="shared" si="0"/>
        <v>120378</v>
      </c>
      <c r="D36" s="309"/>
      <c r="E36" s="309"/>
      <c r="F36" s="309"/>
      <c r="G36" s="309"/>
      <c r="H36" s="309"/>
      <c r="I36" s="306">
        <v>120378</v>
      </c>
      <c r="J36" s="306">
        <v>37535</v>
      </c>
      <c r="K36" s="306">
        <v>82843</v>
      </c>
    </row>
    <row r="37" spans="1:11" x14ac:dyDescent="0.25">
      <c r="A37" s="307">
        <v>29</v>
      </c>
      <c r="B37" s="310" t="s">
        <v>442</v>
      </c>
      <c r="C37" s="309">
        <f t="shared" si="0"/>
        <v>23989</v>
      </c>
      <c r="D37" s="309"/>
      <c r="E37" s="309"/>
      <c r="F37" s="309"/>
      <c r="G37" s="309"/>
      <c r="H37" s="309"/>
      <c r="I37" s="306">
        <v>23989</v>
      </c>
      <c r="J37" s="306">
        <v>7609</v>
      </c>
      <c r="K37" s="306">
        <v>16380</v>
      </c>
    </row>
    <row r="38" spans="1:11" x14ac:dyDescent="0.25">
      <c r="A38" s="307">
        <v>30</v>
      </c>
      <c r="B38" s="310" t="s">
        <v>47</v>
      </c>
      <c r="C38" s="309">
        <f t="shared" si="0"/>
        <v>49971</v>
      </c>
      <c r="D38" s="309"/>
      <c r="E38" s="309"/>
      <c r="F38" s="309"/>
      <c r="G38" s="309"/>
      <c r="H38" s="309"/>
      <c r="I38" s="306">
        <v>49971</v>
      </c>
      <c r="J38" s="306">
        <v>10056</v>
      </c>
      <c r="K38" s="306">
        <v>39915</v>
      </c>
    </row>
    <row r="39" spans="1:11" x14ac:dyDescent="0.25">
      <c r="A39" s="307">
        <v>31</v>
      </c>
      <c r="B39" s="310" t="s">
        <v>1</v>
      </c>
      <c r="C39" s="309">
        <f t="shared" si="0"/>
        <v>68814</v>
      </c>
      <c r="D39" s="309"/>
      <c r="E39" s="309"/>
      <c r="F39" s="309"/>
      <c r="G39" s="309"/>
      <c r="H39" s="309"/>
      <c r="I39" s="306">
        <v>68814</v>
      </c>
      <c r="J39" s="306">
        <v>8427</v>
      </c>
      <c r="K39" s="306">
        <v>60387</v>
      </c>
    </row>
    <row r="40" spans="1:11" x14ac:dyDescent="0.25">
      <c r="A40" s="307">
        <v>32</v>
      </c>
      <c r="B40" s="310" t="s">
        <v>18</v>
      </c>
      <c r="C40" s="309">
        <f t="shared" si="0"/>
        <v>28532</v>
      </c>
      <c r="D40" s="309"/>
      <c r="E40" s="309"/>
      <c r="F40" s="309"/>
      <c r="G40" s="309"/>
      <c r="H40" s="309"/>
      <c r="I40" s="306">
        <v>28532</v>
      </c>
      <c r="J40" s="306">
        <v>9038</v>
      </c>
      <c r="K40" s="306">
        <v>19494</v>
      </c>
    </row>
    <row r="41" spans="1:11" x14ac:dyDescent="0.25">
      <c r="A41" s="307">
        <v>33</v>
      </c>
      <c r="B41" s="310" t="s">
        <v>25</v>
      </c>
      <c r="C41" s="309">
        <f t="shared" si="0"/>
        <v>23611</v>
      </c>
      <c r="D41" s="309"/>
      <c r="E41" s="309"/>
      <c r="F41" s="309"/>
      <c r="G41" s="309"/>
      <c r="H41" s="309"/>
      <c r="I41" s="306">
        <v>23611</v>
      </c>
      <c r="J41" s="306">
        <v>3424</v>
      </c>
      <c r="K41" s="306">
        <v>20187</v>
      </c>
    </row>
    <row r="42" spans="1:11" x14ac:dyDescent="0.25">
      <c r="A42" s="558">
        <v>34</v>
      </c>
      <c r="B42" s="310" t="s">
        <v>115</v>
      </c>
      <c r="C42" s="309">
        <f t="shared" si="0"/>
        <v>93778</v>
      </c>
      <c r="D42" s="309"/>
      <c r="E42" s="309">
        <v>12046</v>
      </c>
      <c r="F42" s="309"/>
      <c r="G42" s="309"/>
      <c r="H42" s="309"/>
      <c r="I42" s="306">
        <v>81732</v>
      </c>
      <c r="J42" s="306">
        <v>6268</v>
      </c>
      <c r="K42" s="306">
        <v>75464</v>
      </c>
    </row>
    <row r="43" spans="1:11" ht="38.25" x14ac:dyDescent="0.25">
      <c r="A43" s="560"/>
      <c r="B43" s="310" t="s">
        <v>443</v>
      </c>
      <c r="C43" s="309">
        <f t="shared" si="0"/>
        <v>73986</v>
      </c>
      <c r="D43" s="309"/>
      <c r="E43" s="309"/>
      <c r="F43" s="309"/>
      <c r="G43" s="309"/>
      <c r="H43" s="309"/>
      <c r="I43" s="306">
        <v>73986</v>
      </c>
      <c r="J43" s="306">
        <v>25499</v>
      </c>
      <c r="K43" s="306">
        <v>48487</v>
      </c>
    </row>
    <row r="44" spans="1:11" ht="25.5" x14ac:dyDescent="0.25">
      <c r="A44" s="307">
        <v>35</v>
      </c>
      <c r="B44" s="310" t="s">
        <v>444</v>
      </c>
      <c r="C44" s="309">
        <f t="shared" si="0"/>
        <v>13509</v>
      </c>
      <c r="D44" s="309"/>
      <c r="E44" s="309"/>
      <c r="F44" s="309"/>
      <c r="G44" s="309"/>
      <c r="H44" s="309"/>
      <c r="I44" s="306">
        <v>13509</v>
      </c>
      <c r="J44" s="306">
        <v>3812</v>
      </c>
      <c r="K44" s="306">
        <v>9697</v>
      </c>
    </row>
    <row r="45" spans="1:11" x14ac:dyDescent="0.25">
      <c r="A45" s="307">
        <v>36</v>
      </c>
      <c r="B45" s="310" t="s">
        <v>445</v>
      </c>
      <c r="C45" s="309">
        <f t="shared" si="0"/>
        <v>128722</v>
      </c>
      <c r="D45" s="309"/>
      <c r="E45" s="309"/>
      <c r="F45" s="309"/>
      <c r="G45" s="309"/>
      <c r="H45" s="309"/>
      <c r="I45" s="306">
        <v>128722</v>
      </c>
      <c r="J45" s="306">
        <v>35753</v>
      </c>
      <c r="K45" s="306">
        <v>92969</v>
      </c>
    </row>
    <row r="46" spans="1:11" x14ac:dyDescent="0.25">
      <c r="A46" s="558">
        <v>37</v>
      </c>
      <c r="B46" s="310" t="s">
        <v>67</v>
      </c>
      <c r="C46" s="309">
        <f t="shared" si="0"/>
        <v>11302</v>
      </c>
      <c r="D46" s="309"/>
      <c r="E46" s="309"/>
      <c r="F46" s="309"/>
      <c r="G46" s="309"/>
      <c r="H46" s="309"/>
      <c r="I46" s="306">
        <v>11302</v>
      </c>
      <c r="J46" s="306">
        <v>2328</v>
      </c>
      <c r="K46" s="306">
        <v>8974</v>
      </c>
    </row>
    <row r="47" spans="1:11" ht="38.25" x14ac:dyDescent="0.25">
      <c r="A47" s="559"/>
      <c r="B47" s="312" t="s">
        <v>446</v>
      </c>
      <c r="C47" s="309">
        <f t="shared" si="0"/>
        <v>19789</v>
      </c>
      <c r="D47" s="313"/>
      <c r="E47" s="313"/>
      <c r="F47" s="313"/>
      <c r="G47" s="313"/>
      <c r="H47" s="313"/>
      <c r="I47" s="306">
        <v>19789</v>
      </c>
      <c r="J47" s="306">
        <v>4174</v>
      </c>
      <c r="K47" s="306">
        <v>15615</v>
      </c>
    </row>
    <row r="48" spans="1:11" ht="76.5" x14ac:dyDescent="0.25">
      <c r="A48" s="560"/>
      <c r="B48" s="312" t="s">
        <v>447</v>
      </c>
      <c r="C48" s="309">
        <f t="shared" si="0"/>
        <v>59375</v>
      </c>
      <c r="D48" s="313"/>
      <c r="E48" s="313"/>
      <c r="F48" s="313"/>
      <c r="G48" s="313"/>
      <c r="H48" s="313"/>
      <c r="I48" s="306">
        <v>59375</v>
      </c>
      <c r="J48" s="306">
        <v>12530</v>
      </c>
      <c r="K48" s="306">
        <v>46845</v>
      </c>
    </row>
    <row r="49" spans="1:11" x14ac:dyDescent="0.25">
      <c r="A49" s="307">
        <v>38</v>
      </c>
      <c r="B49" s="310" t="s">
        <v>68</v>
      </c>
      <c r="C49" s="309">
        <f t="shared" si="0"/>
        <v>76880</v>
      </c>
      <c r="D49" s="309"/>
      <c r="E49" s="309"/>
      <c r="F49" s="309"/>
      <c r="G49" s="309"/>
      <c r="H49" s="309"/>
      <c r="I49" s="306">
        <v>76880</v>
      </c>
      <c r="J49" s="306">
        <v>6084</v>
      </c>
      <c r="K49" s="306">
        <v>70796</v>
      </c>
    </row>
    <row r="50" spans="1:11" ht="25.5" x14ac:dyDescent="0.25">
      <c r="A50" s="307">
        <v>39</v>
      </c>
      <c r="B50" s="310" t="s">
        <v>448</v>
      </c>
      <c r="C50" s="309">
        <f t="shared" si="0"/>
        <v>63474</v>
      </c>
      <c r="D50" s="309"/>
      <c r="E50" s="309"/>
      <c r="F50" s="309">
        <v>63474</v>
      </c>
      <c r="G50" s="309"/>
      <c r="H50" s="309"/>
      <c r="I50" s="306">
        <v>0</v>
      </c>
      <c r="J50" s="306">
        <v>0</v>
      </c>
      <c r="K50" s="306">
        <v>0</v>
      </c>
    </row>
    <row r="51" spans="1:11" x14ac:dyDescent="0.25">
      <c r="A51" s="307">
        <v>40</v>
      </c>
      <c r="B51" s="310" t="s">
        <v>119</v>
      </c>
      <c r="C51" s="309">
        <f t="shared" si="0"/>
        <v>10558</v>
      </c>
      <c r="D51" s="309"/>
      <c r="E51" s="309"/>
      <c r="F51" s="309">
        <v>10558</v>
      </c>
      <c r="G51" s="309"/>
      <c r="H51" s="309"/>
      <c r="I51" s="306">
        <v>0</v>
      </c>
      <c r="J51" s="306">
        <v>0</v>
      </c>
      <c r="K51" s="306">
        <v>0</v>
      </c>
    </row>
    <row r="52" spans="1:11" x14ac:dyDescent="0.25">
      <c r="A52" s="558">
        <v>41</v>
      </c>
      <c r="B52" s="310" t="s">
        <v>53</v>
      </c>
      <c r="C52" s="309">
        <f t="shared" si="0"/>
        <v>139396</v>
      </c>
      <c r="D52" s="309">
        <v>3355</v>
      </c>
      <c r="E52" s="309"/>
      <c r="F52" s="309"/>
      <c r="G52" s="309"/>
      <c r="H52" s="309"/>
      <c r="I52" s="306">
        <v>136041</v>
      </c>
      <c r="J52" s="306">
        <v>25491</v>
      </c>
      <c r="K52" s="306">
        <v>110550</v>
      </c>
    </row>
    <row r="53" spans="1:11" ht="38.25" x14ac:dyDescent="0.25">
      <c r="A53" s="559"/>
      <c r="B53" s="312" t="s">
        <v>449</v>
      </c>
      <c r="C53" s="309">
        <f t="shared" si="0"/>
        <v>45204</v>
      </c>
      <c r="D53" s="313"/>
      <c r="E53" s="313"/>
      <c r="F53" s="313"/>
      <c r="G53" s="313"/>
      <c r="H53" s="313"/>
      <c r="I53" s="306">
        <v>45204</v>
      </c>
      <c r="J53" s="306">
        <v>455</v>
      </c>
      <c r="K53" s="306">
        <v>44749</v>
      </c>
    </row>
    <row r="54" spans="1:11" ht="25.5" x14ac:dyDescent="0.25">
      <c r="A54" s="560"/>
      <c r="B54" s="312" t="s">
        <v>450</v>
      </c>
      <c r="C54" s="309">
        <f t="shared" si="0"/>
        <v>19000</v>
      </c>
      <c r="D54" s="313"/>
      <c r="E54" s="313"/>
      <c r="F54" s="313">
        <v>17722</v>
      </c>
      <c r="G54" s="313"/>
      <c r="H54" s="313"/>
      <c r="I54" s="306">
        <v>1278</v>
      </c>
      <c r="J54" s="306">
        <v>1278</v>
      </c>
      <c r="K54" s="306">
        <v>0</v>
      </c>
    </row>
    <row r="55" spans="1:11" x14ac:dyDescent="0.25">
      <c r="A55" s="307">
        <v>42</v>
      </c>
      <c r="B55" s="310" t="s">
        <v>451</v>
      </c>
      <c r="C55" s="309">
        <f t="shared" si="0"/>
        <v>6701</v>
      </c>
      <c r="D55" s="309"/>
      <c r="E55" s="309"/>
      <c r="F55" s="309">
        <v>6701</v>
      </c>
      <c r="G55" s="309"/>
      <c r="H55" s="309"/>
      <c r="I55" s="306">
        <v>0</v>
      </c>
      <c r="J55" s="306">
        <v>0</v>
      </c>
      <c r="K55" s="306">
        <v>0</v>
      </c>
    </row>
    <row r="56" spans="1:11" x14ac:dyDescent="0.25">
      <c r="A56" s="307">
        <v>43</v>
      </c>
      <c r="B56" s="310" t="s">
        <v>118</v>
      </c>
      <c r="C56" s="309">
        <f t="shared" si="0"/>
        <v>8493</v>
      </c>
      <c r="D56" s="309"/>
      <c r="E56" s="309"/>
      <c r="F56" s="309">
        <v>8493</v>
      </c>
      <c r="G56" s="309"/>
      <c r="H56" s="309"/>
      <c r="I56" s="306">
        <v>0</v>
      </c>
      <c r="J56" s="306">
        <v>0</v>
      </c>
      <c r="K56" s="306">
        <v>0</v>
      </c>
    </row>
    <row r="57" spans="1:11" x14ac:dyDescent="0.25">
      <c r="A57" s="558">
        <v>44</v>
      </c>
      <c r="B57" s="310" t="s">
        <v>36</v>
      </c>
      <c r="C57" s="309">
        <f t="shared" si="0"/>
        <v>108151</v>
      </c>
      <c r="D57" s="309"/>
      <c r="E57" s="309">
        <v>5555</v>
      </c>
      <c r="F57" s="309"/>
      <c r="G57" s="309"/>
      <c r="H57" s="309"/>
      <c r="I57" s="306">
        <v>102596</v>
      </c>
      <c r="J57" s="306">
        <v>28669</v>
      </c>
      <c r="K57" s="306">
        <v>73927</v>
      </c>
    </row>
    <row r="58" spans="1:11" ht="38.25" x14ac:dyDescent="0.25">
      <c r="A58" s="560"/>
      <c r="B58" s="312" t="s">
        <v>452</v>
      </c>
      <c r="C58" s="309">
        <f t="shared" si="0"/>
        <v>40100</v>
      </c>
      <c r="D58" s="313"/>
      <c r="E58" s="313"/>
      <c r="F58" s="313"/>
      <c r="G58" s="313"/>
      <c r="H58" s="313"/>
      <c r="I58" s="306">
        <v>40100</v>
      </c>
      <c r="J58" s="306">
        <v>13635</v>
      </c>
      <c r="K58" s="306">
        <v>26465</v>
      </c>
    </row>
    <row r="59" spans="1:11" x14ac:dyDescent="0.25">
      <c r="A59" s="307">
        <v>45</v>
      </c>
      <c r="B59" s="310" t="s">
        <v>28</v>
      </c>
      <c r="C59" s="309">
        <f t="shared" si="0"/>
        <v>141299</v>
      </c>
      <c r="D59" s="309"/>
      <c r="E59" s="309"/>
      <c r="F59" s="309"/>
      <c r="G59" s="309"/>
      <c r="H59" s="309"/>
      <c r="I59" s="306">
        <v>141299</v>
      </c>
      <c r="J59" s="306">
        <v>36245</v>
      </c>
      <c r="K59" s="306">
        <v>105054</v>
      </c>
    </row>
    <row r="60" spans="1:11" x14ac:dyDescent="0.25">
      <c r="A60" s="307">
        <v>46</v>
      </c>
      <c r="B60" s="310" t="s">
        <v>37</v>
      </c>
      <c r="C60" s="309">
        <f t="shared" si="0"/>
        <v>136601</v>
      </c>
      <c r="D60" s="309"/>
      <c r="E60" s="309"/>
      <c r="F60" s="309"/>
      <c r="G60" s="309"/>
      <c r="H60" s="309"/>
      <c r="I60" s="306">
        <v>136601</v>
      </c>
      <c r="J60" s="306">
        <v>26943</v>
      </c>
      <c r="K60" s="306">
        <v>109658</v>
      </c>
    </row>
    <row r="61" spans="1:11" x14ac:dyDescent="0.25">
      <c r="A61" s="307">
        <v>47</v>
      </c>
      <c r="B61" s="310" t="s">
        <v>24</v>
      </c>
      <c r="C61" s="309">
        <f t="shared" si="0"/>
        <v>42852</v>
      </c>
      <c r="D61" s="309"/>
      <c r="E61" s="309"/>
      <c r="F61" s="309"/>
      <c r="G61" s="309"/>
      <c r="H61" s="309"/>
      <c r="I61" s="306">
        <v>42852</v>
      </c>
      <c r="J61" s="306">
        <v>11207</v>
      </c>
      <c r="K61" s="306">
        <v>31645</v>
      </c>
    </row>
    <row r="62" spans="1:11" x14ac:dyDescent="0.25">
      <c r="A62" s="307">
        <v>48</v>
      </c>
      <c r="B62" s="310" t="s">
        <v>19</v>
      </c>
      <c r="C62" s="309">
        <f t="shared" si="0"/>
        <v>53478</v>
      </c>
      <c r="D62" s="309"/>
      <c r="E62" s="309"/>
      <c r="F62" s="309"/>
      <c r="G62" s="309"/>
      <c r="H62" s="309"/>
      <c r="I62" s="306">
        <v>53478</v>
      </c>
      <c r="J62" s="306">
        <v>17249</v>
      </c>
      <c r="K62" s="306">
        <v>36229</v>
      </c>
    </row>
    <row r="63" spans="1:11" x14ac:dyDescent="0.25">
      <c r="A63" s="307">
        <v>49</v>
      </c>
      <c r="B63" s="310" t="s">
        <v>34</v>
      </c>
      <c r="C63" s="309">
        <f t="shared" si="0"/>
        <v>49407</v>
      </c>
      <c r="D63" s="309"/>
      <c r="E63" s="309"/>
      <c r="F63" s="309"/>
      <c r="G63" s="309"/>
      <c r="H63" s="309"/>
      <c r="I63" s="306">
        <v>49407</v>
      </c>
      <c r="J63" s="306">
        <v>13665</v>
      </c>
      <c r="K63" s="306">
        <v>35742</v>
      </c>
    </row>
    <row r="64" spans="1:11" x14ac:dyDescent="0.25">
      <c r="A64" s="307">
        <v>50</v>
      </c>
      <c r="B64" s="310" t="s">
        <v>43</v>
      </c>
      <c r="C64" s="309">
        <f t="shared" si="0"/>
        <v>31735</v>
      </c>
      <c r="D64" s="309"/>
      <c r="E64" s="309"/>
      <c r="F64" s="309"/>
      <c r="G64" s="309"/>
      <c r="H64" s="309"/>
      <c r="I64" s="306">
        <v>31735</v>
      </c>
      <c r="J64" s="306">
        <v>9248</v>
      </c>
      <c r="K64" s="306">
        <v>22487</v>
      </c>
    </row>
    <row r="65" spans="1:11" x14ac:dyDescent="0.25">
      <c r="A65" s="307">
        <v>51</v>
      </c>
      <c r="B65" s="310" t="s">
        <v>5</v>
      </c>
      <c r="C65" s="309">
        <f t="shared" si="0"/>
        <v>55126</v>
      </c>
      <c r="D65" s="309"/>
      <c r="E65" s="309"/>
      <c r="F65" s="309"/>
      <c r="G65" s="309"/>
      <c r="H65" s="309"/>
      <c r="I65" s="306">
        <v>55126</v>
      </c>
      <c r="J65" s="306">
        <v>12339</v>
      </c>
      <c r="K65" s="306">
        <v>42787</v>
      </c>
    </row>
    <row r="66" spans="1:11" x14ac:dyDescent="0.25">
      <c r="A66" s="307">
        <v>52</v>
      </c>
      <c r="B66" s="310" t="s">
        <v>46</v>
      </c>
      <c r="C66" s="309">
        <f t="shared" si="0"/>
        <v>25714</v>
      </c>
      <c r="D66" s="309"/>
      <c r="E66" s="309"/>
      <c r="F66" s="309"/>
      <c r="G66" s="309"/>
      <c r="H66" s="309"/>
      <c r="I66" s="306">
        <v>25714</v>
      </c>
      <c r="J66" s="306">
        <v>6738</v>
      </c>
      <c r="K66" s="306">
        <v>18976</v>
      </c>
    </row>
    <row r="67" spans="1:11" x14ac:dyDescent="0.25">
      <c r="A67" s="307">
        <v>53</v>
      </c>
      <c r="B67" s="310" t="s">
        <v>453</v>
      </c>
      <c r="C67" s="309">
        <f t="shared" si="0"/>
        <v>11394</v>
      </c>
      <c r="D67" s="309"/>
      <c r="E67" s="309"/>
      <c r="F67" s="309"/>
      <c r="G67" s="309"/>
      <c r="H67" s="309"/>
      <c r="I67" s="306">
        <v>11394</v>
      </c>
      <c r="J67" s="306">
        <v>4605</v>
      </c>
      <c r="K67" s="306">
        <v>6789</v>
      </c>
    </row>
    <row r="68" spans="1:11" x14ac:dyDescent="0.25">
      <c r="A68" s="307">
        <v>54</v>
      </c>
      <c r="B68" s="310" t="s">
        <v>69</v>
      </c>
      <c r="C68" s="309">
        <f t="shared" si="0"/>
        <v>18451</v>
      </c>
      <c r="D68" s="309"/>
      <c r="E68" s="309"/>
      <c r="F68" s="309"/>
      <c r="G68" s="309"/>
      <c r="H68" s="309"/>
      <c r="I68" s="306">
        <v>18451</v>
      </c>
      <c r="J68" s="306">
        <v>5272</v>
      </c>
      <c r="K68" s="306">
        <v>13179</v>
      </c>
    </row>
    <row r="69" spans="1:11" x14ac:dyDescent="0.25">
      <c r="A69" s="307">
        <v>55</v>
      </c>
      <c r="B69" s="308" t="s">
        <v>45</v>
      </c>
      <c r="C69" s="309">
        <f t="shared" si="0"/>
        <v>219127</v>
      </c>
      <c r="D69" s="309"/>
      <c r="E69" s="309"/>
      <c r="F69" s="309"/>
      <c r="G69" s="309"/>
      <c r="H69" s="309"/>
      <c r="I69" s="306">
        <v>219127</v>
      </c>
      <c r="J69" s="306">
        <v>41812</v>
      </c>
      <c r="K69" s="306">
        <v>177315</v>
      </c>
    </row>
    <row r="70" spans="1:11" x14ac:dyDescent="0.25">
      <c r="A70" s="307">
        <v>56</v>
      </c>
      <c r="B70" s="310" t="s">
        <v>9</v>
      </c>
      <c r="C70" s="309">
        <f t="shared" si="0"/>
        <v>156220</v>
      </c>
      <c r="D70" s="309"/>
      <c r="E70" s="309">
        <v>2680</v>
      </c>
      <c r="F70" s="309"/>
      <c r="G70" s="309"/>
      <c r="H70" s="309"/>
      <c r="I70" s="306">
        <v>153540</v>
      </c>
      <c r="J70" s="306">
        <v>29679</v>
      </c>
      <c r="K70" s="306">
        <v>123861</v>
      </c>
    </row>
    <row r="71" spans="1:11" x14ac:dyDescent="0.25">
      <c r="A71" s="307">
        <v>57</v>
      </c>
      <c r="B71" s="308" t="s">
        <v>70</v>
      </c>
      <c r="C71" s="309">
        <f t="shared" si="0"/>
        <v>179447</v>
      </c>
      <c r="D71" s="309"/>
      <c r="E71" s="309">
        <v>6981</v>
      </c>
      <c r="F71" s="309"/>
      <c r="G71" s="309"/>
      <c r="H71" s="309"/>
      <c r="I71" s="306">
        <v>172466</v>
      </c>
      <c r="J71" s="306">
        <v>42600</v>
      </c>
      <c r="K71" s="306">
        <v>129866</v>
      </c>
    </row>
    <row r="72" spans="1:11" ht="25.5" x14ac:dyDescent="0.25">
      <c r="A72" s="307">
        <v>58</v>
      </c>
      <c r="B72" s="308" t="s">
        <v>454</v>
      </c>
      <c r="C72" s="309">
        <f t="shared" si="0"/>
        <v>6182</v>
      </c>
      <c r="D72" s="309"/>
      <c r="E72" s="309"/>
      <c r="F72" s="309">
        <v>6182</v>
      </c>
      <c r="G72" s="309"/>
      <c r="H72" s="309"/>
      <c r="I72" s="306">
        <v>0</v>
      </c>
      <c r="J72" s="306">
        <v>0</v>
      </c>
      <c r="K72" s="306">
        <v>0</v>
      </c>
    </row>
    <row r="73" spans="1:11" x14ac:dyDescent="0.25">
      <c r="A73" s="307">
        <v>59</v>
      </c>
      <c r="B73" s="310" t="s">
        <v>20</v>
      </c>
      <c r="C73" s="309">
        <f t="shared" ref="C73:C136" si="1">D73+E73+F73+G73+H73+I73</f>
        <v>62567</v>
      </c>
      <c r="D73" s="309"/>
      <c r="E73" s="309"/>
      <c r="F73" s="309"/>
      <c r="G73" s="309"/>
      <c r="H73" s="309"/>
      <c r="I73" s="306">
        <v>62567</v>
      </c>
      <c r="J73" s="306">
        <v>12636</v>
      </c>
      <c r="K73" s="306">
        <v>49931</v>
      </c>
    </row>
    <row r="74" spans="1:11" x14ac:dyDescent="0.25">
      <c r="A74" s="307">
        <v>60</v>
      </c>
      <c r="B74" s="308" t="s">
        <v>7</v>
      </c>
      <c r="C74" s="309">
        <f t="shared" si="1"/>
        <v>45225</v>
      </c>
      <c r="D74" s="309"/>
      <c r="E74" s="309"/>
      <c r="F74" s="309"/>
      <c r="G74" s="309"/>
      <c r="H74" s="309"/>
      <c r="I74" s="306">
        <v>45225</v>
      </c>
      <c r="J74" s="306">
        <v>9579</v>
      </c>
      <c r="K74" s="306">
        <v>35646</v>
      </c>
    </row>
    <row r="75" spans="1:11" x14ac:dyDescent="0.25">
      <c r="A75" s="307">
        <v>61</v>
      </c>
      <c r="B75" s="310" t="s">
        <v>12</v>
      </c>
      <c r="C75" s="309">
        <f t="shared" si="1"/>
        <v>34846</v>
      </c>
      <c r="D75" s="309"/>
      <c r="E75" s="309"/>
      <c r="F75" s="309"/>
      <c r="G75" s="309"/>
      <c r="H75" s="309"/>
      <c r="I75" s="306">
        <v>34846</v>
      </c>
      <c r="J75" s="306">
        <v>6603</v>
      </c>
      <c r="K75" s="306">
        <v>28243</v>
      </c>
    </row>
    <row r="76" spans="1:11" x14ac:dyDescent="0.25">
      <c r="A76" s="307">
        <v>62</v>
      </c>
      <c r="B76" s="308" t="s">
        <v>27</v>
      </c>
      <c r="C76" s="309">
        <f t="shared" si="1"/>
        <v>53029</v>
      </c>
      <c r="D76" s="309"/>
      <c r="E76" s="309"/>
      <c r="F76" s="309"/>
      <c r="G76" s="309"/>
      <c r="H76" s="309"/>
      <c r="I76" s="306">
        <v>53029</v>
      </c>
      <c r="J76" s="306">
        <v>11230</v>
      </c>
      <c r="K76" s="306">
        <v>41799</v>
      </c>
    </row>
    <row r="77" spans="1:11" x14ac:dyDescent="0.25">
      <c r="A77" s="307">
        <v>63</v>
      </c>
      <c r="B77" s="310" t="s">
        <v>23</v>
      </c>
      <c r="C77" s="309">
        <f t="shared" si="1"/>
        <v>22096</v>
      </c>
      <c r="D77" s="309"/>
      <c r="E77" s="309"/>
      <c r="F77" s="309"/>
      <c r="G77" s="309"/>
      <c r="H77" s="309"/>
      <c r="I77" s="306">
        <v>22096</v>
      </c>
      <c r="J77" s="306">
        <v>5941</v>
      </c>
      <c r="K77" s="306">
        <v>16155</v>
      </c>
    </row>
    <row r="78" spans="1:11" x14ac:dyDescent="0.25">
      <c r="A78" s="307">
        <v>64</v>
      </c>
      <c r="B78" s="310" t="s">
        <v>40</v>
      </c>
      <c r="C78" s="309">
        <f t="shared" si="1"/>
        <v>43566</v>
      </c>
      <c r="D78" s="309"/>
      <c r="E78" s="309"/>
      <c r="F78" s="309"/>
      <c r="G78" s="309"/>
      <c r="H78" s="309"/>
      <c r="I78" s="306">
        <v>43566</v>
      </c>
      <c r="J78" s="306">
        <v>10405</v>
      </c>
      <c r="K78" s="306">
        <v>33161</v>
      </c>
    </row>
    <row r="79" spans="1:11" x14ac:dyDescent="0.25">
      <c r="A79" s="307">
        <v>65</v>
      </c>
      <c r="B79" s="310" t="s">
        <v>2</v>
      </c>
      <c r="C79" s="309">
        <f t="shared" si="1"/>
        <v>64826</v>
      </c>
      <c r="D79" s="309"/>
      <c r="E79" s="309"/>
      <c r="F79" s="309"/>
      <c r="G79" s="309"/>
      <c r="H79" s="309"/>
      <c r="I79" s="306">
        <v>64826</v>
      </c>
      <c r="J79" s="306">
        <v>17197</v>
      </c>
      <c r="K79" s="306">
        <v>47629</v>
      </c>
    </row>
    <row r="80" spans="1:11" x14ac:dyDescent="0.25">
      <c r="A80" s="307">
        <v>66</v>
      </c>
      <c r="B80" s="308" t="s">
        <v>50</v>
      </c>
      <c r="C80" s="309">
        <f t="shared" si="1"/>
        <v>35415</v>
      </c>
      <c r="D80" s="309"/>
      <c r="E80" s="309"/>
      <c r="F80" s="309"/>
      <c r="G80" s="309"/>
      <c r="H80" s="309"/>
      <c r="I80" s="306">
        <v>35415</v>
      </c>
      <c r="J80" s="306">
        <v>7934</v>
      </c>
      <c r="K80" s="306">
        <v>27481</v>
      </c>
    </row>
    <row r="81" spans="1:11" x14ac:dyDescent="0.25">
      <c r="A81" s="307">
        <v>67</v>
      </c>
      <c r="B81" s="310" t="s">
        <v>455</v>
      </c>
      <c r="C81" s="309">
        <f t="shared" si="1"/>
        <v>102</v>
      </c>
      <c r="D81" s="309"/>
      <c r="E81" s="309"/>
      <c r="F81" s="309">
        <v>102</v>
      </c>
      <c r="G81" s="309"/>
      <c r="H81" s="309"/>
      <c r="I81" s="306">
        <v>0</v>
      </c>
      <c r="J81" s="306">
        <v>0</v>
      </c>
      <c r="K81" s="306">
        <v>0</v>
      </c>
    </row>
    <row r="82" spans="1:11" x14ac:dyDescent="0.25">
      <c r="A82" s="307">
        <v>68</v>
      </c>
      <c r="B82" s="310" t="s">
        <v>456</v>
      </c>
      <c r="C82" s="309">
        <f t="shared" si="1"/>
        <v>13</v>
      </c>
      <c r="D82" s="309"/>
      <c r="E82" s="309"/>
      <c r="F82" s="309">
        <v>13</v>
      </c>
      <c r="G82" s="309"/>
      <c r="H82" s="309"/>
      <c r="I82" s="306">
        <v>0</v>
      </c>
      <c r="J82" s="306">
        <v>0</v>
      </c>
      <c r="K82" s="306">
        <v>0</v>
      </c>
    </row>
    <row r="83" spans="1:11" x14ac:dyDescent="0.25">
      <c r="A83" s="307">
        <v>69</v>
      </c>
      <c r="B83" s="316" t="s">
        <v>457</v>
      </c>
      <c r="C83" s="309">
        <f t="shared" si="1"/>
        <v>112</v>
      </c>
      <c r="D83" s="309"/>
      <c r="E83" s="309"/>
      <c r="F83" s="309">
        <v>112</v>
      </c>
      <c r="G83" s="309"/>
      <c r="H83" s="309"/>
      <c r="I83" s="306">
        <v>0</v>
      </c>
      <c r="J83" s="306">
        <v>0</v>
      </c>
      <c r="K83" s="306">
        <v>0</v>
      </c>
    </row>
    <row r="84" spans="1:11" x14ac:dyDescent="0.25">
      <c r="A84" s="307">
        <v>70</v>
      </c>
      <c r="B84" s="310" t="s">
        <v>458</v>
      </c>
      <c r="C84" s="309">
        <f t="shared" si="1"/>
        <v>12</v>
      </c>
      <c r="D84" s="309"/>
      <c r="E84" s="309"/>
      <c r="F84" s="309">
        <v>12</v>
      </c>
      <c r="G84" s="309"/>
      <c r="H84" s="309"/>
      <c r="I84" s="306">
        <v>0</v>
      </c>
      <c r="J84" s="306">
        <v>0</v>
      </c>
      <c r="K84" s="306">
        <v>0</v>
      </c>
    </row>
    <row r="85" spans="1:11" x14ac:dyDescent="0.25">
      <c r="A85" s="307">
        <v>71</v>
      </c>
      <c r="B85" s="310" t="s">
        <v>459</v>
      </c>
      <c r="C85" s="309">
        <f t="shared" si="1"/>
        <v>90</v>
      </c>
      <c r="D85" s="309"/>
      <c r="E85" s="309"/>
      <c r="F85" s="309">
        <v>90</v>
      </c>
      <c r="G85" s="309"/>
      <c r="H85" s="309"/>
      <c r="I85" s="306">
        <v>0</v>
      </c>
      <c r="J85" s="306">
        <v>0</v>
      </c>
      <c r="K85" s="306">
        <v>0</v>
      </c>
    </row>
    <row r="86" spans="1:11" x14ac:dyDescent="0.25">
      <c r="A86" s="307">
        <v>72</v>
      </c>
      <c r="B86" s="310" t="s">
        <v>460</v>
      </c>
      <c r="C86" s="309">
        <f t="shared" si="1"/>
        <v>223</v>
      </c>
      <c r="D86" s="309"/>
      <c r="E86" s="309"/>
      <c r="F86" s="309">
        <v>223</v>
      </c>
      <c r="G86" s="309"/>
      <c r="H86" s="309"/>
      <c r="I86" s="306">
        <v>0</v>
      </c>
      <c r="J86" s="306">
        <v>0</v>
      </c>
      <c r="K86" s="306">
        <v>0</v>
      </c>
    </row>
    <row r="87" spans="1:11" x14ac:dyDescent="0.25">
      <c r="A87" s="307">
        <v>73</v>
      </c>
      <c r="B87" s="317" t="s">
        <v>461</v>
      </c>
      <c r="C87" s="309">
        <f t="shared" si="1"/>
        <v>66167</v>
      </c>
      <c r="D87" s="309"/>
      <c r="E87" s="309"/>
      <c r="F87" s="309"/>
      <c r="G87" s="309"/>
      <c r="H87" s="309"/>
      <c r="I87" s="306">
        <v>66167</v>
      </c>
      <c r="J87" s="306">
        <v>9433</v>
      </c>
      <c r="K87" s="306">
        <v>56734</v>
      </c>
    </row>
    <row r="88" spans="1:11" x14ac:dyDescent="0.25">
      <c r="A88" s="307">
        <v>74</v>
      </c>
      <c r="B88" s="317" t="s">
        <v>462</v>
      </c>
      <c r="C88" s="309">
        <f t="shared" si="1"/>
        <v>56538</v>
      </c>
      <c r="D88" s="309"/>
      <c r="E88" s="309"/>
      <c r="F88" s="309"/>
      <c r="G88" s="309"/>
      <c r="H88" s="309"/>
      <c r="I88" s="306">
        <v>56538</v>
      </c>
      <c r="J88" s="306">
        <v>9417</v>
      </c>
      <c r="K88" s="306">
        <v>47121</v>
      </c>
    </row>
    <row r="89" spans="1:11" x14ac:dyDescent="0.25">
      <c r="A89" s="307">
        <v>75</v>
      </c>
      <c r="B89" s="317" t="s">
        <v>463</v>
      </c>
      <c r="C89" s="309">
        <f t="shared" si="1"/>
        <v>79099</v>
      </c>
      <c r="D89" s="309"/>
      <c r="E89" s="309"/>
      <c r="F89" s="309"/>
      <c r="G89" s="309"/>
      <c r="H89" s="309">
        <v>1164</v>
      </c>
      <c r="I89" s="306">
        <v>77935</v>
      </c>
      <c r="J89" s="306">
        <v>17847</v>
      </c>
      <c r="K89" s="306">
        <v>60088</v>
      </c>
    </row>
    <row r="90" spans="1:11" x14ac:dyDescent="0.25">
      <c r="A90" s="307">
        <v>76</v>
      </c>
      <c r="B90" s="317" t="s">
        <v>464</v>
      </c>
      <c r="C90" s="309">
        <f t="shared" si="1"/>
        <v>96050</v>
      </c>
      <c r="D90" s="309"/>
      <c r="E90" s="309"/>
      <c r="F90" s="309"/>
      <c r="G90" s="309"/>
      <c r="H90" s="309">
        <v>1095</v>
      </c>
      <c r="I90" s="306">
        <v>94955</v>
      </c>
      <c r="J90" s="306">
        <v>10270</v>
      </c>
      <c r="K90" s="306">
        <v>84685</v>
      </c>
    </row>
    <row r="91" spans="1:11" x14ac:dyDescent="0.25">
      <c r="A91" s="307">
        <v>77</v>
      </c>
      <c r="B91" s="317" t="s">
        <v>465</v>
      </c>
      <c r="C91" s="309">
        <f t="shared" si="1"/>
        <v>35538</v>
      </c>
      <c r="D91" s="309"/>
      <c r="E91" s="309"/>
      <c r="F91" s="309"/>
      <c r="G91" s="309"/>
      <c r="H91" s="309"/>
      <c r="I91" s="306">
        <v>35538</v>
      </c>
      <c r="J91" s="306">
        <v>6149</v>
      </c>
      <c r="K91" s="306">
        <v>29389</v>
      </c>
    </row>
    <row r="92" spans="1:11" ht="25.5" x14ac:dyDescent="0.25">
      <c r="A92" s="307">
        <v>78</v>
      </c>
      <c r="B92" s="317" t="s">
        <v>466</v>
      </c>
      <c r="C92" s="309">
        <f t="shared" si="1"/>
        <v>20749</v>
      </c>
      <c r="D92" s="309"/>
      <c r="E92" s="309"/>
      <c r="F92" s="309">
        <v>20749</v>
      </c>
      <c r="G92" s="309"/>
      <c r="H92" s="309"/>
      <c r="I92" s="306">
        <v>0</v>
      </c>
      <c r="J92" s="306">
        <v>0</v>
      </c>
      <c r="K92" s="306">
        <v>0</v>
      </c>
    </row>
    <row r="93" spans="1:11" ht="25.5" x14ac:dyDescent="0.25">
      <c r="A93" s="307">
        <v>79</v>
      </c>
      <c r="B93" s="317" t="s">
        <v>467</v>
      </c>
      <c r="C93" s="309">
        <f t="shared" si="1"/>
        <v>30404</v>
      </c>
      <c r="D93" s="309"/>
      <c r="E93" s="309"/>
      <c r="F93" s="309">
        <v>30404</v>
      </c>
      <c r="G93" s="309"/>
      <c r="H93" s="309"/>
      <c r="I93" s="306">
        <v>0</v>
      </c>
      <c r="J93" s="306">
        <v>0</v>
      </c>
      <c r="K93" s="306">
        <v>0</v>
      </c>
    </row>
    <row r="94" spans="1:11" x14ac:dyDescent="0.25">
      <c r="A94" s="307">
        <v>80</v>
      </c>
      <c r="B94" s="317" t="s">
        <v>468</v>
      </c>
      <c r="C94" s="309">
        <f t="shared" si="1"/>
        <v>96170</v>
      </c>
      <c r="D94" s="309"/>
      <c r="E94" s="309"/>
      <c r="F94" s="309"/>
      <c r="G94" s="309"/>
      <c r="H94" s="309"/>
      <c r="I94" s="306">
        <v>96170</v>
      </c>
      <c r="J94" s="306">
        <v>18664</v>
      </c>
      <c r="K94" s="306">
        <v>77506</v>
      </c>
    </row>
    <row r="95" spans="1:11" x14ac:dyDescent="0.25">
      <c r="A95" s="307">
        <v>81</v>
      </c>
      <c r="B95" s="317" t="s">
        <v>469</v>
      </c>
      <c r="C95" s="309">
        <f t="shared" si="1"/>
        <v>55649</v>
      </c>
      <c r="D95" s="309"/>
      <c r="E95" s="309"/>
      <c r="F95" s="309"/>
      <c r="G95" s="309"/>
      <c r="H95" s="309"/>
      <c r="I95" s="306">
        <v>55649</v>
      </c>
      <c r="J95" s="306">
        <v>9192</v>
      </c>
      <c r="K95" s="306">
        <v>46457</v>
      </c>
    </row>
    <row r="96" spans="1:11" x14ac:dyDescent="0.25">
      <c r="A96" s="307">
        <v>82</v>
      </c>
      <c r="B96" s="317" t="s">
        <v>470</v>
      </c>
      <c r="C96" s="309">
        <f t="shared" si="1"/>
        <v>66647</v>
      </c>
      <c r="D96" s="309">
        <v>4356</v>
      </c>
      <c r="E96" s="309"/>
      <c r="F96" s="309"/>
      <c r="G96" s="309"/>
      <c r="H96" s="309"/>
      <c r="I96" s="306">
        <v>62291</v>
      </c>
      <c r="J96" s="306">
        <v>15289</v>
      </c>
      <c r="K96" s="306">
        <v>47002</v>
      </c>
    </row>
    <row r="97" spans="1:11" x14ac:dyDescent="0.25">
      <c r="A97" s="307">
        <v>83</v>
      </c>
      <c r="B97" s="317" t="s">
        <v>471</v>
      </c>
      <c r="C97" s="309">
        <f t="shared" si="1"/>
        <v>40342</v>
      </c>
      <c r="D97" s="309"/>
      <c r="E97" s="309"/>
      <c r="F97" s="309"/>
      <c r="G97" s="309"/>
      <c r="H97" s="309"/>
      <c r="I97" s="306">
        <v>40342</v>
      </c>
      <c r="J97" s="306">
        <v>6728</v>
      </c>
      <c r="K97" s="306">
        <v>33614</v>
      </c>
    </row>
    <row r="98" spans="1:11" x14ac:dyDescent="0.25">
      <c r="A98" s="307">
        <v>84</v>
      </c>
      <c r="B98" s="317" t="s">
        <v>472</v>
      </c>
      <c r="C98" s="309">
        <f t="shared" si="1"/>
        <v>127606</v>
      </c>
      <c r="D98" s="309">
        <v>6373</v>
      </c>
      <c r="E98" s="309"/>
      <c r="F98" s="309"/>
      <c r="G98" s="309"/>
      <c r="H98" s="309"/>
      <c r="I98" s="306">
        <v>121233</v>
      </c>
      <c r="J98" s="306">
        <v>24627</v>
      </c>
      <c r="K98" s="306">
        <v>96606</v>
      </c>
    </row>
    <row r="99" spans="1:11" x14ac:dyDescent="0.25">
      <c r="A99" s="307">
        <v>85</v>
      </c>
      <c r="B99" s="317" t="s">
        <v>473</v>
      </c>
      <c r="C99" s="309">
        <f t="shared" si="1"/>
        <v>61795</v>
      </c>
      <c r="D99" s="309"/>
      <c r="E99" s="309"/>
      <c r="F99" s="309"/>
      <c r="G99" s="309"/>
      <c r="H99" s="309"/>
      <c r="I99" s="306">
        <v>61795</v>
      </c>
      <c r="J99" s="306">
        <v>17750</v>
      </c>
      <c r="K99" s="306">
        <v>44045</v>
      </c>
    </row>
    <row r="100" spans="1:11" x14ac:dyDescent="0.25">
      <c r="A100" s="307">
        <v>86</v>
      </c>
      <c r="B100" s="317" t="s">
        <v>285</v>
      </c>
      <c r="C100" s="309">
        <f t="shared" si="1"/>
        <v>61401</v>
      </c>
      <c r="D100" s="309"/>
      <c r="E100" s="309"/>
      <c r="F100" s="309"/>
      <c r="G100" s="309"/>
      <c r="H100" s="309"/>
      <c r="I100" s="306">
        <v>61401</v>
      </c>
      <c r="J100" s="306">
        <v>13571</v>
      </c>
      <c r="K100" s="306">
        <v>47830</v>
      </c>
    </row>
    <row r="101" spans="1:11" x14ac:dyDescent="0.25">
      <c r="A101" s="307">
        <v>87</v>
      </c>
      <c r="B101" s="317" t="s">
        <v>474</v>
      </c>
      <c r="C101" s="309">
        <f t="shared" si="1"/>
        <v>35865</v>
      </c>
      <c r="D101" s="309"/>
      <c r="E101" s="309"/>
      <c r="F101" s="309"/>
      <c r="G101" s="309"/>
      <c r="H101" s="309"/>
      <c r="I101" s="306">
        <v>35865</v>
      </c>
      <c r="J101" s="306">
        <v>7622</v>
      </c>
      <c r="K101" s="306">
        <v>28243</v>
      </c>
    </row>
    <row r="102" spans="1:11" x14ac:dyDescent="0.25">
      <c r="A102" s="307">
        <v>88</v>
      </c>
      <c r="B102" s="317" t="s">
        <v>312</v>
      </c>
      <c r="C102" s="309">
        <f t="shared" si="1"/>
        <v>127655</v>
      </c>
      <c r="D102" s="309">
        <v>6031</v>
      </c>
      <c r="E102" s="309"/>
      <c r="F102" s="309"/>
      <c r="G102" s="309"/>
      <c r="H102" s="309"/>
      <c r="I102" s="306">
        <v>121624</v>
      </c>
      <c r="J102" s="306">
        <v>22146</v>
      </c>
      <c r="K102" s="306">
        <v>99478</v>
      </c>
    </row>
    <row r="103" spans="1:11" x14ac:dyDescent="0.25">
      <c r="A103" s="307">
        <v>89</v>
      </c>
      <c r="B103" s="317" t="s">
        <v>475</v>
      </c>
      <c r="C103" s="309">
        <f t="shared" si="1"/>
        <v>47341</v>
      </c>
      <c r="D103" s="309"/>
      <c r="E103" s="309"/>
      <c r="F103" s="309"/>
      <c r="G103" s="309"/>
      <c r="H103" s="309"/>
      <c r="I103" s="306">
        <v>47341</v>
      </c>
      <c r="J103" s="306">
        <v>11460</v>
      </c>
      <c r="K103" s="306">
        <v>35881</v>
      </c>
    </row>
    <row r="104" spans="1:11" x14ac:dyDescent="0.25">
      <c r="A104" s="307">
        <v>90</v>
      </c>
      <c r="B104" s="317" t="s">
        <v>476</v>
      </c>
      <c r="C104" s="309">
        <f t="shared" si="1"/>
        <v>46111</v>
      </c>
      <c r="D104" s="309"/>
      <c r="E104" s="309"/>
      <c r="F104" s="309"/>
      <c r="G104" s="309"/>
      <c r="H104" s="309"/>
      <c r="I104" s="306">
        <v>46111</v>
      </c>
      <c r="J104" s="306">
        <v>12388</v>
      </c>
      <c r="K104" s="306">
        <v>33723</v>
      </c>
    </row>
    <row r="105" spans="1:11" x14ac:dyDescent="0.25">
      <c r="A105" s="307">
        <v>91</v>
      </c>
      <c r="B105" s="317" t="s">
        <v>477</v>
      </c>
      <c r="C105" s="309">
        <f t="shared" si="1"/>
        <v>17957</v>
      </c>
      <c r="D105" s="309"/>
      <c r="E105" s="309"/>
      <c r="F105" s="309">
        <v>17957</v>
      </c>
      <c r="G105" s="309"/>
      <c r="H105" s="309"/>
      <c r="I105" s="306">
        <v>0</v>
      </c>
      <c r="J105" s="306">
        <v>0</v>
      </c>
      <c r="K105" s="306">
        <v>0</v>
      </c>
    </row>
    <row r="106" spans="1:11" x14ac:dyDescent="0.25">
      <c r="A106" s="307">
        <v>92</v>
      </c>
      <c r="B106" s="317" t="s">
        <v>478</v>
      </c>
      <c r="C106" s="309">
        <f t="shared" si="1"/>
        <v>20651</v>
      </c>
      <c r="D106" s="309"/>
      <c r="E106" s="309"/>
      <c r="F106" s="309">
        <v>20651</v>
      </c>
      <c r="G106" s="309"/>
      <c r="H106" s="309"/>
      <c r="I106" s="306">
        <v>0</v>
      </c>
      <c r="J106" s="306">
        <v>0</v>
      </c>
      <c r="K106" s="306">
        <v>0</v>
      </c>
    </row>
    <row r="107" spans="1:11" x14ac:dyDescent="0.25">
      <c r="A107" s="307">
        <v>93</v>
      </c>
      <c r="B107" s="317" t="s">
        <v>479</v>
      </c>
      <c r="C107" s="309">
        <f t="shared" si="1"/>
        <v>23813</v>
      </c>
      <c r="D107" s="309"/>
      <c r="E107" s="309"/>
      <c r="F107" s="309">
        <v>23813</v>
      </c>
      <c r="G107" s="309"/>
      <c r="H107" s="309"/>
      <c r="I107" s="306">
        <v>0</v>
      </c>
      <c r="J107" s="306">
        <v>0</v>
      </c>
      <c r="K107" s="306">
        <v>0</v>
      </c>
    </row>
    <row r="108" spans="1:11" x14ac:dyDescent="0.25">
      <c r="A108" s="307">
        <v>94</v>
      </c>
      <c r="B108" s="317" t="s">
        <v>480</v>
      </c>
      <c r="C108" s="309">
        <f t="shared" si="1"/>
        <v>20088</v>
      </c>
      <c r="D108" s="309"/>
      <c r="E108" s="309"/>
      <c r="F108" s="309">
        <v>20088</v>
      </c>
      <c r="G108" s="309"/>
      <c r="H108" s="309"/>
      <c r="I108" s="306">
        <v>0</v>
      </c>
      <c r="J108" s="306">
        <v>0</v>
      </c>
      <c r="K108" s="306">
        <v>0</v>
      </c>
    </row>
    <row r="109" spans="1:11" x14ac:dyDescent="0.25">
      <c r="A109" s="307">
        <v>95</v>
      </c>
      <c r="B109" s="317" t="s">
        <v>481</v>
      </c>
      <c r="C109" s="309">
        <f t="shared" si="1"/>
        <v>28711</v>
      </c>
      <c r="D109" s="309"/>
      <c r="E109" s="309"/>
      <c r="F109" s="309">
        <v>28711</v>
      </c>
      <c r="G109" s="309"/>
      <c r="H109" s="309"/>
      <c r="I109" s="306">
        <v>0</v>
      </c>
      <c r="J109" s="306">
        <v>0</v>
      </c>
      <c r="K109" s="306">
        <v>0</v>
      </c>
    </row>
    <row r="110" spans="1:11" x14ac:dyDescent="0.25">
      <c r="A110" s="307">
        <v>96</v>
      </c>
      <c r="B110" s="317" t="s">
        <v>482</v>
      </c>
      <c r="C110" s="309">
        <f t="shared" si="1"/>
        <v>18306</v>
      </c>
      <c r="D110" s="309"/>
      <c r="E110" s="309"/>
      <c r="F110" s="309">
        <v>18306</v>
      </c>
      <c r="G110" s="309"/>
      <c r="H110" s="309"/>
      <c r="I110" s="306">
        <v>0</v>
      </c>
      <c r="J110" s="306">
        <v>0</v>
      </c>
      <c r="K110" s="306">
        <v>0</v>
      </c>
    </row>
    <row r="111" spans="1:11" x14ac:dyDescent="0.25">
      <c r="A111" s="307">
        <v>97</v>
      </c>
      <c r="B111" s="317" t="s">
        <v>483</v>
      </c>
      <c r="C111" s="309">
        <f t="shared" si="1"/>
        <v>15447</v>
      </c>
      <c r="D111" s="309"/>
      <c r="E111" s="309"/>
      <c r="F111" s="309">
        <v>15447</v>
      </c>
      <c r="G111" s="309"/>
      <c r="H111" s="309"/>
      <c r="I111" s="306">
        <v>0</v>
      </c>
      <c r="J111" s="306">
        <v>0</v>
      </c>
      <c r="K111" s="306">
        <v>0</v>
      </c>
    </row>
    <row r="112" spans="1:11" x14ac:dyDescent="0.25">
      <c r="A112" s="307">
        <v>98</v>
      </c>
      <c r="B112" s="317" t="s">
        <v>484</v>
      </c>
      <c r="C112" s="309">
        <f t="shared" si="1"/>
        <v>119921</v>
      </c>
      <c r="D112" s="309"/>
      <c r="E112" s="309"/>
      <c r="F112" s="309"/>
      <c r="G112" s="309"/>
      <c r="H112" s="309">
        <v>1362</v>
      </c>
      <c r="I112" s="306">
        <v>118559</v>
      </c>
      <c r="J112" s="306">
        <v>26681</v>
      </c>
      <c r="K112" s="306">
        <v>91878</v>
      </c>
    </row>
    <row r="113" spans="1:11" x14ac:dyDescent="0.25">
      <c r="A113" s="307">
        <v>99</v>
      </c>
      <c r="B113" s="317" t="s">
        <v>60</v>
      </c>
      <c r="C113" s="309">
        <f t="shared" si="1"/>
        <v>77420</v>
      </c>
      <c r="D113" s="309"/>
      <c r="E113" s="309"/>
      <c r="F113" s="309"/>
      <c r="G113" s="309"/>
      <c r="H113" s="309">
        <v>8850</v>
      </c>
      <c r="I113" s="306">
        <v>68570</v>
      </c>
      <c r="J113" s="306">
        <v>15064</v>
      </c>
      <c r="K113" s="306">
        <v>53506</v>
      </c>
    </row>
    <row r="114" spans="1:11" x14ac:dyDescent="0.25">
      <c r="A114" s="307">
        <v>100</v>
      </c>
      <c r="B114" s="317" t="s">
        <v>56</v>
      </c>
      <c r="C114" s="309">
        <f t="shared" si="1"/>
        <v>65562</v>
      </c>
      <c r="D114" s="309"/>
      <c r="E114" s="309"/>
      <c r="F114" s="309"/>
      <c r="G114" s="309"/>
      <c r="H114" s="309"/>
      <c r="I114" s="306">
        <v>65562</v>
      </c>
      <c r="J114" s="306">
        <v>11426</v>
      </c>
      <c r="K114" s="306">
        <v>54136</v>
      </c>
    </row>
    <row r="115" spans="1:11" x14ac:dyDescent="0.25">
      <c r="A115" s="307">
        <v>101</v>
      </c>
      <c r="B115" s="317" t="s">
        <v>55</v>
      </c>
      <c r="C115" s="309">
        <f t="shared" si="1"/>
        <v>38645</v>
      </c>
      <c r="D115" s="309"/>
      <c r="E115" s="309"/>
      <c r="F115" s="309"/>
      <c r="G115" s="309"/>
      <c r="H115" s="309"/>
      <c r="I115" s="306">
        <v>38645</v>
      </c>
      <c r="J115" s="306">
        <v>10439</v>
      </c>
      <c r="K115" s="306">
        <v>28206</v>
      </c>
    </row>
    <row r="116" spans="1:11" x14ac:dyDescent="0.25">
      <c r="A116" s="307">
        <v>102</v>
      </c>
      <c r="B116" s="317" t="s">
        <v>57</v>
      </c>
      <c r="C116" s="309">
        <f t="shared" si="1"/>
        <v>17815</v>
      </c>
      <c r="D116" s="309"/>
      <c r="E116" s="309"/>
      <c r="F116" s="309"/>
      <c r="G116" s="309"/>
      <c r="H116" s="309">
        <v>4025</v>
      </c>
      <c r="I116" s="306">
        <v>13790</v>
      </c>
      <c r="J116" s="306">
        <v>1247</v>
      </c>
      <c r="K116" s="306">
        <v>12543</v>
      </c>
    </row>
    <row r="117" spans="1:11" x14ac:dyDescent="0.25">
      <c r="A117" s="307">
        <v>103</v>
      </c>
      <c r="B117" s="317" t="s">
        <v>58</v>
      </c>
      <c r="C117" s="309">
        <f t="shared" si="1"/>
        <v>4886</v>
      </c>
      <c r="D117" s="309"/>
      <c r="E117" s="309"/>
      <c r="F117" s="309"/>
      <c r="G117" s="309"/>
      <c r="H117" s="309"/>
      <c r="I117" s="306">
        <v>4886</v>
      </c>
      <c r="J117" s="306">
        <v>1209</v>
      </c>
      <c r="K117" s="306">
        <v>3677</v>
      </c>
    </row>
    <row r="118" spans="1:11" ht="38.25" x14ac:dyDescent="0.25">
      <c r="A118" s="558">
        <v>104</v>
      </c>
      <c r="B118" s="317" t="s">
        <v>248</v>
      </c>
      <c r="C118" s="309">
        <f t="shared" si="1"/>
        <v>27412</v>
      </c>
      <c r="D118" s="309"/>
      <c r="E118" s="309"/>
      <c r="F118" s="309"/>
      <c r="G118" s="309"/>
      <c r="H118" s="309"/>
      <c r="I118" s="306">
        <v>27412</v>
      </c>
      <c r="J118" s="306">
        <v>9029</v>
      </c>
      <c r="K118" s="306">
        <v>18383</v>
      </c>
    </row>
    <row r="119" spans="1:11" x14ac:dyDescent="0.25">
      <c r="A119" s="560"/>
      <c r="B119" s="317" t="s">
        <v>59</v>
      </c>
      <c r="C119" s="309">
        <f t="shared" si="1"/>
        <v>199146</v>
      </c>
      <c r="D119" s="309"/>
      <c r="E119" s="309">
        <v>6804</v>
      </c>
      <c r="F119" s="309"/>
      <c r="G119" s="309"/>
      <c r="H119" s="309"/>
      <c r="I119" s="306">
        <v>192342</v>
      </c>
      <c r="J119" s="306">
        <v>51459</v>
      </c>
      <c r="K119" s="306">
        <v>140883</v>
      </c>
    </row>
    <row r="120" spans="1:11" x14ac:dyDescent="0.25">
      <c r="A120" s="307">
        <v>105</v>
      </c>
      <c r="B120" s="317" t="s">
        <v>61</v>
      </c>
      <c r="C120" s="309">
        <f t="shared" si="1"/>
        <v>57276</v>
      </c>
      <c r="D120" s="309"/>
      <c r="E120" s="309"/>
      <c r="F120" s="309"/>
      <c r="G120" s="309"/>
      <c r="H120" s="309"/>
      <c r="I120" s="306">
        <v>57276</v>
      </c>
      <c r="J120" s="306">
        <v>10901</v>
      </c>
      <c r="K120" s="306">
        <v>46375</v>
      </c>
    </row>
    <row r="121" spans="1:11" x14ac:dyDescent="0.25">
      <c r="A121" s="307">
        <v>106</v>
      </c>
      <c r="B121" s="317" t="s">
        <v>116</v>
      </c>
      <c r="C121" s="309">
        <f t="shared" si="1"/>
        <v>75310</v>
      </c>
      <c r="D121" s="309"/>
      <c r="E121" s="309"/>
      <c r="F121" s="309"/>
      <c r="G121" s="309"/>
      <c r="H121" s="309"/>
      <c r="I121" s="306">
        <v>75310</v>
      </c>
      <c r="J121" s="306">
        <v>18294</v>
      </c>
      <c r="K121" s="306">
        <v>57016</v>
      </c>
    </row>
    <row r="122" spans="1:11" x14ac:dyDescent="0.25">
      <c r="A122" s="307">
        <v>107</v>
      </c>
      <c r="B122" s="317" t="s">
        <v>71</v>
      </c>
      <c r="C122" s="309">
        <f t="shared" si="1"/>
        <v>34417</v>
      </c>
      <c r="D122" s="309"/>
      <c r="E122" s="309"/>
      <c r="F122" s="309">
        <v>34417</v>
      </c>
      <c r="G122" s="309"/>
      <c r="H122" s="309"/>
      <c r="I122" s="306">
        <v>0</v>
      </c>
      <c r="J122" s="306">
        <v>0</v>
      </c>
      <c r="K122" s="306">
        <v>0</v>
      </c>
    </row>
    <row r="123" spans="1:11" x14ac:dyDescent="0.25">
      <c r="A123" s="558">
        <v>108</v>
      </c>
      <c r="B123" s="317" t="s">
        <v>62</v>
      </c>
      <c r="C123" s="309">
        <f t="shared" si="1"/>
        <v>13204</v>
      </c>
      <c r="D123" s="309"/>
      <c r="E123" s="309"/>
      <c r="F123" s="309"/>
      <c r="G123" s="309"/>
      <c r="H123" s="309"/>
      <c r="I123" s="306">
        <v>13204</v>
      </c>
      <c r="J123" s="306">
        <v>2799</v>
      </c>
      <c r="K123" s="306">
        <v>10405</v>
      </c>
    </row>
    <row r="124" spans="1:11" ht="25.5" x14ac:dyDescent="0.25">
      <c r="A124" s="560"/>
      <c r="B124" s="318" t="s">
        <v>485</v>
      </c>
      <c r="C124" s="309">
        <f t="shared" si="1"/>
        <v>4470</v>
      </c>
      <c r="D124" s="313"/>
      <c r="E124" s="313"/>
      <c r="F124" s="313">
        <v>4470</v>
      </c>
      <c r="G124" s="313"/>
      <c r="H124" s="313"/>
      <c r="I124" s="306">
        <v>0</v>
      </c>
      <c r="J124" s="306">
        <v>0</v>
      </c>
      <c r="K124" s="306">
        <v>0</v>
      </c>
    </row>
    <row r="125" spans="1:11" ht="25.5" x14ac:dyDescent="0.25">
      <c r="A125" s="307">
        <v>109</v>
      </c>
      <c r="B125" s="317" t="s">
        <v>72</v>
      </c>
      <c r="C125" s="309">
        <f t="shared" si="1"/>
        <v>1341</v>
      </c>
      <c r="D125" s="309"/>
      <c r="E125" s="309"/>
      <c r="F125" s="309">
        <v>1341</v>
      </c>
      <c r="G125" s="309"/>
      <c r="H125" s="309"/>
      <c r="I125" s="306">
        <v>0</v>
      </c>
      <c r="J125" s="306">
        <v>0</v>
      </c>
      <c r="K125" s="306">
        <v>0</v>
      </c>
    </row>
    <row r="126" spans="1:11" x14ac:dyDescent="0.25">
      <c r="A126" s="307">
        <v>110</v>
      </c>
      <c r="B126" s="310" t="s">
        <v>486</v>
      </c>
      <c r="C126" s="309">
        <f t="shared" si="1"/>
        <v>8084</v>
      </c>
      <c r="D126" s="309"/>
      <c r="E126" s="309"/>
      <c r="F126" s="309"/>
      <c r="G126" s="309"/>
      <c r="H126" s="309"/>
      <c r="I126" s="306">
        <v>8084</v>
      </c>
      <c r="J126" s="306">
        <v>1819</v>
      </c>
      <c r="K126" s="306">
        <v>6265</v>
      </c>
    </row>
    <row r="127" spans="1:11" x14ac:dyDescent="0.25">
      <c r="A127" s="307">
        <v>111</v>
      </c>
      <c r="B127" s="308" t="s">
        <v>3</v>
      </c>
      <c r="C127" s="309">
        <f t="shared" si="1"/>
        <v>29159</v>
      </c>
      <c r="D127" s="309"/>
      <c r="E127" s="309"/>
      <c r="F127" s="309"/>
      <c r="G127" s="309"/>
      <c r="H127" s="309"/>
      <c r="I127" s="306">
        <v>29159</v>
      </c>
      <c r="J127" s="306">
        <v>7893</v>
      </c>
      <c r="K127" s="306">
        <v>21266</v>
      </c>
    </row>
    <row r="128" spans="1:11" x14ac:dyDescent="0.25">
      <c r="A128" s="307">
        <v>112</v>
      </c>
      <c r="B128" s="310" t="s">
        <v>10</v>
      </c>
      <c r="C128" s="309">
        <f t="shared" si="1"/>
        <v>30564</v>
      </c>
      <c r="D128" s="309"/>
      <c r="E128" s="309"/>
      <c r="F128" s="309"/>
      <c r="G128" s="309"/>
      <c r="H128" s="309"/>
      <c r="I128" s="306">
        <v>30564</v>
      </c>
      <c r="J128" s="306">
        <v>8474</v>
      </c>
      <c r="K128" s="306">
        <v>22090</v>
      </c>
    </row>
    <row r="129" spans="1:11" x14ac:dyDescent="0.25">
      <c r="A129" s="307">
        <v>113</v>
      </c>
      <c r="B129" s="308" t="s">
        <v>15</v>
      </c>
      <c r="C129" s="309">
        <f t="shared" si="1"/>
        <v>81377</v>
      </c>
      <c r="D129" s="309"/>
      <c r="E129" s="309"/>
      <c r="F129" s="309"/>
      <c r="G129" s="309"/>
      <c r="H129" s="309"/>
      <c r="I129" s="306">
        <v>81377</v>
      </c>
      <c r="J129" s="306">
        <v>19845</v>
      </c>
      <c r="K129" s="306">
        <v>61532</v>
      </c>
    </row>
    <row r="130" spans="1:11" x14ac:dyDescent="0.25">
      <c r="A130" s="307">
        <v>114</v>
      </c>
      <c r="B130" s="310" t="s">
        <v>38</v>
      </c>
      <c r="C130" s="309">
        <f t="shared" si="1"/>
        <v>36702</v>
      </c>
      <c r="D130" s="309"/>
      <c r="E130" s="309"/>
      <c r="F130" s="309"/>
      <c r="G130" s="309"/>
      <c r="H130" s="309"/>
      <c r="I130" s="306">
        <v>36702</v>
      </c>
      <c r="J130" s="306">
        <v>7459</v>
      </c>
      <c r="K130" s="306">
        <v>29243</v>
      </c>
    </row>
    <row r="131" spans="1:11" x14ac:dyDescent="0.25">
      <c r="A131" s="307">
        <v>115</v>
      </c>
      <c r="B131" s="310" t="s">
        <v>16</v>
      </c>
      <c r="C131" s="309">
        <f t="shared" si="1"/>
        <v>44967</v>
      </c>
      <c r="D131" s="309"/>
      <c r="E131" s="309"/>
      <c r="F131" s="309"/>
      <c r="G131" s="309"/>
      <c r="H131" s="309"/>
      <c r="I131" s="306">
        <v>44967</v>
      </c>
      <c r="J131" s="306">
        <v>9316</v>
      </c>
      <c r="K131" s="306">
        <v>35651</v>
      </c>
    </row>
    <row r="132" spans="1:11" x14ac:dyDescent="0.25">
      <c r="A132" s="307">
        <v>116</v>
      </c>
      <c r="B132" s="308" t="s">
        <v>26</v>
      </c>
      <c r="C132" s="309">
        <f t="shared" si="1"/>
        <v>87998</v>
      </c>
      <c r="D132" s="309"/>
      <c r="E132" s="309"/>
      <c r="F132" s="309"/>
      <c r="G132" s="309"/>
      <c r="H132" s="309"/>
      <c r="I132" s="306">
        <v>87998</v>
      </c>
      <c r="J132" s="306">
        <v>24559</v>
      </c>
      <c r="K132" s="306">
        <v>63439</v>
      </c>
    </row>
    <row r="133" spans="1:11" x14ac:dyDescent="0.25">
      <c r="A133" s="307">
        <v>117</v>
      </c>
      <c r="B133" s="308" t="s">
        <v>31</v>
      </c>
      <c r="C133" s="309">
        <f t="shared" si="1"/>
        <v>77146</v>
      </c>
      <c r="D133" s="309"/>
      <c r="E133" s="309"/>
      <c r="F133" s="309"/>
      <c r="G133" s="309"/>
      <c r="H133" s="309"/>
      <c r="I133" s="306">
        <v>77146</v>
      </c>
      <c r="J133" s="306">
        <v>15095</v>
      </c>
      <c r="K133" s="306">
        <v>62051</v>
      </c>
    </row>
    <row r="134" spans="1:11" x14ac:dyDescent="0.25">
      <c r="A134" s="307">
        <v>118</v>
      </c>
      <c r="B134" s="310" t="s">
        <v>32</v>
      </c>
      <c r="C134" s="309">
        <f t="shared" si="1"/>
        <v>27502</v>
      </c>
      <c r="D134" s="309"/>
      <c r="E134" s="309"/>
      <c r="F134" s="309"/>
      <c r="G134" s="309"/>
      <c r="H134" s="309"/>
      <c r="I134" s="306">
        <v>27502</v>
      </c>
      <c r="J134" s="306">
        <v>7322</v>
      </c>
      <c r="K134" s="306">
        <v>20180</v>
      </c>
    </row>
    <row r="135" spans="1:11" x14ac:dyDescent="0.25">
      <c r="A135" s="307">
        <v>119</v>
      </c>
      <c r="B135" s="308" t="s">
        <v>35</v>
      </c>
      <c r="C135" s="309">
        <f t="shared" si="1"/>
        <v>42848</v>
      </c>
      <c r="D135" s="309"/>
      <c r="E135" s="309"/>
      <c r="F135" s="309"/>
      <c r="G135" s="309"/>
      <c r="H135" s="309"/>
      <c r="I135" s="306">
        <v>42848</v>
      </c>
      <c r="J135" s="306">
        <v>7160</v>
      </c>
      <c r="K135" s="306">
        <v>35688</v>
      </c>
    </row>
    <row r="136" spans="1:11" x14ac:dyDescent="0.25">
      <c r="A136" s="307">
        <v>120</v>
      </c>
      <c r="B136" s="310" t="s">
        <v>42</v>
      </c>
      <c r="C136" s="309">
        <f t="shared" si="1"/>
        <v>41611</v>
      </c>
      <c r="D136" s="309"/>
      <c r="E136" s="309"/>
      <c r="F136" s="309"/>
      <c r="G136" s="309"/>
      <c r="H136" s="309"/>
      <c r="I136" s="306">
        <v>41611</v>
      </c>
      <c r="J136" s="306">
        <v>10605</v>
      </c>
      <c r="K136" s="306">
        <v>31006</v>
      </c>
    </row>
    <row r="137" spans="1:11" x14ac:dyDescent="0.25">
      <c r="A137" s="307">
        <v>121</v>
      </c>
      <c r="B137" s="310" t="s">
        <v>21</v>
      </c>
      <c r="C137" s="309">
        <f t="shared" ref="C137:C170" si="2">D137+E137+F137+G137+H137+I137</f>
        <v>50630</v>
      </c>
      <c r="D137" s="309">
        <v>2503</v>
      </c>
      <c r="E137" s="309"/>
      <c r="F137" s="309"/>
      <c r="G137" s="309"/>
      <c r="H137" s="309"/>
      <c r="I137" s="306">
        <v>48127</v>
      </c>
      <c r="J137" s="306">
        <v>7919</v>
      </c>
      <c r="K137" s="306">
        <v>40208</v>
      </c>
    </row>
    <row r="138" spans="1:11" x14ac:dyDescent="0.25">
      <c r="A138" s="307">
        <v>122</v>
      </c>
      <c r="B138" s="308" t="s">
        <v>41</v>
      </c>
      <c r="C138" s="309">
        <f t="shared" si="2"/>
        <v>31621</v>
      </c>
      <c r="D138" s="309"/>
      <c r="E138" s="309"/>
      <c r="F138" s="309"/>
      <c r="G138" s="309"/>
      <c r="H138" s="309"/>
      <c r="I138" s="306">
        <v>31621</v>
      </c>
      <c r="J138" s="306">
        <v>7668</v>
      </c>
      <c r="K138" s="306">
        <v>23953</v>
      </c>
    </row>
    <row r="139" spans="1:11" x14ac:dyDescent="0.25">
      <c r="A139" s="307">
        <v>123</v>
      </c>
      <c r="B139" s="310" t="s">
        <v>48</v>
      </c>
      <c r="C139" s="309">
        <f t="shared" si="2"/>
        <v>47183</v>
      </c>
      <c r="D139" s="309"/>
      <c r="E139" s="309"/>
      <c r="F139" s="309"/>
      <c r="G139" s="309"/>
      <c r="H139" s="309"/>
      <c r="I139" s="306">
        <v>47183</v>
      </c>
      <c r="J139" s="306">
        <v>9656</v>
      </c>
      <c r="K139" s="306">
        <v>37527</v>
      </c>
    </row>
    <row r="140" spans="1:11" x14ac:dyDescent="0.25">
      <c r="A140" s="307">
        <v>124</v>
      </c>
      <c r="B140" s="310" t="s">
        <v>49</v>
      </c>
      <c r="C140" s="309">
        <f t="shared" si="2"/>
        <v>79417</v>
      </c>
      <c r="D140" s="309"/>
      <c r="E140" s="309"/>
      <c r="F140" s="309"/>
      <c r="G140" s="309"/>
      <c r="H140" s="309"/>
      <c r="I140" s="306">
        <v>79417</v>
      </c>
      <c r="J140" s="306">
        <v>20186</v>
      </c>
      <c r="K140" s="306">
        <v>59231</v>
      </c>
    </row>
    <row r="141" spans="1:11" x14ac:dyDescent="0.25">
      <c r="A141" s="307">
        <v>125</v>
      </c>
      <c r="B141" s="310" t="s">
        <v>14</v>
      </c>
      <c r="C141" s="309">
        <f t="shared" si="2"/>
        <v>37483</v>
      </c>
      <c r="D141" s="309"/>
      <c r="E141" s="309"/>
      <c r="F141" s="309"/>
      <c r="G141" s="309"/>
      <c r="H141" s="309"/>
      <c r="I141" s="306">
        <v>37483</v>
      </c>
      <c r="J141" s="306">
        <v>6928</v>
      </c>
      <c r="K141" s="306">
        <v>30555</v>
      </c>
    </row>
    <row r="142" spans="1:11" x14ac:dyDescent="0.25">
      <c r="A142" s="307">
        <v>126</v>
      </c>
      <c r="B142" s="317" t="s">
        <v>487</v>
      </c>
      <c r="C142" s="309">
        <f t="shared" si="2"/>
        <v>34894</v>
      </c>
      <c r="D142" s="309"/>
      <c r="E142" s="309"/>
      <c r="F142" s="309"/>
      <c r="G142" s="309"/>
      <c r="H142" s="309"/>
      <c r="I142" s="306">
        <v>34894</v>
      </c>
      <c r="J142" s="306">
        <v>7249</v>
      </c>
      <c r="K142" s="306">
        <v>27645</v>
      </c>
    </row>
    <row r="143" spans="1:11" x14ac:dyDescent="0.25">
      <c r="A143" s="307">
        <v>127</v>
      </c>
      <c r="B143" s="310" t="s">
        <v>411</v>
      </c>
      <c r="C143" s="309">
        <f t="shared" si="2"/>
        <v>1635</v>
      </c>
      <c r="D143" s="309"/>
      <c r="E143" s="309"/>
      <c r="F143" s="309"/>
      <c r="G143" s="309">
        <v>1635</v>
      </c>
      <c r="H143" s="309"/>
      <c r="I143" s="306">
        <v>0</v>
      </c>
      <c r="J143" s="306">
        <v>0</v>
      </c>
      <c r="K143" s="306">
        <v>0</v>
      </c>
    </row>
    <row r="144" spans="1:11" x14ac:dyDescent="0.25">
      <c r="A144" s="307">
        <v>128</v>
      </c>
      <c r="B144" s="317" t="s">
        <v>488</v>
      </c>
      <c r="C144" s="309">
        <f t="shared" si="2"/>
        <v>102</v>
      </c>
      <c r="D144" s="319"/>
      <c r="E144" s="319"/>
      <c r="F144" s="319">
        <v>102</v>
      </c>
      <c r="G144" s="319"/>
      <c r="H144" s="319"/>
      <c r="I144" s="306">
        <v>0</v>
      </c>
      <c r="J144" s="306">
        <v>0</v>
      </c>
      <c r="K144" s="306">
        <v>0</v>
      </c>
    </row>
    <row r="145" spans="1:11" x14ac:dyDescent="0.25">
      <c r="A145" s="307">
        <v>129</v>
      </c>
      <c r="B145" s="310" t="s">
        <v>489</v>
      </c>
      <c r="C145" s="309">
        <f t="shared" si="2"/>
        <v>0</v>
      </c>
      <c r="D145" s="309"/>
      <c r="E145" s="309"/>
      <c r="F145" s="309">
        <v>0</v>
      </c>
      <c r="G145" s="309"/>
      <c r="H145" s="309"/>
      <c r="I145" s="306">
        <v>0</v>
      </c>
      <c r="J145" s="306">
        <v>0</v>
      </c>
      <c r="K145" s="306">
        <v>0</v>
      </c>
    </row>
    <row r="146" spans="1:11" x14ac:dyDescent="0.25">
      <c r="A146" s="307">
        <v>130</v>
      </c>
      <c r="B146" s="308" t="s">
        <v>490</v>
      </c>
      <c r="C146" s="309">
        <f t="shared" si="2"/>
        <v>112</v>
      </c>
      <c r="D146" s="309"/>
      <c r="E146" s="309"/>
      <c r="F146" s="309">
        <v>112</v>
      </c>
      <c r="G146" s="309"/>
      <c r="H146" s="309"/>
      <c r="I146" s="306">
        <v>0</v>
      </c>
      <c r="J146" s="306">
        <v>0</v>
      </c>
      <c r="K146" s="306">
        <v>0</v>
      </c>
    </row>
    <row r="147" spans="1:11" x14ac:dyDescent="0.25">
      <c r="A147" s="307">
        <v>131</v>
      </c>
      <c r="B147" s="310" t="s">
        <v>491</v>
      </c>
      <c r="C147" s="309">
        <f t="shared" si="2"/>
        <v>50</v>
      </c>
      <c r="D147" s="309"/>
      <c r="E147" s="309"/>
      <c r="F147" s="309">
        <v>50</v>
      </c>
      <c r="G147" s="309"/>
      <c r="H147" s="309"/>
      <c r="I147" s="306">
        <v>0</v>
      </c>
      <c r="J147" s="306">
        <v>0</v>
      </c>
      <c r="K147" s="306">
        <v>0</v>
      </c>
    </row>
    <row r="148" spans="1:11" x14ac:dyDescent="0.25">
      <c r="A148" s="307">
        <v>132</v>
      </c>
      <c r="B148" s="317" t="s">
        <v>492</v>
      </c>
      <c r="C148" s="309">
        <f t="shared" si="2"/>
        <v>7844</v>
      </c>
      <c r="D148" s="309"/>
      <c r="E148" s="309"/>
      <c r="F148" s="309"/>
      <c r="G148" s="309">
        <v>7844</v>
      </c>
      <c r="H148" s="309"/>
      <c r="I148" s="306">
        <v>0</v>
      </c>
      <c r="J148" s="306">
        <v>0</v>
      </c>
      <c r="K148" s="306">
        <v>0</v>
      </c>
    </row>
    <row r="149" spans="1:11" x14ac:dyDescent="0.25">
      <c r="A149" s="307">
        <v>133</v>
      </c>
      <c r="B149" s="310" t="s">
        <v>98</v>
      </c>
      <c r="C149" s="309">
        <f t="shared" si="2"/>
        <v>28</v>
      </c>
      <c r="D149" s="309"/>
      <c r="E149" s="309"/>
      <c r="F149" s="309">
        <v>28</v>
      </c>
      <c r="G149" s="309"/>
      <c r="H149" s="309"/>
      <c r="I149" s="306">
        <v>0</v>
      </c>
      <c r="J149" s="306">
        <v>0</v>
      </c>
      <c r="K149" s="306">
        <v>0</v>
      </c>
    </row>
    <row r="150" spans="1:11" x14ac:dyDescent="0.25">
      <c r="A150" s="307">
        <v>134</v>
      </c>
      <c r="B150" s="310" t="s">
        <v>493</v>
      </c>
      <c r="C150" s="309">
        <f t="shared" si="2"/>
        <v>1</v>
      </c>
      <c r="D150" s="309"/>
      <c r="E150" s="309"/>
      <c r="F150" s="309">
        <v>1</v>
      </c>
      <c r="G150" s="309"/>
      <c r="H150" s="309"/>
      <c r="I150" s="306">
        <v>0</v>
      </c>
      <c r="J150" s="306">
        <v>0</v>
      </c>
      <c r="K150" s="306">
        <v>0</v>
      </c>
    </row>
    <row r="151" spans="1:11" x14ac:dyDescent="0.25">
      <c r="A151" s="307">
        <v>135</v>
      </c>
      <c r="B151" s="310" t="s">
        <v>73</v>
      </c>
      <c r="C151" s="309">
        <f t="shared" si="2"/>
        <v>184</v>
      </c>
      <c r="D151" s="309"/>
      <c r="E151" s="309"/>
      <c r="F151" s="309">
        <v>184</v>
      </c>
      <c r="G151" s="309"/>
      <c r="H151" s="309"/>
      <c r="I151" s="306">
        <v>0</v>
      </c>
      <c r="J151" s="306">
        <v>0</v>
      </c>
      <c r="K151" s="306">
        <v>0</v>
      </c>
    </row>
    <row r="152" spans="1:11" x14ac:dyDescent="0.25">
      <c r="A152" s="307">
        <v>136</v>
      </c>
      <c r="B152" s="310" t="s">
        <v>494</v>
      </c>
      <c r="C152" s="309">
        <f t="shared" si="2"/>
        <v>760</v>
      </c>
      <c r="D152" s="309"/>
      <c r="E152" s="309"/>
      <c r="F152" s="309"/>
      <c r="G152" s="309">
        <v>760</v>
      </c>
      <c r="H152" s="309"/>
      <c r="I152" s="306">
        <v>0</v>
      </c>
      <c r="J152" s="306">
        <v>0</v>
      </c>
      <c r="K152" s="306">
        <v>0</v>
      </c>
    </row>
    <row r="153" spans="1:11" x14ac:dyDescent="0.25">
      <c r="A153" s="307">
        <v>137</v>
      </c>
      <c r="B153" s="310" t="s">
        <v>102</v>
      </c>
      <c r="C153" s="309">
        <f t="shared" si="2"/>
        <v>28</v>
      </c>
      <c r="D153" s="309"/>
      <c r="E153" s="309"/>
      <c r="F153" s="309">
        <v>28</v>
      </c>
      <c r="G153" s="309"/>
      <c r="H153" s="309"/>
      <c r="I153" s="306">
        <v>0</v>
      </c>
      <c r="J153" s="306">
        <v>0</v>
      </c>
      <c r="K153" s="306">
        <v>0</v>
      </c>
    </row>
    <row r="154" spans="1:11" x14ac:dyDescent="0.25">
      <c r="A154" s="307">
        <v>138</v>
      </c>
      <c r="B154" s="310" t="s">
        <v>495</v>
      </c>
      <c r="C154" s="309">
        <f t="shared" si="2"/>
        <v>0</v>
      </c>
      <c r="D154" s="309"/>
      <c r="E154" s="309"/>
      <c r="F154" s="309">
        <v>0</v>
      </c>
      <c r="G154" s="309"/>
      <c r="H154" s="309"/>
      <c r="I154" s="306">
        <v>0</v>
      </c>
      <c r="J154" s="306">
        <v>0</v>
      </c>
      <c r="K154" s="306">
        <v>0</v>
      </c>
    </row>
    <row r="155" spans="1:11" x14ac:dyDescent="0.25">
      <c r="A155" s="307">
        <v>139</v>
      </c>
      <c r="B155" s="310" t="s">
        <v>496</v>
      </c>
      <c r="C155" s="309">
        <f t="shared" si="2"/>
        <v>22</v>
      </c>
      <c r="D155" s="309"/>
      <c r="E155" s="309"/>
      <c r="F155" s="309">
        <v>22</v>
      </c>
      <c r="G155" s="309"/>
      <c r="H155" s="309"/>
      <c r="I155" s="306">
        <v>0</v>
      </c>
      <c r="J155" s="306">
        <v>0</v>
      </c>
      <c r="K155" s="306">
        <v>0</v>
      </c>
    </row>
    <row r="156" spans="1:11" x14ac:dyDescent="0.25">
      <c r="A156" s="307">
        <v>140</v>
      </c>
      <c r="B156" s="310" t="s">
        <v>497</v>
      </c>
      <c r="C156" s="309">
        <f t="shared" si="2"/>
        <v>2976</v>
      </c>
      <c r="D156" s="309"/>
      <c r="E156" s="309"/>
      <c r="F156" s="309"/>
      <c r="G156" s="309">
        <v>2976</v>
      </c>
      <c r="H156" s="309"/>
      <c r="I156" s="306">
        <v>0</v>
      </c>
      <c r="J156" s="306">
        <v>0</v>
      </c>
      <c r="K156" s="306">
        <v>0</v>
      </c>
    </row>
    <row r="157" spans="1:11" x14ac:dyDescent="0.25">
      <c r="A157" s="307">
        <v>141</v>
      </c>
      <c r="B157" s="310" t="s">
        <v>498</v>
      </c>
      <c r="C157" s="309">
        <f t="shared" si="2"/>
        <v>28</v>
      </c>
      <c r="D157" s="319"/>
      <c r="E157" s="319"/>
      <c r="F157" s="319">
        <v>28</v>
      </c>
      <c r="G157" s="319"/>
      <c r="H157" s="319"/>
      <c r="I157" s="306">
        <v>0</v>
      </c>
      <c r="J157" s="306">
        <v>0</v>
      </c>
      <c r="K157" s="306">
        <v>0</v>
      </c>
    </row>
    <row r="158" spans="1:11" x14ac:dyDescent="0.25">
      <c r="A158" s="307">
        <v>142</v>
      </c>
      <c r="B158" s="310" t="s">
        <v>499</v>
      </c>
      <c r="C158" s="309">
        <f t="shared" si="2"/>
        <v>28</v>
      </c>
      <c r="D158" s="319"/>
      <c r="E158" s="319"/>
      <c r="F158" s="319">
        <v>28</v>
      </c>
      <c r="G158" s="319"/>
      <c r="H158" s="319"/>
      <c r="I158" s="306">
        <v>0</v>
      </c>
      <c r="J158" s="306">
        <v>0</v>
      </c>
      <c r="K158" s="306">
        <v>0</v>
      </c>
    </row>
    <row r="159" spans="1:11" ht="19.5" customHeight="1" x14ac:dyDescent="0.25">
      <c r="A159" s="307">
        <v>143</v>
      </c>
      <c r="B159" s="310" t="s">
        <v>500</v>
      </c>
      <c r="C159" s="309">
        <f t="shared" si="2"/>
        <v>28</v>
      </c>
      <c r="D159" s="319"/>
      <c r="E159" s="319"/>
      <c r="F159" s="319">
        <v>28</v>
      </c>
      <c r="G159" s="319"/>
      <c r="H159" s="319"/>
      <c r="I159" s="306">
        <v>0</v>
      </c>
      <c r="J159" s="306">
        <v>0</v>
      </c>
      <c r="K159" s="306">
        <v>0</v>
      </c>
    </row>
    <row r="160" spans="1:11" x14ac:dyDescent="0.25">
      <c r="A160" s="307">
        <v>144</v>
      </c>
      <c r="B160" s="310" t="s">
        <v>413</v>
      </c>
      <c r="C160" s="309">
        <f t="shared" si="2"/>
        <v>192</v>
      </c>
      <c r="D160" s="309"/>
      <c r="E160" s="309"/>
      <c r="F160" s="309"/>
      <c r="G160" s="309">
        <v>192</v>
      </c>
      <c r="H160" s="309"/>
      <c r="I160" s="306">
        <v>0</v>
      </c>
      <c r="J160" s="306">
        <v>0</v>
      </c>
      <c r="K160" s="306">
        <v>0</v>
      </c>
    </row>
    <row r="161" spans="1:11" x14ac:dyDescent="0.25">
      <c r="A161" s="307">
        <v>145</v>
      </c>
      <c r="B161" s="310" t="s">
        <v>74</v>
      </c>
      <c r="C161" s="309">
        <f t="shared" si="2"/>
        <v>764</v>
      </c>
      <c r="D161" s="309"/>
      <c r="E161" s="309"/>
      <c r="F161" s="309"/>
      <c r="G161" s="309">
        <v>764</v>
      </c>
      <c r="H161" s="309"/>
      <c r="I161" s="306">
        <v>0</v>
      </c>
      <c r="J161" s="306">
        <v>0</v>
      </c>
      <c r="K161" s="306">
        <v>0</v>
      </c>
    </row>
    <row r="162" spans="1:11" x14ac:dyDescent="0.25">
      <c r="A162" s="307">
        <v>146</v>
      </c>
      <c r="B162" s="310" t="s">
        <v>63</v>
      </c>
      <c r="C162" s="309">
        <f t="shared" si="2"/>
        <v>1932</v>
      </c>
      <c r="D162" s="309"/>
      <c r="E162" s="309"/>
      <c r="F162" s="309"/>
      <c r="G162" s="309">
        <v>183</v>
      </c>
      <c r="H162" s="309">
        <v>1749</v>
      </c>
      <c r="I162" s="306">
        <v>0</v>
      </c>
      <c r="J162" s="306">
        <v>0</v>
      </c>
      <c r="K162" s="306">
        <v>0</v>
      </c>
    </row>
    <row r="163" spans="1:11" x14ac:dyDescent="0.25">
      <c r="A163" s="307">
        <v>147</v>
      </c>
      <c r="B163" s="310" t="s">
        <v>75</v>
      </c>
      <c r="C163" s="309">
        <f t="shared" si="2"/>
        <v>23691</v>
      </c>
      <c r="D163" s="309"/>
      <c r="E163" s="309"/>
      <c r="F163" s="309">
        <v>23691</v>
      </c>
      <c r="G163" s="309"/>
      <c r="H163" s="309"/>
      <c r="I163" s="306">
        <v>0</v>
      </c>
      <c r="J163" s="306">
        <v>0</v>
      </c>
      <c r="K163" s="306">
        <v>0</v>
      </c>
    </row>
    <row r="164" spans="1:11" x14ac:dyDescent="0.25">
      <c r="A164" s="307">
        <v>148</v>
      </c>
      <c r="B164" s="310" t="s">
        <v>137</v>
      </c>
      <c r="C164" s="309">
        <f t="shared" si="2"/>
        <v>35562</v>
      </c>
      <c r="D164" s="309"/>
      <c r="E164" s="309"/>
      <c r="F164" s="309">
        <v>35562</v>
      </c>
      <c r="G164" s="309"/>
      <c r="H164" s="309"/>
      <c r="I164" s="306">
        <v>0</v>
      </c>
      <c r="J164" s="306">
        <v>0</v>
      </c>
      <c r="K164" s="306">
        <v>0</v>
      </c>
    </row>
    <row r="165" spans="1:11" x14ac:dyDescent="0.25">
      <c r="A165" s="307">
        <v>149</v>
      </c>
      <c r="B165" s="310" t="s">
        <v>76</v>
      </c>
      <c r="C165" s="309">
        <f t="shared" si="2"/>
        <v>35581</v>
      </c>
      <c r="D165" s="309"/>
      <c r="E165" s="309"/>
      <c r="F165" s="309">
        <v>35581</v>
      </c>
      <c r="G165" s="309"/>
      <c r="H165" s="309"/>
      <c r="I165" s="306">
        <v>0</v>
      </c>
      <c r="J165" s="306">
        <v>0</v>
      </c>
      <c r="K165" s="306">
        <v>0</v>
      </c>
    </row>
    <row r="166" spans="1:11" x14ac:dyDescent="0.25">
      <c r="A166" s="558">
        <v>150</v>
      </c>
      <c r="B166" s="310" t="s">
        <v>77</v>
      </c>
      <c r="C166" s="309">
        <f t="shared" si="2"/>
        <v>79411</v>
      </c>
      <c r="D166" s="309"/>
      <c r="E166" s="309">
        <v>7530</v>
      </c>
      <c r="F166" s="309"/>
      <c r="G166" s="309"/>
      <c r="H166" s="309">
        <v>5422</v>
      </c>
      <c r="I166" s="306">
        <v>66459</v>
      </c>
      <c r="J166" s="306">
        <v>16256</v>
      </c>
      <c r="K166" s="306">
        <v>50203</v>
      </c>
    </row>
    <row r="167" spans="1:11" ht="38.25" x14ac:dyDescent="0.25">
      <c r="A167" s="560"/>
      <c r="B167" s="318" t="s">
        <v>501</v>
      </c>
      <c r="C167" s="309">
        <f t="shared" si="2"/>
        <v>129687</v>
      </c>
      <c r="D167" s="313"/>
      <c r="E167" s="313"/>
      <c r="F167" s="313"/>
      <c r="G167" s="313"/>
      <c r="H167" s="313"/>
      <c r="I167" s="306">
        <v>129687</v>
      </c>
      <c r="J167" s="306">
        <v>23812</v>
      </c>
      <c r="K167" s="306">
        <v>105875</v>
      </c>
    </row>
    <row r="168" spans="1:11" x14ac:dyDescent="0.25">
      <c r="A168" s="307">
        <v>151</v>
      </c>
      <c r="B168" s="310" t="s">
        <v>502</v>
      </c>
      <c r="C168" s="309">
        <f t="shared" si="2"/>
        <v>13410</v>
      </c>
      <c r="D168" s="309"/>
      <c r="E168" s="309"/>
      <c r="F168" s="309">
        <v>13410</v>
      </c>
      <c r="G168" s="309"/>
      <c r="H168" s="309"/>
      <c r="I168" s="306">
        <v>0</v>
      </c>
      <c r="J168" s="306">
        <v>0</v>
      </c>
      <c r="K168" s="306">
        <v>0</v>
      </c>
    </row>
    <row r="169" spans="1:11" x14ac:dyDescent="0.25">
      <c r="A169" s="307">
        <v>152</v>
      </c>
      <c r="B169" s="310" t="s">
        <v>105</v>
      </c>
      <c r="C169" s="309">
        <f t="shared" si="2"/>
        <v>894</v>
      </c>
      <c r="D169" s="309"/>
      <c r="E169" s="309"/>
      <c r="F169" s="309">
        <v>894</v>
      </c>
      <c r="G169" s="309"/>
      <c r="H169" s="309"/>
      <c r="I169" s="306">
        <v>0</v>
      </c>
      <c r="J169" s="306">
        <v>0</v>
      </c>
      <c r="K169" s="306">
        <v>0</v>
      </c>
    </row>
    <row r="170" spans="1:11" x14ac:dyDescent="0.25">
      <c r="A170" s="307">
        <v>153</v>
      </c>
      <c r="B170" s="310" t="s">
        <v>503</v>
      </c>
      <c r="C170" s="309">
        <f t="shared" si="2"/>
        <v>157</v>
      </c>
      <c r="D170" s="309">
        <v>157</v>
      </c>
      <c r="E170" s="309"/>
      <c r="F170" s="309"/>
      <c r="G170" s="309"/>
      <c r="H170" s="309"/>
      <c r="I170" s="306">
        <v>0</v>
      </c>
      <c r="J170" s="306">
        <v>0</v>
      </c>
      <c r="K170" s="306">
        <v>0</v>
      </c>
    </row>
    <row r="171" spans="1:11" x14ac:dyDescent="0.25">
      <c r="A171" s="307"/>
      <c r="B171" s="310" t="s">
        <v>65</v>
      </c>
      <c r="C171" s="309">
        <v>20221</v>
      </c>
      <c r="D171" s="309"/>
      <c r="E171" s="309"/>
      <c r="F171" s="309"/>
      <c r="G171" s="309"/>
      <c r="H171" s="309"/>
      <c r="I171" s="306">
        <v>0</v>
      </c>
      <c r="J171" s="306">
        <v>0</v>
      </c>
      <c r="K171" s="306">
        <v>0</v>
      </c>
    </row>
    <row r="172" spans="1:11" x14ac:dyDescent="0.25">
      <c r="A172" s="307"/>
      <c r="B172" s="320" t="s">
        <v>504</v>
      </c>
      <c r="C172" s="309">
        <v>1445</v>
      </c>
      <c r="D172" s="309"/>
      <c r="E172" s="309"/>
      <c r="F172" s="309"/>
      <c r="G172" s="309">
        <v>1445</v>
      </c>
      <c r="H172" s="309"/>
      <c r="I172" s="306">
        <v>0</v>
      </c>
      <c r="J172" s="306">
        <v>0</v>
      </c>
      <c r="K172" s="306">
        <v>0</v>
      </c>
    </row>
    <row r="173" spans="1:11" x14ac:dyDescent="0.25">
      <c r="A173" s="321"/>
      <c r="B173" s="321" t="s">
        <v>106</v>
      </c>
      <c r="C173" s="322">
        <f>SUM(C8:C172)</f>
        <v>7129165</v>
      </c>
      <c r="D173" s="322">
        <f t="shared" ref="D173:K173" si="3">SUM(D8:D172)</f>
        <v>30267</v>
      </c>
      <c r="E173" s="322">
        <f t="shared" si="3"/>
        <v>53676</v>
      </c>
      <c r="F173" s="322">
        <f t="shared" si="3"/>
        <v>470862</v>
      </c>
      <c r="G173" s="322">
        <f t="shared" si="3"/>
        <v>15799</v>
      </c>
      <c r="H173" s="322">
        <f t="shared" si="3"/>
        <v>23667</v>
      </c>
      <c r="I173" s="322">
        <f t="shared" si="3"/>
        <v>6514673</v>
      </c>
      <c r="J173" s="322">
        <f t="shared" si="3"/>
        <v>1485436</v>
      </c>
      <c r="K173" s="322">
        <f t="shared" si="3"/>
        <v>5029237</v>
      </c>
    </row>
  </sheetData>
  <mergeCells count="21">
    <mergeCell ref="A52:A54"/>
    <mergeCell ref="A57:A58"/>
    <mergeCell ref="A118:A119"/>
    <mergeCell ref="A123:A124"/>
    <mergeCell ref="A166:A167"/>
    <mergeCell ref="A46:A48"/>
    <mergeCell ref="A1:K1"/>
    <mergeCell ref="A4:A7"/>
    <mergeCell ref="B4:B7"/>
    <mergeCell ref="C4:C7"/>
    <mergeCell ref="D4:K4"/>
    <mergeCell ref="D5:D7"/>
    <mergeCell ref="E5:E7"/>
    <mergeCell ref="F5:F7"/>
    <mergeCell ref="G5:G7"/>
    <mergeCell ref="H5:H7"/>
    <mergeCell ref="I5:K5"/>
    <mergeCell ref="I6:I7"/>
    <mergeCell ref="J6:K6"/>
    <mergeCell ref="A12:A13"/>
    <mergeCell ref="A42:A4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41"/>
  <sheetViews>
    <sheetView zoomScale="80" zoomScaleNormal="80" zoomScaleSheetLayoutView="77" workbookViewId="0">
      <pane xSplit="4" ySplit="8" topLeftCell="E132" activePane="bottomRight" state="frozen"/>
      <selection activeCell="U73" sqref="U73"/>
      <selection pane="topRight" activeCell="U73" sqref="U73"/>
      <selection pane="bottomLeft" activeCell="U73" sqref="U73"/>
      <selection pane="bottomRight" activeCell="A2" sqref="A2:E2"/>
    </sheetView>
  </sheetViews>
  <sheetFormatPr defaultRowHeight="18.75" x14ac:dyDescent="0.25"/>
  <cols>
    <col min="1" max="1" width="7.42578125" style="327" customWidth="1"/>
    <col min="2" max="2" width="12.42578125" style="327" hidden="1" customWidth="1"/>
    <col min="3" max="3" width="11.140625" style="327" hidden="1" customWidth="1"/>
    <col min="4" max="4" width="54" style="328" customWidth="1"/>
    <col min="5" max="5" width="14.140625" style="329" customWidth="1"/>
    <col min="6" max="6" width="12.28515625" style="327" customWidth="1"/>
    <col min="7" max="7" width="12.42578125" style="327" customWidth="1"/>
    <col min="8" max="8" width="15" style="327" customWidth="1"/>
    <col min="9" max="9" width="14.85546875" style="327" customWidth="1"/>
    <col min="10" max="10" width="13.42578125" style="327" customWidth="1"/>
    <col min="11" max="11" width="12" style="327" customWidth="1"/>
    <col min="12" max="12" width="12.140625" style="327" customWidth="1"/>
    <col min="13" max="13" width="12.5703125" style="327" customWidth="1"/>
    <col min="14" max="14" width="10.5703125" style="327" customWidth="1"/>
    <col min="15" max="15" width="11.42578125" style="327" customWidth="1"/>
    <col min="16" max="16" width="10.42578125" style="327" customWidth="1"/>
    <col min="17" max="17" width="14.7109375" style="327" customWidth="1"/>
    <col min="18" max="16384" width="9.140625" style="327"/>
  </cols>
  <sheetData>
    <row r="1" spans="1:18" s="326" customFormat="1" ht="11.25" customHeight="1" x14ac:dyDescent="0.25">
      <c r="A1" s="323"/>
      <c r="B1" s="323"/>
      <c r="C1" s="323"/>
      <c r="D1" s="324"/>
      <c r="E1" s="325"/>
    </row>
    <row r="2" spans="1:18" ht="34.5" customHeight="1" x14ac:dyDescent="0.25">
      <c r="A2" s="572" t="s">
        <v>505</v>
      </c>
      <c r="B2" s="572"/>
      <c r="C2" s="572"/>
      <c r="D2" s="572"/>
      <c r="E2" s="572"/>
    </row>
    <row r="3" spans="1:18" ht="14.25" customHeight="1" x14ac:dyDescent="0.25"/>
    <row r="4" spans="1:18" ht="14.25" customHeight="1" x14ac:dyDescent="0.25">
      <c r="A4" s="573" t="s">
        <v>0</v>
      </c>
      <c r="B4" s="330"/>
      <c r="C4" s="330"/>
      <c r="D4" s="573" t="s">
        <v>180</v>
      </c>
      <c r="E4" s="573" t="s">
        <v>506</v>
      </c>
      <c r="F4" s="576" t="s">
        <v>507</v>
      </c>
      <c r="G4" s="577"/>
      <c r="H4" s="577"/>
      <c r="I4" s="577"/>
      <c r="J4" s="578"/>
      <c r="K4" s="566" t="s">
        <v>681</v>
      </c>
      <c r="L4" s="566"/>
      <c r="M4" s="566"/>
      <c r="N4" s="566"/>
      <c r="O4" s="566"/>
      <c r="P4" s="566"/>
      <c r="Q4" s="566"/>
    </row>
    <row r="5" spans="1:18" ht="21" customHeight="1" x14ac:dyDescent="0.25">
      <c r="A5" s="574"/>
      <c r="B5" s="567" t="s">
        <v>508</v>
      </c>
      <c r="C5" s="567" t="s">
        <v>509</v>
      </c>
      <c r="D5" s="574"/>
      <c r="E5" s="574"/>
      <c r="F5" s="567" t="s">
        <v>510</v>
      </c>
      <c r="G5" s="568" t="s">
        <v>511</v>
      </c>
      <c r="H5" s="569"/>
      <c r="I5" s="569"/>
      <c r="J5" s="570"/>
      <c r="K5" s="567" t="s">
        <v>512</v>
      </c>
      <c r="L5" s="567" t="s">
        <v>513</v>
      </c>
      <c r="M5" s="567"/>
      <c r="N5" s="567"/>
      <c r="O5" s="567"/>
      <c r="P5" s="567"/>
      <c r="Q5" s="567"/>
    </row>
    <row r="6" spans="1:18" ht="36.75" customHeight="1" x14ac:dyDescent="0.25">
      <c r="A6" s="574"/>
      <c r="B6" s="567"/>
      <c r="C6" s="567"/>
      <c r="D6" s="574"/>
      <c r="E6" s="574"/>
      <c r="F6" s="567"/>
      <c r="G6" s="573" t="s">
        <v>514</v>
      </c>
      <c r="H6" s="331" t="s">
        <v>511</v>
      </c>
      <c r="I6" s="567" t="s">
        <v>515</v>
      </c>
      <c r="J6" s="567"/>
      <c r="K6" s="567"/>
      <c r="L6" s="567" t="s">
        <v>516</v>
      </c>
      <c r="M6" s="567"/>
      <c r="N6" s="567"/>
      <c r="O6" s="567"/>
      <c r="P6" s="571" t="s">
        <v>517</v>
      </c>
      <c r="Q6" s="571"/>
    </row>
    <row r="7" spans="1:18" ht="58.5" customHeight="1" x14ac:dyDescent="0.25">
      <c r="A7" s="574"/>
      <c r="B7" s="567"/>
      <c r="C7" s="567"/>
      <c r="D7" s="574"/>
      <c r="E7" s="574"/>
      <c r="F7" s="567"/>
      <c r="G7" s="574"/>
      <c r="H7" s="573" t="s">
        <v>518</v>
      </c>
      <c r="I7" s="567"/>
      <c r="J7" s="567"/>
      <c r="K7" s="567"/>
      <c r="L7" s="567" t="s">
        <v>515</v>
      </c>
      <c r="M7" s="567"/>
      <c r="N7" s="571" t="s">
        <v>519</v>
      </c>
      <c r="O7" s="571" t="s">
        <v>520</v>
      </c>
      <c r="P7" s="571" t="s">
        <v>521</v>
      </c>
      <c r="Q7" s="571" t="s">
        <v>428</v>
      </c>
    </row>
    <row r="8" spans="1:18" ht="70.5" customHeight="1" x14ac:dyDescent="0.25">
      <c r="A8" s="575"/>
      <c r="B8" s="567"/>
      <c r="C8" s="567"/>
      <c r="D8" s="575"/>
      <c r="E8" s="575"/>
      <c r="F8" s="567"/>
      <c r="G8" s="575"/>
      <c r="H8" s="575"/>
      <c r="I8" s="331" t="s">
        <v>522</v>
      </c>
      <c r="J8" s="331" t="s">
        <v>523</v>
      </c>
      <c r="K8" s="567"/>
      <c r="L8" s="331" t="s">
        <v>522</v>
      </c>
      <c r="M8" s="331" t="s">
        <v>523</v>
      </c>
      <c r="N8" s="571"/>
      <c r="O8" s="571"/>
      <c r="P8" s="571"/>
      <c r="Q8" s="571"/>
    </row>
    <row r="9" spans="1:18" ht="19.5" customHeight="1" x14ac:dyDescent="0.25">
      <c r="A9" s="331">
        <v>1</v>
      </c>
      <c r="B9" s="331">
        <v>2</v>
      </c>
      <c r="C9" s="331">
        <v>5</v>
      </c>
      <c r="D9" s="331">
        <v>2</v>
      </c>
      <c r="E9" s="331">
        <v>3</v>
      </c>
      <c r="F9" s="331">
        <v>4</v>
      </c>
      <c r="G9" s="331">
        <v>5</v>
      </c>
      <c r="H9" s="331">
        <v>6</v>
      </c>
      <c r="I9" s="331">
        <v>7</v>
      </c>
      <c r="J9" s="331">
        <v>8</v>
      </c>
      <c r="K9" s="331">
        <v>9</v>
      </c>
      <c r="L9" s="331">
        <v>10</v>
      </c>
      <c r="M9" s="331">
        <v>11</v>
      </c>
      <c r="N9" s="331">
        <v>12</v>
      </c>
      <c r="O9" s="331">
        <v>13</v>
      </c>
      <c r="P9" s="331">
        <v>14</v>
      </c>
      <c r="Q9" s="331">
        <v>15</v>
      </c>
    </row>
    <row r="10" spans="1:18" ht="27" customHeight="1" x14ac:dyDescent="0.25">
      <c r="A10" s="331">
        <v>1</v>
      </c>
      <c r="B10" s="331" t="s">
        <v>524</v>
      </c>
      <c r="C10" s="331" t="s">
        <v>525</v>
      </c>
      <c r="D10" s="332" t="s">
        <v>1</v>
      </c>
      <c r="E10" s="331">
        <f>F10+K10</f>
        <v>21515</v>
      </c>
      <c r="F10" s="333">
        <f>G10+I10+J10</f>
        <v>5319</v>
      </c>
      <c r="G10" s="333">
        <v>5319</v>
      </c>
      <c r="H10" s="333">
        <v>830</v>
      </c>
      <c r="I10" s="333">
        <v>0</v>
      </c>
      <c r="J10" s="333"/>
      <c r="K10" s="333">
        <f>L10+M10+N10+O10+P10+Q10</f>
        <v>16196</v>
      </c>
      <c r="L10" s="333"/>
      <c r="M10" s="333"/>
      <c r="N10" s="333"/>
      <c r="O10" s="333"/>
      <c r="P10" s="333">
        <v>1617</v>
      </c>
      <c r="Q10" s="333">
        <v>14579</v>
      </c>
      <c r="R10" s="334"/>
    </row>
    <row r="11" spans="1:18" ht="27" customHeight="1" x14ac:dyDescent="0.25">
      <c r="A11" s="331">
        <v>2</v>
      </c>
      <c r="B11" s="331" t="s">
        <v>526</v>
      </c>
      <c r="C11" s="331" t="s">
        <v>525</v>
      </c>
      <c r="D11" s="332" t="s">
        <v>2</v>
      </c>
      <c r="E11" s="331">
        <f t="shared" ref="E11:E13" si="0">F11+K11</f>
        <v>20292</v>
      </c>
      <c r="F11" s="333">
        <f t="shared" ref="F11:F13" si="1">G11+I11+J11</f>
        <v>5065</v>
      </c>
      <c r="G11" s="333">
        <v>5065</v>
      </c>
      <c r="H11" s="333">
        <v>294</v>
      </c>
      <c r="I11" s="333">
        <v>0</v>
      </c>
      <c r="J11" s="333"/>
      <c r="K11" s="333">
        <f t="shared" ref="K11:K74" si="2">L11+M11+N11+O11+P11+Q11</f>
        <v>15227</v>
      </c>
      <c r="L11" s="333"/>
      <c r="M11" s="333"/>
      <c r="N11" s="333"/>
      <c r="O11" s="333"/>
      <c r="P11" s="333">
        <v>1006</v>
      </c>
      <c r="Q11" s="333">
        <v>14221</v>
      </c>
      <c r="R11" s="334"/>
    </row>
    <row r="12" spans="1:18" ht="27" customHeight="1" x14ac:dyDescent="0.25">
      <c r="A12" s="331">
        <v>3</v>
      </c>
      <c r="B12" s="331" t="s">
        <v>527</v>
      </c>
      <c r="C12" s="331" t="s">
        <v>525</v>
      </c>
      <c r="D12" s="332" t="s">
        <v>3</v>
      </c>
      <c r="E12" s="331">
        <f t="shared" si="0"/>
        <v>9126</v>
      </c>
      <c r="F12" s="333">
        <f t="shared" si="1"/>
        <v>2279</v>
      </c>
      <c r="G12" s="333">
        <v>2279</v>
      </c>
      <c r="H12" s="333">
        <v>494</v>
      </c>
      <c r="I12" s="333">
        <v>0</v>
      </c>
      <c r="J12" s="333"/>
      <c r="K12" s="333">
        <f t="shared" si="2"/>
        <v>6847</v>
      </c>
      <c r="L12" s="333"/>
      <c r="M12" s="333"/>
      <c r="N12" s="333"/>
      <c r="O12" s="333"/>
      <c r="P12" s="333">
        <v>2455</v>
      </c>
      <c r="Q12" s="333">
        <v>4392</v>
      </c>
      <c r="R12" s="334"/>
    </row>
    <row r="13" spans="1:18" ht="27" customHeight="1" x14ac:dyDescent="0.25">
      <c r="A13" s="331">
        <v>4</v>
      </c>
      <c r="B13" s="331" t="s">
        <v>528</v>
      </c>
      <c r="C13" s="331" t="s">
        <v>525</v>
      </c>
      <c r="D13" s="332" t="s">
        <v>4</v>
      </c>
      <c r="E13" s="331">
        <f t="shared" si="0"/>
        <v>10315</v>
      </c>
      <c r="F13" s="333">
        <f t="shared" si="1"/>
        <v>2573</v>
      </c>
      <c r="G13" s="333">
        <v>2573</v>
      </c>
      <c r="H13" s="333">
        <v>118</v>
      </c>
      <c r="I13" s="333">
        <v>0</v>
      </c>
      <c r="J13" s="333"/>
      <c r="K13" s="333">
        <f t="shared" si="2"/>
        <v>7742</v>
      </c>
      <c r="L13" s="333"/>
      <c r="M13" s="333"/>
      <c r="N13" s="333"/>
      <c r="O13" s="333"/>
      <c r="P13" s="333">
        <v>57</v>
      </c>
      <c r="Q13" s="333">
        <v>7685</v>
      </c>
      <c r="R13" s="334"/>
    </row>
    <row r="14" spans="1:18" ht="27" customHeight="1" x14ac:dyDescent="0.25">
      <c r="A14" s="331">
        <v>5</v>
      </c>
      <c r="B14" s="331" t="s">
        <v>529</v>
      </c>
      <c r="C14" s="331" t="s">
        <v>525</v>
      </c>
      <c r="D14" s="332" t="s">
        <v>5</v>
      </c>
      <c r="E14" s="331">
        <f>F14+K14</f>
        <v>17262</v>
      </c>
      <c r="F14" s="333">
        <f>G14+I14+J14</f>
        <v>3770</v>
      </c>
      <c r="G14" s="333">
        <v>3770</v>
      </c>
      <c r="H14" s="333">
        <v>289</v>
      </c>
      <c r="I14" s="333">
        <v>0</v>
      </c>
      <c r="J14" s="333"/>
      <c r="K14" s="333">
        <f t="shared" si="2"/>
        <v>13492</v>
      </c>
      <c r="L14" s="333"/>
      <c r="M14" s="333"/>
      <c r="N14" s="333"/>
      <c r="O14" s="333"/>
      <c r="P14" s="333">
        <v>536</v>
      </c>
      <c r="Q14" s="333">
        <v>12956</v>
      </c>
      <c r="R14" s="334"/>
    </row>
    <row r="15" spans="1:18" ht="27" customHeight="1" x14ac:dyDescent="0.25">
      <c r="A15" s="331">
        <v>6</v>
      </c>
      <c r="B15" s="331" t="s">
        <v>530</v>
      </c>
      <c r="C15" s="331" t="s">
        <v>525</v>
      </c>
      <c r="D15" s="332" t="s">
        <v>6</v>
      </c>
      <c r="E15" s="331">
        <f t="shared" ref="E15:E78" si="3">F15+K15</f>
        <v>29089</v>
      </c>
      <c r="F15" s="333">
        <f t="shared" ref="F15:F78" si="4">G15+I15+J15</f>
        <v>7215</v>
      </c>
      <c r="G15" s="333">
        <v>7215</v>
      </c>
      <c r="H15" s="333">
        <v>786</v>
      </c>
      <c r="I15" s="333">
        <v>0</v>
      </c>
      <c r="J15" s="333"/>
      <c r="K15" s="333">
        <f t="shared" si="2"/>
        <v>21874</v>
      </c>
      <c r="L15" s="333"/>
      <c r="M15" s="333"/>
      <c r="N15" s="333"/>
      <c r="O15" s="333"/>
      <c r="P15" s="333">
        <v>3716</v>
      </c>
      <c r="Q15" s="333">
        <v>18158</v>
      </c>
      <c r="R15" s="334"/>
    </row>
    <row r="16" spans="1:18" ht="27" customHeight="1" x14ac:dyDescent="0.25">
      <c r="A16" s="331">
        <v>7</v>
      </c>
      <c r="B16" s="331" t="s">
        <v>531</v>
      </c>
      <c r="C16" s="331" t="s">
        <v>525</v>
      </c>
      <c r="D16" s="332" t="s">
        <v>7</v>
      </c>
      <c r="E16" s="331">
        <f t="shared" si="3"/>
        <v>14157</v>
      </c>
      <c r="F16" s="333">
        <f t="shared" si="4"/>
        <v>3528</v>
      </c>
      <c r="G16" s="333">
        <v>3528</v>
      </c>
      <c r="H16" s="333">
        <v>1241</v>
      </c>
      <c r="I16" s="333">
        <v>0</v>
      </c>
      <c r="J16" s="333"/>
      <c r="K16" s="333">
        <f t="shared" si="2"/>
        <v>10629</v>
      </c>
      <c r="L16" s="333"/>
      <c r="M16" s="333"/>
      <c r="N16" s="333"/>
      <c r="O16" s="333"/>
      <c r="P16" s="333">
        <v>2889</v>
      </c>
      <c r="Q16" s="333">
        <v>7740</v>
      </c>
      <c r="R16" s="334"/>
    </row>
    <row r="17" spans="1:18" ht="27" customHeight="1" x14ac:dyDescent="0.25">
      <c r="A17" s="331">
        <v>8</v>
      </c>
      <c r="B17" s="331" t="s">
        <v>532</v>
      </c>
      <c r="C17" s="331" t="s">
        <v>525</v>
      </c>
      <c r="D17" s="332" t="s">
        <v>8</v>
      </c>
      <c r="E17" s="331">
        <f t="shared" si="3"/>
        <v>10342</v>
      </c>
      <c r="F17" s="333">
        <f t="shared" si="4"/>
        <v>2577</v>
      </c>
      <c r="G17" s="333">
        <v>2577</v>
      </c>
      <c r="H17" s="333">
        <v>335</v>
      </c>
      <c r="I17" s="333">
        <v>0</v>
      </c>
      <c r="J17" s="333"/>
      <c r="K17" s="333">
        <f t="shared" si="2"/>
        <v>7765</v>
      </c>
      <c r="L17" s="333"/>
      <c r="M17" s="333"/>
      <c r="N17" s="333"/>
      <c r="O17" s="333"/>
      <c r="P17" s="333">
        <v>1335</v>
      </c>
      <c r="Q17" s="333">
        <v>6430</v>
      </c>
      <c r="R17" s="334"/>
    </row>
    <row r="18" spans="1:18" ht="27" customHeight="1" x14ac:dyDescent="0.25">
      <c r="A18" s="331">
        <v>9</v>
      </c>
      <c r="B18" s="331" t="s">
        <v>533</v>
      </c>
      <c r="C18" s="331" t="s">
        <v>534</v>
      </c>
      <c r="D18" s="332" t="s">
        <v>9</v>
      </c>
      <c r="E18" s="331">
        <f t="shared" si="3"/>
        <v>48134</v>
      </c>
      <c r="F18" s="333">
        <f t="shared" si="4"/>
        <v>11977</v>
      </c>
      <c r="G18" s="333">
        <v>11977</v>
      </c>
      <c r="H18" s="333">
        <v>608</v>
      </c>
      <c r="I18" s="333">
        <v>0</v>
      </c>
      <c r="J18" s="333"/>
      <c r="K18" s="333">
        <f t="shared" si="2"/>
        <v>36157</v>
      </c>
      <c r="L18" s="333"/>
      <c r="M18" s="333"/>
      <c r="N18" s="333"/>
      <c r="O18" s="333"/>
      <c r="P18" s="333">
        <v>456</v>
      </c>
      <c r="Q18" s="333">
        <v>35701</v>
      </c>
      <c r="R18" s="334"/>
    </row>
    <row r="19" spans="1:18" ht="27" customHeight="1" x14ac:dyDescent="0.25">
      <c r="A19" s="331">
        <v>10</v>
      </c>
      <c r="B19" s="331" t="s">
        <v>535</v>
      </c>
      <c r="C19" s="331" t="s">
        <v>525</v>
      </c>
      <c r="D19" s="332" t="s">
        <v>10</v>
      </c>
      <c r="E19" s="331">
        <f t="shared" si="3"/>
        <v>9562</v>
      </c>
      <c r="F19" s="333">
        <f t="shared" si="4"/>
        <v>2388</v>
      </c>
      <c r="G19" s="333">
        <v>2388</v>
      </c>
      <c r="H19" s="333">
        <v>2</v>
      </c>
      <c r="I19" s="333">
        <v>0</v>
      </c>
      <c r="J19" s="333"/>
      <c r="K19" s="333">
        <f t="shared" si="2"/>
        <v>7174</v>
      </c>
      <c r="L19" s="333"/>
      <c r="M19" s="333"/>
      <c r="N19" s="333"/>
      <c r="O19" s="333"/>
      <c r="P19" s="333">
        <v>28</v>
      </c>
      <c r="Q19" s="333">
        <v>7146</v>
      </c>
      <c r="R19" s="334"/>
    </row>
    <row r="20" spans="1:18" ht="27" customHeight="1" x14ac:dyDescent="0.25">
      <c r="A20" s="331">
        <v>11</v>
      </c>
      <c r="B20" s="331" t="s">
        <v>536</v>
      </c>
      <c r="C20" s="331" t="s">
        <v>537</v>
      </c>
      <c r="D20" s="332" t="s">
        <v>11</v>
      </c>
      <c r="E20" s="331">
        <f t="shared" si="3"/>
        <v>53592</v>
      </c>
      <c r="F20" s="333">
        <f t="shared" si="4"/>
        <v>13390</v>
      </c>
      <c r="G20" s="333">
        <v>13390</v>
      </c>
      <c r="H20" s="333">
        <v>1847</v>
      </c>
      <c r="I20" s="333">
        <v>0</v>
      </c>
      <c r="J20" s="333"/>
      <c r="K20" s="333">
        <f t="shared" si="2"/>
        <v>40202</v>
      </c>
      <c r="L20" s="333"/>
      <c r="M20" s="333"/>
      <c r="N20" s="333"/>
      <c r="O20" s="333"/>
      <c r="P20" s="333">
        <v>4653</v>
      </c>
      <c r="Q20" s="333">
        <v>35549</v>
      </c>
      <c r="R20" s="334"/>
    </row>
    <row r="21" spans="1:18" ht="27" customHeight="1" x14ac:dyDescent="0.25">
      <c r="A21" s="331">
        <v>12</v>
      </c>
      <c r="B21" s="331" t="s">
        <v>538</v>
      </c>
      <c r="C21" s="331" t="s">
        <v>525</v>
      </c>
      <c r="D21" s="332" t="s">
        <v>12</v>
      </c>
      <c r="E21" s="331">
        <f t="shared" si="3"/>
        <v>10682</v>
      </c>
      <c r="F21" s="333">
        <f t="shared" si="4"/>
        <v>2625</v>
      </c>
      <c r="G21" s="333">
        <v>2625</v>
      </c>
      <c r="H21" s="333">
        <v>262</v>
      </c>
      <c r="I21" s="333">
        <v>0</v>
      </c>
      <c r="J21" s="333"/>
      <c r="K21" s="333">
        <f t="shared" si="2"/>
        <v>8057</v>
      </c>
      <c r="L21" s="333"/>
      <c r="M21" s="333"/>
      <c r="N21" s="333"/>
      <c r="O21" s="333"/>
      <c r="P21" s="333">
        <v>1088</v>
      </c>
      <c r="Q21" s="333">
        <v>6969</v>
      </c>
      <c r="R21" s="334"/>
    </row>
    <row r="22" spans="1:18" ht="27" customHeight="1" x14ac:dyDescent="0.25">
      <c r="A22" s="331">
        <v>13</v>
      </c>
      <c r="B22" s="331" t="s">
        <v>538</v>
      </c>
      <c r="C22" s="331" t="s">
        <v>525</v>
      </c>
      <c r="D22" s="332" t="s">
        <v>539</v>
      </c>
      <c r="E22" s="331">
        <f t="shared" si="3"/>
        <v>56</v>
      </c>
      <c r="F22" s="333">
        <f t="shared" si="4"/>
        <v>19</v>
      </c>
      <c r="G22" s="333">
        <v>19</v>
      </c>
      <c r="H22" s="333">
        <v>19</v>
      </c>
      <c r="I22" s="333">
        <v>0</v>
      </c>
      <c r="J22" s="333"/>
      <c r="K22" s="333">
        <f t="shared" si="2"/>
        <v>37</v>
      </c>
      <c r="L22" s="333"/>
      <c r="M22" s="333"/>
      <c r="N22" s="333"/>
      <c r="O22" s="333">
        <v>37</v>
      </c>
      <c r="P22" s="333"/>
      <c r="Q22" s="333"/>
      <c r="R22" s="334"/>
    </row>
    <row r="23" spans="1:18" ht="27" customHeight="1" x14ac:dyDescent="0.25">
      <c r="A23" s="331">
        <v>14</v>
      </c>
      <c r="B23" s="331" t="s">
        <v>538</v>
      </c>
      <c r="C23" s="331" t="s">
        <v>525</v>
      </c>
      <c r="D23" s="332" t="s">
        <v>540</v>
      </c>
      <c r="E23" s="331">
        <f t="shared" si="3"/>
        <v>52</v>
      </c>
      <c r="F23" s="333">
        <f t="shared" si="4"/>
        <v>36</v>
      </c>
      <c r="G23" s="333">
        <v>36</v>
      </c>
      <c r="H23" s="333">
        <v>36</v>
      </c>
      <c r="I23" s="333">
        <v>0</v>
      </c>
      <c r="J23" s="333"/>
      <c r="K23" s="333">
        <f t="shared" si="2"/>
        <v>16</v>
      </c>
      <c r="L23" s="333"/>
      <c r="M23" s="333"/>
      <c r="N23" s="333"/>
      <c r="O23" s="333">
        <v>16</v>
      </c>
      <c r="P23" s="333"/>
      <c r="Q23" s="333"/>
      <c r="R23" s="334"/>
    </row>
    <row r="24" spans="1:18" ht="27" customHeight="1" x14ac:dyDescent="0.25">
      <c r="A24" s="331">
        <v>15</v>
      </c>
      <c r="B24" s="331" t="s">
        <v>541</v>
      </c>
      <c r="C24" s="331" t="s">
        <v>537</v>
      </c>
      <c r="D24" s="332" t="s">
        <v>13</v>
      </c>
      <c r="E24" s="331">
        <f t="shared" si="3"/>
        <v>30679</v>
      </c>
      <c r="F24" s="333">
        <f t="shared" si="4"/>
        <v>7433</v>
      </c>
      <c r="G24" s="333">
        <v>7433</v>
      </c>
      <c r="H24" s="333">
        <v>0</v>
      </c>
      <c r="I24" s="333">
        <v>0</v>
      </c>
      <c r="J24" s="333"/>
      <c r="K24" s="333">
        <f t="shared" si="2"/>
        <v>23246</v>
      </c>
      <c r="L24" s="333"/>
      <c r="M24" s="333"/>
      <c r="N24" s="333"/>
      <c r="O24" s="333"/>
      <c r="P24" s="333">
        <v>831</v>
      </c>
      <c r="Q24" s="333">
        <v>22415</v>
      </c>
      <c r="R24" s="334"/>
    </row>
    <row r="25" spans="1:18" ht="27" customHeight="1" x14ac:dyDescent="0.25">
      <c r="A25" s="331">
        <v>16</v>
      </c>
      <c r="B25" s="331" t="s">
        <v>542</v>
      </c>
      <c r="C25" s="331" t="s">
        <v>525</v>
      </c>
      <c r="D25" s="332" t="s">
        <v>543</v>
      </c>
      <c r="E25" s="331">
        <f t="shared" si="3"/>
        <v>275</v>
      </c>
      <c r="F25" s="333">
        <f t="shared" si="4"/>
        <v>275</v>
      </c>
      <c r="G25" s="333">
        <v>275</v>
      </c>
      <c r="H25" s="333">
        <v>275</v>
      </c>
      <c r="I25" s="333">
        <v>0</v>
      </c>
      <c r="J25" s="333"/>
      <c r="K25" s="333">
        <f t="shared" si="2"/>
        <v>0</v>
      </c>
      <c r="L25" s="333"/>
      <c r="M25" s="333"/>
      <c r="N25" s="333"/>
      <c r="O25" s="333"/>
      <c r="P25" s="333">
        <v>0</v>
      </c>
      <c r="Q25" s="333">
        <v>0</v>
      </c>
      <c r="R25" s="334"/>
    </row>
    <row r="26" spans="1:18" ht="27" customHeight="1" x14ac:dyDescent="0.25">
      <c r="A26" s="331">
        <v>17</v>
      </c>
      <c r="B26" s="331" t="s">
        <v>544</v>
      </c>
      <c r="C26" s="331" t="s">
        <v>525</v>
      </c>
      <c r="D26" s="332" t="s">
        <v>14</v>
      </c>
      <c r="E26" s="331">
        <f t="shared" si="3"/>
        <v>11732</v>
      </c>
      <c r="F26" s="333">
        <f t="shared" si="4"/>
        <v>2931</v>
      </c>
      <c r="G26" s="333">
        <v>2931</v>
      </c>
      <c r="H26" s="333">
        <v>228</v>
      </c>
      <c r="I26" s="333">
        <v>0</v>
      </c>
      <c r="J26" s="333"/>
      <c r="K26" s="333">
        <f t="shared" si="2"/>
        <v>8801</v>
      </c>
      <c r="L26" s="333"/>
      <c r="M26" s="333"/>
      <c r="N26" s="333"/>
      <c r="O26" s="333"/>
      <c r="P26" s="333">
        <v>272</v>
      </c>
      <c r="Q26" s="333">
        <v>8529</v>
      </c>
      <c r="R26" s="334"/>
    </row>
    <row r="27" spans="1:18" ht="27" customHeight="1" x14ac:dyDescent="0.25">
      <c r="A27" s="331">
        <v>18</v>
      </c>
      <c r="B27" s="331" t="s">
        <v>545</v>
      </c>
      <c r="C27" s="331" t="s">
        <v>525</v>
      </c>
      <c r="D27" s="332" t="s">
        <v>15</v>
      </c>
      <c r="E27" s="331">
        <f t="shared" si="3"/>
        <v>25429</v>
      </c>
      <c r="F27" s="333">
        <f t="shared" si="4"/>
        <v>6287</v>
      </c>
      <c r="G27" s="333">
        <v>6287</v>
      </c>
      <c r="H27" s="333">
        <v>2248</v>
      </c>
      <c r="I27" s="333">
        <v>0</v>
      </c>
      <c r="J27" s="333"/>
      <c r="K27" s="333">
        <f t="shared" si="2"/>
        <v>19142</v>
      </c>
      <c r="L27" s="333"/>
      <c r="M27" s="333"/>
      <c r="N27" s="333"/>
      <c r="O27" s="333"/>
      <c r="P27" s="333">
        <v>620</v>
      </c>
      <c r="Q27" s="333">
        <v>18522</v>
      </c>
      <c r="R27" s="334"/>
    </row>
    <row r="28" spans="1:18" ht="27" customHeight="1" x14ac:dyDescent="0.25">
      <c r="A28" s="331">
        <v>19</v>
      </c>
      <c r="B28" s="331" t="s">
        <v>546</v>
      </c>
      <c r="C28" s="331" t="s">
        <v>525</v>
      </c>
      <c r="D28" s="332" t="s">
        <v>547</v>
      </c>
      <c r="E28" s="331">
        <f t="shared" si="3"/>
        <v>63</v>
      </c>
      <c r="F28" s="333">
        <f t="shared" si="4"/>
        <v>63</v>
      </c>
      <c r="G28" s="333">
        <v>63</v>
      </c>
      <c r="H28" s="333">
        <v>63</v>
      </c>
      <c r="I28" s="333">
        <v>0</v>
      </c>
      <c r="J28" s="333"/>
      <c r="K28" s="333">
        <f t="shared" si="2"/>
        <v>0</v>
      </c>
      <c r="L28" s="333"/>
      <c r="M28" s="333"/>
      <c r="N28" s="333"/>
      <c r="O28" s="333">
        <v>0</v>
      </c>
      <c r="P28" s="333"/>
      <c r="Q28" s="333"/>
      <c r="R28" s="334"/>
    </row>
    <row r="29" spans="1:18" ht="27" customHeight="1" x14ac:dyDescent="0.25">
      <c r="A29" s="331">
        <v>20</v>
      </c>
      <c r="B29" s="331" t="s">
        <v>548</v>
      </c>
      <c r="C29" s="331" t="s">
        <v>525</v>
      </c>
      <c r="D29" s="332" t="s">
        <v>16</v>
      </c>
      <c r="E29" s="331">
        <f t="shared" si="3"/>
        <v>14101</v>
      </c>
      <c r="F29" s="333">
        <f t="shared" si="4"/>
        <v>3512</v>
      </c>
      <c r="G29" s="333">
        <v>3512</v>
      </c>
      <c r="H29" s="333">
        <v>338</v>
      </c>
      <c r="I29" s="333">
        <v>0</v>
      </c>
      <c r="J29" s="333"/>
      <c r="K29" s="333">
        <f t="shared" si="2"/>
        <v>10589</v>
      </c>
      <c r="L29" s="333"/>
      <c r="M29" s="333"/>
      <c r="N29" s="333"/>
      <c r="O29" s="333"/>
      <c r="P29" s="333">
        <v>822</v>
      </c>
      <c r="Q29" s="333">
        <v>9767</v>
      </c>
      <c r="R29" s="334"/>
    </row>
    <row r="30" spans="1:18" ht="27" customHeight="1" x14ac:dyDescent="0.25">
      <c r="A30" s="331">
        <v>21</v>
      </c>
      <c r="B30" s="331" t="s">
        <v>549</v>
      </c>
      <c r="C30" s="331" t="s">
        <v>525</v>
      </c>
      <c r="D30" s="332" t="s">
        <v>17</v>
      </c>
      <c r="E30" s="331">
        <f t="shared" si="3"/>
        <v>11498</v>
      </c>
      <c r="F30" s="333">
        <f t="shared" si="4"/>
        <v>2799</v>
      </c>
      <c r="G30" s="333">
        <v>2799</v>
      </c>
      <c r="H30" s="333">
        <v>632</v>
      </c>
      <c r="I30" s="333">
        <v>0</v>
      </c>
      <c r="J30" s="333"/>
      <c r="K30" s="333">
        <f t="shared" si="2"/>
        <v>8699</v>
      </c>
      <c r="L30" s="333"/>
      <c r="M30" s="333"/>
      <c r="N30" s="333"/>
      <c r="O30" s="333"/>
      <c r="P30" s="333">
        <v>1509</v>
      </c>
      <c r="Q30" s="333">
        <v>7190</v>
      </c>
      <c r="R30" s="334"/>
    </row>
    <row r="31" spans="1:18" ht="27" customHeight="1" x14ac:dyDescent="0.25">
      <c r="A31" s="331">
        <v>22</v>
      </c>
      <c r="B31" s="331" t="s">
        <v>550</v>
      </c>
      <c r="C31" s="331" t="s">
        <v>525</v>
      </c>
      <c r="D31" s="332" t="s">
        <v>18</v>
      </c>
      <c r="E31" s="331">
        <f t="shared" si="3"/>
        <v>8916</v>
      </c>
      <c r="F31" s="333">
        <f t="shared" si="4"/>
        <v>2221</v>
      </c>
      <c r="G31" s="333">
        <v>2221</v>
      </c>
      <c r="H31" s="333">
        <v>426</v>
      </c>
      <c r="I31" s="333">
        <v>0</v>
      </c>
      <c r="J31" s="333"/>
      <c r="K31" s="333">
        <f t="shared" si="2"/>
        <v>6695</v>
      </c>
      <c r="L31" s="333"/>
      <c r="M31" s="333"/>
      <c r="N31" s="333"/>
      <c r="O31" s="333"/>
      <c r="P31" s="333">
        <v>1746</v>
      </c>
      <c r="Q31" s="333">
        <v>4949</v>
      </c>
      <c r="R31" s="334"/>
    </row>
    <row r="32" spans="1:18" ht="27" customHeight="1" x14ac:dyDescent="0.25">
      <c r="A32" s="331">
        <v>23</v>
      </c>
      <c r="B32" s="331" t="s">
        <v>551</v>
      </c>
      <c r="C32" s="331" t="s">
        <v>525</v>
      </c>
      <c r="D32" s="332" t="s">
        <v>19</v>
      </c>
      <c r="E32" s="331">
        <f t="shared" si="3"/>
        <v>16731</v>
      </c>
      <c r="F32" s="333">
        <f t="shared" si="4"/>
        <v>4169</v>
      </c>
      <c r="G32" s="333">
        <v>4169</v>
      </c>
      <c r="H32" s="333">
        <v>313</v>
      </c>
      <c r="I32" s="333">
        <v>0</v>
      </c>
      <c r="J32" s="333"/>
      <c r="K32" s="333">
        <f t="shared" si="2"/>
        <v>12562</v>
      </c>
      <c r="L32" s="333"/>
      <c r="M32" s="333"/>
      <c r="N32" s="333"/>
      <c r="O32" s="333"/>
      <c r="P32" s="333">
        <v>768</v>
      </c>
      <c r="Q32" s="333">
        <v>11794</v>
      </c>
      <c r="R32" s="334"/>
    </row>
    <row r="33" spans="1:18" ht="27" customHeight="1" x14ac:dyDescent="0.25">
      <c r="A33" s="331">
        <v>24</v>
      </c>
      <c r="B33" s="331" t="s">
        <v>552</v>
      </c>
      <c r="C33" s="331" t="s">
        <v>525</v>
      </c>
      <c r="D33" s="332" t="s">
        <v>20</v>
      </c>
      <c r="E33" s="331">
        <f t="shared" si="3"/>
        <v>19583</v>
      </c>
      <c r="F33" s="333">
        <f t="shared" si="4"/>
        <v>4896</v>
      </c>
      <c r="G33" s="333">
        <v>4896</v>
      </c>
      <c r="H33" s="333">
        <v>60</v>
      </c>
      <c r="I33" s="333">
        <v>0</v>
      </c>
      <c r="J33" s="333"/>
      <c r="K33" s="333">
        <f t="shared" si="2"/>
        <v>14687</v>
      </c>
      <c r="L33" s="333"/>
      <c r="M33" s="333"/>
      <c r="N33" s="333"/>
      <c r="O33" s="333"/>
      <c r="P33" s="333">
        <v>3474</v>
      </c>
      <c r="Q33" s="333">
        <v>11213</v>
      </c>
      <c r="R33" s="334"/>
    </row>
    <row r="34" spans="1:18" ht="27" customHeight="1" x14ac:dyDescent="0.25">
      <c r="A34" s="331">
        <v>25</v>
      </c>
      <c r="B34" s="331" t="s">
        <v>553</v>
      </c>
      <c r="C34" s="331" t="s">
        <v>554</v>
      </c>
      <c r="D34" s="332" t="s">
        <v>21</v>
      </c>
      <c r="E34" s="331">
        <f t="shared" si="3"/>
        <v>15052</v>
      </c>
      <c r="F34" s="333">
        <f t="shared" si="4"/>
        <v>3731</v>
      </c>
      <c r="G34" s="333">
        <v>3731</v>
      </c>
      <c r="H34" s="333">
        <v>268</v>
      </c>
      <c r="I34" s="333">
        <v>0</v>
      </c>
      <c r="J34" s="333"/>
      <c r="K34" s="333">
        <f t="shared" si="2"/>
        <v>11321</v>
      </c>
      <c r="L34" s="333"/>
      <c r="M34" s="333"/>
      <c r="N34" s="333"/>
      <c r="O34" s="333"/>
      <c r="P34" s="333">
        <v>752</v>
      </c>
      <c r="Q34" s="333">
        <v>10569</v>
      </c>
      <c r="R34" s="334"/>
    </row>
    <row r="35" spans="1:18" ht="27" customHeight="1" x14ac:dyDescent="0.25">
      <c r="A35" s="331">
        <v>26</v>
      </c>
      <c r="B35" s="331" t="s">
        <v>555</v>
      </c>
      <c r="C35" s="331" t="s">
        <v>537</v>
      </c>
      <c r="D35" s="332" t="s">
        <v>22</v>
      </c>
      <c r="E35" s="331">
        <f t="shared" si="3"/>
        <v>30119</v>
      </c>
      <c r="F35" s="333">
        <f t="shared" si="4"/>
        <v>7176</v>
      </c>
      <c r="G35" s="333">
        <v>7176</v>
      </c>
      <c r="H35" s="333">
        <v>1</v>
      </c>
      <c r="I35" s="333">
        <v>0</v>
      </c>
      <c r="J35" s="333"/>
      <c r="K35" s="333">
        <f t="shared" si="2"/>
        <v>22943</v>
      </c>
      <c r="L35" s="333"/>
      <c r="M35" s="333"/>
      <c r="N35" s="333"/>
      <c r="O35" s="333"/>
      <c r="P35" s="333">
        <v>1355</v>
      </c>
      <c r="Q35" s="333">
        <v>21588</v>
      </c>
      <c r="R35" s="334"/>
    </row>
    <row r="36" spans="1:18" ht="27" customHeight="1" x14ac:dyDescent="0.25">
      <c r="A36" s="331">
        <v>27</v>
      </c>
      <c r="B36" s="331" t="s">
        <v>556</v>
      </c>
      <c r="C36" s="331" t="s">
        <v>525</v>
      </c>
      <c r="D36" s="332" t="s">
        <v>430</v>
      </c>
      <c r="E36" s="331">
        <f t="shared" si="3"/>
        <v>450</v>
      </c>
      <c r="F36" s="333">
        <f t="shared" si="4"/>
        <v>450</v>
      </c>
      <c r="G36" s="333">
        <v>450</v>
      </c>
      <c r="H36" s="333">
        <v>450</v>
      </c>
      <c r="I36" s="333">
        <v>0</v>
      </c>
      <c r="J36" s="333"/>
      <c r="K36" s="333">
        <f t="shared" si="2"/>
        <v>0</v>
      </c>
      <c r="L36" s="333"/>
      <c r="M36" s="333"/>
      <c r="N36" s="333"/>
      <c r="O36" s="333"/>
      <c r="P36" s="333">
        <v>0</v>
      </c>
      <c r="Q36" s="333">
        <v>0</v>
      </c>
      <c r="R36" s="334"/>
    </row>
    <row r="37" spans="1:18" ht="27" customHeight="1" x14ac:dyDescent="0.25">
      <c r="A37" s="331">
        <v>28</v>
      </c>
      <c r="B37" s="331" t="s">
        <v>557</v>
      </c>
      <c r="C37" s="331" t="s">
        <v>525</v>
      </c>
      <c r="D37" s="332" t="s">
        <v>23</v>
      </c>
      <c r="E37" s="331">
        <f t="shared" si="3"/>
        <v>6922</v>
      </c>
      <c r="F37" s="333">
        <f t="shared" si="4"/>
        <v>1729</v>
      </c>
      <c r="G37" s="333">
        <v>1729</v>
      </c>
      <c r="H37" s="333">
        <v>48</v>
      </c>
      <c r="I37" s="333">
        <v>0</v>
      </c>
      <c r="J37" s="333"/>
      <c r="K37" s="333">
        <f t="shared" si="2"/>
        <v>5193</v>
      </c>
      <c r="L37" s="333"/>
      <c r="M37" s="333"/>
      <c r="N37" s="333"/>
      <c r="O37" s="333"/>
      <c r="P37" s="333">
        <v>166</v>
      </c>
      <c r="Q37" s="333">
        <v>5027</v>
      </c>
      <c r="R37" s="334"/>
    </row>
    <row r="38" spans="1:18" ht="27" customHeight="1" x14ac:dyDescent="0.25">
      <c r="A38" s="331">
        <v>29</v>
      </c>
      <c r="B38" s="331" t="s">
        <v>558</v>
      </c>
      <c r="C38" s="331" t="s">
        <v>525</v>
      </c>
      <c r="D38" s="332" t="s">
        <v>24</v>
      </c>
      <c r="E38" s="331">
        <f t="shared" si="3"/>
        <v>13405</v>
      </c>
      <c r="F38" s="333">
        <f t="shared" si="4"/>
        <v>3339</v>
      </c>
      <c r="G38" s="333">
        <v>3339</v>
      </c>
      <c r="H38" s="333">
        <v>0</v>
      </c>
      <c r="I38" s="333">
        <v>0</v>
      </c>
      <c r="J38" s="333"/>
      <c r="K38" s="333">
        <f t="shared" si="2"/>
        <v>10066</v>
      </c>
      <c r="L38" s="333"/>
      <c r="M38" s="333"/>
      <c r="N38" s="333"/>
      <c r="O38" s="333"/>
      <c r="P38" s="333">
        <v>0</v>
      </c>
      <c r="Q38" s="333">
        <v>10066</v>
      </c>
      <c r="R38" s="334"/>
    </row>
    <row r="39" spans="1:18" ht="27" customHeight="1" x14ac:dyDescent="0.25">
      <c r="A39" s="331">
        <v>30</v>
      </c>
      <c r="B39" s="331" t="s">
        <v>559</v>
      </c>
      <c r="C39" s="331" t="s">
        <v>525</v>
      </c>
      <c r="D39" s="332" t="s">
        <v>25</v>
      </c>
      <c r="E39" s="331">
        <f t="shared" si="3"/>
        <v>7388</v>
      </c>
      <c r="F39" s="333">
        <f t="shared" si="4"/>
        <v>1820</v>
      </c>
      <c r="G39" s="333">
        <v>1820</v>
      </c>
      <c r="H39" s="333">
        <v>72</v>
      </c>
      <c r="I39" s="333">
        <v>0</v>
      </c>
      <c r="J39" s="333"/>
      <c r="K39" s="333">
        <f t="shared" si="2"/>
        <v>5568</v>
      </c>
      <c r="L39" s="333"/>
      <c r="M39" s="333"/>
      <c r="N39" s="333"/>
      <c r="O39" s="333"/>
      <c r="P39" s="333">
        <v>541</v>
      </c>
      <c r="Q39" s="333">
        <v>5027</v>
      </c>
      <c r="R39" s="334"/>
    </row>
    <row r="40" spans="1:18" ht="27" customHeight="1" x14ac:dyDescent="0.25">
      <c r="A40" s="331">
        <v>31</v>
      </c>
      <c r="B40" s="331" t="s">
        <v>560</v>
      </c>
      <c r="C40" s="331" t="s">
        <v>525</v>
      </c>
      <c r="D40" s="332" t="s">
        <v>26</v>
      </c>
      <c r="E40" s="331">
        <f t="shared" si="3"/>
        <v>27518</v>
      </c>
      <c r="F40" s="333">
        <f t="shared" si="4"/>
        <v>6862</v>
      </c>
      <c r="G40" s="333">
        <v>6862</v>
      </c>
      <c r="H40" s="333">
        <v>359</v>
      </c>
      <c r="I40" s="333">
        <v>0</v>
      </c>
      <c r="J40" s="333"/>
      <c r="K40" s="333">
        <f t="shared" si="2"/>
        <v>20656</v>
      </c>
      <c r="L40" s="333"/>
      <c r="M40" s="333"/>
      <c r="N40" s="333"/>
      <c r="O40" s="333"/>
      <c r="P40" s="333">
        <v>2459</v>
      </c>
      <c r="Q40" s="333">
        <v>18197</v>
      </c>
      <c r="R40" s="334"/>
    </row>
    <row r="41" spans="1:18" ht="27" customHeight="1" x14ac:dyDescent="0.25">
      <c r="A41" s="331">
        <v>32</v>
      </c>
      <c r="B41" s="331" t="s">
        <v>561</v>
      </c>
      <c r="C41" s="331" t="s">
        <v>525</v>
      </c>
      <c r="D41" s="332" t="s">
        <v>27</v>
      </c>
      <c r="E41" s="331">
        <f t="shared" si="3"/>
        <v>16636</v>
      </c>
      <c r="F41" s="333">
        <f t="shared" si="4"/>
        <v>4158</v>
      </c>
      <c r="G41" s="333">
        <v>4158</v>
      </c>
      <c r="H41" s="333">
        <v>875</v>
      </c>
      <c r="I41" s="333">
        <v>0</v>
      </c>
      <c r="J41" s="333"/>
      <c r="K41" s="333">
        <f t="shared" si="2"/>
        <v>12478</v>
      </c>
      <c r="L41" s="333"/>
      <c r="M41" s="333"/>
      <c r="N41" s="333"/>
      <c r="O41" s="333"/>
      <c r="P41" s="333">
        <v>3505</v>
      </c>
      <c r="Q41" s="333">
        <v>8973</v>
      </c>
      <c r="R41" s="334"/>
    </row>
    <row r="42" spans="1:18" ht="27" customHeight="1" x14ac:dyDescent="0.25">
      <c r="A42" s="331">
        <v>33</v>
      </c>
      <c r="B42" s="331" t="s">
        <v>562</v>
      </c>
      <c r="C42" s="331" t="s">
        <v>534</v>
      </c>
      <c r="D42" s="332" t="s">
        <v>28</v>
      </c>
      <c r="E42" s="331">
        <f t="shared" si="3"/>
        <v>44220</v>
      </c>
      <c r="F42" s="333">
        <f t="shared" si="4"/>
        <v>11040</v>
      </c>
      <c r="G42" s="333">
        <v>11040</v>
      </c>
      <c r="H42" s="333">
        <v>2089</v>
      </c>
      <c r="I42" s="333">
        <v>0</v>
      </c>
      <c r="J42" s="333"/>
      <c r="K42" s="333">
        <f t="shared" si="2"/>
        <v>33180</v>
      </c>
      <c r="L42" s="333"/>
      <c r="M42" s="333"/>
      <c r="N42" s="333"/>
      <c r="O42" s="333"/>
      <c r="P42" s="333">
        <v>3511</v>
      </c>
      <c r="Q42" s="333">
        <v>29669</v>
      </c>
      <c r="R42" s="334"/>
    </row>
    <row r="43" spans="1:18" ht="27" customHeight="1" x14ac:dyDescent="0.25">
      <c r="A43" s="331">
        <v>34</v>
      </c>
      <c r="B43" s="331" t="s">
        <v>563</v>
      </c>
      <c r="C43" s="331" t="s">
        <v>525</v>
      </c>
      <c r="D43" s="332" t="s">
        <v>29</v>
      </c>
      <c r="E43" s="331">
        <f t="shared" si="3"/>
        <v>12892</v>
      </c>
      <c r="F43" s="333">
        <f t="shared" si="4"/>
        <v>3215</v>
      </c>
      <c r="G43" s="333">
        <v>3215</v>
      </c>
      <c r="H43" s="333">
        <v>298</v>
      </c>
      <c r="I43" s="333">
        <v>0</v>
      </c>
      <c r="J43" s="333"/>
      <c r="K43" s="333">
        <f t="shared" si="2"/>
        <v>9677</v>
      </c>
      <c r="L43" s="333"/>
      <c r="M43" s="333"/>
      <c r="N43" s="333"/>
      <c r="O43" s="333"/>
      <c r="P43" s="333">
        <v>1085</v>
      </c>
      <c r="Q43" s="333">
        <v>8592</v>
      </c>
      <c r="R43" s="334"/>
    </row>
    <row r="44" spans="1:18" ht="27" customHeight="1" x14ac:dyDescent="0.25">
      <c r="A44" s="331">
        <v>35</v>
      </c>
      <c r="B44" s="331" t="s">
        <v>564</v>
      </c>
      <c r="C44" s="331" t="s">
        <v>525</v>
      </c>
      <c r="D44" s="332" t="s">
        <v>30</v>
      </c>
      <c r="E44" s="331">
        <f t="shared" si="3"/>
        <v>11818</v>
      </c>
      <c r="F44" s="333">
        <f t="shared" si="4"/>
        <v>2948</v>
      </c>
      <c r="G44" s="333">
        <v>2948</v>
      </c>
      <c r="H44" s="333">
        <v>841</v>
      </c>
      <c r="I44" s="333">
        <v>0</v>
      </c>
      <c r="J44" s="333"/>
      <c r="K44" s="333">
        <f t="shared" si="2"/>
        <v>8870</v>
      </c>
      <c r="L44" s="333"/>
      <c r="M44" s="333"/>
      <c r="N44" s="333"/>
      <c r="O44" s="333"/>
      <c r="P44" s="333">
        <v>3090</v>
      </c>
      <c r="Q44" s="333">
        <v>5780</v>
      </c>
      <c r="R44" s="334"/>
    </row>
    <row r="45" spans="1:18" ht="27" customHeight="1" x14ac:dyDescent="0.25">
      <c r="A45" s="331">
        <v>36</v>
      </c>
      <c r="B45" s="331" t="s">
        <v>565</v>
      </c>
      <c r="C45" s="331" t="s">
        <v>525</v>
      </c>
      <c r="D45" s="332" t="s">
        <v>31</v>
      </c>
      <c r="E45" s="331">
        <f t="shared" si="3"/>
        <v>24139</v>
      </c>
      <c r="F45" s="333">
        <f t="shared" si="4"/>
        <v>6030</v>
      </c>
      <c r="G45" s="333">
        <v>6030</v>
      </c>
      <c r="H45" s="333">
        <v>533</v>
      </c>
      <c r="I45" s="333">
        <v>0</v>
      </c>
      <c r="J45" s="333"/>
      <c r="K45" s="333">
        <f t="shared" si="2"/>
        <v>18109</v>
      </c>
      <c r="L45" s="333"/>
      <c r="M45" s="333"/>
      <c r="N45" s="333"/>
      <c r="O45" s="333"/>
      <c r="P45" s="333">
        <v>1966</v>
      </c>
      <c r="Q45" s="333">
        <v>16143</v>
      </c>
      <c r="R45" s="334"/>
    </row>
    <row r="46" spans="1:18" ht="27" customHeight="1" x14ac:dyDescent="0.25">
      <c r="A46" s="331">
        <v>37</v>
      </c>
      <c r="B46" s="331" t="s">
        <v>566</v>
      </c>
      <c r="C46" s="331" t="s">
        <v>525</v>
      </c>
      <c r="D46" s="332" t="s">
        <v>32</v>
      </c>
      <c r="E46" s="331">
        <f t="shared" si="3"/>
        <v>8605</v>
      </c>
      <c r="F46" s="333">
        <f t="shared" si="4"/>
        <v>2148</v>
      </c>
      <c r="G46" s="333">
        <v>2148</v>
      </c>
      <c r="H46" s="333">
        <v>1</v>
      </c>
      <c r="I46" s="333">
        <v>0</v>
      </c>
      <c r="J46" s="333"/>
      <c r="K46" s="333">
        <f t="shared" si="2"/>
        <v>6457</v>
      </c>
      <c r="L46" s="333"/>
      <c r="M46" s="333"/>
      <c r="N46" s="333"/>
      <c r="O46" s="333"/>
      <c r="P46" s="333">
        <v>0</v>
      </c>
      <c r="Q46" s="333">
        <v>6457</v>
      </c>
      <c r="R46" s="334"/>
    </row>
    <row r="47" spans="1:18" ht="27" customHeight="1" x14ac:dyDescent="0.25">
      <c r="A47" s="331">
        <v>38</v>
      </c>
      <c r="B47" s="331" t="s">
        <v>567</v>
      </c>
      <c r="C47" s="331" t="s">
        <v>525</v>
      </c>
      <c r="D47" s="332" t="s">
        <v>33</v>
      </c>
      <c r="E47" s="331">
        <f t="shared" si="3"/>
        <v>14234</v>
      </c>
      <c r="F47" s="333">
        <f t="shared" si="4"/>
        <v>3555</v>
      </c>
      <c r="G47" s="333">
        <v>3555</v>
      </c>
      <c r="H47" s="333">
        <v>127</v>
      </c>
      <c r="I47" s="333">
        <v>0</v>
      </c>
      <c r="J47" s="333"/>
      <c r="K47" s="333">
        <f t="shared" si="2"/>
        <v>10679</v>
      </c>
      <c r="L47" s="333"/>
      <c r="M47" s="333"/>
      <c r="N47" s="333"/>
      <c r="O47" s="333"/>
      <c r="P47" s="333">
        <v>190</v>
      </c>
      <c r="Q47" s="333">
        <v>10489</v>
      </c>
      <c r="R47" s="334"/>
    </row>
    <row r="48" spans="1:18" ht="27" customHeight="1" x14ac:dyDescent="0.25">
      <c r="A48" s="331">
        <v>39</v>
      </c>
      <c r="B48" s="331" t="s">
        <v>568</v>
      </c>
      <c r="C48" s="331" t="s">
        <v>525</v>
      </c>
      <c r="D48" s="332" t="s">
        <v>34</v>
      </c>
      <c r="E48" s="331">
        <f t="shared" si="3"/>
        <v>15459</v>
      </c>
      <c r="F48" s="333">
        <f t="shared" si="4"/>
        <v>3855</v>
      </c>
      <c r="G48" s="333">
        <v>3855</v>
      </c>
      <c r="H48" s="333">
        <v>199</v>
      </c>
      <c r="I48" s="333">
        <v>0</v>
      </c>
      <c r="J48" s="333"/>
      <c r="K48" s="333">
        <f t="shared" si="2"/>
        <v>11604</v>
      </c>
      <c r="L48" s="333"/>
      <c r="M48" s="333"/>
      <c r="N48" s="333"/>
      <c r="O48" s="333"/>
      <c r="P48" s="333">
        <v>236</v>
      </c>
      <c r="Q48" s="333">
        <v>11368</v>
      </c>
      <c r="R48" s="334"/>
    </row>
    <row r="49" spans="1:18" ht="27" customHeight="1" x14ac:dyDescent="0.25">
      <c r="A49" s="331">
        <v>40</v>
      </c>
      <c r="B49" s="331" t="s">
        <v>569</v>
      </c>
      <c r="C49" s="331" t="s">
        <v>525</v>
      </c>
      <c r="D49" s="332" t="s">
        <v>35</v>
      </c>
      <c r="E49" s="331">
        <f t="shared" si="3"/>
        <v>13413</v>
      </c>
      <c r="F49" s="333">
        <f t="shared" si="4"/>
        <v>3353</v>
      </c>
      <c r="G49" s="333">
        <v>3353</v>
      </c>
      <c r="H49" s="333">
        <v>0</v>
      </c>
      <c r="I49" s="333">
        <v>0</v>
      </c>
      <c r="J49" s="333"/>
      <c r="K49" s="333">
        <f t="shared" si="2"/>
        <v>10060</v>
      </c>
      <c r="L49" s="333"/>
      <c r="M49" s="333"/>
      <c r="N49" s="333"/>
      <c r="O49" s="333"/>
      <c r="P49" s="333">
        <v>0</v>
      </c>
      <c r="Q49" s="333">
        <v>10060</v>
      </c>
      <c r="R49" s="334"/>
    </row>
    <row r="50" spans="1:18" ht="27" customHeight="1" x14ac:dyDescent="0.25">
      <c r="A50" s="331">
        <v>41</v>
      </c>
      <c r="B50" s="331" t="s">
        <v>570</v>
      </c>
      <c r="C50" s="331" t="s">
        <v>525</v>
      </c>
      <c r="D50" s="332" t="s">
        <v>571</v>
      </c>
      <c r="E50" s="331">
        <f t="shared" si="3"/>
        <v>12544</v>
      </c>
      <c r="F50" s="333">
        <f t="shared" si="4"/>
        <v>3071</v>
      </c>
      <c r="G50" s="333">
        <v>3071</v>
      </c>
      <c r="H50" s="333">
        <v>206</v>
      </c>
      <c r="I50" s="333">
        <v>0</v>
      </c>
      <c r="J50" s="333"/>
      <c r="K50" s="333">
        <f t="shared" si="2"/>
        <v>9473</v>
      </c>
      <c r="L50" s="333"/>
      <c r="M50" s="333"/>
      <c r="N50" s="333"/>
      <c r="O50" s="333"/>
      <c r="P50" s="333">
        <v>194</v>
      </c>
      <c r="Q50" s="333">
        <v>9279</v>
      </c>
      <c r="R50" s="334"/>
    </row>
    <row r="51" spans="1:18" ht="27" customHeight="1" x14ac:dyDescent="0.25">
      <c r="A51" s="331">
        <v>42</v>
      </c>
      <c r="B51" s="331" t="s">
        <v>570</v>
      </c>
      <c r="C51" s="331" t="s">
        <v>537</v>
      </c>
      <c r="D51" s="332" t="s">
        <v>36</v>
      </c>
      <c r="E51" s="331">
        <f t="shared" si="3"/>
        <v>32127</v>
      </c>
      <c r="F51" s="333">
        <f t="shared" si="4"/>
        <v>8028</v>
      </c>
      <c r="G51" s="333">
        <v>8028</v>
      </c>
      <c r="H51" s="333">
        <v>1630</v>
      </c>
      <c r="I51" s="333">
        <v>0</v>
      </c>
      <c r="J51" s="333"/>
      <c r="K51" s="333">
        <f t="shared" si="2"/>
        <v>24099</v>
      </c>
      <c r="L51" s="333"/>
      <c r="M51" s="333"/>
      <c r="N51" s="333"/>
      <c r="O51" s="333"/>
      <c r="P51" s="333">
        <v>4270</v>
      </c>
      <c r="Q51" s="333">
        <v>19829</v>
      </c>
      <c r="R51" s="334"/>
    </row>
    <row r="52" spans="1:18" ht="27" customHeight="1" x14ac:dyDescent="0.25">
      <c r="A52" s="331">
        <v>43</v>
      </c>
      <c r="B52" s="331" t="s">
        <v>572</v>
      </c>
      <c r="C52" s="331" t="s">
        <v>534</v>
      </c>
      <c r="D52" s="332" t="s">
        <v>37</v>
      </c>
      <c r="E52" s="331">
        <f t="shared" si="3"/>
        <v>42744</v>
      </c>
      <c r="F52" s="333">
        <f t="shared" si="4"/>
        <v>10659</v>
      </c>
      <c r="G52" s="333">
        <v>10659</v>
      </c>
      <c r="H52" s="333">
        <v>1641</v>
      </c>
      <c r="I52" s="333">
        <v>0</v>
      </c>
      <c r="J52" s="333"/>
      <c r="K52" s="333">
        <f t="shared" si="2"/>
        <v>32085</v>
      </c>
      <c r="L52" s="333"/>
      <c r="M52" s="333"/>
      <c r="N52" s="333"/>
      <c r="O52" s="333"/>
      <c r="P52" s="333">
        <v>4959</v>
      </c>
      <c r="Q52" s="333">
        <v>27126</v>
      </c>
      <c r="R52" s="334"/>
    </row>
    <row r="53" spans="1:18" ht="27" customHeight="1" x14ac:dyDescent="0.25">
      <c r="A53" s="331">
        <v>44</v>
      </c>
      <c r="B53" s="331" t="s">
        <v>573</v>
      </c>
      <c r="C53" s="331" t="s">
        <v>525</v>
      </c>
      <c r="D53" s="332" t="s">
        <v>38</v>
      </c>
      <c r="E53" s="331">
        <f t="shared" si="3"/>
        <v>11485</v>
      </c>
      <c r="F53" s="333">
        <f t="shared" si="4"/>
        <v>2853</v>
      </c>
      <c r="G53" s="333">
        <v>2853</v>
      </c>
      <c r="H53" s="333">
        <v>0</v>
      </c>
      <c r="I53" s="333">
        <v>0</v>
      </c>
      <c r="J53" s="333"/>
      <c r="K53" s="333">
        <f t="shared" si="2"/>
        <v>8632</v>
      </c>
      <c r="L53" s="333"/>
      <c r="M53" s="333"/>
      <c r="N53" s="333"/>
      <c r="O53" s="333"/>
      <c r="P53" s="333">
        <v>0</v>
      </c>
      <c r="Q53" s="333">
        <v>8632</v>
      </c>
      <c r="R53" s="334"/>
    </row>
    <row r="54" spans="1:18" ht="27" customHeight="1" x14ac:dyDescent="0.25">
      <c r="A54" s="331">
        <v>45</v>
      </c>
      <c r="B54" s="331" t="s">
        <v>574</v>
      </c>
      <c r="C54" s="331" t="s">
        <v>525</v>
      </c>
      <c r="D54" s="332" t="s">
        <v>39</v>
      </c>
      <c r="E54" s="331">
        <f t="shared" si="3"/>
        <v>11722</v>
      </c>
      <c r="F54" s="333">
        <f t="shared" si="4"/>
        <v>2922</v>
      </c>
      <c r="G54" s="333">
        <v>2922</v>
      </c>
      <c r="H54" s="333">
        <v>255</v>
      </c>
      <c r="I54" s="333">
        <v>0</v>
      </c>
      <c r="J54" s="333"/>
      <c r="K54" s="333">
        <f t="shared" si="2"/>
        <v>8800</v>
      </c>
      <c r="L54" s="333"/>
      <c r="M54" s="333"/>
      <c r="N54" s="333"/>
      <c r="O54" s="333"/>
      <c r="P54" s="333">
        <v>930</v>
      </c>
      <c r="Q54" s="333">
        <v>7870</v>
      </c>
      <c r="R54" s="334"/>
    </row>
    <row r="55" spans="1:18" ht="27" customHeight="1" x14ac:dyDescent="0.25">
      <c r="A55" s="331">
        <v>46</v>
      </c>
      <c r="B55" s="331" t="s">
        <v>575</v>
      </c>
      <c r="C55" s="331" t="s">
        <v>525</v>
      </c>
      <c r="D55" s="332" t="s">
        <v>40</v>
      </c>
      <c r="E55" s="331">
        <f t="shared" si="3"/>
        <v>13796</v>
      </c>
      <c r="F55" s="333">
        <f t="shared" si="4"/>
        <v>3384</v>
      </c>
      <c r="G55" s="333">
        <v>3384</v>
      </c>
      <c r="H55" s="333">
        <v>545</v>
      </c>
      <c r="I55" s="333">
        <v>0</v>
      </c>
      <c r="J55" s="333"/>
      <c r="K55" s="333">
        <f t="shared" si="2"/>
        <v>10412</v>
      </c>
      <c r="L55" s="333"/>
      <c r="M55" s="333"/>
      <c r="N55" s="333"/>
      <c r="O55" s="333"/>
      <c r="P55" s="333">
        <v>1855</v>
      </c>
      <c r="Q55" s="333">
        <v>8557</v>
      </c>
      <c r="R55" s="334"/>
    </row>
    <row r="56" spans="1:18" ht="27" customHeight="1" x14ac:dyDescent="0.25">
      <c r="A56" s="331">
        <v>47</v>
      </c>
      <c r="B56" s="331" t="s">
        <v>575</v>
      </c>
      <c r="C56" s="331" t="s">
        <v>525</v>
      </c>
      <c r="D56" s="332" t="s">
        <v>576</v>
      </c>
      <c r="E56" s="331">
        <f t="shared" si="3"/>
        <v>29</v>
      </c>
      <c r="F56" s="333">
        <f t="shared" si="4"/>
        <v>22</v>
      </c>
      <c r="G56" s="333">
        <v>22</v>
      </c>
      <c r="H56" s="333">
        <v>22</v>
      </c>
      <c r="I56" s="333">
        <v>0</v>
      </c>
      <c r="J56" s="333"/>
      <c r="K56" s="333">
        <f t="shared" si="2"/>
        <v>7</v>
      </c>
      <c r="L56" s="333"/>
      <c r="M56" s="333"/>
      <c r="N56" s="333"/>
      <c r="O56" s="333">
        <v>7</v>
      </c>
      <c r="P56" s="333"/>
      <c r="Q56" s="333"/>
      <c r="R56" s="334"/>
    </row>
    <row r="57" spans="1:18" ht="27" customHeight="1" x14ac:dyDescent="0.25">
      <c r="A57" s="331">
        <v>48</v>
      </c>
      <c r="B57" s="331" t="s">
        <v>577</v>
      </c>
      <c r="C57" s="331" t="s">
        <v>525</v>
      </c>
      <c r="D57" s="332" t="s">
        <v>41</v>
      </c>
      <c r="E57" s="331">
        <f t="shared" si="3"/>
        <v>9893</v>
      </c>
      <c r="F57" s="333">
        <f t="shared" si="4"/>
        <v>2414</v>
      </c>
      <c r="G57" s="333">
        <v>2414</v>
      </c>
      <c r="H57" s="333">
        <v>368</v>
      </c>
      <c r="I57" s="333">
        <v>0</v>
      </c>
      <c r="J57" s="333"/>
      <c r="K57" s="333">
        <f t="shared" si="2"/>
        <v>7479</v>
      </c>
      <c r="L57" s="333"/>
      <c r="M57" s="333"/>
      <c r="N57" s="333"/>
      <c r="O57" s="333"/>
      <c r="P57" s="333">
        <v>1632</v>
      </c>
      <c r="Q57" s="333">
        <v>5847</v>
      </c>
      <c r="R57" s="334"/>
    </row>
    <row r="58" spans="1:18" ht="27" customHeight="1" x14ac:dyDescent="0.25">
      <c r="A58" s="331">
        <v>49</v>
      </c>
      <c r="B58" s="331" t="s">
        <v>578</v>
      </c>
      <c r="C58" s="331" t="s">
        <v>525</v>
      </c>
      <c r="D58" s="332" t="s">
        <v>42</v>
      </c>
      <c r="E58" s="331">
        <f t="shared" si="3"/>
        <v>13017</v>
      </c>
      <c r="F58" s="333">
        <f t="shared" si="4"/>
        <v>3245</v>
      </c>
      <c r="G58" s="333">
        <v>3245</v>
      </c>
      <c r="H58" s="333">
        <v>172</v>
      </c>
      <c r="I58" s="333">
        <v>0</v>
      </c>
      <c r="J58" s="333"/>
      <c r="K58" s="333">
        <f t="shared" si="2"/>
        <v>9772</v>
      </c>
      <c r="L58" s="333"/>
      <c r="M58" s="333"/>
      <c r="N58" s="333"/>
      <c r="O58" s="333"/>
      <c r="P58" s="333">
        <v>1228</v>
      </c>
      <c r="Q58" s="333">
        <v>8544</v>
      </c>
      <c r="R58" s="334"/>
    </row>
    <row r="59" spans="1:18" ht="27" customHeight="1" x14ac:dyDescent="0.25">
      <c r="A59" s="331">
        <v>50</v>
      </c>
      <c r="B59" s="331" t="s">
        <v>579</v>
      </c>
      <c r="C59" s="331" t="s">
        <v>525</v>
      </c>
      <c r="D59" s="332" t="s">
        <v>43</v>
      </c>
      <c r="E59" s="331">
        <f t="shared" si="3"/>
        <v>9937</v>
      </c>
      <c r="F59" s="333">
        <f t="shared" si="4"/>
        <v>2485</v>
      </c>
      <c r="G59" s="333">
        <v>2485</v>
      </c>
      <c r="H59" s="333">
        <v>0</v>
      </c>
      <c r="I59" s="333">
        <v>0</v>
      </c>
      <c r="J59" s="333"/>
      <c r="K59" s="333">
        <f t="shared" si="2"/>
        <v>7452</v>
      </c>
      <c r="L59" s="333"/>
      <c r="M59" s="333"/>
      <c r="N59" s="333"/>
      <c r="O59" s="333"/>
      <c r="P59" s="333">
        <v>11</v>
      </c>
      <c r="Q59" s="333">
        <v>7441</v>
      </c>
      <c r="R59" s="334"/>
    </row>
    <row r="60" spans="1:18" ht="27" customHeight="1" x14ac:dyDescent="0.25">
      <c r="A60" s="331">
        <v>51</v>
      </c>
      <c r="B60" s="331" t="s">
        <v>580</v>
      </c>
      <c r="C60" s="331" t="s">
        <v>525</v>
      </c>
      <c r="D60" s="332" t="s">
        <v>581</v>
      </c>
      <c r="E60" s="331">
        <f t="shared" si="3"/>
        <v>5151</v>
      </c>
      <c r="F60" s="333">
        <f t="shared" si="4"/>
        <v>5151</v>
      </c>
      <c r="G60" s="333">
        <v>5151</v>
      </c>
      <c r="H60" s="333">
        <v>148</v>
      </c>
      <c r="I60" s="333">
        <v>0</v>
      </c>
      <c r="J60" s="333"/>
      <c r="K60" s="333">
        <f t="shared" si="2"/>
        <v>0</v>
      </c>
      <c r="L60" s="333"/>
      <c r="M60" s="333"/>
      <c r="N60" s="333"/>
      <c r="O60" s="333"/>
      <c r="P60" s="333">
        <v>0</v>
      </c>
      <c r="Q60" s="333">
        <v>0</v>
      </c>
      <c r="R60" s="334"/>
    </row>
    <row r="61" spans="1:18" ht="27" customHeight="1" x14ac:dyDescent="0.25">
      <c r="A61" s="331"/>
      <c r="B61" s="331"/>
      <c r="C61" s="331"/>
      <c r="D61" s="332" t="s">
        <v>582</v>
      </c>
      <c r="E61" s="331">
        <f t="shared" si="3"/>
        <v>14201</v>
      </c>
      <c r="F61" s="333">
        <f t="shared" si="4"/>
        <v>0</v>
      </c>
      <c r="G61" s="333">
        <v>0</v>
      </c>
      <c r="H61" s="333">
        <v>0</v>
      </c>
      <c r="I61" s="335">
        <v>0</v>
      </c>
      <c r="J61" s="335"/>
      <c r="K61" s="333">
        <f t="shared" si="2"/>
        <v>14201</v>
      </c>
      <c r="L61" s="335"/>
      <c r="M61" s="335"/>
      <c r="N61" s="335"/>
      <c r="O61" s="335"/>
      <c r="P61" s="333">
        <v>4252</v>
      </c>
      <c r="Q61" s="333">
        <v>9949</v>
      </c>
      <c r="R61" s="334"/>
    </row>
    <row r="62" spans="1:18" ht="27" customHeight="1" x14ac:dyDescent="0.25">
      <c r="A62" s="331">
        <v>52</v>
      </c>
      <c r="B62" s="331" t="s">
        <v>583</v>
      </c>
      <c r="C62" s="331" t="s">
        <v>525</v>
      </c>
      <c r="D62" s="332" t="s">
        <v>44</v>
      </c>
      <c r="E62" s="331">
        <f t="shared" si="3"/>
        <v>12330</v>
      </c>
      <c r="F62" s="333">
        <f t="shared" si="4"/>
        <v>3083</v>
      </c>
      <c r="G62" s="333">
        <v>3083</v>
      </c>
      <c r="H62" s="333">
        <v>468</v>
      </c>
      <c r="I62" s="333">
        <v>0</v>
      </c>
      <c r="J62" s="333"/>
      <c r="K62" s="333">
        <f t="shared" si="2"/>
        <v>9247</v>
      </c>
      <c r="L62" s="333"/>
      <c r="M62" s="333"/>
      <c r="N62" s="333"/>
      <c r="O62" s="333"/>
      <c r="P62" s="333">
        <v>497</v>
      </c>
      <c r="Q62" s="333">
        <v>8750</v>
      </c>
      <c r="R62" s="334"/>
    </row>
    <row r="63" spans="1:18" ht="27" customHeight="1" x14ac:dyDescent="0.25">
      <c r="A63" s="331">
        <v>53</v>
      </c>
      <c r="B63" s="331" t="s">
        <v>584</v>
      </c>
      <c r="C63" s="331" t="s">
        <v>537</v>
      </c>
      <c r="D63" s="332" t="s">
        <v>45</v>
      </c>
      <c r="E63" s="331">
        <f t="shared" si="3"/>
        <v>68685</v>
      </c>
      <c r="F63" s="333">
        <f t="shared" si="4"/>
        <v>17049</v>
      </c>
      <c r="G63" s="333">
        <v>17049</v>
      </c>
      <c r="H63" s="333">
        <v>1044</v>
      </c>
      <c r="I63" s="333">
        <v>0</v>
      </c>
      <c r="J63" s="333"/>
      <c r="K63" s="333">
        <f t="shared" si="2"/>
        <v>51636</v>
      </c>
      <c r="L63" s="333"/>
      <c r="M63" s="333"/>
      <c r="N63" s="333"/>
      <c r="O63" s="333"/>
      <c r="P63" s="333">
        <v>5938</v>
      </c>
      <c r="Q63" s="333">
        <v>45698</v>
      </c>
      <c r="R63" s="334"/>
    </row>
    <row r="64" spans="1:18" ht="27" customHeight="1" x14ac:dyDescent="0.25">
      <c r="A64" s="331">
        <v>54</v>
      </c>
      <c r="B64" s="331" t="s">
        <v>585</v>
      </c>
      <c r="C64" s="331" t="s">
        <v>525</v>
      </c>
      <c r="D64" s="332" t="s">
        <v>586</v>
      </c>
      <c r="E64" s="331">
        <f t="shared" si="3"/>
        <v>33546</v>
      </c>
      <c r="F64" s="333">
        <f t="shared" si="4"/>
        <v>8381</v>
      </c>
      <c r="G64" s="333">
        <v>8381</v>
      </c>
      <c r="H64" s="333">
        <v>274</v>
      </c>
      <c r="I64" s="333">
        <v>0</v>
      </c>
      <c r="J64" s="333"/>
      <c r="K64" s="333">
        <f t="shared" si="2"/>
        <v>25165</v>
      </c>
      <c r="L64" s="333"/>
      <c r="M64" s="333"/>
      <c r="N64" s="333"/>
      <c r="O64" s="333"/>
      <c r="P64" s="333">
        <v>2900</v>
      </c>
      <c r="Q64" s="333">
        <v>22265</v>
      </c>
      <c r="R64" s="334"/>
    </row>
    <row r="65" spans="1:18" ht="27" customHeight="1" x14ac:dyDescent="0.25">
      <c r="A65" s="331">
        <v>55</v>
      </c>
      <c r="B65" s="331" t="s">
        <v>587</v>
      </c>
      <c r="C65" s="331" t="s">
        <v>534</v>
      </c>
      <c r="D65" s="332" t="s">
        <v>588</v>
      </c>
      <c r="E65" s="331">
        <f t="shared" si="3"/>
        <v>37664</v>
      </c>
      <c r="F65" s="333">
        <f t="shared" si="4"/>
        <v>9391</v>
      </c>
      <c r="G65" s="333">
        <v>9391</v>
      </c>
      <c r="H65" s="333">
        <v>1508</v>
      </c>
      <c r="I65" s="333">
        <v>0</v>
      </c>
      <c r="J65" s="333"/>
      <c r="K65" s="333">
        <f t="shared" si="2"/>
        <v>28273</v>
      </c>
      <c r="L65" s="333"/>
      <c r="M65" s="333"/>
      <c r="N65" s="333"/>
      <c r="O65" s="333"/>
      <c r="P65" s="333">
        <v>6191</v>
      </c>
      <c r="Q65" s="333">
        <v>22082</v>
      </c>
      <c r="R65" s="334"/>
    </row>
    <row r="66" spans="1:18" ht="27" customHeight="1" x14ac:dyDescent="0.25">
      <c r="A66" s="331">
        <v>56</v>
      </c>
      <c r="B66" s="331" t="s">
        <v>589</v>
      </c>
      <c r="C66" s="331" t="s">
        <v>525</v>
      </c>
      <c r="D66" s="332" t="s">
        <v>46</v>
      </c>
      <c r="E66" s="331">
        <f t="shared" si="3"/>
        <v>8055</v>
      </c>
      <c r="F66" s="333">
        <f t="shared" si="4"/>
        <v>2013</v>
      </c>
      <c r="G66" s="333">
        <v>2013</v>
      </c>
      <c r="H66" s="333">
        <v>6</v>
      </c>
      <c r="I66" s="333">
        <v>0</v>
      </c>
      <c r="J66" s="333"/>
      <c r="K66" s="333">
        <f t="shared" si="2"/>
        <v>6042</v>
      </c>
      <c r="L66" s="333"/>
      <c r="M66" s="333"/>
      <c r="N66" s="333"/>
      <c r="O66" s="333"/>
      <c r="P66" s="333">
        <v>36</v>
      </c>
      <c r="Q66" s="333">
        <v>6006</v>
      </c>
      <c r="R66" s="334"/>
    </row>
    <row r="67" spans="1:18" ht="27" customHeight="1" x14ac:dyDescent="0.25">
      <c r="A67" s="331">
        <v>57</v>
      </c>
      <c r="B67" s="331" t="s">
        <v>590</v>
      </c>
      <c r="C67" s="331" t="s">
        <v>525</v>
      </c>
      <c r="D67" s="332" t="s">
        <v>47</v>
      </c>
      <c r="E67" s="331">
        <f t="shared" si="3"/>
        <v>15509</v>
      </c>
      <c r="F67" s="333">
        <f t="shared" si="4"/>
        <v>3859</v>
      </c>
      <c r="G67" s="333">
        <v>3859</v>
      </c>
      <c r="H67" s="333">
        <v>781</v>
      </c>
      <c r="I67" s="333">
        <v>0</v>
      </c>
      <c r="J67" s="333"/>
      <c r="K67" s="333">
        <f t="shared" si="2"/>
        <v>11650</v>
      </c>
      <c r="L67" s="333"/>
      <c r="M67" s="333"/>
      <c r="N67" s="333"/>
      <c r="O67" s="333"/>
      <c r="P67" s="333">
        <v>2961</v>
      </c>
      <c r="Q67" s="333">
        <v>8689</v>
      </c>
      <c r="R67" s="334"/>
    </row>
    <row r="68" spans="1:18" ht="27" customHeight="1" x14ac:dyDescent="0.25">
      <c r="A68" s="331">
        <v>58</v>
      </c>
      <c r="B68" s="331" t="s">
        <v>591</v>
      </c>
      <c r="C68" s="331" t="s">
        <v>525</v>
      </c>
      <c r="D68" s="332" t="s">
        <v>48</v>
      </c>
      <c r="E68" s="331">
        <f t="shared" si="3"/>
        <v>14771</v>
      </c>
      <c r="F68" s="333">
        <f t="shared" si="4"/>
        <v>3651</v>
      </c>
      <c r="G68" s="333">
        <v>3651</v>
      </c>
      <c r="H68" s="333">
        <v>859</v>
      </c>
      <c r="I68" s="333">
        <v>0</v>
      </c>
      <c r="J68" s="333"/>
      <c r="K68" s="333">
        <f t="shared" si="2"/>
        <v>11120</v>
      </c>
      <c r="L68" s="333"/>
      <c r="M68" s="333"/>
      <c r="N68" s="333"/>
      <c r="O68" s="333"/>
      <c r="P68" s="333">
        <v>2891</v>
      </c>
      <c r="Q68" s="333">
        <v>8229</v>
      </c>
      <c r="R68" s="334"/>
    </row>
    <row r="69" spans="1:18" ht="27" customHeight="1" x14ac:dyDescent="0.25">
      <c r="A69" s="331">
        <v>59</v>
      </c>
      <c r="B69" s="331" t="s">
        <v>592</v>
      </c>
      <c r="C69" s="331" t="s">
        <v>525</v>
      </c>
      <c r="D69" s="332" t="s">
        <v>49</v>
      </c>
      <c r="E69" s="331">
        <f t="shared" si="3"/>
        <v>24858</v>
      </c>
      <c r="F69" s="333">
        <f t="shared" si="4"/>
        <v>6205</v>
      </c>
      <c r="G69" s="333">
        <v>6205</v>
      </c>
      <c r="H69" s="333">
        <v>26</v>
      </c>
      <c r="I69" s="333">
        <v>0</v>
      </c>
      <c r="J69" s="333"/>
      <c r="K69" s="333">
        <f t="shared" si="2"/>
        <v>18653</v>
      </c>
      <c r="L69" s="333"/>
      <c r="M69" s="333"/>
      <c r="N69" s="333"/>
      <c r="O69" s="333"/>
      <c r="P69" s="333">
        <v>424</v>
      </c>
      <c r="Q69" s="333">
        <v>18229</v>
      </c>
      <c r="R69" s="334"/>
    </row>
    <row r="70" spans="1:18" ht="27" customHeight="1" x14ac:dyDescent="0.25">
      <c r="A70" s="331">
        <v>60</v>
      </c>
      <c r="B70" s="331" t="s">
        <v>593</v>
      </c>
      <c r="C70" s="331" t="s">
        <v>525</v>
      </c>
      <c r="D70" s="332" t="s">
        <v>50</v>
      </c>
      <c r="E70" s="331">
        <f t="shared" si="3"/>
        <v>11087</v>
      </c>
      <c r="F70" s="333">
        <f t="shared" si="4"/>
        <v>2766</v>
      </c>
      <c r="G70" s="333">
        <v>2766</v>
      </c>
      <c r="H70" s="333">
        <v>400</v>
      </c>
      <c r="I70" s="333">
        <v>0</v>
      </c>
      <c r="J70" s="333"/>
      <c r="K70" s="333">
        <f t="shared" si="2"/>
        <v>8321</v>
      </c>
      <c r="L70" s="333"/>
      <c r="M70" s="333"/>
      <c r="N70" s="333"/>
      <c r="O70" s="333"/>
      <c r="P70" s="333">
        <v>817</v>
      </c>
      <c r="Q70" s="333">
        <v>7504</v>
      </c>
      <c r="R70" s="334"/>
    </row>
    <row r="71" spans="1:18" ht="27" customHeight="1" x14ac:dyDescent="0.25">
      <c r="A71" s="331">
        <v>61</v>
      </c>
      <c r="B71" s="331" t="s">
        <v>594</v>
      </c>
      <c r="C71" s="331" t="s">
        <v>525</v>
      </c>
      <c r="D71" s="332" t="s">
        <v>51</v>
      </c>
      <c r="E71" s="331">
        <f t="shared" si="3"/>
        <v>23384</v>
      </c>
      <c r="F71" s="333">
        <f t="shared" si="4"/>
        <v>5843</v>
      </c>
      <c r="G71" s="333">
        <v>5843</v>
      </c>
      <c r="H71" s="333">
        <v>138</v>
      </c>
      <c r="I71" s="333">
        <v>0</v>
      </c>
      <c r="J71" s="333"/>
      <c r="K71" s="333">
        <f t="shared" si="2"/>
        <v>17541</v>
      </c>
      <c r="L71" s="333"/>
      <c r="M71" s="333"/>
      <c r="N71" s="333"/>
      <c r="O71" s="333"/>
      <c r="P71" s="333">
        <v>733</v>
      </c>
      <c r="Q71" s="333">
        <v>16808</v>
      </c>
      <c r="R71" s="334"/>
    </row>
    <row r="72" spans="1:18" ht="27" customHeight="1" x14ac:dyDescent="0.25">
      <c r="A72" s="331">
        <v>62</v>
      </c>
      <c r="B72" s="331" t="s">
        <v>595</v>
      </c>
      <c r="C72" s="331" t="s">
        <v>596</v>
      </c>
      <c r="D72" s="332" t="s">
        <v>442</v>
      </c>
      <c r="E72" s="331">
        <f t="shared" si="3"/>
        <v>7319</v>
      </c>
      <c r="F72" s="333">
        <f t="shared" si="4"/>
        <v>1826</v>
      </c>
      <c r="G72" s="333">
        <v>1826</v>
      </c>
      <c r="H72" s="333">
        <v>635</v>
      </c>
      <c r="I72" s="333">
        <v>0</v>
      </c>
      <c r="J72" s="333"/>
      <c r="K72" s="333">
        <f t="shared" si="2"/>
        <v>5493</v>
      </c>
      <c r="L72" s="333"/>
      <c r="M72" s="333"/>
      <c r="N72" s="333"/>
      <c r="O72" s="333"/>
      <c r="P72" s="333">
        <v>1021</v>
      </c>
      <c r="Q72" s="333">
        <v>4472</v>
      </c>
      <c r="R72" s="334"/>
    </row>
    <row r="73" spans="1:18" ht="27" customHeight="1" x14ac:dyDescent="0.25">
      <c r="A73" s="331">
        <v>63</v>
      </c>
      <c r="B73" s="331" t="s">
        <v>597</v>
      </c>
      <c r="C73" s="331" t="s">
        <v>554</v>
      </c>
      <c r="D73" s="332" t="s">
        <v>194</v>
      </c>
      <c r="E73" s="331">
        <f t="shared" si="3"/>
        <v>72905</v>
      </c>
      <c r="F73" s="333">
        <f t="shared" si="4"/>
        <v>18121</v>
      </c>
      <c r="G73" s="333">
        <v>18121</v>
      </c>
      <c r="H73" s="333">
        <v>2984</v>
      </c>
      <c r="I73" s="333">
        <v>0</v>
      </c>
      <c r="J73" s="333"/>
      <c r="K73" s="333">
        <f t="shared" si="2"/>
        <v>54784</v>
      </c>
      <c r="L73" s="333"/>
      <c r="M73" s="333"/>
      <c r="N73" s="333"/>
      <c r="O73" s="333"/>
      <c r="P73" s="333">
        <v>8696</v>
      </c>
      <c r="Q73" s="333">
        <v>46088</v>
      </c>
      <c r="R73" s="334"/>
    </row>
    <row r="74" spans="1:18" ht="33.75" customHeight="1" x14ac:dyDescent="0.25">
      <c r="A74" s="331">
        <v>64</v>
      </c>
      <c r="B74" s="331" t="s">
        <v>598</v>
      </c>
      <c r="C74" s="331" t="s">
        <v>525</v>
      </c>
      <c r="D74" s="332" t="s">
        <v>599</v>
      </c>
      <c r="E74" s="331">
        <f t="shared" si="3"/>
        <v>20</v>
      </c>
      <c r="F74" s="333">
        <f t="shared" si="4"/>
        <v>20</v>
      </c>
      <c r="G74" s="333">
        <v>20</v>
      </c>
      <c r="H74" s="333">
        <v>20</v>
      </c>
      <c r="I74" s="333">
        <v>0</v>
      </c>
      <c r="J74" s="333"/>
      <c r="K74" s="333">
        <f t="shared" si="2"/>
        <v>0</v>
      </c>
      <c r="L74" s="333"/>
      <c r="M74" s="333"/>
      <c r="N74" s="333"/>
      <c r="O74" s="333"/>
      <c r="P74" s="333"/>
      <c r="Q74" s="333"/>
      <c r="R74" s="334"/>
    </row>
    <row r="75" spans="1:18" ht="27" customHeight="1" x14ac:dyDescent="0.25">
      <c r="A75" s="331">
        <v>65</v>
      </c>
      <c r="B75" s="331" t="s">
        <v>600</v>
      </c>
      <c r="C75" s="331" t="s">
        <v>525</v>
      </c>
      <c r="D75" s="332" t="s">
        <v>601</v>
      </c>
      <c r="E75" s="331">
        <f t="shared" si="3"/>
        <v>11</v>
      </c>
      <c r="F75" s="333">
        <f t="shared" si="4"/>
        <v>6</v>
      </c>
      <c r="G75" s="333">
        <v>6</v>
      </c>
      <c r="H75" s="333">
        <v>6</v>
      </c>
      <c r="I75" s="333">
        <v>0</v>
      </c>
      <c r="J75" s="333"/>
      <c r="K75" s="333">
        <f t="shared" ref="K75:K138" si="5">L75+M75+N75+O75+P75+Q75</f>
        <v>5</v>
      </c>
      <c r="L75" s="333"/>
      <c r="M75" s="333"/>
      <c r="N75" s="333"/>
      <c r="O75" s="333">
        <v>5</v>
      </c>
      <c r="P75" s="333"/>
      <c r="Q75" s="333"/>
      <c r="R75" s="334"/>
    </row>
    <row r="76" spans="1:18" ht="27" customHeight="1" x14ac:dyDescent="0.25">
      <c r="A76" s="331">
        <v>66</v>
      </c>
      <c r="B76" s="336" t="s">
        <v>602</v>
      </c>
      <c r="C76" s="331" t="s">
        <v>525</v>
      </c>
      <c r="D76" s="332" t="s">
        <v>603</v>
      </c>
      <c r="E76" s="331">
        <f t="shared" si="3"/>
        <v>20</v>
      </c>
      <c r="F76" s="333">
        <f t="shared" si="4"/>
        <v>16</v>
      </c>
      <c r="G76" s="333">
        <v>16</v>
      </c>
      <c r="H76" s="333">
        <v>16</v>
      </c>
      <c r="I76" s="333">
        <v>0</v>
      </c>
      <c r="J76" s="333"/>
      <c r="K76" s="333">
        <f t="shared" si="5"/>
        <v>4</v>
      </c>
      <c r="L76" s="333"/>
      <c r="M76" s="333"/>
      <c r="N76" s="333"/>
      <c r="O76" s="333">
        <v>4</v>
      </c>
      <c r="P76" s="333"/>
      <c r="Q76" s="333"/>
      <c r="R76" s="334"/>
    </row>
    <row r="77" spans="1:18" ht="27" customHeight="1" x14ac:dyDescent="0.25">
      <c r="A77" s="331">
        <v>67</v>
      </c>
      <c r="B77" s="336" t="s">
        <v>602</v>
      </c>
      <c r="C77" s="331" t="s">
        <v>525</v>
      </c>
      <c r="D77" s="332" t="s">
        <v>604</v>
      </c>
      <c r="E77" s="331">
        <f t="shared" si="3"/>
        <v>20</v>
      </c>
      <c r="F77" s="333">
        <f t="shared" si="4"/>
        <v>0</v>
      </c>
      <c r="G77" s="333">
        <v>0</v>
      </c>
      <c r="H77" s="333">
        <v>0</v>
      </c>
      <c r="I77" s="333">
        <v>0</v>
      </c>
      <c r="J77" s="333"/>
      <c r="K77" s="333">
        <f t="shared" si="5"/>
        <v>20</v>
      </c>
      <c r="L77" s="333"/>
      <c r="M77" s="333"/>
      <c r="N77" s="333"/>
      <c r="O77" s="333">
        <v>20</v>
      </c>
      <c r="P77" s="333"/>
      <c r="Q77" s="333"/>
      <c r="R77" s="334"/>
    </row>
    <row r="78" spans="1:18" ht="27" customHeight="1" x14ac:dyDescent="0.25">
      <c r="A78" s="331">
        <v>68</v>
      </c>
      <c r="B78" s="331" t="s">
        <v>605</v>
      </c>
      <c r="C78" s="331" t="s">
        <v>525</v>
      </c>
      <c r="D78" s="332" t="s">
        <v>606</v>
      </c>
      <c r="E78" s="331">
        <f t="shared" si="3"/>
        <v>20</v>
      </c>
      <c r="F78" s="333">
        <f t="shared" si="4"/>
        <v>16</v>
      </c>
      <c r="G78" s="333">
        <v>16</v>
      </c>
      <c r="H78" s="333">
        <v>16</v>
      </c>
      <c r="I78" s="333">
        <v>0</v>
      </c>
      <c r="J78" s="333"/>
      <c r="K78" s="333">
        <f t="shared" si="5"/>
        <v>4</v>
      </c>
      <c r="L78" s="333"/>
      <c r="M78" s="333"/>
      <c r="N78" s="333"/>
      <c r="O78" s="333">
        <v>4</v>
      </c>
      <c r="P78" s="333"/>
      <c r="Q78" s="333"/>
      <c r="R78" s="334"/>
    </row>
    <row r="79" spans="1:18" ht="27" customHeight="1" x14ac:dyDescent="0.25">
      <c r="A79" s="331">
        <v>69</v>
      </c>
      <c r="B79" s="331"/>
      <c r="C79" s="331"/>
      <c r="D79" s="332" t="s">
        <v>607</v>
      </c>
      <c r="E79" s="331">
        <f t="shared" ref="E79:E139" si="6">F79+K79</f>
        <v>20</v>
      </c>
      <c r="F79" s="333">
        <f t="shared" ref="F79:F139" si="7">G79+I79+J79</f>
        <v>0</v>
      </c>
      <c r="G79" s="333">
        <v>0</v>
      </c>
      <c r="H79" s="333">
        <v>0</v>
      </c>
      <c r="I79" s="333">
        <v>0</v>
      </c>
      <c r="J79" s="333"/>
      <c r="K79" s="333">
        <f t="shared" si="5"/>
        <v>20</v>
      </c>
      <c r="L79" s="333"/>
      <c r="M79" s="333"/>
      <c r="N79" s="333"/>
      <c r="O79" s="333">
        <v>20</v>
      </c>
      <c r="P79" s="333"/>
      <c r="Q79" s="333"/>
      <c r="R79" s="334"/>
    </row>
    <row r="80" spans="1:18" ht="27" customHeight="1" x14ac:dyDescent="0.25">
      <c r="A80" s="331">
        <v>70</v>
      </c>
      <c r="B80" s="331" t="s">
        <v>597</v>
      </c>
      <c r="C80" s="331" t="s">
        <v>525</v>
      </c>
      <c r="D80" s="332" t="s">
        <v>608</v>
      </c>
      <c r="E80" s="331">
        <f t="shared" si="6"/>
        <v>9431</v>
      </c>
      <c r="F80" s="333">
        <f t="shared" si="7"/>
        <v>2358</v>
      </c>
      <c r="G80" s="333">
        <v>2358</v>
      </c>
      <c r="H80" s="333">
        <v>1125</v>
      </c>
      <c r="I80" s="333">
        <v>0</v>
      </c>
      <c r="J80" s="333"/>
      <c r="K80" s="333">
        <f t="shared" si="5"/>
        <v>7073</v>
      </c>
      <c r="L80" s="333"/>
      <c r="M80" s="333"/>
      <c r="N80" s="333"/>
      <c r="O80" s="333"/>
      <c r="P80" s="333">
        <v>1105</v>
      </c>
      <c r="Q80" s="333">
        <v>5968</v>
      </c>
      <c r="R80" s="334"/>
    </row>
    <row r="81" spans="1:18" ht="27" customHeight="1" x14ac:dyDescent="0.25">
      <c r="A81" s="331">
        <v>71</v>
      </c>
      <c r="B81" s="331" t="s">
        <v>609</v>
      </c>
      <c r="C81" s="331" t="s">
        <v>537</v>
      </c>
      <c r="D81" s="332" t="s">
        <v>200</v>
      </c>
      <c r="E81" s="331">
        <f t="shared" si="6"/>
        <v>55340</v>
      </c>
      <c r="F81" s="333">
        <f t="shared" si="7"/>
        <v>13174</v>
      </c>
      <c r="G81" s="333">
        <v>13174</v>
      </c>
      <c r="H81" s="333">
        <v>0</v>
      </c>
      <c r="I81" s="333">
        <v>0</v>
      </c>
      <c r="J81" s="333"/>
      <c r="K81" s="333">
        <f t="shared" si="5"/>
        <v>42166</v>
      </c>
      <c r="L81" s="333"/>
      <c r="M81" s="333"/>
      <c r="N81" s="333"/>
      <c r="O81" s="333"/>
      <c r="P81" s="333">
        <v>2432</v>
      </c>
      <c r="Q81" s="333">
        <v>39734</v>
      </c>
      <c r="R81" s="334"/>
    </row>
    <row r="82" spans="1:18" ht="27" customHeight="1" x14ac:dyDescent="0.25">
      <c r="A82" s="331">
        <v>72</v>
      </c>
      <c r="B82" s="331" t="s">
        <v>610</v>
      </c>
      <c r="C82" s="331" t="s">
        <v>525</v>
      </c>
      <c r="D82" s="332" t="s">
        <v>611</v>
      </c>
      <c r="E82" s="331">
        <f t="shared" si="6"/>
        <v>568</v>
      </c>
      <c r="F82" s="333">
        <f t="shared" si="7"/>
        <v>568</v>
      </c>
      <c r="G82" s="333">
        <v>568</v>
      </c>
      <c r="H82" s="333">
        <v>568</v>
      </c>
      <c r="I82" s="333">
        <v>0</v>
      </c>
      <c r="J82" s="333"/>
      <c r="K82" s="333">
        <f t="shared" si="5"/>
        <v>0</v>
      </c>
      <c r="L82" s="333"/>
      <c r="M82" s="333"/>
      <c r="N82" s="333"/>
      <c r="O82" s="333"/>
      <c r="P82" s="333">
        <v>0</v>
      </c>
      <c r="Q82" s="333">
        <v>0</v>
      </c>
      <c r="R82" s="334"/>
    </row>
    <row r="83" spans="1:18" ht="27" customHeight="1" x14ac:dyDescent="0.25">
      <c r="A83" s="331">
        <v>73</v>
      </c>
      <c r="B83" s="331" t="s">
        <v>612</v>
      </c>
      <c r="C83" s="331" t="s">
        <v>537</v>
      </c>
      <c r="D83" s="332" t="s">
        <v>52</v>
      </c>
      <c r="E83" s="331">
        <f t="shared" si="6"/>
        <v>32337</v>
      </c>
      <c r="F83" s="333">
        <f t="shared" si="7"/>
        <v>7735</v>
      </c>
      <c r="G83" s="333">
        <v>7735</v>
      </c>
      <c r="H83" s="333">
        <v>0</v>
      </c>
      <c r="I83" s="333">
        <v>0</v>
      </c>
      <c r="J83" s="333"/>
      <c r="K83" s="333">
        <f t="shared" si="5"/>
        <v>24602</v>
      </c>
      <c r="L83" s="333"/>
      <c r="M83" s="333"/>
      <c r="N83" s="333"/>
      <c r="O83" s="333"/>
      <c r="P83" s="333">
        <v>1355</v>
      </c>
      <c r="Q83" s="333">
        <v>23247</v>
      </c>
      <c r="R83" s="334"/>
    </row>
    <row r="84" spans="1:18" ht="27" customHeight="1" x14ac:dyDescent="0.25">
      <c r="A84" s="331">
        <v>74</v>
      </c>
      <c r="B84" s="331" t="s">
        <v>613</v>
      </c>
      <c r="C84" s="331" t="s">
        <v>525</v>
      </c>
      <c r="D84" s="332" t="s">
        <v>441</v>
      </c>
      <c r="E84" s="331">
        <f t="shared" si="6"/>
        <v>445</v>
      </c>
      <c r="F84" s="333">
        <f t="shared" si="7"/>
        <v>445</v>
      </c>
      <c r="G84" s="333">
        <v>445</v>
      </c>
      <c r="H84" s="333">
        <v>445</v>
      </c>
      <c r="I84" s="333">
        <v>0</v>
      </c>
      <c r="J84" s="333"/>
      <c r="K84" s="333">
        <f t="shared" si="5"/>
        <v>0</v>
      </c>
      <c r="L84" s="333"/>
      <c r="M84" s="333"/>
      <c r="N84" s="333"/>
      <c r="O84" s="333"/>
      <c r="P84" s="333">
        <v>0</v>
      </c>
      <c r="Q84" s="333">
        <v>0</v>
      </c>
      <c r="R84" s="334"/>
    </row>
    <row r="85" spans="1:18" ht="27" customHeight="1" x14ac:dyDescent="0.25">
      <c r="A85" s="331">
        <v>75</v>
      </c>
      <c r="B85" s="331" t="s">
        <v>614</v>
      </c>
      <c r="C85" s="331" t="s">
        <v>534</v>
      </c>
      <c r="D85" s="332" t="s">
        <v>615</v>
      </c>
      <c r="E85" s="331">
        <f t="shared" si="6"/>
        <v>7616</v>
      </c>
      <c r="F85" s="333">
        <f t="shared" si="7"/>
        <v>746</v>
      </c>
      <c r="G85" s="333">
        <v>746</v>
      </c>
      <c r="H85" s="333">
        <v>128</v>
      </c>
      <c r="I85" s="333">
        <v>0</v>
      </c>
      <c r="J85" s="333"/>
      <c r="K85" s="333">
        <f t="shared" si="5"/>
        <v>6870</v>
      </c>
      <c r="L85" s="333"/>
      <c r="M85" s="333"/>
      <c r="N85" s="333"/>
      <c r="O85" s="333"/>
      <c r="P85" s="333">
        <v>972</v>
      </c>
      <c r="Q85" s="333">
        <v>5898</v>
      </c>
      <c r="R85" s="334"/>
    </row>
    <row r="86" spans="1:18" ht="27" customHeight="1" x14ac:dyDescent="0.25">
      <c r="A86" s="331">
        <v>76</v>
      </c>
      <c r="B86" s="331" t="s">
        <v>616</v>
      </c>
      <c r="C86" s="331" t="s">
        <v>554</v>
      </c>
      <c r="D86" s="332" t="s">
        <v>53</v>
      </c>
      <c r="E86" s="331">
        <f t="shared" si="6"/>
        <v>43963</v>
      </c>
      <c r="F86" s="333">
        <f t="shared" si="7"/>
        <v>9908</v>
      </c>
      <c r="G86" s="333">
        <v>9908</v>
      </c>
      <c r="H86" s="333">
        <v>0</v>
      </c>
      <c r="I86" s="333">
        <v>0</v>
      </c>
      <c r="J86" s="333"/>
      <c r="K86" s="333">
        <f t="shared" si="5"/>
        <v>34055</v>
      </c>
      <c r="L86" s="333"/>
      <c r="M86" s="333"/>
      <c r="N86" s="333"/>
      <c r="O86" s="333"/>
      <c r="P86" s="333">
        <v>4285</v>
      </c>
      <c r="Q86" s="333">
        <v>29770</v>
      </c>
      <c r="R86" s="334"/>
    </row>
    <row r="87" spans="1:18" ht="27" customHeight="1" x14ac:dyDescent="0.25">
      <c r="A87" s="331">
        <v>77</v>
      </c>
      <c r="B87" s="331" t="s">
        <v>617</v>
      </c>
      <c r="C87" s="331" t="s">
        <v>525</v>
      </c>
      <c r="D87" s="332" t="s">
        <v>451</v>
      </c>
      <c r="E87" s="331">
        <f t="shared" si="6"/>
        <v>1425</v>
      </c>
      <c r="F87" s="333">
        <f t="shared" si="7"/>
        <v>1425</v>
      </c>
      <c r="G87" s="333">
        <v>1425</v>
      </c>
      <c r="H87" s="333">
        <v>1425</v>
      </c>
      <c r="I87" s="333">
        <v>0</v>
      </c>
      <c r="J87" s="333"/>
      <c r="K87" s="333">
        <f t="shared" si="5"/>
        <v>0</v>
      </c>
      <c r="L87" s="333"/>
      <c r="M87" s="333"/>
      <c r="N87" s="333"/>
      <c r="O87" s="333"/>
      <c r="P87" s="333">
        <v>0</v>
      </c>
      <c r="Q87" s="333">
        <v>0</v>
      </c>
      <c r="R87" s="334"/>
    </row>
    <row r="88" spans="1:18" ht="27" customHeight="1" x14ac:dyDescent="0.25">
      <c r="A88" s="331">
        <v>78</v>
      </c>
      <c r="B88" s="331" t="s">
        <v>616</v>
      </c>
      <c r="C88" s="331" t="s">
        <v>534</v>
      </c>
      <c r="D88" s="332" t="s">
        <v>618</v>
      </c>
      <c r="E88" s="331">
        <f t="shared" si="6"/>
        <v>19130</v>
      </c>
      <c r="F88" s="333">
        <f t="shared" si="7"/>
        <v>4781</v>
      </c>
      <c r="G88" s="333">
        <v>4781</v>
      </c>
      <c r="H88" s="333">
        <v>0</v>
      </c>
      <c r="I88" s="333">
        <v>0</v>
      </c>
      <c r="J88" s="333"/>
      <c r="K88" s="333">
        <f t="shared" si="5"/>
        <v>14349</v>
      </c>
      <c r="L88" s="333"/>
      <c r="M88" s="333"/>
      <c r="N88" s="333"/>
      <c r="O88" s="333"/>
      <c r="P88" s="333">
        <v>0</v>
      </c>
      <c r="Q88" s="333">
        <v>14349</v>
      </c>
      <c r="R88" s="334"/>
    </row>
    <row r="89" spans="1:18" ht="33.75" customHeight="1" x14ac:dyDescent="0.25">
      <c r="A89" s="331">
        <v>79</v>
      </c>
      <c r="B89" s="331"/>
      <c r="C89" s="331" t="s">
        <v>534</v>
      </c>
      <c r="D89" s="332" t="s">
        <v>450</v>
      </c>
      <c r="E89" s="331">
        <f t="shared" si="6"/>
        <v>1093</v>
      </c>
      <c r="F89" s="333">
        <f t="shared" si="7"/>
        <v>272</v>
      </c>
      <c r="G89" s="333">
        <v>272</v>
      </c>
      <c r="H89" s="333">
        <v>0</v>
      </c>
      <c r="I89" s="333">
        <v>0</v>
      </c>
      <c r="J89" s="333"/>
      <c r="K89" s="333">
        <f t="shared" si="5"/>
        <v>821</v>
      </c>
      <c r="L89" s="333"/>
      <c r="M89" s="333"/>
      <c r="N89" s="333"/>
      <c r="O89" s="333">
        <v>821</v>
      </c>
      <c r="P89" s="333">
        <v>0</v>
      </c>
      <c r="Q89" s="333">
        <v>0</v>
      </c>
      <c r="R89" s="334"/>
    </row>
    <row r="90" spans="1:18" ht="27" customHeight="1" x14ac:dyDescent="0.25">
      <c r="A90" s="331">
        <v>80</v>
      </c>
      <c r="B90" s="331" t="s">
        <v>619</v>
      </c>
      <c r="C90" s="331" t="s">
        <v>537</v>
      </c>
      <c r="D90" s="332" t="s">
        <v>198</v>
      </c>
      <c r="E90" s="331">
        <f t="shared" si="6"/>
        <v>43587</v>
      </c>
      <c r="F90" s="333">
        <f t="shared" si="7"/>
        <v>8298</v>
      </c>
      <c r="G90" s="333">
        <v>8298</v>
      </c>
      <c r="H90" s="333">
        <v>2</v>
      </c>
      <c r="I90" s="333">
        <v>0</v>
      </c>
      <c r="J90" s="333"/>
      <c r="K90" s="333">
        <f t="shared" si="5"/>
        <v>35289</v>
      </c>
      <c r="L90" s="333"/>
      <c r="M90" s="333"/>
      <c r="N90" s="333"/>
      <c r="O90" s="333"/>
      <c r="P90" s="333">
        <v>3398</v>
      </c>
      <c r="Q90" s="333">
        <v>31891</v>
      </c>
      <c r="R90" s="334"/>
    </row>
    <row r="91" spans="1:18" ht="27" customHeight="1" x14ac:dyDescent="0.25">
      <c r="A91" s="331">
        <v>81</v>
      </c>
      <c r="B91" s="331" t="s">
        <v>580</v>
      </c>
      <c r="C91" s="331" t="s">
        <v>537</v>
      </c>
      <c r="D91" s="332" t="s">
        <v>199</v>
      </c>
      <c r="E91" s="331">
        <f t="shared" si="6"/>
        <v>4096</v>
      </c>
      <c r="F91" s="333">
        <f t="shared" si="7"/>
        <v>4096</v>
      </c>
      <c r="G91" s="333">
        <v>4096</v>
      </c>
      <c r="H91" s="333">
        <v>0</v>
      </c>
      <c r="I91" s="333">
        <v>0</v>
      </c>
      <c r="J91" s="333"/>
      <c r="K91" s="333">
        <f t="shared" si="5"/>
        <v>0</v>
      </c>
      <c r="L91" s="333"/>
      <c r="M91" s="333"/>
      <c r="N91" s="333"/>
      <c r="O91" s="333"/>
      <c r="P91" s="333">
        <v>0</v>
      </c>
      <c r="Q91" s="333">
        <v>0</v>
      </c>
      <c r="R91" s="334"/>
    </row>
    <row r="92" spans="1:18" ht="39" customHeight="1" x14ac:dyDescent="0.25">
      <c r="A92" s="331">
        <v>82</v>
      </c>
      <c r="B92" s="331" t="s">
        <v>620</v>
      </c>
      <c r="C92" s="331" t="s">
        <v>525</v>
      </c>
      <c r="D92" s="332" t="s">
        <v>621</v>
      </c>
      <c r="E92" s="331">
        <f t="shared" si="6"/>
        <v>5784</v>
      </c>
      <c r="F92" s="333">
        <f t="shared" si="7"/>
        <v>5784</v>
      </c>
      <c r="G92" s="333">
        <v>5784</v>
      </c>
      <c r="H92" s="333">
        <v>0</v>
      </c>
      <c r="I92" s="333">
        <v>0</v>
      </c>
      <c r="J92" s="333"/>
      <c r="K92" s="333">
        <f t="shared" si="5"/>
        <v>0</v>
      </c>
      <c r="L92" s="333"/>
      <c r="M92" s="333"/>
      <c r="N92" s="333"/>
      <c r="O92" s="333"/>
      <c r="P92" s="333">
        <v>0</v>
      </c>
      <c r="Q92" s="333">
        <v>0</v>
      </c>
      <c r="R92" s="334"/>
    </row>
    <row r="93" spans="1:18" ht="27" customHeight="1" x14ac:dyDescent="0.25">
      <c r="A93" s="573">
        <v>83</v>
      </c>
      <c r="B93" s="331" t="s">
        <v>622</v>
      </c>
      <c r="C93" s="331" t="s">
        <v>554</v>
      </c>
      <c r="D93" s="332" t="s">
        <v>115</v>
      </c>
      <c r="E93" s="331">
        <f t="shared" si="6"/>
        <v>32781</v>
      </c>
      <c r="F93" s="333">
        <f t="shared" si="7"/>
        <v>8131</v>
      </c>
      <c r="G93" s="333">
        <v>6537</v>
      </c>
      <c r="H93" s="333">
        <v>0</v>
      </c>
      <c r="I93" s="337">
        <v>1594</v>
      </c>
      <c r="J93" s="333"/>
      <c r="K93" s="333">
        <f t="shared" si="5"/>
        <v>24650</v>
      </c>
      <c r="L93" s="333">
        <v>4950</v>
      </c>
      <c r="M93" s="333"/>
      <c r="N93" s="333"/>
      <c r="O93" s="333"/>
      <c r="P93" s="333">
        <v>0</v>
      </c>
      <c r="Q93" s="333">
        <v>19700</v>
      </c>
      <c r="R93" s="334"/>
    </row>
    <row r="94" spans="1:18" ht="58.5" customHeight="1" x14ac:dyDescent="0.25">
      <c r="A94" s="575"/>
      <c r="B94" s="331"/>
      <c r="C94" s="331"/>
      <c r="D94" s="332" t="s">
        <v>623</v>
      </c>
      <c r="E94" s="331">
        <f t="shared" si="6"/>
        <v>26657</v>
      </c>
      <c r="F94" s="333">
        <f t="shared" si="7"/>
        <v>3024</v>
      </c>
      <c r="G94" s="333">
        <v>3024</v>
      </c>
      <c r="H94" s="333">
        <v>0</v>
      </c>
      <c r="I94" s="333">
        <v>0</v>
      </c>
      <c r="J94" s="333"/>
      <c r="K94" s="333">
        <f t="shared" si="5"/>
        <v>23633</v>
      </c>
      <c r="L94" s="333"/>
      <c r="M94" s="333"/>
      <c r="N94" s="333"/>
      <c r="O94" s="333"/>
      <c r="P94" s="333">
        <v>0</v>
      </c>
      <c r="Q94" s="333">
        <v>23633</v>
      </c>
      <c r="R94" s="334"/>
    </row>
    <row r="95" spans="1:18" ht="27" customHeight="1" x14ac:dyDescent="0.25">
      <c r="A95" s="331">
        <v>84</v>
      </c>
      <c r="B95" s="331" t="s">
        <v>624</v>
      </c>
      <c r="C95" s="331" t="s">
        <v>534</v>
      </c>
      <c r="D95" s="332" t="s">
        <v>625</v>
      </c>
      <c r="E95" s="331">
        <f t="shared" si="6"/>
        <v>25243</v>
      </c>
      <c r="F95" s="333">
        <f t="shared" si="7"/>
        <v>5499</v>
      </c>
      <c r="G95" s="333">
        <v>5499</v>
      </c>
      <c r="H95" s="333">
        <v>0</v>
      </c>
      <c r="I95" s="333">
        <v>0</v>
      </c>
      <c r="J95" s="333"/>
      <c r="K95" s="333">
        <f t="shared" si="5"/>
        <v>19744</v>
      </c>
      <c r="L95" s="333">
        <v>8954</v>
      </c>
      <c r="M95" s="333"/>
      <c r="N95" s="333"/>
      <c r="O95" s="333"/>
      <c r="P95" s="333">
        <v>0</v>
      </c>
      <c r="Q95" s="333">
        <v>10790</v>
      </c>
      <c r="R95" s="334"/>
    </row>
    <row r="96" spans="1:18" ht="27" customHeight="1" x14ac:dyDescent="0.25">
      <c r="A96" s="331">
        <v>85</v>
      </c>
      <c r="B96" s="331" t="s">
        <v>626</v>
      </c>
      <c r="C96" s="331" t="s">
        <v>525</v>
      </c>
      <c r="D96" s="332" t="s">
        <v>627</v>
      </c>
      <c r="E96" s="331">
        <f t="shared" si="6"/>
        <v>11000</v>
      </c>
      <c r="F96" s="333">
        <f t="shared" si="7"/>
        <v>2750</v>
      </c>
      <c r="G96" s="333">
        <v>2750</v>
      </c>
      <c r="H96" s="333">
        <v>2750</v>
      </c>
      <c r="I96" s="333">
        <v>0</v>
      </c>
      <c r="J96" s="333"/>
      <c r="K96" s="333">
        <f t="shared" si="5"/>
        <v>8250</v>
      </c>
      <c r="L96" s="333"/>
      <c r="M96" s="333"/>
      <c r="N96" s="333"/>
      <c r="O96" s="333"/>
      <c r="P96" s="333">
        <v>8250</v>
      </c>
      <c r="Q96" s="333">
        <v>0</v>
      </c>
      <c r="R96" s="334"/>
    </row>
    <row r="97" spans="1:18" ht="27" customHeight="1" x14ac:dyDescent="0.25">
      <c r="A97" s="331">
        <v>86</v>
      </c>
      <c r="B97" s="331" t="s">
        <v>628</v>
      </c>
      <c r="C97" s="331" t="s">
        <v>525</v>
      </c>
      <c r="D97" s="332" t="s">
        <v>453</v>
      </c>
      <c r="E97" s="331">
        <f t="shared" si="6"/>
        <v>3838</v>
      </c>
      <c r="F97" s="333">
        <f t="shared" si="7"/>
        <v>959</v>
      </c>
      <c r="G97" s="333">
        <v>959</v>
      </c>
      <c r="H97" s="333">
        <v>0</v>
      </c>
      <c r="I97" s="333">
        <v>0</v>
      </c>
      <c r="J97" s="333"/>
      <c r="K97" s="333">
        <f t="shared" si="5"/>
        <v>2879</v>
      </c>
      <c r="L97" s="333"/>
      <c r="M97" s="333"/>
      <c r="N97" s="333"/>
      <c r="O97" s="333"/>
      <c r="P97" s="333">
        <v>0</v>
      </c>
      <c r="Q97" s="333">
        <v>2879</v>
      </c>
      <c r="R97" s="334"/>
    </row>
    <row r="98" spans="1:18" ht="27" customHeight="1" x14ac:dyDescent="0.25">
      <c r="A98" s="331">
        <v>87</v>
      </c>
      <c r="B98" s="331" t="s">
        <v>629</v>
      </c>
      <c r="C98" s="331" t="s">
        <v>525</v>
      </c>
      <c r="D98" s="332" t="s">
        <v>468</v>
      </c>
      <c r="E98" s="331">
        <f t="shared" si="6"/>
        <v>25220</v>
      </c>
      <c r="F98" s="333">
        <f t="shared" si="7"/>
        <v>6272</v>
      </c>
      <c r="G98" s="333">
        <v>6272</v>
      </c>
      <c r="H98" s="333">
        <v>0</v>
      </c>
      <c r="I98" s="333">
        <v>0</v>
      </c>
      <c r="J98" s="333"/>
      <c r="K98" s="333">
        <f t="shared" si="5"/>
        <v>18948</v>
      </c>
      <c r="L98" s="333"/>
      <c r="M98" s="333"/>
      <c r="N98" s="333"/>
      <c r="O98" s="333"/>
      <c r="P98" s="333">
        <v>0</v>
      </c>
      <c r="Q98" s="333">
        <v>18948</v>
      </c>
      <c r="R98" s="334"/>
    </row>
    <row r="99" spans="1:18" ht="27" customHeight="1" x14ac:dyDescent="0.25">
      <c r="A99" s="331">
        <v>88</v>
      </c>
      <c r="B99" s="331" t="s">
        <v>630</v>
      </c>
      <c r="C99" s="331" t="s">
        <v>525</v>
      </c>
      <c r="D99" s="332" t="s">
        <v>469</v>
      </c>
      <c r="E99" s="331">
        <f t="shared" si="6"/>
        <v>15142</v>
      </c>
      <c r="F99" s="333">
        <f t="shared" si="7"/>
        <v>3772</v>
      </c>
      <c r="G99" s="333">
        <v>3772</v>
      </c>
      <c r="H99" s="333">
        <v>0</v>
      </c>
      <c r="I99" s="333">
        <v>0</v>
      </c>
      <c r="J99" s="333"/>
      <c r="K99" s="333">
        <f t="shared" si="5"/>
        <v>11370</v>
      </c>
      <c r="L99" s="333"/>
      <c r="M99" s="333"/>
      <c r="N99" s="333"/>
      <c r="O99" s="333"/>
      <c r="P99" s="333">
        <v>0</v>
      </c>
      <c r="Q99" s="333">
        <v>11370</v>
      </c>
      <c r="R99" s="334"/>
    </row>
    <row r="100" spans="1:18" ht="27" customHeight="1" x14ac:dyDescent="0.25">
      <c r="A100" s="331">
        <v>89</v>
      </c>
      <c r="B100" s="331" t="s">
        <v>631</v>
      </c>
      <c r="C100" s="331" t="s">
        <v>525</v>
      </c>
      <c r="D100" s="332" t="s">
        <v>470</v>
      </c>
      <c r="E100" s="331">
        <f t="shared" si="6"/>
        <v>14590</v>
      </c>
      <c r="F100" s="333">
        <f t="shared" si="7"/>
        <v>3648</v>
      </c>
      <c r="G100" s="333">
        <v>3648</v>
      </c>
      <c r="H100" s="333">
        <v>224</v>
      </c>
      <c r="I100" s="333">
        <v>0</v>
      </c>
      <c r="J100" s="333"/>
      <c r="K100" s="333">
        <f t="shared" si="5"/>
        <v>10942</v>
      </c>
      <c r="L100" s="333"/>
      <c r="M100" s="333"/>
      <c r="N100" s="333"/>
      <c r="O100" s="333"/>
      <c r="P100" s="333">
        <v>1305</v>
      </c>
      <c r="Q100" s="333">
        <v>9637</v>
      </c>
      <c r="R100" s="334"/>
    </row>
    <row r="101" spans="1:18" ht="27" customHeight="1" x14ac:dyDescent="0.25">
      <c r="A101" s="331">
        <v>90</v>
      </c>
      <c r="B101" s="331" t="s">
        <v>632</v>
      </c>
      <c r="C101" s="331" t="s">
        <v>525</v>
      </c>
      <c r="D101" s="332" t="s">
        <v>471</v>
      </c>
      <c r="E101" s="331">
        <f t="shared" si="6"/>
        <v>11014</v>
      </c>
      <c r="F101" s="333">
        <f t="shared" si="7"/>
        <v>2750</v>
      </c>
      <c r="G101" s="333">
        <v>2750</v>
      </c>
      <c r="H101" s="333">
        <v>0</v>
      </c>
      <c r="I101" s="333">
        <v>0</v>
      </c>
      <c r="J101" s="333"/>
      <c r="K101" s="333">
        <f t="shared" si="5"/>
        <v>8264</v>
      </c>
      <c r="L101" s="333"/>
      <c r="M101" s="333"/>
      <c r="N101" s="333"/>
      <c r="O101" s="333"/>
      <c r="P101" s="333">
        <v>0</v>
      </c>
      <c r="Q101" s="333">
        <v>8264</v>
      </c>
      <c r="R101" s="334"/>
    </row>
    <row r="102" spans="1:18" ht="27" customHeight="1" x14ac:dyDescent="0.25">
      <c r="A102" s="331">
        <v>91</v>
      </c>
      <c r="B102" s="331" t="s">
        <v>633</v>
      </c>
      <c r="C102" s="331" t="s">
        <v>525</v>
      </c>
      <c r="D102" s="332" t="s">
        <v>472</v>
      </c>
      <c r="E102" s="331">
        <f t="shared" si="6"/>
        <v>28684</v>
      </c>
      <c r="F102" s="333">
        <f t="shared" si="7"/>
        <v>7163</v>
      </c>
      <c r="G102" s="333">
        <v>7163</v>
      </c>
      <c r="H102" s="333">
        <v>0</v>
      </c>
      <c r="I102" s="333">
        <v>0</v>
      </c>
      <c r="J102" s="333"/>
      <c r="K102" s="333">
        <f t="shared" si="5"/>
        <v>21521</v>
      </c>
      <c r="L102" s="333"/>
      <c r="M102" s="333"/>
      <c r="N102" s="333"/>
      <c r="O102" s="333"/>
      <c r="P102" s="333">
        <v>0</v>
      </c>
      <c r="Q102" s="333">
        <v>21521</v>
      </c>
      <c r="R102" s="334"/>
    </row>
    <row r="103" spans="1:18" ht="27" customHeight="1" x14ac:dyDescent="0.25">
      <c r="A103" s="331">
        <v>92</v>
      </c>
      <c r="B103" s="331" t="s">
        <v>634</v>
      </c>
      <c r="C103" s="331" t="s">
        <v>525</v>
      </c>
      <c r="D103" s="332" t="s">
        <v>473</v>
      </c>
      <c r="E103" s="331">
        <f t="shared" si="6"/>
        <v>14621</v>
      </c>
      <c r="F103" s="333">
        <f t="shared" si="7"/>
        <v>3650</v>
      </c>
      <c r="G103" s="333">
        <v>3650</v>
      </c>
      <c r="H103" s="333">
        <v>0</v>
      </c>
      <c r="I103" s="333">
        <v>0</v>
      </c>
      <c r="J103" s="333"/>
      <c r="K103" s="333">
        <f t="shared" si="5"/>
        <v>10971</v>
      </c>
      <c r="L103" s="333"/>
      <c r="M103" s="333"/>
      <c r="N103" s="333"/>
      <c r="O103" s="333"/>
      <c r="P103" s="333">
        <v>0</v>
      </c>
      <c r="Q103" s="333">
        <v>10971</v>
      </c>
      <c r="R103" s="334"/>
    </row>
    <row r="104" spans="1:18" ht="27" customHeight="1" x14ac:dyDescent="0.25">
      <c r="A104" s="331">
        <v>93</v>
      </c>
      <c r="B104" s="331" t="s">
        <v>635</v>
      </c>
      <c r="C104" s="331" t="s">
        <v>525</v>
      </c>
      <c r="D104" s="332" t="s">
        <v>285</v>
      </c>
      <c r="E104" s="331">
        <f t="shared" si="6"/>
        <v>16531</v>
      </c>
      <c r="F104" s="333">
        <f t="shared" si="7"/>
        <v>4113</v>
      </c>
      <c r="G104" s="333">
        <v>4113</v>
      </c>
      <c r="H104" s="333">
        <v>0</v>
      </c>
      <c r="I104" s="333">
        <v>0</v>
      </c>
      <c r="J104" s="333"/>
      <c r="K104" s="333">
        <f t="shared" si="5"/>
        <v>12418</v>
      </c>
      <c r="L104" s="333"/>
      <c r="M104" s="333"/>
      <c r="N104" s="333"/>
      <c r="O104" s="333"/>
      <c r="P104" s="333">
        <v>0</v>
      </c>
      <c r="Q104" s="333">
        <v>12418</v>
      </c>
      <c r="R104" s="334"/>
    </row>
    <row r="105" spans="1:18" ht="27" customHeight="1" x14ac:dyDescent="0.25">
      <c r="A105" s="331">
        <v>94</v>
      </c>
      <c r="B105" s="331" t="s">
        <v>636</v>
      </c>
      <c r="C105" s="331" t="s">
        <v>537</v>
      </c>
      <c r="D105" s="332" t="s">
        <v>637</v>
      </c>
      <c r="E105" s="331">
        <f t="shared" si="6"/>
        <v>37331</v>
      </c>
      <c r="F105" s="333">
        <f t="shared" si="7"/>
        <v>9310</v>
      </c>
      <c r="G105" s="333">
        <v>7003</v>
      </c>
      <c r="H105" s="333">
        <v>0</v>
      </c>
      <c r="I105" s="333">
        <v>2307</v>
      </c>
      <c r="J105" s="333"/>
      <c r="K105" s="333">
        <f t="shared" si="5"/>
        <v>28021</v>
      </c>
      <c r="L105" s="333">
        <v>6934</v>
      </c>
      <c r="M105" s="333"/>
      <c r="N105" s="333"/>
      <c r="O105" s="333"/>
      <c r="P105" s="333">
        <v>0</v>
      </c>
      <c r="Q105" s="333">
        <v>21087</v>
      </c>
      <c r="R105" s="334"/>
    </row>
    <row r="106" spans="1:18" ht="27" customHeight="1" x14ac:dyDescent="0.25">
      <c r="A106" s="331">
        <v>95</v>
      </c>
      <c r="B106" s="331" t="s">
        <v>638</v>
      </c>
      <c r="C106" s="331" t="s">
        <v>525</v>
      </c>
      <c r="D106" s="332" t="s">
        <v>474</v>
      </c>
      <c r="E106" s="331">
        <f t="shared" si="6"/>
        <v>9837</v>
      </c>
      <c r="F106" s="333">
        <f t="shared" si="7"/>
        <v>2458</v>
      </c>
      <c r="G106" s="333">
        <v>2458</v>
      </c>
      <c r="H106" s="333">
        <v>0</v>
      </c>
      <c r="I106" s="333">
        <v>0</v>
      </c>
      <c r="J106" s="333"/>
      <c r="K106" s="333">
        <f t="shared" si="5"/>
        <v>7379</v>
      </c>
      <c r="L106" s="333"/>
      <c r="M106" s="333"/>
      <c r="N106" s="333"/>
      <c r="O106" s="333"/>
      <c r="P106" s="333">
        <v>0</v>
      </c>
      <c r="Q106" s="333">
        <v>7379</v>
      </c>
      <c r="R106" s="334"/>
    </row>
    <row r="107" spans="1:18" ht="27" customHeight="1" x14ac:dyDescent="0.25">
      <c r="A107" s="331">
        <v>96</v>
      </c>
      <c r="B107" s="331" t="s">
        <v>639</v>
      </c>
      <c r="C107" s="331" t="s">
        <v>525</v>
      </c>
      <c r="D107" s="332" t="s">
        <v>312</v>
      </c>
      <c r="E107" s="331">
        <f t="shared" si="6"/>
        <v>28000</v>
      </c>
      <c r="F107" s="333">
        <f t="shared" si="7"/>
        <v>6999</v>
      </c>
      <c r="G107" s="333">
        <v>6999</v>
      </c>
      <c r="H107" s="333">
        <v>0</v>
      </c>
      <c r="I107" s="333">
        <v>0</v>
      </c>
      <c r="J107" s="333"/>
      <c r="K107" s="333">
        <f t="shared" si="5"/>
        <v>21001</v>
      </c>
      <c r="L107" s="333"/>
      <c r="M107" s="333"/>
      <c r="N107" s="333"/>
      <c r="O107" s="333"/>
      <c r="P107" s="333">
        <v>0</v>
      </c>
      <c r="Q107" s="333">
        <v>21001</v>
      </c>
      <c r="R107" s="334"/>
    </row>
    <row r="108" spans="1:18" ht="27" customHeight="1" x14ac:dyDescent="0.25">
      <c r="A108" s="331">
        <v>97</v>
      </c>
      <c r="B108" s="331" t="s">
        <v>640</v>
      </c>
      <c r="C108" s="331" t="s">
        <v>525</v>
      </c>
      <c r="D108" s="332" t="s">
        <v>475</v>
      </c>
      <c r="E108" s="331">
        <f t="shared" si="6"/>
        <v>12904</v>
      </c>
      <c r="F108" s="333">
        <f t="shared" si="7"/>
        <v>4287</v>
      </c>
      <c r="G108" s="333">
        <v>4287</v>
      </c>
      <c r="H108" s="333">
        <v>0</v>
      </c>
      <c r="I108" s="333">
        <v>0</v>
      </c>
      <c r="J108" s="333"/>
      <c r="K108" s="333">
        <f t="shared" si="5"/>
        <v>8617</v>
      </c>
      <c r="L108" s="333"/>
      <c r="M108" s="333"/>
      <c r="N108" s="333"/>
      <c r="O108" s="333"/>
      <c r="P108" s="333">
        <v>0</v>
      </c>
      <c r="Q108" s="333">
        <v>8617</v>
      </c>
      <c r="R108" s="334"/>
    </row>
    <row r="109" spans="1:18" ht="27" customHeight="1" x14ac:dyDescent="0.25">
      <c r="A109" s="331">
        <v>98</v>
      </c>
      <c r="B109" s="331" t="s">
        <v>641</v>
      </c>
      <c r="C109" s="331" t="s">
        <v>525</v>
      </c>
      <c r="D109" s="332" t="s">
        <v>476</v>
      </c>
      <c r="E109" s="331">
        <f t="shared" si="6"/>
        <v>12543</v>
      </c>
      <c r="F109" s="333">
        <f t="shared" si="7"/>
        <v>3133</v>
      </c>
      <c r="G109" s="333">
        <v>3133</v>
      </c>
      <c r="H109" s="333">
        <v>0</v>
      </c>
      <c r="I109" s="333">
        <v>0</v>
      </c>
      <c r="J109" s="333"/>
      <c r="K109" s="333">
        <f t="shared" si="5"/>
        <v>9410</v>
      </c>
      <c r="L109" s="333"/>
      <c r="M109" s="333"/>
      <c r="N109" s="333"/>
      <c r="O109" s="333"/>
      <c r="P109" s="333">
        <v>0</v>
      </c>
      <c r="Q109" s="333">
        <v>9410</v>
      </c>
      <c r="R109" s="334"/>
    </row>
    <row r="110" spans="1:18" ht="27" customHeight="1" x14ac:dyDescent="0.25">
      <c r="A110" s="331">
        <v>99</v>
      </c>
      <c r="B110" s="331" t="s">
        <v>642</v>
      </c>
      <c r="C110" s="331" t="s">
        <v>525</v>
      </c>
      <c r="D110" s="332" t="s">
        <v>55</v>
      </c>
      <c r="E110" s="331">
        <f t="shared" si="6"/>
        <v>8052</v>
      </c>
      <c r="F110" s="333">
        <f t="shared" si="7"/>
        <v>2004</v>
      </c>
      <c r="G110" s="333">
        <v>2004</v>
      </c>
      <c r="H110" s="333">
        <v>0</v>
      </c>
      <c r="I110" s="333">
        <v>0</v>
      </c>
      <c r="J110" s="333"/>
      <c r="K110" s="333">
        <f t="shared" si="5"/>
        <v>6048</v>
      </c>
      <c r="L110" s="333"/>
      <c r="M110" s="333"/>
      <c r="N110" s="333"/>
      <c r="O110" s="333"/>
      <c r="P110" s="333">
        <v>0</v>
      </c>
      <c r="Q110" s="333">
        <v>6048</v>
      </c>
      <c r="R110" s="334"/>
    </row>
    <row r="111" spans="1:18" ht="27" customHeight="1" x14ac:dyDescent="0.25">
      <c r="A111" s="331">
        <v>100</v>
      </c>
      <c r="B111" s="331" t="s">
        <v>643</v>
      </c>
      <c r="C111" s="331" t="s">
        <v>534</v>
      </c>
      <c r="D111" s="332" t="s">
        <v>56</v>
      </c>
      <c r="E111" s="331">
        <f t="shared" si="6"/>
        <v>14053</v>
      </c>
      <c r="F111" s="333">
        <f t="shared" si="7"/>
        <v>3575</v>
      </c>
      <c r="G111" s="333">
        <v>3575</v>
      </c>
      <c r="H111" s="333">
        <v>142</v>
      </c>
      <c r="I111" s="333">
        <v>0</v>
      </c>
      <c r="J111" s="333"/>
      <c r="K111" s="333">
        <f t="shared" si="5"/>
        <v>10478</v>
      </c>
      <c r="L111" s="333"/>
      <c r="M111" s="333"/>
      <c r="N111" s="333"/>
      <c r="O111" s="333"/>
      <c r="P111" s="333">
        <v>308</v>
      </c>
      <c r="Q111" s="333">
        <v>10170</v>
      </c>
      <c r="R111" s="334"/>
    </row>
    <row r="112" spans="1:18" ht="27" customHeight="1" x14ac:dyDescent="0.25">
      <c r="A112" s="331">
        <v>101</v>
      </c>
      <c r="B112" s="331" t="s">
        <v>644</v>
      </c>
      <c r="C112" s="331" t="s">
        <v>554</v>
      </c>
      <c r="D112" s="332" t="s">
        <v>57</v>
      </c>
      <c r="E112" s="331">
        <f t="shared" si="6"/>
        <v>45477</v>
      </c>
      <c r="F112" s="333">
        <f t="shared" si="7"/>
        <v>11320</v>
      </c>
      <c r="G112" s="333">
        <v>902</v>
      </c>
      <c r="H112" s="333">
        <v>0</v>
      </c>
      <c r="I112" s="333">
        <v>6787</v>
      </c>
      <c r="J112" s="333">
        <v>3631</v>
      </c>
      <c r="K112" s="333">
        <f t="shared" si="5"/>
        <v>34157</v>
      </c>
      <c r="L112" s="333">
        <v>20527</v>
      </c>
      <c r="M112" s="333">
        <v>10801</v>
      </c>
      <c r="N112" s="333"/>
      <c r="O112" s="333"/>
      <c r="P112" s="333">
        <v>0</v>
      </c>
      <c r="Q112" s="333">
        <v>2829</v>
      </c>
      <c r="R112" s="334"/>
    </row>
    <row r="113" spans="1:18" ht="27" customHeight="1" x14ac:dyDescent="0.25">
      <c r="A113" s="331">
        <v>102</v>
      </c>
      <c r="B113" s="331" t="s">
        <v>645</v>
      </c>
      <c r="C113" s="331" t="s">
        <v>525</v>
      </c>
      <c r="D113" s="332" t="s">
        <v>58</v>
      </c>
      <c r="E113" s="331">
        <f t="shared" si="6"/>
        <v>804</v>
      </c>
      <c r="F113" s="333">
        <f t="shared" si="7"/>
        <v>804</v>
      </c>
      <c r="G113" s="333">
        <v>804</v>
      </c>
      <c r="H113" s="333">
        <v>30</v>
      </c>
      <c r="I113" s="333">
        <v>0</v>
      </c>
      <c r="J113" s="333"/>
      <c r="K113" s="333">
        <f t="shared" si="5"/>
        <v>0</v>
      </c>
      <c r="L113" s="333"/>
      <c r="M113" s="333"/>
      <c r="N113" s="333"/>
      <c r="O113" s="333"/>
      <c r="P113" s="333">
        <v>0</v>
      </c>
      <c r="Q113" s="333">
        <v>0</v>
      </c>
      <c r="R113" s="334"/>
    </row>
    <row r="114" spans="1:18" ht="35.25" customHeight="1" x14ac:dyDescent="0.25">
      <c r="A114" s="573">
        <v>103</v>
      </c>
      <c r="B114" s="331"/>
      <c r="C114" s="331"/>
      <c r="D114" s="332" t="s">
        <v>646</v>
      </c>
      <c r="E114" s="331">
        <f t="shared" si="6"/>
        <v>5926</v>
      </c>
      <c r="F114" s="333">
        <f t="shared" si="7"/>
        <v>1796</v>
      </c>
      <c r="G114" s="333">
        <v>1796</v>
      </c>
      <c r="H114" s="333">
        <v>69</v>
      </c>
      <c r="I114" s="333">
        <v>0</v>
      </c>
      <c r="J114" s="333"/>
      <c r="K114" s="333">
        <f t="shared" si="5"/>
        <v>4130</v>
      </c>
      <c r="L114" s="333"/>
      <c r="M114" s="333"/>
      <c r="N114" s="333"/>
      <c r="O114" s="333"/>
      <c r="P114" s="333">
        <v>331</v>
      </c>
      <c r="Q114" s="333">
        <v>3799</v>
      </c>
      <c r="R114" s="334"/>
    </row>
    <row r="115" spans="1:18" ht="27" customHeight="1" x14ac:dyDescent="0.25">
      <c r="A115" s="575"/>
      <c r="B115" s="331" t="s">
        <v>647</v>
      </c>
      <c r="C115" s="331" t="s">
        <v>554</v>
      </c>
      <c r="D115" s="332" t="s">
        <v>59</v>
      </c>
      <c r="E115" s="331">
        <f t="shared" si="6"/>
        <v>42574</v>
      </c>
      <c r="F115" s="333">
        <f t="shared" si="7"/>
        <v>10640</v>
      </c>
      <c r="G115" s="333">
        <v>10640</v>
      </c>
      <c r="H115" s="333">
        <v>26</v>
      </c>
      <c r="I115" s="333">
        <v>0</v>
      </c>
      <c r="J115" s="333"/>
      <c r="K115" s="333">
        <f t="shared" si="5"/>
        <v>31934</v>
      </c>
      <c r="L115" s="333"/>
      <c r="M115" s="333"/>
      <c r="N115" s="333"/>
      <c r="O115" s="333"/>
      <c r="P115" s="333">
        <v>623</v>
      </c>
      <c r="Q115" s="333">
        <v>31311</v>
      </c>
      <c r="R115" s="334"/>
    </row>
    <row r="116" spans="1:18" ht="27" customHeight="1" x14ac:dyDescent="0.25">
      <c r="A116" s="331">
        <v>104</v>
      </c>
      <c r="B116" s="331" t="s">
        <v>648</v>
      </c>
      <c r="C116" s="331" t="s">
        <v>649</v>
      </c>
      <c r="D116" s="332" t="s">
        <v>650</v>
      </c>
      <c r="E116" s="331">
        <f t="shared" si="6"/>
        <v>15932</v>
      </c>
      <c r="F116" s="333">
        <f t="shared" si="7"/>
        <v>3969</v>
      </c>
      <c r="G116" s="333">
        <v>3969</v>
      </c>
      <c r="H116" s="333">
        <v>77</v>
      </c>
      <c r="I116" s="333">
        <v>0</v>
      </c>
      <c r="J116" s="333"/>
      <c r="K116" s="333">
        <f t="shared" si="5"/>
        <v>11963</v>
      </c>
      <c r="L116" s="333"/>
      <c r="M116" s="333"/>
      <c r="N116" s="333"/>
      <c r="O116" s="333"/>
      <c r="P116" s="333">
        <v>263</v>
      </c>
      <c r="Q116" s="333">
        <v>11700</v>
      </c>
      <c r="R116" s="334"/>
    </row>
    <row r="117" spans="1:18" ht="27" customHeight="1" x14ac:dyDescent="0.25">
      <c r="A117" s="331">
        <v>105</v>
      </c>
      <c r="B117" s="331" t="s">
        <v>651</v>
      </c>
      <c r="C117" s="331" t="s">
        <v>534</v>
      </c>
      <c r="D117" s="332" t="s">
        <v>60</v>
      </c>
      <c r="E117" s="331">
        <f t="shared" si="6"/>
        <v>41449</v>
      </c>
      <c r="F117" s="333">
        <f t="shared" si="7"/>
        <v>10359</v>
      </c>
      <c r="G117" s="333">
        <v>4044</v>
      </c>
      <c r="H117" s="333">
        <v>0</v>
      </c>
      <c r="I117" s="333">
        <v>6315</v>
      </c>
      <c r="J117" s="333"/>
      <c r="K117" s="333">
        <f t="shared" si="5"/>
        <v>31090</v>
      </c>
      <c r="L117" s="333">
        <v>18957</v>
      </c>
      <c r="M117" s="333"/>
      <c r="N117" s="333"/>
      <c r="O117" s="333"/>
      <c r="P117" s="333">
        <v>0</v>
      </c>
      <c r="Q117" s="333">
        <v>12133</v>
      </c>
      <c r="R117" s="334"/>
    </row>
    <row r="118" spans="1:18" ht="27" customHeight="1" x14ac:dyDescent="0.25">
      <c r="A118" s="331">
        <v>106</v>
      </c>
      <c r="B118" s="331" t="s">
        <v>652</v>
      </c>
      <c r="C118" s="331" t="s">
        <v>649</v>
      </c>
      <c r="D118" s="332" t="s">
        <v>61</v>
      </c>
      <c r="E118" s="331">
        <f t="shared" si="6"/>
        <v>30005</v>
      </c>
      <c r="F118" s="333">
        <f t="shared" si="7"/>
        <v>7493</v>
      </c>
      <c r="G118" s="333">
        <v>7493</v>
      </c>
      <c r="H118" s="333">
        <v>0</v>
      </c>
      <c r="I118" s="333">
        <v>0</v>
      </c>
      <c r="J118" s="333"/>
      <c r="K118" s="333">
        <f t="shared" si="5"/>
        <v>22512</v>
      </c>
      <c r="L118" s="333"/>
      <c r="M118" s="333"/>
      <c r="N118" s="333">
        <v>18000</v>
      </c>
      <c r="O118" s="333"/>
      <c r="P118" s="333">
        <v>0</v>
      </c>
      <c r="Q118" s="333">
        <v>4512</v>
      </c>
      <c r="R118" s="334"/>
    </row>
    <row r="119" spans="1:18" ht="27" customHeight="1" x14ac:dyDescent="0.25">
      <c r="A119" s="331">
        <v>107</v>
      </c>
      <c r="B119" s="331" t="s">
        <v>653</v>
      </c>
      <c r="C119" s="331" t="s">
        <v>525</v>
      </c>
      <c r="D119" s="332" t="s">
        <v>461</v>
      </c>
      <c r="E119" s="331">
        <f t="shared" si="6"/>
        <v>11163</v>
      </c>
      <c r="F119" s="333">
        <f t="shared" si="7"/>
        <v>2784</v>
      </c>
      <c r="G119" s="333">
        <v>2784</v>
      </c>
      <c r="H119" s="333">
        <v>0</v>
      </c>
      <c r="I119" s="333">
        <v>0</v>
      </c>
      <c r="J119" s="333"/>
      <c r="K119" s="333">
        <f t="shared" si="5"/>
        <v>8379</v>
      </c>
      <c r="L119" s="333"/>
      <c r="M119" s="333"/>
      <c r="N119" s="333"/>
      <c r="O119" s="333"/>
      <c r="P119" s="333">
        <v>0</v>
      </c>
      <c r="Q119" s="333">
        <v>8379</v>
      </c>
      <c r="R119" s="334"/>
    </row>
    <row r="120" spans="1:18" ht="27" customHeight="1" x14ac:dyDescent="0.25">
      <c r="A120" s="331">
        <v>108</v>
      </c>
      <c r="B120" s="331" t="s">
        <v>654</v>
      </c>
      <c r="C120" s="331" t="s">
        <v>525</v>
      </c>
      <c r="D120" s="332" t="s">
        <v>462</v>
      </c>
      <c r="E120" s="331">
        <f t="shared" si="6"/>
        <v>9539</v>
      </c>
      <c r="F120" s="333">
        <f t="shared" si="7"/>
        <v>2382</v>
      </c>
      <c r="G120" s="333">
        <v>2382</v>
      </c>
      <c r="H120" s="333">
        <v>0</v>
      </c>
      <c r="I120" s="333">
        <v>0</v>
      </c>
      <c r="J120" s="333"/>
      <c r="K120" s="333">
        <f t="shared" si="5"/>
        <v>7157</v>
      </c>
      <c r="L120" s="333"/>
      <c r="M120" s="333"/>
      <c r="N120" s="333"/>
      <c r="O120" s="333"/>
      <c r="P120" s="333">
        <v>0</v>
      </c>
      <c r="Q120" s="333">
        <v>7157</v>
      </c>
      <c r="R120" s="334"/>
    </row>
    <row r="121" spans="1:18" ht="27" customHeight="1" x14ac:dyDescent="0.25">
      <c r="A121" s="331">
        <v>109</v>
      </c>
      <c r="B121" s="331" t="s">
        <v>655</v>
      </c>
      <c r="C121" s="331" t="s">
        <v>525</v>
      </c>
      <c r="D121" s="332" t="s">
        <v>463</v>
      </c>
      <c r="E121" s="331">
        <f t="shared" si="6"/>
        <v>26459</v>
      </c>
      <c r="F121" s="333">
        <f t="shared" si="7"/>
        <v>6603</v>
      </c>
      <c r="G121" s="333">
        <v>3280</v>
      </c>
      <c r="H121" s="333">
        <v>0</v>
      </c>
      <c r="I121" s="333">
        <v>3323</v>
      </c>
      <c r="J121" s="333"/>
      <c r="K121" s="333">
        <f t="shared" si="5"/>
        <v>19856</v>
      </c>
      <c r="L121" s="333">
        <v>9988</v>
      </c>
      <c r="M121" s="333"/>
      <c r="N121" s="333"/>
      <c r="O121" s="333"/>
      <c r="P121" s="333">
        <v>0</v>
      </c>
      <c r="Q121" s="333">
        <v>9868</v>
      </c>
      <c r="R121" s="334"/>
    </row>
    <row r="122" spans="1:18" ht="27" customHeight="1" x14ac:dyDescent="0.25">
      <c r="A122" s="331">
        <v>110</v>
      </c>
      <c r="B122" s="331" t="s">
        <v>656</v>
      </c>
      <c r="C122" s="331" t="s">
        <v>525</v>
      </c>
      <c r="D122" s="332" t="s">
        <v>464</v>
      </c>
      <c r="E122" s="331">
        <f t="shared" si="6"/>
        <v>28531</v>
      </c>
      <c r="F122" s="333">
        <f t="shared" si="7"/>
        <v>7121</v>
      </c>
      <c r="G122" s="333">
        <v>3992</v>
      </c>
      <c r="H122" s="333">
        <v>0</v>
      </c>
      <c r="I122" s="333">
        <v>3129</v>
      </c>
      <c r="J122" s="333"/>
      <c r="K122" s="333">
        <f t="shared" si="5"/>
        <v>21410</v>
      </c>
      <c r="L122" s="333">
        <v>9382</v>
      </c>
      <c r="M122" s="333"/>
      <c r="N122" s="333"/>
      <c r="O122" s="333"/>
      <c r="P122" s="333">
        <v>0</v>
      </c>
      <c r="Q122" s="333">
        <v>12028</v>
      </c>
      <c r="R122" s="334"/>
    </row>
    <row r="123" spans="1:18" ht="27" customHeight="1" x14ac:dyDescent="0.25">
      <c r="A123" s="331">
        <v>111</v>
      </c>
      <c r="B123" s="331" t="s">
        <v>657</v>
      </c>
      <c r="C123" s="331" t="s">
        <v>525</v>
      </c>
      <c r="D123" s="332" t="s">
        <v>465</v>
      </c>
      <c r="E123" s="331">
        <f t="shared" si="6"/>
        <v>5997</v>
      </c>
      <c r="F123" s="333">
        <f t="shared" si="7"/>
        <v>1500</v>
      </c>
      <c r="G123" s="333">
        <v>1500</v>
      </c>
      <c r="H123" s="333">
        <v>77</v>
      </c>
      <c r="I123" s="333">
        <v>0</v>
      </c>
      <c r="J123" s="333"/>
      <c r="K123" s="333">
        <f t="shared" si="5"/>
        <v>4497</v>
      </c>
      <c r="L123" s="333">
        <v>0</v>
      </c>
      <c r="M123" s="333"/>
      <c r="N123" s="333"/>
      <c r="O123" s="333"/>
      <c r="P123" s="333">
        <v>523</v>
      </c>
      <c r="Q123" s="333">
        <v>3974</v>
      </c>
      <c r="R123" s="334"/>
    </row>
    <row r="124" spans="1:18" ht="37.5" customHeight="1" x14ac:dyDescent="0.25">
      <c r="A124" s="331">
        <v>112</v>
      </c>
      <c r="B124" s="331" t="s">
        <v>658</v>
      </c>
      <c r="C124" s="331" t="s">
        <v>525</v>
      </c>
      <c r="D124" s="332" t="s">
        <v>467</v>
      </c>
      <c r="E124" s="331">
        <f t="shared" si="6"/>
        <v>9800</v>
      </c>
      <c r="F124" s="333">
        <f t="shared" si="7"/>
        <v>2844</v>
      </c>
      <c r="G124" s="333">
        <v>2844</v>
      </c>
      <c r="H124" s="333">
        <v>2844</v>
      </c>
      <c r="I124" s="333">
        <v>0</v>
      </c>
      <c r="J124" s="333"/>
      <c r="K124" s="333">
        <f t="shared" si="5"/>
        <v>6956</v>
      </c>
      <c r="L124" s="333">
        <v>0</v>
      </c>
      <c r="M124" s="333"/>
      <c r="N124" s="333"/>
      <c r="O124" s="333"/>
      <c r="P124" s="333">
        <v>6956</v>
      </c>
      <c r="Q124" s="333">
        <v>0</v>
      </c>
      <c r="R124" s="334"/>
    </row>
    <row r="125" spans="1:18" ht="27" customHeight="1" x14ac:dyDescent="0.25">
      <c r="A125" s="331">
        <v>113</v>
      </c>
      <c r="B125" s="331" t="s">
        <v>659</v>
      </c>
      <c r="C125" s="331" t="s">
        <v>525</v>
      </c>
      <c r="D125" s="332" t="s">
        <v>478</v>
      </c>
      <c r="E125" s="331">
        <f t="shared" si="6"/>
        <v>23001</v>
      </c>
      <c r="F125" s="333">
        <f t="shared" si="7"/>
        <v>5742</v>
      </c>
      <c r="G125" s="333">
        <v>5742</v>
      </c>
      <c r="H125" s="333">
        <v>5742</v>
      </c>
      <c r="I125" s="333">
        <v>0</v>
      </c>
      <c r="J125" s="333"/>
      <c r="K125" s="333">
        <f t="shared" si="5"/>
        <v>17259</v>
      </c>
      <c r="L125" s="333">
        <v>0</v>
      </c>
      <c r="M125" s="333"/>
      <c r="N125" s="333"/>
      <c r="O125" s="333"/>
      <c r="P125" s="333">
        <v>17259</v>
      </c>
      <c r="Q125" s="333">
        <v>0</v>
      </c>
      <c r="R125" s="334"/>
    </row>
    <row r="126" spans="1:18" ht="27" customHeight="1" x14ac:dyDescent="0.25">
      <c r="A126" s="331">
        <v>114</v>
      </c>
      <c r="B126" s="331" t="s">
        <v>660</v>
      </c>
      <c r="C126" s="331" t="s">
        <v>525</v>
      </c>
      <c r="D126" s="332" t="s">
        <v>661</v>
      </c>
      <c r="E126" s="331">
        <f t="shared" si="6"/>
        <v>12</v>
      </c>
      <c r="F126" s="333">
        <f t="shared" si="7"/>
        <v>0</v>
      </c>
      <c r="G126" s="333">
        <v>0</v>
      </c>
      <c r="H126" s="333">
        <v>0</v>
      </c>
      <c r="I126" s="333">
        <v>0</v>
      </c>
      <c r="J126" s="333"/>
      <c r="K126" s="333">
        <f t="shared" si="5"/>
        <v>12</v>
      </c>
      <c r="L126" s="333">
        <v>0</v>
      </c>
      <c r="M126" s="333"/>
      <c r="N126" s="333"/>
      <c r="O126" s="333">
        <v>12</v>
      </c>
      <c r="P126" s="333"/>
      <c r="Q126" s="333">
        <v>0</v>
      </c>
      <c r="R126" s="334"/>
    </row>
    <row r="127" spans="1:18" ht="27" customHeight="1" x14ac:dyDescent="0.25">
      <c r="A127" s="331">
        <v>115</v>
      </c>
      <c r="B127" s="336" t="s">
        <v>662</v>
      </c>
      <c r="C127" s="331" t="s">
        <v>525</v>
      </c>
      <c r="D127" s="332" t="s">
        <v>663</v>
      </c>
      <c r="E127" s="331">
        <f t="shared" si="6"/>
        <v>6</v>
      </c>
      <c r="F127" s="333">
        <f t="shared" si="7"/>
        <v>0</v>
      </c>
      <c r="G127" s="333">
        <v>0</v>
      </c>
      <c r="H127" s="333">
        <v>0</v>
      </c>
      <c r="I127" s="333">
        <v>0</v>
      </c>
      <c r="J127" s="333"/>
      <c r="K127" s="333">
        <f t="shared" si="5"/>
        <v>6</v>
      </c>
      <c r="L127" s="333">
        <v>0</v>
      </c>
      <c r="M127" s="333"/>
      <c r="N127" s="333"/>
      <c r="O127" s="333">
        <v>6</v>
      </c>
      <c r="P127" s="333"/>
      <c r="Q127" s="333">
        <v>0</v>
      </c>
      <c r="R127" s="334"/>
    </row>
    <row r="128" spans="1:18" ht="27" customHeight="1" x14ac:dyDescent="0.25">
      <c r="A128" s="331">
        <v>116</v>
      </c>
      <c r="B128" s="336" t="s">
        <v>664</v>
      </c>
      <c r="C128" s="331" t="s">
        <v>525</v>
      </c>
      <c r="D128" s="332" t="s">
        <v>665</v>
      </c>
      <c r="E128" s="331">
        <f t="shared" si="6"/>
        <v>6</v>
      </c>
      <c r="F128" s="333">
        <f t="shared" si="7"/>
        <v>0</v>
      </c>
      <c r="G128" s="333">
        <v>0</v>
      </c>
      <c r="H128" s="333">
        <v>0</v>
      </c>
      <c r="I128" s="333">
        <v>0</v>
      </c>
      <c r="J128" s="333"/>
      <c r="K128" s="333">
        <f t="shared" si="5"/>
        <v>6</v>
      </c>
      <c r="L128" s="333">
        <v>0</v>
      </c>
      <c r="M128" s="333"/>
      <c r="N128" s="333"/>
      <c r="O128" s="333">
        <v>6</v>
      </c>
      <c r="P128" s="333"/>
      <c r="Q128" s="333">
        <v>0</v>
      </c>
      <c r="R128" s="334"/>
    </row>
    <row r="129" spans="1:18" ht="27" customHeight="1" x14ac:dyDescent="0.25">
      <c r="A129" s="331">
        <v>117</v>
      </c>
      <c r="B129" s="336"/>
      <c r="C129" s="331" t="s">
        <v>525</v>
      </c>
      <c r="D129" s="332" t="s">
        <v>666</v>
      </c>
      <c r="E129" s="331">
        <f t="shared" si="6"/>
        <v>6</v>
      </c>
      <c r="F129" s="333">
        <f t="shared" si="7"/>
        <v>0</v>
      </c>
      <c r="G129" s="333">
        <v>0</v>
      </c>
      <c r="H129" s="333">
        <v>0</v>
      </c>
      <c r="I129" s="333">
        <v>0</v>
      </c>
      <c r="J129" s="333"/>
      <c r="K129" s="333">
        <f t="shared" si="5"/>
        <v>6</v>
      </c>
      <c r="L129" s="333">
        <v>0</v>
      </c>
      <c r="M129" s="333"/>
      <c r="N129" s="333"/>
      <c r="O129" s="333">
        <v>6</v>
      </c>
      <c r="P129" s="333"/>
      <c r="Q129" s="333">
        <v>0</v>
      </c>
      <c r="R129" s="334"/>
    </row>
    <row r="130" spans="1:18" ht="27" customHeight="1" x14ac:dyDescent="0.25">
      <c r="A130" s="331">
        <v>118</v>
      </c>
      <c r="B130" s="336"/>
      <c r="C130" s="331" t="s">
        <v>525</v>
      </c>
      <c r="D130" s="332" t="s">
        <v>281</v>
      </c>
      <c r="E130" s="331">
        <f t="shared" si="6"/>
        <v>6</v>
      </c>
      <c r="F130" s="333">
        <f t="shared" si="7"/>
        <v>6</v>
      </c>
      <c r="G130" s="333">
        <v>6</v>
      </c>
      <c r="H130" s="333">
        <v>6</v>
      </c>
      <c r="I130" s="333">
        <v>0</v>
      </c>
      <c r="J130" s="333"/>
      <c r="K130" s="333">
        <f t="shared" si="5"/>
        <v>0</v>
      </c>
      <c r="L130" s="333">
        <v>0</v>
      </c>
      <c r="M130" s="333"/>
      <c r="N130" s="333"/>
      <c r="O130" s="333">
        <v>0</v>
      </c>
      <c r="P130" s="333"/>
      <c r="Q130" s="333">
        <v>0</v>
      </c>
      <c r="R130" s="334"/>
    </row>
    <row r="131" spans="1:18" ht="27" customHeight="1" x14ac:dyDescent="0.25">
      <c r="A131" s="331">
        <v>119</v>
      </c>
      <c r="B131" s="336"/>
      <c r="C131" s="331"/>
      <c r="D131" s="332" t="s">
        <v>667</v>
      </c>
      <c r="E131" s="331">
        <f t="shared" si="6"/>
        <v>0</v>
      </c>
      <c r="F131" s="333">
        <f t="shared" si="7"/>
        <v>0</v>
      </c>
      <c r="G131" s="333">
        <v>0</v>
      </c>
      <c r="H131" s="333">
        <v>0</v>
      </c>
      <c r="I131" s="333">
        <v>0</v>
      </c>
      <c r="J131" s="333"/>
      <c r="K131" s="333">
        <f t="shared" si="5"/>
        <v>0</v>
      </c>
      <c r="L131" s="333">
        <v>0</v>
      </c>
      <c r="M131" s="333"/>
      <c r="N131" s="333"/>
      <c r="O131" s="333">
        <v>0</v>
      </c>
      <c r="P131" s="333"/>
      <c r="Q131" s="333">
        <v>0</v>
      </c>
      <c r="R131" s="334"/>
    </row>
    <row r="132" spans="1:18" ht="27" customHeight="1" x14ac:dyDescent="0.25">
      <c r="A132" s="331">
        <v>120</v>
      </c>
      <c r="B132" s="331" t="s">
        <v>668</v>
      </c>
      <c r="C132" s="331" t="s">
        <v>525</v>
      </c>
      <c r="D132" s="332" t="s">
        <v>223</v>
      </c>
      <c r="E132" s="331">
        <f t="shared" si="6"/>
        <v>2245</v>
      </c>
      <c r="F132" s="333">
        <f t="shared" si="7"/>
        <v>559</v>
      </c>
      <c r="G132" s="333">
        <v>559</v>
      </c>
      <c r="H132" s="333">
        <v>242</v>
      </c>
      <c r="I132" s="333">
        <v>0</v>
      </c>
      <c r="J132" s="333"/>
      <c r="K132" s="333">
        <f t="shared" si="5"/>
        <v>1686</v>
      </c>
      <c r="L132" s="333"/>
      <c r="M132" s="333"/>
      <c r="N132" s="333"/>
      <c r="O132" s="333"/>
      <c r="P132" s="333">
        <v>803</v>
      </c>
      <c r="Q132" s="333">
        <v>883</v>
      </c>
      <c r="R132" s="334"/>
    </row>
    <row r="133" spans="1:18" ht="27" customHeight="1" x14ac:dyDescent="0.25">
      <c r="A133" s="331">
        <v>121</v>
      </c>
      <c r="B133" s="331" t="s">
        <v>669</v>
      </c>
      <c r="C133" s="331" t="s">
        <v>534</v>
      </c>
      <c r="D133" s="332" t="s">
        <v>487</v>
      </c>
      <c r="E133" s="331">
        <f t="shared" si="6"/>
        <v>7270</v>
      </c>
      <c r="F133" s="333">
        <f t="shared" si="7"/>
        <v>1813</v>
      </c>
      <c r="G133" s="333">
        <v>1813</v>
      </c>
      <c r="H133" s="333">
        <v>0</v>
      </c>
      <c r="I133" s="333">
        <v>0</v>
      </c>
      <c r="J133" s="333"/>
      <c r="K133" s="333">
        <f t="shared" si="5"/>
        <v>5457</v>
      </c>
      <c r="L133" s="333"/>
      <c r="M133" s="333"/>
      <c r="N133" s="333"/>
      <c r="O133" s="333"/>
      <c r="P133" s="333">
        <v>1648</v>
      </c>
      <c r="Q133" s="333">
        <v>3809</v>
      </c>
      <c r="R133" s="334"/>
    </row>
    <row r="134" spans="1:18" ht="27" customHeight="1" x14ac:dyDescent="0.25">
      <c r="A134" s="331">
        <v>122</v>
      </c>
      <c r="B134" s="331" t="s">
        <v>670</v>
      </c>
      <c r="C134" s="331" t="s">
        <v>671</v>
      </c>
      <c r="D134" s="332" t="s">
        <v>62</v>
      </c>
      <c r="E134" s="331">
        <f t="shared" si="6"/>
        <v>4028</v>
      </c>
      <c r="F134" s="333">
        <f t="shared" si="7"/>
        <v>1001</v>
      </c>
      <c r="G134" s="333">
        <v>1001</v>
      </c>
      <c r="H134" s="333">
        <v>0</v>
      </c>
      <c r="I134" s="333">
        <v>0</v>
      </c>
      <c r="J134" s="333"/>
      <c r="K134" s="333">
        <f t="shared" si="5"/>
        <v>3027</v>
      </c>
      <c r="L134" s="333"/>
      <c r="M134" s="333"/>
      <c r="N134" s="333"/>
      <c r="O134" s="333"/>
      <c r="P134" s="333">
        <v>0</v>
      </c>
      <c r="Q134" s="333">
        <v>3027</v>
      </c>
      <c r="R134" s="338" t="s">
        <v>672</v>
      </c>
    </row>
    <row r="135" spans="1:18" ht="33" customHeight="1" x14ac:dyDescent="0.25">
      <c r="A135" s="331">
        <v>123</v>
      </c>
      <c r="B135" s="331" t="s">
        <v>673</v>
      </c>
      <c r="C135" s="331" t="s">
        <v>649</v>
      </c>
      <c r="D135" s="332" t="s">
        <v>674</v>
      </c>
      <c r="E135" s="331">
        <f t="shared" si="6"/>
        <v>12716</v>
      </c>
      <c r="F135" s="333">
        <f t="shared" si="7"/>
        <v>3170</v>
      </c>
      <c r="G135" s="333">
        <v>0</v>
      </c>
      <c r="H135" s="333">
        <v>0</v>
      </c>
      <c r="I135" s="333">
        <v>0</v>
      </c>
      <c r="J135" s="333">
        <v>3170</v>
      </c>
      <c r="K135" s="333">
        <f t="shared" si="5"/>
        <v>9546</v>
      </c>
      <c r="L135" s="333"/>
      <c r="M135" s="333">
        <v>9546</v>
      </c>
      <c r="N135" s="333"/>
      <c r="O135" s="333"/>
      <c r="P135" s="333">
        <v>0</v>
      </c>
      <c r="Q135" s="333">
        <v>0</v>
      </c>
      <c r="R135" s="334"/>
    </row>
    <row r="136" spans="1:18" s="329" customFormat="1" ht="27" customHeight="1" x14ac:dyDescent="0.25">
      <c r="A136" s="331">
        <v>124</v>
      </c>
      <c r="B136" s="331" t="s">
        <v>675</v>
      </c>
      <c r="C136" s="331" t="s">
        <v>676</v>
      </c>
      <c r="D136" s="332" t="s">
        <v>63</v>
      </c>
      <c r="E136" s="331">
        <f t="shared" si="6"/>
        <v>23850</v>
      </c>
      <c r="F136" s="333">
        <f t="shared" si="7"/>
        <v>5951</v>
      </c>
      <c r="G136" s="333">
        <v>963</v>
      </c>
      <c r="H136" s="333">
        <v>0</v>
      </c>
      <c r="I136" s="333">
        <v>4988</v>
      </c>
      <c r="J136" s="333"/>
      <c r="K136" s="333">
        <f t="shared" si="5"/>
        <v>17899</v>
      </c>
      <c r="L136" s="337">
        <v>14986</v>
      </c>
      <c r="M136" s="337"/>
      <c r="N136" s="337">
        <v>2913</v>
      </c>
      <c r="O136" s="337"/>
      <c r="P136" s="333">
        <v>0</v>
      </c>
      <c r="Q136" s="333">
        <v>0</v>
      </c>
      <c r="R136" s="339"/>
    </row>
    <row r="137" spans="1:18" ht="27" customHeight="1" x14ac:dyDescent="0.25">
      <c r="A137" s="331">
        <v>125</v>
      </c>
      <c r="B137" s="331" t="s">
        <v>585</v>
      </c>
      <c r="C137" s="331" t="s">
        <v>649</v>
      </c>
      <c r="D137" s="332" t="s">
        <v>677</v>
      </c>
      <c r="E137" s="331">
        <f t="shared" si="6"/>
        <v>49841</v>
      </c>
      <c r="F137" s="333">
        <f t="shared" si="7"/>
        <v>10204</v>
      </c>
      <c r="G137" s="333">
        <v>3255</v>
      </c>
      <c r="H137" s="333">
        <v>0</v>
      </c>
      <c r="I137" s="333">
        <v>6949</v>
      </c>
      <c r="J137" s="333"/>
      <c r="K137" s="333">
        <f t="shared" si="5"/>
        <v>39637</v>
      </c>
      <c r="L137" s="337">
        <v>19840</v>
      </c>
      <c r="M137" s="333"/>
      <c r="N137" s="333">
        <v>13052</v>
      </c>
      <c r="O137" s="333"/>
      <c r="P137" s="333">
        <v>0</v>
      </c>
      <c r="Q137" s="333">
        <v>6745</v>
      </c>
      <c r="R137" s="334"/>
    </row>
    <row r="138" spans="1:18" ht="27" customHeight="1" x14ac:dyDescent="0.25">
      <c r="A138" s="331">
        <v>126</v>
      </c>
      <c r="B138" s="331" t="s">
        <v>678</v>
      </c>
      <c r="C138" s="331" t="s">
        <v>649</v>
      </c>
      <c r="D138" s="332" t="s">
        <v>64</v>
      </c>
      <c r="E138" s="331">
        <f t="shared" si="6"/>
        <v>30000</v>
      </c>
      <c r="F138" s="333">
        <f t="shared" si="7"/>
        <v>7482</v>
      </c>
      <c r="G138" s="333">
        <v>7482</v>
      </c>
      <c r="H138" s="333">
        <v>0</v>
      </c>
      <c r="I138" s="333">
        <v>0</v>
      </c>
      <c r="J138" s="333"/>
      <c r="K138" s="333">
        <f t="shared" si="5"/>
        <v>22518</v>
      </c>
      <c r="L138" s="333"/>
      <c r="M138" s="333"/>
      <c r="N138" s="333"/>
      <c r="O138" s="333">
        <v>22518</v>
      </c>
      <c r="P138" s="333">
        <v>0</v>
      </c>
      <c r="Q138" s="333">
        <v>0</v>
      </c>
      <c r="R138" s="334"/>
    </row>
    <row r="139" spans="1:18" ht="27" customHeight="1" x14ac:dyDescent="0.25">
      <c r="A139" s="331">
        <v>127</v>
      </c>
      <c r="B139" s="331" t="s">
        <v>679</v>
      </c>
      <c r="C139" s="331" t="s">
        <v>649</v>
      </c>
      <c r="D139" s="332" t="s">
        <v>294</v>
      </c>
      <c r="E139" s="331">
        <f t="shared" si="6"/>
        <v>4000</v>
      </c>
      <c r="F139" s="333">
        <f t="shared" si="7"/>
        <v>998</v>
      </c>
      <c r="G139" s="333">
        <v>998</v>
      </c>
      <c r="H139" s="333">
        <v>0</v>
      </c>
      <c r="I139" s="333">
        <v>0</v>
      </c>
      <c r="J139" s="333"/>
      <c r="K139" s="333">
        <f t="shared" ref="K139" si="8">L139+M139+N139+O139+P139+Q139</f>
        <v>3002</v>
      </c>
      <c r="L139" s="333"/>
      <c r="M139" s="333"/>
      <c r="N139" s="333"/>
      <c r="O139" s="333">
        <v>3002</v>
      </c>
      <c r="P139" s="333">
        <v>0</v>
      </c>
      <c r="Q139" s="333">
        <v>0</v>
      </c>
      <c r="R139" s="334"/>
    </row>
    <row r="140" spans="1:18" ht="27" customHeight="1" x14ac:dyDescent="0.25">
      <c r="A140" s="331"/>
      <c r="B140" s="331" t="s">
        <v>680</v>
      </c>
      <c r="C140" s="331" t="s">
        <v>680</v>
      </c>
      <c r="D140" s="332" t="s">
        <v>65</v>
      </c>
      <c r="E140" s="331">
        <v>9178</v>
      </c>
      <c r="F140" s="333">
        <v>0</v>
      </c>
      <c r="G140" s="333">
        <v>0</v>
      </c>
      <c r="H140" s="333">
        <v>0</v>
      </c>
      <c r="I140" s="333">
        <v>0</v>
      </c>
      <c r="J140" s="333"/>
      <c r="K140" s="333"/>
      <c r="L140" s="333"/>
      <c r="M140" s="333"/>
      <c r="N140" s="333"/>
      <c r="O140" s="333"/>
      <c r="P140" s="333">
        <v>0</v>
      </c>
      <c r="Q140" s="333">
        <v>0</v>
      </c>
      <c r="R140" s="334"/>
    </row>
    <row r="141" spans="1:18" s="343" customFormat="1" ht="26.25" customHeight="1" x14ac:dyDescent="0.25">
      <c r="A141" s="340"/>
      <c r="B141" s="340"/>
      <c r="C141" s="340"/>
      <c r="D141" s="341" t="s">
        <v>106</v>
      </c>
      <c r="E141" s="342">
        <f>SUM(E10:E140)</f>
        <v>2175000</v>
      </c>
      <c r="F141" s="342">
        <f t="shared" ref="F141:Q141" si="9">SUM(F10:F140)</f>
        <v>538864</v>
      </c>
      <c r="G141" s="342">
        <f t="shared" si="9"/>
        <v>496671</v>
      </c>
      <c r="H141" s="342">
        <f t="shared" si="9"/>
        <v>47995</v>
      </c>
      <c r="I141" s="342">
        <f t="shared" si="9"/>
        <v>35392</v>
      </c>
      <c r="J141" s="342">
        <f t="shared" si="9"/>
        <v>6801</v>
      </c>
      <c r="K141" s="342">
        <f t="shared" si="9"/>
        <v>1626958</v>
      </c>
      <c r="L141" s="342">
        <f t="shared" si="9"/>
        <v>114518</v>
      </c>
      <c r="M141" s="342">
        <f t="shared" si="9"/>
        <v>20347</v>
      </c>
      <c r="N141" s="342">
        <f t="shared" si="9"/>
        <v>33965</v>
      </c>
      <c r="O141" s="342">
        <f t="shared" si="9"/>
        <v>26484</v>
      </c>
      <c r="P141" s="342">
        <f t="shared" si="9"/>
        <v>152986</v>
      </c>
      <c r="Q141" s="342">
        <f t="shared" si="9"/>
        <v>1278658</v>
      </c>
    </row>
  </sheetData>
  <mergeCells count="24">
    <mergeCell ref="A93:A94"/>
    <mergeCell ref="A114:A115"/>
    <mergeCell ref="K5:K8"/>
    <mergeCell ref="L5:Q5"/>
    <mergeCell ref="G6:G8"/>
    <mergeCell ref="I6:J7"/>
    <mergeCell ref="L6:O6"/>
    <mergeCell ref="P6:Q6"/>
    <mergeCell ref="H7:H8"/>
    <mergeCell ref="L7:M7"/>
    <mergeCell ref="N7:N8"/>
    <mergeCell ref="O7:O8"/>
    <mergeCell ref="A2:E2"/>
    <mergeCell ref="A4:A8"/>
    <mergeCell ref="D4:D8"/>
    <mergeCell ref="E4:E8"/>
    <mergeCell ref="F4:J4"/>
    <mergeCell ref="K4:Q4"/>
    <mergeCell ref="B5:B8"/>
    <mergeCell ref="C5:C8"/>
    <mergeCell ref="F5:F8"/>
    <mergeCell ref="G5:J5"/>
    <mergeCell ref="P7:P8"/>
    <mergeCell ref="Q7:Q8"/>
  </mergeCells>
  <conditionalFormatting sqref="D1:E1 D9 D167:E1048576 D141:E165 D4 F141:Q141">
    <cfRule type="containsText" dxfId="2" priority="3" operator="containsText" text="агид">
      <formula>NOT(ISERROR(SEARCH("агид",D1)))</formula>
    </cfRule>
  </conditionalFormatting>
  <conditionalFormatting sqref="D3:E3">
    <cfRule type="containsText" dxfId="1" priority="2" operator="containsText" text="агид">
      <formula>NOT(ISERROR(SEARCH("агид",D3)))</formula>
    </cfRule>
  </conditionalFormatting>
  <conditionalFormatting sqref="E9:Q9">
    <cfRule type="containsText" dxfId="0" priority="1" operator="containsText" text="агид">
      <formula>NOT(ISERROR(SEARCH("агид",E9)))</formula>
    </cfRule>
  </conditionalFormatting>
  <pageMargins left="0.78740157480314965" right="0" top="0" bottom="0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>
      <pane xSplit="2" ySplit="9" topLeftCell="C154" activePane="bottomRight" state="frozen"/>
      <selection pane="topRight" activeCell="C1" sqref="C1"/>
      <selection pane="bottomLeft" activeCell="A10" sqref="A10"/>
      <selection pane="bottomRight" activeCell="D170" sqref="D170"/>
    </sheetView>
  </sheetViews>
  <sheetFormatPr defaultRowHeight="12.75" x14ac:dyDescent="0.2"/>
  <cols>
    <col min="1" max="1" width="4.28515625" style="277" customWidth="1"/>
    <col min="2" max="2" width="34.28515625" style="277" customWidth="1"/>
    <col min="3" max="3" width="10.42578125" style="277" customWidth="1"/>
    <col min="4" max="4" width="10.5703125" style="277" customWidth="1"/>
    <col min="5" max="5" width="23.140625" style="277" customWidth="1"/>
    <col min="6" max="6" width="17.85546875" style="277" customWidth="1"/>
    <col min="7" max="7" width="12" style="277" customWidth="1"/>
    <col min="8" max="8" width="14.7109375" style="277" customWidth="1"/>
    <col min="9" max="9" width="16.140625" style="277" customWidth="1"/>
    <col min="10" max="10" width="14" style="277" customWidth="1"/>
    <col min="11" max="11" width="4.85546875" style="277" customWidth="1"/>
    <col min="12" max="16384" width="9.140625" style="277"/>
  </cols>
  <sheetData>
    <row r="1" spans="1:11" ht="33.75" customHeight="1" x14ac:dyDescent="0.2">
      <c r="A1" s="579" t="s">
        <v>682</v>
      </c>
      <c r="B1" s="579"/>
      <c r="C1" s="579"/>
      <c r="D1" s="579"/>
      <c r="E1" s="579"/>
      <c r="F1" s="579"/>
      <c r="G1" s="579"/>
      <c r="H1" s="579"/>
      <c r="I1" s="579"/>
      <c r="J1" s="579"/>
      <c r="K1" s="345"/>
    </row>
    <row r="2" spans="1:11" x14ac:dyDescent="0.2">
      <c r="A2" s="346"/>
      <c r="K2" s="347"/>
    </row>
    <row r="3" spans="1:11" s="349" customFormat="1" ht="15.75" customHeight="1" x14ac:dyDescent="0.2">
      <c r="A3" s="580" t="s">
        <v>0</v>
      </c>
      <c r="B3" s="580" t="s">
        <v>317</v>
      </c>
      <c r="C3" s="581" t="s">
        <v>683</v>
      </c>
      <c r="D3" s="580" t="s">
        <v>183</v>
      </c>
      <c r="E3" s="580"/>
      <c r="F3" s="580"/>
      <c r="G3" s="580"/>
      <c r="H3" s="580"/>
      <c r="I3" s="580"/>
      <c r="J3" s="580"/>
      <c r="K3" s="348"/>
    </row>
    <row r="4" spans="1:11" s="349" customFormat="1" ht="36" customHeight="1" x14ac:dyDescent="0.2">
      <c r="A4" s="580"/>
      <c r="B4" s="580"/>
      <c r="C4" s="582"/>
      <c r="D4" s="580" t="s">
        <v>684</v>
      </c>
      <c r="E4" s="580"/>
      <c r="F4" s="580"/>
      <c r="G4" s="580" t="s">
        <v>685</v>
      </c>
      <c r="H4" s="580"/>
      <c r="I4" s="580"/>
      <c r="J4" s="584" t="s">
        <v>686</v>
      </c>
      <c r="K4" s="350"/>
    </row>
    <row r="5" spans="1:11" s="349" customFormat="1" x14ac:dyDescent="0.2">
      <c r="A5" s="580"/>
      <c r="B5" s="580"/>
      <c r="C5" s="582"/>
      <c r="D5" s="581" t="s">
        <v>110</v>
      </c>
      <c r="E5" s="587" t="s">
        <v>183</v>
      </c>
      <c r="F5" s="588"/>
      <c r="G5" s="581" t="s">
        <v>110</v>
      </c>
      <c r="H5" s="580" t="s">
        <v>89</v>
      </c>
      <c r="I5" s="580"/>
      <c r="J5" s="585"/>
      <c r="K5" s="350"/>
    </row>
    <row r="6" spans="1:11" s="349" customFormat="1" ht="12.75" customHeight="1" x14ac:dyDescent="0.2">
      <c r="A6" s="580"/>
      <c r="B6" s="580"/>
      <c r="C6" s="582"/>
      <c r="D6" s="582"/>
      <c r="E6" s="589" t="s">
        <v>687</v>
      </c>
      <c r="F6" s="581" t="s">
        <v>688</v>
      </c>
      <c r="G6" s="582"/>
      <c r="H6" s="581" t="s">
        <v>689</v>
      </c>
      <c r="I6" s="580" t="s">
        <v>690</v>
      </c>
      <c r="J6" s="585"/>
      <c r="K6" s="350"/>
    </row>
    <row r="7" spans="1:11" s="349" customFormat="1" ht="12.75" customHeight="1" x14ac:dyDescent="0.2">
      <c r="A7" s="580"/>
      <c r="B7" s="580"/>
      <c r="C7" s="582"/>
      <c r="D7" s="582"/>
      <c r="E7" s="590"/>
      <c r="F7" s="582"/>
      <c r="G7" s="582"/>
      <c r="H7" s="582"/>
      <c r="I7" s="580"/>
      <c r="J7" s="585"/>
      <c r="K7" s="350"/>
    </row>
    <row r="8" spans="1:11" s="349" customFormat="1" ht="60" customHeight="1" x14ac:dyDescent="0.2">
      <c r="A8" s="580"/>
      <c r="B8" s="580"/>
      <c r="C8" s="583"/>
      <c r="D8" s="583"/>
      <c r="E8" s="591"/>
      <c r="F8" s="583"/>
      <c r="G8" s="583"/>
      <c r="H8" s="583"/>
      <c r="I8" s="580"/>
      <c r="J8" s="586"/>
      <c r="K8" s="350"/>
    </row>
    <row r="9" spans="1:11" s="349" customFormat="1" x14ac:dyDescent="0.2">
      <c r="A9" s="351">
        <v>1</v>
      </c>
      <c r="B9" s="351">
        <v>2</v>
      </c>
      <c r="C9" s="351">
        <v>3</v>
      </c>
      <c r="D9" s="351">
        <v>4</v>
      </c>
      <c r="E9" s="351">
        <v>5</v>
      </c>
      <c r="F9" s="351">
        <v>6</v>
      </c>
      <c r="G9" s="351">
        <v>7</v>
      </c>
      <c r="H9" s="351">
        <v>8</v>
      </c>
      <c r="I9" s="351">
        <v>9</v>
      </c>
      <c r="J9" s="351">
        <v>10</v>
      </c>
      <c r="K9" s="350"/>
    </row>
    <row r="10" spans="1:11" x14ac:dyDescent="0.2">
      <c r="A10" s="79">
        <v>1</v>
      </c>
      <c r="B10" s="352" t="s">
        <v>13</v>
      </c>
      <c r="C10" s="353">
        <f>D10+G10+J10</f>
        <v>156509</v>
      </c>
      <c r="D10" s="353">
        <f>E10+F10</f>
        <v>12868</v>
      </c>
      <c r="E10" s="353">
        <v>1955</v>
      </c>
      <c r="F10" s="354">
        <v>10913</v>
      </c>
      <c r="G10" s="355">
        <f>H10+I10</f>
        <v>8846</v>
      </c>
      <c r="H10" s="353">
        <v>8342</v>
      </c>
      <c r="I10" s="353">
        <v>504</v>
      </c>
      <c r="J10" s="353">
        <f>'[4]Проф.с иными целями Пр.114'!C10</f>
        <v>134795</v>
      </c>
      <c r="K10" s="356"/>
    </row>
    <row r="11" spans="1:11" ht="25.5" x14ac:dyDescent="0.2">
      <c r="A11" s="79">
        <v>2</v>
      </c>
      <c r="B11" s="352" t="s">
        <v>429</v>
      </c>
      <c r="C11" s="353">
        <f t="shared" ref="C11:C74" si="0">D11+G11+J11</f>
        <v>1403</v>
      </c>
      <c r="D11" s="353">
        <f t="shared" ref="D11:D74" si="1">E11+F11</f>
        <v>0</v>
      </c>
      <c r="E11" s="353">
        <v>0</v>
      </c>
      <c r="F11" s="357">
        <v>0</v>
      </c>
      <c r="G11" s="355">
        <f t="shared" ref="G11:G74" si="2">H11+I11</f>
        <v>0</v>
      </c>
      <c r="H11" s="353">
        <v>0</v>
      </c>
      <c r="I11" s="353">
        <v>0</v>
      </c>
      <c r="J11" s="353">
        <f>'[4]Проф.с иными целями Пр.114'!C11</f>
        <v>1403</v>
      </c>
      <c r="K11" s="356"/>
    </row>
    <row r="12" spans="1:11" s="359" customFormat="1" x14ac:dyDescent="0.2">
      <c r="A12" s="79">
        <v>3</v>
      </c>
      <c r="B12" s="358" t="s">
        <v>22</v>
      </c>
      <c r="C12" s="353">
        <f t="shared" si="0"/>
        <v>155063</v>
      </c>
      <c r="D12" s="353">
        <f t="shared" si="1"/>
        <v>12053</v>
      </c>
      <c r="E12" s="353">
        <v>1993</v>
      </c>
      <c r="F12" s="354">
        <v>10060</v>
      </c>
      <c r="G12" s="355">
        <f t="shared" si="2"/>
        <v>8671</v>
      </c>
      <c r="H12" s="353">
        <v>8503</v>
      </c>
      <c r="I12" s="353">
        <v>168</v>
      </c>
      <c r="J12" s="353">
        <f>'[4]Проф.с иными целями Пр.114'!C12</f>
        <v>134339</v>
      </c>
      <c r="K12" s="356"/>
    </row>
    <row r="13" spans="1:11" s="359" customFormat="1" x14ac:dyDescent="0.2">
      <c r="A13" s="79">
        <v>4</v>
      </c>
      <c r="B13" s="358" t="s">
        <v>430</v>
      </c>
      <c r="C13" s="353">
        <f t="shared" si="0"/>
        <v>1297</v>
      </c>
      <c r="D13" s="353">
        <f t="shared" si="1"/>
        <v>0</v>
      </c>
      <c r="E13" s="353">
        <v>0</v>
      </c>
      <c r="F13" s="357">
        <v>0</v>
      </c>
      <c r="G13" s="355">
        <f t="shared" si="2"/>
        <v>0</v>
      </c>
      <c r="H13" s="353">
        <v>0</v>
      </c>
      <c r="I13" s="353">
        <v>0</v>
      </c>
      <c r="J13" s="353">
        <f>'[4]Проф.с иными целями Пр.114'!C13</f>
        <v>1297</v>
      </c>
      <c r="K13" s="356"/>
    </row>
    <row r="14" spans="1:11" s="359" customFormat="1" x14ac:dyDescent="0.2">
      <c r="A14" s="446">
        <v>5</v>
      </c>
      <c r="B14" s="360" t="s">
        <v>66</v>
      </c>
      <c r="C14" s="353">
        <f t="shared" si="0"/>
        <v>365702</v>
      </c>
      <c r="D14" s="353">
        <f t="shared" si="1"/>
        <v>30606</v>
      </c>
      <c r="E14" s="353">
        <v>4637</v>
      </c>
      <c r="F14" s="354">
        <v>25969</v>
      </c>
      <c r="G14" s="355">
        <f t="shared" si="2"/>
        <v>19951</v>
      </c>
      <c r="H14" s="353">
        <v>19786</v>
      </c>
      <c r="I14" s="353">
        <v>165</v>
      </c>
      <c r="J14" s="353">
        <f>'[4]Проф.с иными целями Пр.114'!C14</f>
        <v>315145</v>
      </c>
      <c r="K14" s="356"/>
    </row>
    <row r="15" spans="1:11" s="359" customFormat="1" ht="51" x14ac:dyDescent="0.2">
      <c r="A15" s="592"/>
      <c r="B15" s="361" t="s">
        <v>431</v>
      </c>
      <c r="C15" s="353">
        <f t="shared" si="0"/>
        <v>46505</v>
      </c>
      <c r="D15" s="353">
        <f t="shared" si="1"/>
        <v>2859</v>
      </c>
      <c r="E15" s="353">
        <v>642</v>
      </c>
      <c r="F15" s="354">
        <v>2217</v>
      </c>
      <c r="G15" s="355">
        <f t="shared" si="2"/>
        <v>2762</v>
      </c>
      <c r="H15" s="353">
        <v>2737</v>
      </c>
      <c r="I15" s="353">
        <v>25</v>
      </c>
      <c r="J15" s="353">
        <f>'[4]Проф.с иными целями Пр.114'!C15</f>
        <v>40884</v>
      </c>
      <c r="K15" s="362"/>
    </row>
    <row r="16" spans="1:11" s="359" customFormat="1" x14ac:dyDescent="0.2">
      <c r="A16" s="79">
        <v>6</v>
      </c>
      <c r="B16" s="358" t="s">
        <v>51</v>
      </c>
      <c r="C16" s="353">
        <f t="shared" si="0"/>
        <v>114501</v>
      </c>
      <c r="D16" s="353">
        <f t="shared" si="1"/>
        <v>9438</v>
      </c>
      <c r="E16" s="353">
        <v>1523</v>
      </c>
      <c r="F16" s="354">
        <v>7915</v>
      </c>
      <c r="G16" s="355">
        <f t="shared" si="2"/>
        <v>6740</v>
      </c>
      <c r="H16" s="353">
        <v>6499</v>
      </c>
      <c r="I16" s="353">
        <v>241</v>
      </c>
      <c r="J16" s="353">
        <f>'[4]Проф.с иными целями Пр.114'!C16</f>
        <v>98323</v>
      </c>
      <c r="K16" s="356"/>
    </row>
    <row r="17" spans="1:11" s="359" customFormat="1" x14ac:dyDescent="0.2">
      <c r="A17" s="79">
        <v>7</v>
      </c>
      <c r="B17" s="358" t="s">
        <v>4</v>
      </c>
      <c r="C17" s="353">
        <f t="shared" si="0"/>
        <v>49179</v>
      </c>
      <c r="D17" s="353">
        <f t="shared" si="1"/>
        <v>4344</v>
      </c>
      <c r="E17" s="353">
        <v>662</v>
      </c>
      <c r="F17" s="354">
        <v>3682</v>
      </c>
      <c r="G17" s="355">
        <f t="shared" si="2"/>
        <v>2904</v>
      </c>
      <c r="H17" s="353">
        <v>2824</v>
      </c>
      <c r="I17" s="353">
        <v>80</v>
      </c>
      <c r="J17" s="353">
        <f>'[4]Проф.с иными целями Пр.114'!C17</f>
        <v>41931</v>
      </c>
      <c r="K17" s="356"/>
    </row>
    <row r="18" spans="1:11" s="359" customFormat="1" x14ac:dyDescent="0.2">
      <c r="A18" s="79">
        <v>8</v>
      </c>
      <c r="B18" s="358" t="s">
        <v>8</v>
      </c>
      <c r="C18" s="353">
        <f t="shared" si="0"/>
        <v>51080</v>
      </c>
      <c r="D18" s="353">
        <f t="shared" si="1"/>
        <v>4055</v>
      </c>
      <c r="E18" s="353">
        <v>687</v>
      </c>
      <c r="F18" s="354">
        <v>3368</v>
      </c>
      <c r="G18" s="355">
        <f t="shared" si="2"/>
        <v>3054</v>
      </c>
      <c r="H18" s="353">
        <v>2934</v>
      </c>
      <c r="I18" s="353">
        <v>120</v>
      </c>
      <c r="J18" s="353">
        <f>'[4]Проф.с иными целями Пр.114'!C18</f>
        <v>43971</v>
      </c>
      <c r="K18" s="356"/>
    </row>
    <row r="19" spans="1:11" s="359" customFormat="1" x14ac:dyDescent="0.2">
      <c r="A19" s="79">
        <v>9</v>
      </c>
      <c r="B19" s="358" t="s">
        <v>17</v>
      </c>
      <c r="C19" s="353">
        <f t="shared" si="0"/>
        <v>55158</v>
      </c>
      <c r="D19" s="353">
        <f t="shared" si="1"/>
        <v>4127</v>
      </c>
      <c r="E19" s="353">
        <v>785</v>
      </c>
      <c r="F19" s="354">
        <v>3342</v>
      </c>
      <c r="G19" s="355">
        <f t="shared" si="2"/>
        <v>3412</v>
      </c>
      <c r="H19" s="353">
        <v>3349</v>
      </c>
      <c r="I19" s="353">
        <v>63</v>
      </c>
      <c r="J19" s="353">
        <f>'[4]Проф.с иными целями Пр.114'!C19</f>
        <v>47619</v>
      </c>
      <c r="K19" s="356"/>
    </row>
    <row r="20" spans="1:11" s="359" customFormat="1" x14ac:dyDescent="0.2">
      <c r="A20" s="79">
        <v>10</v>
      </c>
      <c r="B20" s="358" t="s">
        <v>44</v>
      </c>
      <c r="C20" s="353">
        <f t="shared" si="0"/>
        <v>59441</v>
      </c>
      <c r="D20" s="353">
        <f t="shared" si="1"/>
        <v>5008</v>
      </c>
      <c r="E20" s="353">
        <v>803</v>
      </c>
      <c r="F20" s="354">
        <v>4205</v>
      </c>
      <c r="G20" s="355">
        <f t="shared" si="2"/>
        <v>3504</v>
      </c>
      <c r="H20" s="353">
        <v>3426</v>
      </c>
      <c r="I20" s="353">
        <v>78</v>
      </c>
      <c r="J20" s="353">
        <f>'[4]Проф.с иными целями Пр.114'!C20</f>
        <v>50929</v>
      </c>
      <c r="K20" s="356"/>
    </row>
    <row r="21" spans="1:11" s="359" customFormat="1" x14ac:dyDescent="0.2">
      <c r="A21" s="79">
        <v>11</v>
      </c>
      <c r="B21" s="360" t="s">
        <v>29</v>
      </c>
      <c r="C21" s="353">
        <f t="shared" si="0"/>
        <v>62053</v>
      </c>
      <c r="D21" s="353">
        <f t="shared" si="1"/>
        <v>5372</v>
      </c>
      <c r="E21" s="353">
        <v>832</v>
      </c>
      <c r="F21" s="354">
        <v>4540</v>
      </c>
      <c r="G21" s="355">
        <f t="shared" si="2"/>
        <v>3711</v>
      </c>
      <c r="H21" s="353">
        <v>3552</v>
      </c>
      <c r="I21" s="353">
        <v>159</v>
      </c>
      <c r="J21" s="353">
        <f>'[4]Проф.с иными целями Пр.114'!C21</f>
        <v>52970</v>
      </c>
      <c r="K21" s="356"/>
    </row>
    <row r="22" spans="1:11" s="359" customFormat="1" x14ac:dyDescent="0.2">
      <c r="A22" s="79">
        <v>12</v>
      </c>
      <c r="B22" s="358" t="s">
        <v>30</v>
      </c>
      <c r="C22" s="353">
        <f t="shared" si="0"/>
        <v>57955</v>
      </c>
      <c r="D22" s="353">
        <f t="shared" si="1"/>
        <v>4594</v>
      </c>
      <c r="E22" s="353">
        <v>782</v>
      </c>
      <c r="F22" s="354">
        <v>3812</v>
      </c>
      <c r="G22" s="355">
        <f t="shared" si="2"/>
        <v>3391</v>
      </c>
      <c r="H22" s="353">
        <v>3337</v>
      </c>
      <c r="I22" s="353">
        <v>54</v>
      </c>
      <c r="J22" s="353">
        <f>'[4]Проф.с иными целями Пр.114'!C22</f>
        <v>49970</v>
      </c>
      <c r="K22" s="356"/>
    </row>
    <row r="23" spans="1:11" s="359" customFormat="1" x14ac:dyDescent="0.2">
      <c r="A23" s="79">
        <v>13</v>
      </c>
      <c r="B23" s="360" t="s">
        <v>33</v>
      </c>
      <c r="C23" s="353">
        <f t="shared" si="0"/>
        <v>68763</v>
      </c>
      <c r="D23" s="353">
        <f t="shared" si="1"/>
        <v>5224</v>
      </c>
      <c r="E23" s="353">
        <v>957</v>
      </c>
      <c r="F23" s="354">
        <v>4267</v>
      </c>
      <c r="G23" s="355">
        <f t="shared" si="2"/>
        <v>4142</v>
      </c>
      <c r="H23" s="353">
        <v>4082</v>
      </c>
      <c r="I23" s="353">
        <v>60</v>
      </c>
      <c r="J23" s="353">
        <f>'[4]Проф.с иными целями Пр.114'!C23</f>
        <v>59397</v>
      </c>
      <c r="K23" s="356"/>
    </row>
    <row r="24" spans="1:11" s="359" customFormat="1" x14ac:dyDescent="0.2">
      <c r="A24" s="79">
        <v>14</v>
      </c>
      <c r="B24" s="358" t="s">
        <v>39</v>
      </c>
      <c r="C24" s="353">
        <f t="shared" si="0"/>
        <v>56259</v>
      </c>
      <c r="D24" s="353">
        <f t="shared" si="1"/>
        <v>5214</v>
      </c>
      <c r="E24" s="353">
        <v>742</v>
      </c>
      <c r="F24" s="354">
        <v>4472</v>
      </c>
      <c r="G24" s="355">
        <f t="shared" si="2"/>
        <v>3263</v>
      </c>
      <c r="H24" s="353">
        <v>3167</v>
      </c>
      <c r="I24" s="353">
        <v>96</v>
      </c>
      <c r="J24" s="353">
        <f>'[4]Проф.с иными целями Пр.114'!C24</f>
        <v>47782</v>
      </c>
      <c r="K24" s="356"/>
    </row>
    <row r="25" spans="1:11" s="359" customFormat="1" x14ac:dyDescent="0.2">
      <c r="A25" s="79">
        <v>15</v>
      </c>
      <c r="B25" s="358" t="s">
        <v>436</v>
      </c>
      <c r="C25" s="353">
        <f t="shared" si="0"/>
        <v>6</v>
      </c>
      <c r="D25" s="353">
        <f t="shared" si="1"/>
        <v>0</v>
      </c>
      <c r="E25" s="353">
        <v>0</v>
      </c>
      <c r="F25" s="357">
        <v>0</v>
      </c>
      <c r="G25" s="355">
        <f t="shared" si="2"/>
        <v>0</v>
      </c>
      <c r="H25" s="353">
        <v>0</v>
      </c>
      <c r="I25" s="353">
        <v>0</v>
      </c>
      <c r="J25" s="353">
        <f>'[4]Проф.с иными целями Пр.114'!C25</f>
        <v>6</v>
      </c>
      <c r="K25" s="356"/>
    </row>
    <row r="26" spans="1:11" s="359" customFormat="1" x14ac:dyDescent="0.2">
      <c r="A26" s="79">
        <v>16</v>
      </c>
      <c r="B26" s="358" t="s">
        <v>52</v>
      </c>
      <c r="C26" s="353">
        <f t="shared" si="0"/>
        <v>165572</v>
      </c>
      <c r="D26" s="353">
        <f t="shared" si="1"/>
        <v>14829</v>
      </c>
      <c r="E26" s="353">
        <v>2031</v>
      </c>
      <c r="F26" s="354">
        <v>12798</v>
      </c>
      <c r="G26" s="355">
        <f t="shared" si="2"/>
        <v>8870</v>
      </c>
      <c r="H26" s="353">
        <v>8665</v>
      </c>
      <c r="I26" s="353">
        <v>205</v>
      </c>
      <c r="J26" s="353">
        <f>'[4]Проф.с иными целями Пр.114'!C26</f>
        <v>141873</v>
      </c>
      <c r="K26" s="356"/>
    </row>
    <row r="27" spans="1:11" s="359" customFormat="1" ht="25.5" x14ac:dyDescent="0.2">
      <c r="A27" s="79">
        <v>17</v>
      </c>
      <c r="B27" s="363" t="s">
        <v>441</v>
      </c>
      <c r="C27" s="353">
        <f t="shared" si="0"/>
        <v>2391</v>
      </c>
      <c r="D27" s="353">
        <f t="shared" si="1"/>
        <v>0</v>
      </c>
      <c r="E27" s="353">
        <v>0</v>
      </c>
      <c r="F27" s="357">
        <v>0</v>
      </c>
      <c r="G27" s="355">
        <f t="shared" si="2"/>
        <v>0</v>
      </c>
      <c r="H27" s="353">
        <v>0</v>
      </c>
      <c r="I27" s="353">
        <v>0</v>
      </c>
      <c r="J27" s="353">
        <f>'[4]Проф.с иными целями Пр.114'!C27</f>
        <v>2391</v>
      </c>
      <c r="K27" s="356"/>
    </row>
    <row r="28" spans="1:11" s="359" customFormat="1" x14ac:dyDescent="0.2">
      <c r="A28" s="79">
        <v>18</v>
      </c>
      <c r="B28" s="358" t="s">
        <v>6</v>
      </c>
      <c r="C28" s="353">
        <f t="shared" si="0"/>
        <v>139899</v>
      </c>
      <c r="D28" s="353">
        <f t="shared" si="1"/>
        <v>12874</v>
      </c>
      <c r="E28" s="353">
        <v>1767</v>
      </c>
      <c r="F28" s="354">
        <v>11107</v>
      </c>
      <c r="G28" s="355">
        <f t="shared" si="2"/>
        <v>7665</v>
      </c>
      <c r="H28" s="353">
        <v>7542</v>
      </c>
      <c r="I28" s="353">
        <v>123</v>
      </c>
      <c r="J28" s="353">
        <f>'[4]Проф.с иными целями Пр.114'!C28</f>
        <v>119360</v>
      </c>
      <c r="K28" s="356"/>
    </row>
    <row r="29" spans="1:11" s="359" customFormat="1" x14ac:dyDescent="0.2">
      <c r="A29" s="79">
        <v>19</v>
      </c>
      <c r="B29" s="358" t="s">
        <v>11</v>
      </c>
      <c r="C29" s="353">
        <f t="shared" si="0"/>
        <v>272587</v>
      </c>
      <c r="D29" s="353">
        <f t="shared" si="1"/>
        <v>21419</v>
      </c>
      <c r="E29" s="353">
        <v>3437</v>
      </c>
      <c r="F29" s="354">
        <v>17982</v>
      </c>
      <c r="G29" s="355">
        <f t="shared" si="2"/>
        <v>15335</v>
      </c>
      <c r="H29" s="353">
        <v>14665</v>
      </c>
      <c r="I29" s="353">
        <v>670</v>
      </c>
      <c r="J29" s="353">
        <f>'[4]Проф.с иными целями Пр.114'!C29</f>
        <v>235833</v>
      </c>
      <c r="K29" s="356"/>
    </row>
    <row r="30" spans="1:11" s="359" customFormat="1" x14ac:dyDescent="0.2">
      <c r="A30" s="79">
        <v>20</v>
      </c>
      <c r="B30" s="358" t="s">
        <v>134</v>
      </c>
      <c r="C30" s="353">
        <f t="shared" si="0"/>
        <v>180004</v>
      </c>
      <c r="D30" s="353">
        <f t="shared" si="1"/>
        <v>13143</v>
      </c>
      <c r="E30" s="353">
        <v>2391</v>
      </c>
      <c r="F30" s="354">
        <v>10752</v>
      </c>
      <c r="G30" s="355">
        <f t="shared" si="2"/>
        <v>10538</v>
      </c>
      <c r="H30" s="353">
        <v>10200</v>
      </c>
      <c r="I30" s="353">
        <v>338</v>
      </c>
      <c r="J30" s="353">
        <f>'[4]Проф.с иными целями Пр.114'!C30</f>
        <v>156323</v>
      </c>
      <c r="K30" s="356"/>
    </row>
    <row r="31" spans="1:11" s="359" customFormat="1" x14ac:dyDescent="0.2">
      <c r="A31" s="79">
        <v>21</v>
      </c>
      <c r="B31" s="358" t="s">
        <v>442</v>
      </c>
      <c r="C31" s="353">
        <f t="shared" si="0"/>
        <v>40869</v>
      </c>
      <c r="D31" s="353">
        <f t="shared" si="1"/>
        <v>3150</v>
      </c>
      <c r="E31" s="353">
        <v>482</v>
      </c>
      <c r="F31" s="354">
        <v>2668</v>
      </c>
      <c r="G31" s="355">
        <f t="shared" si="2"/>
        <v>2107</v>
      </c>
      <c r="H31" s="353">
        <v>2060</v>
      </c>
      <c r="I31" s="353">
        <v>47</v>
      </c>
      <c r="J31" s="353">
        <f>'[4]Проф.с иными целями Пр.114'!C31</f>
        <v>35612</v>
      </c>
      <c r="K31" s="356"/>
    </row>
    <row r="32" spans="1:11" s="359" customFormat="1" x14ac:dyDescent="0.2">
      <c r="A32" s="79">
        <v>22</v>
      </c>
      <c r="B32" s="358" t="s">
        <v>47</v>
      </c>
      <c r="C32" s="353">
        <f t="shared" si="0"/>
        <v>75150</v>
      </c>
      <c r="D32" s="353">
        <f t="shared" si="1"/>
        <v>6704</v>
      </c>
      <c r="E32" s="353">
        <v>975</v>
      </c>
      <c r="F32" s="354">
        <v>5729</v>
      </c>
      <c r="G32" s="355">
        <f t="shared" si="2"/>
        <v>4278</v>
      </c>
      <c r="H32" s="353">
        <v>4158</v>
      </c>
      <c r="I32" s="353">
        <v>120</v>
      </c>
      <c r="J32" s="353">
        <f>'[4]Проф.с иными целями Пр.114'!C32</f>
        <v>64168</v>
      </c>
      <c r="K32" s="356"/>
    </row>
    <row r="33" spans="1:11" s="359" customFormat="1" x14ac:dyDescent="0.2">
      <c r="A33" s="79">
        <v>23</v>
      </c>
      <c r="B33" s="358" t="s">
        <v>1</v>
      </c>
      <c r="C33" s="353">
        <f t="shared" si="0"/>
        <v>101994</v>
      </c>
      <c r="D33" s="353">
        <f t="shared" si="1"/>
        <v>8972</v>
      </c>
      <c r="E33" s="353">
        <v>1289</v>
      </c>
      <c r="F33" s="354">
        <v>7683</v>
      </c>
      <c r="G33" s="355">
        <f t="shared" si="2"/>
        <v>5681</v>
      </c>
      <c r="H33" s="353">
        <v>5501</v>
      </c>
      <c r="I33" s="353">
        <v>180</v>
      </c>
      <c r="J33" s="353">
        <f>'[4]Проф.с иными целями Пр.114'!C33</f>
        <v>87341</v>
      </c>
      <c r="K33" s="356"/>
    </row>
    <row r="34" spans="1:11" s="359" customFormat="1" x14ac:dyDescent="0.2">
      <c r="A34" s="79">
        <v>24</v>
      </c>
      <c r="B34" s="358" t="s">
        <v>18</v>
      </c>
      <c r="C34" s="353">
        <f t="shared" si="0"/>
        <v>42991</v>
      </c>
      <c r="D34" s="353">
        <f t="shared" si="1"/>
        <v>4829</v>
      </c>
      <c r="E34" s="353">
        <v>517</v>
      </c>
      <c r="F34" s="354">
        <v>4312</v>
      </c>
      <c r="G34" s="355">
        <f t="shared" si="2"/>
        <v>2233</v>
      </c>
      <c r="H34" s="353">
        <v>2203</v>
      </c>
      <c r="I34" s="353">
        <v>30</v>
      </c>
      <c r="J34" s="353">
        <f>'[4]Проф.с иными целями Пр.114'!C34</f>
        <v>35929</v>
      </c>
      <c r="K34" s="356"/>
    </row>
    <row r="35" spans="1:11" s="359" customFormat="1" x14ac:dyDescent="0.2">
      <c r="A35" s="79">
        <v>25</v>
      </c>
      <c r="B35" s="358" t="s">
        <v>25</v>
      </c>
      <c r="C35" s="353">
        <f t="shared" si="0"/>
        <v>35722</v>
      </c>
      <c r="D35" s="353">
        <f t="shared" si="1"/>
        <v>3302</v>
      </c>
      <c r="E35" s="353">
        <v>470</v>
      </c>
      <c r="F35" s="354">
        <v>2832</v>
      </c>
      <c r="G35" s="355">
        <f t="shared" si="2"/>
        <v>2208</v>
      </c>
      <c r="H35" s="353">
        <v>2004</v>
      </c>
      <c r="I35" s="353">
        <v>204</v>
      </c>
      <c r="J35" s="353">
        <f>'[4]Проф.с иными целями Пр.114'!C35</f>
        <v>30212</v>
      </c>
      <c r="K35" s="356"/>
    </row>
    <row r="36" spans="1:11" s="359" customFormat="1" x14ac:dyDescent="0.2">
      <c r="A36" s="446">
        <v>26</v>
      </c>
      <c r="B36" s="358" t="s">
        <v>115</v>
      </c>
      <c r="C36" s="353">
        <f t="shared" si="0"/>
        <v>89319</v>
      </c>
      <c r="D36" s="353">
        <f t="shared" si="1"/>
        <v>2622</v>
      </c>
      <c r="E36" s="354">
        <v>2622</v>
      </c>
      <c r="F36" s="357">
        <v>0</v>
      </c>
      <c r="G36" s="355">
        <f t="shared" si="2"/>
        <v>11188</v>
      </c>
      <c r="H36" s="354">
        <v>11188</v>
      </c>
      <c r="I36" s="357">
        <v>0</v>
      </c>
      <c r="J36" s="353">
        <f>'[4]Проф.с иными целями Пр.114'!C36</f>
        <v>75509</v>
      </c>
      <c r="K36" s="356"/>
    </row>
    <row r="37" spans="1:11" s="359" customFormat="1" ht="51.75" customHeight="1" x14ac:dyDescent="0.2">
      <c r="A37" s="592"/>
      <c r="B37" s="358" t="s">
        <v>443</v>
      </c>
      <c r="C37" s="353">
        <f t="shared" si="0"/>
        <v>96030</v>
      </c>
      <c r="D37" s="353">
        <f t="shared" si="1"/>
        <v>2122</v>
      </c>
      <c r="E37" s="354">
        <v>2122</v>
      </c>
      <c r="F37" s="357">
        <v>0</v>
      </c>
      <c r="G37" s="355">
        <f t="shared" si="2"/>
        <v>9640</v>
      </c>
      <c r="H37" s="354">
        <v>9640</v>
      </c>
      <c r="I37" s="357">
        <v>0</v>
      </c>
      <c r="J37" s="353">
        <f>'[4]Проф.с иными целями Пр.114'!C37</f>
        <v>84268</v>
      </c>
      <c r="K37" s="356"/>
    </row>
    <row r="38" spans="1:11" s="359" customFormat="1" ht="25.5" x14ac:dyDescent="0.2">
      <c r="A38" s="79">
        <v>27</v>
      </c>
      <c r="B38" s="358" t="s">
        <v>54</v>
      </c>
      <c r="C38" s="353">
        <f t="shared" si="0"/>
        <v>16479</v>
      </c>
      <c r="D38" s="353">
        <f t="shared" si="1"/>
        <v>685</v>
      </c>
      <c r="E38" s="364">
        <v>685</v>
      </c>
      <c r="F38" s="364">
        <v>0</v>
      </c>
      <c r="G38" s="355">
        <f t="shared" si="2"/>
        <v>2337</v>
      </c>
      <c r="H38" s="365">
        <v>2337</v>
      </c>
      <c r="I38" s="364">
        <v>0</v>
      </c>
      <c r="J38" s="353">
        <f>'[4]Проф.с иными целями Пр.114'!C38</f>
        <v>13457</v>
      </c>
      <c r="K38" s="362"/>
    </row>
    <row r="39" spans="1:11" s="359" customFormat="1" ht="33.75" customHeight="1" x14ac:dyDescent="0.2">
      <c r="A39" s="79">
        <v>28</v>
      </c>
      <c r="B39" s="358" t="s">
        <v>691</v>
      </c>
      <c r="C39" s="353">
        <f t="shared" si="0"/>
        <v>200330</v>
      </c>
      <c r="D39" s="353">
        <f t="shared" si="1"/>
        <v>14528</v>
      </c>
      <c r="E39" s="366">
        <v>3340</v>
      </c>
      <c r="F39" s="365">
        <v>11188</v>
      </c>
      <c r="G39" s="355">
        <f t="shared" si="2"/>
        <v>14302</v>
      </c>
      <c r="H39" s="366">
        <v>14269</v>
      </c>
      <c r="I39" s="366">
        <v>33</v>
      </c>
      <c r="J39" s="353">
        <f>'[4]Проф.с иными целями Пр.114'!C39</f>
        <v>171500</v>
      </c>
      <c r="K39" s="356"/>
    </row>
    <row r="40" spans="1:11" s="359" customFormat="1" ht="59.25" customHeight="1" x14ac:dyDescent="0.2">
      <c r="A40" s="344"/>
      <c r="B40" s="361" t="s">
        <v>692</v>
      </c>
      <c r="C40" s="353">
        <f t="shared" si="0"/>
        <v>90371</v>
      </c>
      <c r="D40" s="353">
        <f t="shared" si="1"/>
        <v>5550</v>
      </c>
      <c r="E40" s="366">
        <v>1122</v>
      </c>
      <c r="F40" s="365">
        <v>4428</v>
      </c>
      <c r="G40" s="355">
        <f t="shared" si="2"/>
        <v>4797</v>
      </c>
      <c r="H40" s="366">
        <v>4783</v>
      </c>
      <c r="I40" s="366">
        <v>14</v>
      </c>
      <c r="J40" s="353">
        <f>'[4]Проф.с иными целями Пр.114'!C40</f>
        <v>80024</v>
      </c>
      <c r="K40" s="356"/>
    </row>
    <row r="41" spans="1:11" s="359" customFormat="1" ht="25.5" x14ac:dyDescent="0.2">
      <c r="A41" s="446">
        <v>29</v>
      </c>
      <c r="B41" s="358" t="s">
        <v>67</v>
      </c>
      <c r="C41" s="353">
        <f t="shared" si="0"/>
        <v>19045</v>
      </c>
      <c r="D41" s="353">
        <f t="shared" si="1"/>
        <v>2465</v>
      </c>
      <c r="E41" s="353">
        <v>320</v>
      </c>
      <c r="F41" s="354">
        <v>2145</v>
      </c>
      <c r="G41" s="355">
        <f t="shared" si="2"/>
        <v>1350</v>
      </c>
      <c r="H41" s="353">
        <v>1349</v>
      </c>
      <c r="I41" s="353">
        <v>1</v>
      </c>
      <c r="J41" s="353">
        <f>'[4]Проф.с иными целями Пр.114'!C41</f>
        <v>15230</v>
      </c>
      <c r="K41" s="356"/>
    </row>
    <row r="42" spans="1:11" s="359" customFormat="1" ht="51" x14ac:dyDescent="0.2">
      <c r="A42" s="592"/>
      <c r="B42" s="361" t="s">
        <v>693</v>
      </c>
      <c r="C42" s="353">
        <f t="shared" si="0"/>
        <v>29676</v>
      </c>
      <c r="D42" s="353">
        <f t="shared" si="1"/>
        <v>3183</v>
      </c>
      <c r="E42" s="353">
        <v>476</v>
      </c>
      <c r="F42" s="354">
        <v>2707</v>
      </c>
      <c r="G42" s="355">
        <f t="shared" si="2"/>
        <v>2077</v>
      </c>
      <c r="H42" s="353">
        <v>2035</v>
      </c>
      <c r="I42" s="353">
        <v>42</v>
      </c>
      <c r="J42" s="353">
        <f>'[4]Проф.с иными целями Пр.114'!C42</f>
        <v>24416</v>
      </c>
      <c r="K42" s="356"/>
    </row>
    <row r="43" spans="1:11" s="359" customFormat="1" ht="25.5" x14ac:dyDescent="0.2">
      <c r="A43" s="79">
        <v>30</v>
      </c>
      <c r="B43" s="358" t="s">
        <v>78</v>
      </c>
      <c r="C43" s="353">
        <f t="shared" si="0"/>
        <v>479</v>
      </c>
      <c r="D43" s="353">
        <f t="shared" si="1"/>
        <v>0</v>
      </c>
      <c r="E43" s="353">
        <v>0</v>
      </c>
      <c r="F43" s="357">
        <v>0</v>
      </c>
      <c r="G43" s="355">
        <f t="shared" si="2"/>
        <v>0</v>
      </c>
      <c r="H43" s="353">
        <v>0</v>
      </c>
      <c r="I43" s="353">
        <v>0</v>
      </c>
      <c r="J43" s="353">
        <f>'[4]Проф.с иными целями Пр.114'!C43</f>
        <v>479</v>
      </c>
      <c r="K43" s="356"/>
    </row>
    <row r="44" spans="1:11" s="359" customFormat="1" ht="25.5" x14ac:dyDescent="0.2">
      <c r="A44" s="79">
        <v>31</v>
      </c>
      <c r="B44" s="358" t="s">
        <v>68</v>
      </c>
      <c r="C44" s="353">
        <f t="shared" si="0"/>
        <v>280157</v>
      </c>
      <c r="D44" s="353">
        <f t="shared" si="1"/>
        <v>35637</v>
      </c>
      <c r="E44" s="353">
        <v>0</v>
      </c>
      <c r="F44" s="354">
        <v>35637</v>
      </c>
      <c r="G44" s="355">
        <f t="shared" si="2"/>
        <v>285</v>
      </c>
      <c r="H44" s="353">
        <v>0</v>
      </c>
      <c r="I44" s="353">
        <v>285</v>
      </c>
      <c r="J44" s="353">
        <f>'[4]Проф.с иными целями Пр.114'!C44</f>
        <v>244235</v>
      </c>
      <c r="K44" s="356"/>
    </row>
    <row r="45" spans="1:11" s="359" customFormat="1" ht="25.5" x14ac:dyDescent="0.2">
      <c r="A45" s="79">
        <v>32</v>
      </c>
      <c r="B45" s="358" t="s">
        <v>448</v>
      </c>
      <c r="C45" s="353">
        <f t="shared" si="0"/>
        <v>12000</v>
      </c>
      <c r="D45" s="353">
        <f t="shared" si="1"/>
        <v>0</v>
      </c>
      <c r="E45" s="353">
        <v>0</v>
      </c>
      <c r="F45" s="357">
        <v>0</v>
      </c>
      <c r="G45" s="355">
        <f t="shared" si="2"/>
        <v>0</v>
      </c>
      <c r="H45" s="353">
        <v>0</v>
      </c>
      <c r="I45" s="353">
        <v>0</v>
      </c>
      <c r="J45" s="353">
        <f>'[4]Проф.с иными целями Пр.114'!C45</f>
        <v>12000</v>
      </c>
      <c r="K45" s="356"/>
    </row>
    <row r="46" spans="1:11" s="359" customFormat="1" x14ac:dyDescent="0.2">
      <c r="A46" s="79">
        <v>33</v>
      </c>
      <c r="B46" s="358" t="s">
        <v>119</v>
      </c>
      <c r="C46" s="353">
        <f t="shared" si="0"/>
        <v>10266</v>
      </c>
      <c r="D46" s="353">
        <f t="shared" si="1"/>
        <v>0</v>
      </c>
      <c r="E46" s="353">
        <v>0</v>
      </c>
      <c r="F46" s="357">
        <v>0</v>
      </c>
      <c r="G46" s="355">
        <f t="shared" si="2"/>
        <v>0</v>
      </c>
      <c r="H46" s="353">
        <v>0</v>
      </c>
      <c r="I46" s="353">
        <v>0</v>
      </c>
      <c r="J46" s="353">
        <f>'[4]Проф.с иными целями Пр.114'!C46</f>
        <v>10266</v>
      </c>
      <c r="K46" s="356"/>
    </row>
    <row r="47" spans="1:11" s="359" customFormat="1" x14ac:dyDescent="0.2">
      <c r="A47" s="446">
        <v>34</v>
      </c>
      <c r="B47" s="358" t="s">
        <v>53</v>
      </c>
      <c r="C47" s="353">
        <f t="shared" si="0"/>
        <v>149354</v>
      </c>
      <c r="D47" s="353">
        <f t="shared" si="1"/>
        <v>4162</v>
      </c>
      <c r="E47" s="353">
        <v>4162</v>
      </c>
      <c r="F47" s="357">
        <v>0</v>
      </c>
      <c r="G47" s="355">
        <f t="shared" si="2"/>
        <v>17756</v>
      </c>
      <c r="H47" s="353">
        <v>17756</v>
      </c>
      <c r="I47" s="353">
        <v>0</v>
      </c>
      <c r="J47" s="353">
        <f>'[4]Проф.с иными целями Пр.114'!C47</f>
        <v>127436</v>
      </c>
      <c r="K47" s="356"/>
    </row>
    <row r="48" spans="1:11" s="359" customFormat="1" ht="51" x14ac:dyDescent="0.2">
      <c r="A48" s="593"/>
      <c r="B48" s="361" t="s">
        <v>449</v>
      </c>
      <c r="C48" s="353">
        <f t="shared" si="0"/>
        <v>151352</v>
      </c>
      <c r="D48" s="353">
        <f t="shared" si="1"/>
        <v>21676</v>
      </c>
      <c r="E48" s="353">
        <v>0</v>
      </c>
      <c r="F48" s="354">
        <v>21676</v>
      </c>
      <c r="G48" s="355">
        <f t="shared" si="2"/>
        <v>285</v>
      </c>
      <c r="H48" s="353">
        <v>0</v>
      </c>
      <c r="I48" s="353">
        <v>285</v>
      </c>
      <c r="J48" s="353">
        <f>'[4]Проф.с иными целями Пр.114'!C48</f>
        <v>129391</v>
      </c>
      <c r="K48" s="362"/>
    </row>
    <row r="49" spans="1:11" s="359" customFormat="1" ht="38.25" x14ac:dyDescent="0.2">
      <c r="A49" s="592"/>
      <c r="B49" s="361" t="s">
        <v>694</v>
      </c>
      <c r="C49" s="353">
        <f t="shared" si="0"/>
        <v>22000</v>
      </c>
      <c r="D49" s="353">
        <f t="shared" si="1"/>
        <v>0</v>
      </c>
      <c r="E49" s="353">
        <v>0</v>
      </c>
      <c r="F49" s="357">
        <v>0</v>
      </c>
      <c r="G49" s="355">
        <f t="shared" si="2"/>
        <v>0</v>
      </c>
      <c r="H49" s="353">
        <v>0</v>
      </c>
      <c r="I49" s="353">
        <v>0</v>
      </c>
      <c r="J49" s="353">
        <f>'[4]Проф.с иными целями Пр.114'!C49</f>
        <v>22000</v>
      </c>
      <c r="K49" s="356"/>
    </row>
    <row r="50" spans="1:11" s="367" customFormat="1" ht="25.5" x14ac:dyDescent="0.2">
      <c r="A50" s="79">
        <v>35</v>
      </c>
      <c r="B50" s="358" t="s">
        <v>451</v>
      </c>
      <c r="C50" s="353">
        <f t="shared" si="0"/>
        <v>4198</v>
      </c>
      <c r="D50" s="353">
        <f t="shared" si="1"/>
        <v>0</v>
      </c>
      <c r="E50" s="353">
        <v>0</v>
      </c>
      <c r="F50" s="357">
        <v>0</v>
      </c>
      <c r="G50" s="355">
        <f t="shared" si="2"/>
        <v>0</v>
      </c>
      <c r="H50" s="353">
        <v>0</v>
      </c>
      <c r="I50" s="353">
        <v>0</v>
      </c>
      <c r="J50" s="353">
        <f>'[4]Проф.с иными целями Пр.114'!C50</f>
        <v>4198</v>
      </c>
      <c r="K50" s="356"/>
    </row>
    <row r="51" spans="1:11" s="359" customFormat="1" x14ac:dyDescent="0.2">
      <c r="A51" s="79">
        <v>36</v>
      </c>
      <c r="B51" s="358" t="s">
        <v>118</v>
      </c>
      <c r="C51" s="353">
        <f t="shared" si="0"/>
        <v>11900</v>
      </c>
      <c r="D51" s="353">
        <f t="shared" si="1"/>
        <v>0</v>
      </c>
      <c r="E51" s="353">
        <v>0</v>
      </c>
      <c r="F51" s="357">
        <v>0</v>
      </c>
      <c r="G51" s="355">
        <f t="shared" si="2"/>
        <v>0</v>
      </c>
      <c r="H51" s="353">
        <v>0</v>
      </c>
      <c r="I51" s="353">
        <v>0</v>
      </c>
      <c r="J51" s="353">
        <f>'[4]Проф.с иными целями Пр.114'!C51</f>
        <v>11900</v>
      </c>
      <c r="K51" s="356"/>
    </row>
    <row r="52" spans="1:11" s="359" customFormat="1" x14ac:dyDescent="0.2">
      <c r="A52" s="446">
        <v>37</v>
      </c>
      <c r="B52" s="358" t="s">
        <v>36</v>
      </c>
      <c r="C52" s="353">
        <f t="shared" si="0"/>
        <v>162780</v>
      </c>
      <c r="D52" s="353">
        <f t="shared" si="1"/>
        <v>12277</v>
      </c>
      <c r="E52" s="353">
        <v>2159</v>
      </c>
      <c r="F52" s="354">
        <v>10118</v>
      </c>
      <c r="G52" s="355">
        <f t="shared" si="2"/>
        <v>9453</v>
      </c>
      <c r="H52" s="353">
        <v>9212</v>
      </c>
      <c r="I52" s="353">
        <v>241</v>
      </c>
      <c r="J52" s="353">
        <f>'[4]Проф.с иными целями Пр.114'!C52</f>
        <v>141050</v>
      </c>
      <c r="K52" s="356"/>
    </row>
    <row r="53" spans="1:11" s="359" customFormat="1" ht="51" x14ac:dyDescent="0.2">
      <c r="A53" s="592"/>
      <c r="B53" s="361" t="s">
        <v>452</v>
      </c>
      <c r="C53" s="353">
        <f t="shared" si="0"/>
        <v>60448</v>
      </c>
      <c r="D53" s="353">
        <f t="shared" si="1"/>
        <v>4699</v>
      </c>
      <c r="E53" s="353">
        <v>782</v>
      </c>
      <c r="F53" s="354">
        <v>3917</v>
      </c>
      <c r="G53" s="355">
        <f t="shared" si="2"/>
        <v>3471</v>
      </c>
      <c r="H53" s="353">
        <v>3339</v>
      </c>
      <c r="I53" s="353">
        <v>132</v>
      </c>
      <c r="J53" s="353">
        <f>'[4]Проф.с иными целями Пр.114'!C53</f>
        <v>52278</v>
      </c>
      <c r="K53" s="356"/>
    </row>
    <row r="54" spans="1:11" s="359" customFormat="1" x14ac:dyDescent="0.2">
      <c r="A54" s="79">
        <v>38</v>
      </c>
      <c r="B54" s="358" t="s">
        <v>28</v>
      </c>
      <c r="C54" s="353">
        <f t="shared" si="0"/>
        <v>218132</v>
      </c>
      <c r="D54" s="353">
        <f t="shared" si="1"/>
        <v>17815</v>
      </c>
      <c r="E54" s="353">
        <v>2853</v>
      </c>
      <c r="F54" s="354">
        <v>14962</v>
      </c>
      <c r="G54" s="355">
        <f t="shared" si="2"/>
        <v>12544</v>
      </c>
      <c r="H54" s="353">
        <v>12173</v>
      </c>
      <c r="I54" s="353">
        <v>371</v>
      </c>
      <c r="J54" s="353">
        <f>'[4]Проф.с иными целями Пр.114'!C54</f>
        <v>187773</v>
      </c>
      <c r="K54" s="356"/>
    </row>
    <row r="55" spans="1:11" s="359" customFormat="1" x14ac:dyDescent="0.2">
      <c r="A55" s="79">
        <v>39</v>
      </c>
      <c r="B55" s="358" t="s">
        <v>37</v>
      </c>
      <c r="C55" s="353">
        <f t="shared" si="0"/>
        <v>207300</v>
      </c>
      <c r="D55" s="353">
        <f t="shared" si="1"/>
        <v>17661</v>
      </c>
      <c r="E55" s="353">
        <v>2730</v>
      </c>
      <c r="F55" s="354">
        <v>14931</v>
      </c>
      <c r="G55" s="355">
        <f t="shared" si="2"/>
        <v>12012</v>
      </c>
      <c r="H55" s="353">
        <v>11647</v>
      </c>
      <c r="I55" s="353">
        <v>365</v>
      </c>
      <c r="J55" s="353">
        <f>'[4]Проф.с иными целями Пр.114'!C55</f>
        <v>177627</v>
      </c>
      <c r="K55" s="356"/>
    </row>
    <row r="56" spans="1:11" s="359" customFormat="1" x14ac:dyDescent="0.2">
      <c r="A56" s="79">
        <v>40</v>
      </c>
      <c r="B56" s="358" t="s">
        <v>24</v>
      </c>
      <c r="C56" s="353">
        <f t="shared" si="0"/>
        <v>64566</v>
      </c>
      <c r="D56" s="353">
        <f t="shared" si="1"/>
        <v>5992</v>
      </c>
      <c r="E56" s="353">
        <v>840</v>
      </c>
      <c r="F56" s="354">
        <v>5152</v>
      </c>
      <c r="G56" s="355">
        <f t="shared" si="2"/>
        <v>3610</v>
      </c>
      <c r="H56" s="353">
        <v>3585</v>
      </c>
      <c r="I56" s="353">
        <v>25</v>
      </c>
      <c r="J56" s="353">
        <f>'[4]Проф.с иными целями Пр.114'!C56</f>
        <v>54964</v>
      </c>
      <c r="K56" s="356"/>
    </row>
    <row r="57" spans="1:11" s="359" customFormat="1" x14ac:dyDescent="0.2">
      <c r="A57" s="79">
        <v>41</v>
      </c>
      <c r="B57" s="358" t="s">
        <v>19</v>
      </c>
      <c r="C57" s="353">
        <f t="shared" si="0"/>
        <v>80103</v>
      </c>
      <c r="D57" s="353">
        <f t="shared" si="1"/>
        <v>7532</v>
      </c>
      <c r="E57" s="353">
        <v>1055</v>
      </c>
      <c r="F57" s="354">
        <v>6477</v>
      </c>
      <c r="G57" s="355">
        <f t="shared" si="2"/>
        <v>4587</v>
      </c>
      <c r="H57" s="353">
        <v>4502</v>
      </c>
      <c r="I57" s="353">
        <v>85</v>
      </c>
      <c r="J57" s="353">
        <f>'[4]Проф.с иными целями Пр.114'!C57</f>
        <v>67984</v>
      </c>
      <c r="K57" s="356"/>
    </row>
    <row r="58" spans="1:11" s="367" customFormat="1" x14ac:dyDescent="0.2">
      <c r="A58" s="79">
        <v>42</v>
      </c>
      <c r="B58" s="358" t="s">
        <v>34</v>
      </c>
      <c r="C58" s="353">
        <f t="shared" si="0"/>
        <v>74606</v>
      </c>
      <c r="D58" s="353">
        <f t="shared" si="1"/>
        <v>6671</v>
      </c>
      <c r="E58" s="353">
        <v>984</v>
      </c>
      <c r="F58" s="354">
        <v>5687</v>
      </c>
      <c r="G58" s="355">
        <f t="shared" si="2"/>
        <v>4253</v>
      </c>
      <c r="H58" s="353">
        <v>4200</v>
      </c>
      <c r="I58" s="353">
        <v>53</v>
      </c>
      <c r="J58" s="353">
        <f>'[4]Проф.с иными целями Пр.114'!C58</f>
        <v>63682</v>
      </c>
      <c r="K58" s="356"/>
    </row>
    <row r="59" spans="1:11" s="359" customFormat="1" x14ac:dyDescent="0.2">
      <c r="A59" s="79">
        <v>43</v>
      </c>
      <c r="B59" s="358" t="s">
        <v>43</v>
      </c>
      <c r="C59" s="353">
        <f t="shared" si="0"/>
        <v>48211</v>
      </c>
      <c r="D59" s="353">
        <f t="shared" si="1"/>
        <v>3961</v>
      </c>
      <c r="E59" s="353">
        <v>664</v>
      </c>
      <c r="F59" s="354">
        <v>3297</v>
      </c>
      <c r="G59" s="355">
        <f t="shared" si="2"/>
        <v>2992</v>
      </c>
      <c r="H59" s="353">
        <v>2834</v>
      </c>
      <c r="I59" s="353">
        <v>158</v>
      </c>
      <c r="J59" s="353">
        <f>'[4]Проф.с иными целями Пр.114'!C59</f>
        <v>41258</v>
      </c>
      <c r="K59" s="356"/>
    </row>
    <row r="60" spans="1:11" s="359" customFormat="1" x14ac:dyDescent="0.2">
      <c r="A60" s="79">
        <v>44</v>
      </c>
      <c r="B60" s="358" t="s">
        <v>5</v>
      </c>
      <c r="C60" s="353">
        <f t="shared" si="0"/>
        <v>83177</v>
      </c>
      <c r="D60" s="353">
        <f t="shared" si="1"/>
        <v>6728</v>
      </c>
      <c r="E60" s="353">
        <v>1160</v>
      </c>
      <c r="F60" s="354">
        <v>5568</v>
      </c>
      <c r="G60" s="355">
        <f t="shared" si="2"/>
        <v>5060</v>
      </c>
      <c r="H60" s="353">
        <v>4949</v>
      </c>
      <c r="I60" s="353">
        <v>111</v>
      </c>
      <c r="J60" s="353">
        <f>'[4]Проф.с иными целями Пр.114'!C60</f>
        <v>71389</v>
      </c>
      <c r="K60" s="356"/>
    </row>
    <row r="61" spans="1:11" s="367" customFormat="1" x14ac:dyDescent="0.2">
      <c r="A61" s="79">
        <v>45</v>
      </c>
      <c r="B61" s="358" t="s">
        <v>46</v>
      </c>
      <c r="C61" s="353">
        <f t="shared" si="0"/>
        <v>39240</v>
      </c>
      <c r="D61" s="353">
        <f t="shared" si="1"/>
        <v>2977</v>
      </c>
      <c r="E61" s="353">
        <v>554</v>
      </c>
      <c r="F61" s="354">
        <v>2423</v>
      </c>
      <c r="G61" s="355">
        <f t="shared" si="2"/>
        <v>2429</v>
      </c>
      <c r="H61" s="353">
        <v>2363</v>
      </c>
      <c r="I61" s="353">
        <v>66</v>
      </c>
      <c r="J61" s="353">
        <f>'[4]Проф.с иными целями Пр.114'!C61</f>
        <v>33834</v>
      </c>
      <c r="K61" s="356"/>
    </row>
    <row r="62" spans="1:11" s="359" customFormat="1" x14ac:dyDescent="0.2">
      <c r="A62" s="79">
        <v>46</v>
      </c>
      <c r="B62" s="368" t="s">
        <v>385</v>
      </c>
      <c r="C62" s="353">
        <f t="shared" si="0"/>
        <v>12064</v>
      </c>
      <c r="D62" s="353">
        <f t="shared" si="1"/>
        <v>366</v>
      </c>
      <c r="E62" s="353">
        <v>366</v>
      </c>
      <c r="F62" s="357">
        <v>0</v>
      </c>
      <c r="G62" s="355">
        <f t="shared" si="2"/>
        <v>1560</v>
      </c>
      <c r="H62" s="353">
        <v>1560</v>
      </c>
      <c r="I62" s="353">
        <v>0</v>
      </c>
      <c r="J62" s="353">
        <f>'[4]Проф.с иными целями Пр.114'!C62</f>
        <v>10138</v>
      </c>
      <c r="K62" s="356"/>
    </row>
    <row r="63" spans="1:11" s="359" customFormat="1" x14ac:dyDescent="0.2">
      <c r="A63" s="79">
        <v>47</v>
      </c>
      <c r="B63" s="358" t="s">
        <v>69</v>
      </c>
      <c r="C63" s="353">
        <f t="shared" si="0"/>
        <v>23813</v>
      </c>
      <c r="D63" s="353">
        <f t="shared" si="1"/>
        <v>702</v>
      </c>
      <c r="E63" s="353">
        <v>702</v>
      </c>
      <c r="F63" s="357">
        <v>0</v>
      </c>
      <c r="G63" s="355">
        <f t="shared" si="2"/>
        <v>2995</v>
      </c>
      <c r="H63" s="353">
        <v>2995</v>
      </c>
      <c r="I63" s="353">
        <v>0</v>
      </c>
      <c r="J63" s="353">
        <f>'[4]Проф.с иными целями Пр.114'!C63</f>
        <v>20116</v>
      </c>
      <c r="K63" s="356"/>
    </row>
    <row r="64" spans="1:11" s="359" customFormat="1" x14ac:dyDescent="0.2">
      <c r="A64" s="79">
        <v>48</v>
      </c>
      <c r="B64" s="352" t="s">
        <v>45</v>
      </c>
      <c r="C64" s="353">
        <f t="shared" si="0"/>
        <v>335459</v>
      </c>
      <c r="D64" s="353">
        <f t="shared" si="1"/>
        <v>28560</v>
      </c>
      <c r="E64" s="353">
        <v>4373</v>
      </c>
      <c r="F64" s="354">
        <v>24187</v>
      </c>
      <c r="G64" s="355">
        <f t="shared" si="2"/>
        <v>19359</v>
      </c>
      <c r="H64" s="353">
        <v>18657</v>
      </c>
      <c r="I64" s="353">
        <v>702</v>
      </c>
      <c r="J64" s="353">
        <f>'[4]Проф.с иными целями Пр.114'!C64</f>
        <v>287540</v>
      </c>
      <c r="K64" s="356"/>
    </row>
    <row r="65" spans="1:11" s="359" customFormat="1" x14ac:dyDescent="0.2">
      <c r="A65" s="79">
        <v>49</v>
      </c>
      <c r="B65" s="358" t="s">
        <v>9</v>
      </c>
      <c r="C65" s="353">
        <f t="shared" si="0"/>
        <v>232405</v>
      </c>
      <c r="D65" s="353">
        <f t="shared" si="1"/>
        <v>18080</v>
      </c>
      <c r="E65" s="353">
        <v>3164</v>
      </c>
      <c r="F65" s="354">
        <v>14916</v>
      </c>
      <c r="G65" s="355">
        <f t="shared" si="2"/>
        <v>13655</v>
      </c>
      <c r="H65" s="353">
        <v>13499</v>
      </c>
      <c r="I65" s="353">
        <v>156</v>
      </c>
      <c r="J65" s="353">
        <f>'[4]Проф.с иными целями Пр.114'!C65</f>
        <v>200670</v>
      </c>
      <c r="K65" s="356"/>
    </row>
    <row r="66" spans="1:11" s="359" customFormat="1" x14ac:dyDescent="0.2">
      <c r="A66" s="79">
        <v>50</v>
      </c>
      <c r="B66" s="352" t="s">
        <v>70</v>
      </c>
      <c r="C66" s="353">
        <f t="shared" si="0"/>
        <v>288871</v>
      </c>
      <c r="D66" s="353">
        <f t="shared" si="1"/>
        <v>22172</v>
      </c>
      <c r="E66" s="353">
        <v>3607</v>
      </c>
      <c r="F66" s="354">
        <v>18565</v>
      </c>
      <c r="G66" s="355">
        <f t="shared" si="2"/>
        <v>15728</v>
      </c>
      <c r="H66" s="353">
        <v>15385</v>
      </c>
      <c r="I66" s="353">
        <v>343</v>
      </c>
      <c r="J66" s="353">
        <f>'[4]Проф.с иными целями Пр.114'!C66</f>
        <v>250971</v>
      </c>
      <c r="K66" s="356"/>
    </row>
    <row r="67" spans="1:11" s="359" customFormat="1" ht="25.5" x14ac:dyDescent="0.2">
      <c r="A67" s="79">
        <v>51</v>
      </c>
      <c r="B67" s="352" t="s">
        <v>454</v>
      </c>
      <c r="C67" s="353">
        <f t="shared" si="0"/>
        <v>2203</v>
      </c>
      <c r="D67" s="353">
        <f t="shared" si="1"/>
        <v>0</v>
      </c>
      <c r="E67" s="353">
        <v>0</v>
      </c>
      <c r="F67" s="357">
        <v>0</v>
      </c>
      <c r="G67" s="355">
        <f t="shared" si="2"/>
        <v>0</v>
      </c>
      <c r="H67" s="353">
        <v>0</v>
      </c>
      <c r="I67" s="353">
        <v>0</v>
      </c>
      <c r="J67" s="353">
        <f>'[4]Проф.с иными целями Пр.114'!C67</f>
        <v>2203</v>
      </c>
      <c r="K67" s="356"/>
    </row>
    <row r="68" spans="1:11" s="359" customFormat="1" x14ac:dyDescent="0.2">
      <c r="A68" s="79">
        <v>52</v>
      </c>
      <c r="B68" s="358" t="s">
        <v>20</v>
      </c>
      <c r="C68" s="353">
        <f t="shared" si="0"/>
        <v>95075</v>
      </c>
      <c r="D68" s="353">
        <f t="shared" si="1"/>
        <v>7930</v>
      </c>
      <c r="E68" s="353">
        <v>1272</v>
      </c>
      <c r="F68" s="354">
        <v>6658</v>
      </c>
      <c r="G68" s="355">
        <f t="shared" si="2"/>
        <v>5587</v>
      </c>
      <c r="H68" s="353">
        <v>5430</v>
      </c>
      <c r="I68" s="353">
        <v>157</v>
      </c>
      <c r="J68" s="353">
        <f>'[4]Проф.с иными целями Пр.114'!C68</f>
        <v>81558</v>
      </c>
      <c r="K68" s="356"/>
    </row>
    <row r="69" spans="1:11" s="359" customFormat="1" x14ac:dyDescent="0.2">
      <c r="A69" s="79">
        <v>53</v>
      </c>
      <c r="B69" s="352" t="s">
        <v>7</v>
      </c>
      <c r="C69" s="353">
        <f t="shared" si="0"/>
        <v>68490</v>
      </c>
      <c r="D69" s="353">
        <f t="shared" si="1"/>
        <v>5601</v>
      </c>
      <c r="E69" s="353">
        <v>932</v>
      </c>
      <c r="F69" s="354">
        <v>4669</v>
      </c>
      <c r="G69" s="355">
        <f t="shared" si="2"/>
        <v>4114</v>
      </c>
      <c r="H69" s="353">
        <v>3979</v>
      </c>
      <c r="I69" s="353">
        <v>135</v>
      </c>
      <c r="J69" s="353">
        <f>'[4]Проф.с иными целями Пр.114'!C69</f>
        <v>58775</v>
      </c>
      <c r="K69" s="356"/>
    </row>
    <row r="70" spans="1:11" s="359" customFormat="1" x14ac:dyDescent="0.2">
      <c r="A70" s="79">
        <v>54</v>
      </c>
      <c r="B70" s="358" t="s">
        <v>12</v>
      </c>
      <c r="C70" s="353">
        <f t="shared" si="0"/>
        <v>52897</v>
      </c>
      <c r="D70" s="353">
        <f t="shared" si="1"/>
        <v>4505</v>
      </c>
      <c r="E70" s="353">
        <v>721</v>
      </c>
      <c r="F70" s="354">
        <v>3784</v>
      </c>
      <c r="G70" s="355">
        <f t="shared" si="2"/>
        <v>3243</v>
      </c>
      <c r="H70" s="353">
        <v>3077</v>
      </c>
      <c r="I70" s="353">
        <v>166</v>
      </c>
      <c r="J70" s="353">
        <f>'[4]Проф.с иными целями Пр.114'!C70</f>
        <v>45149</v>
      </c>
      <c r="K70" s="356"/>
    </row>
    <row r="71" spans="1:11" s="359" customFormat="1" x14ac:dyDescent="0.2">
      <c r="A71" s="79">
        <v>55</v>
      </c>
      <c r="B71" s="352" t="s">
        <v>27</v>
      </c>
      <c r="C71" s="353">
        <f t="shared" si="0"/>
        <v>79754</v>
      </c>
      <c r="D71" s="353">
        <f t="shared" si="1"/>
        <v>6513</v>
      </c>
      <c r="E71" s="353">
        <v>1096</v>
      </c>
      <c r="F71" s="354">
        <v>5417</v>
      </c>
      <c r="G71" s="355">
        <f t="shared" si="2"/>
        <v>4814</v>
      </c>
      <c r="H71" s="353">
        <v>4677</v>
      </c>
      <c r="I71" s="353">
        <v>137</v>
      </c>
      <c r="J71" s="353">
        <f>'[4]Проф.с иными целями Пр.114'!C71</f>
        <v>68427</v>
      </c>
      <c r="K71" s="356"/>
    </row>
    <row r="72" spans="1:11" s="359" customFormat="1" x14ac:dyDescent="0.2">
      <c r="A72" s="79">
        <v>56</v>
      </c>
      <c r="B72" s="352" t="s">
        <v>457</v>
      </c>
      <c r="C72" s="353">
        <f t="shared" si="0"/>
        <v>44</v>
      </c>
      <c r="D72" s="353">
        <f t="shared" si="1"/>
        <v>0</v>
      </c>
      <c r="E72" s="353">
        <v>0</v>
      </c>
      <c r="F72" s="357">
        <v>0</v>
      </c>
      <c r="G72" s="355">
        <f t="shared" si="2"/>
        <v>0</v>
      </c>
      <c r="H72" s="353">
        <v>0</v>
      </c>
      <c r="I72" s="353">
        <v>0</v>
      </c>
      <c r="J72" s="353">
        <f>'[4]Проф.с иными целями Пр.114'!C72</f>
        <v>44</v>
      </c>
      <c r="K72" s="356"/>
    </row>
    <row r="73" spans="1:11" s="359" customFormat="1" x14ac:dyDescent="0.2">
      <c r="A73" s="79">
        <v>57</v>
      </c>
      <c r="B73" s="358" t="s">
        <v>23</v>
      </c>
      <c r="C73" s="353">
        <f t="shared" si="0"/>
        <v>33398</v>
      </c>
      <c r="D73" s="353">
        <f t="shared" si="1"/>
        <v>2461</v>
      </c>
      <c r="E73" s="353">
        <v>476</v>
      </c>
      <c r="F73" s="354">
        <v>1985</v>
      </c>
      <c r="G73" s="355">
        <f t="shared" si="2"/>
        <v>2072</v>
      </c>
      <c r="H73" s="353">
        <v>2032</v>
      </c>
      <c r="I73" s="353">
        <v>40</v>
      </c>
      <c r="J73" s="353">
        <f>'[4]Проф.с иными целями Пр.114'!C73</f>
        <v>28865</v>
      </c>
      <c r="K73" s="356"/>
    </row>
    <row r="74" spans="1:11" s="359" customFormat="1" x14ac:dyDescent="0.2">
      <c r="A74" s="79">
        <v>58</v>
      </c>
      <c r="B74" s="358" t="s">
        <v>40</v>
      </c>
      <c r="C74" s="353">
        <f t="shared" si="0"/>
        <v>66917</v>
      </c>
      <c r="D74" s="353">
        <f t="shared" si="1"/>
        <v>5525</v>
      </c>
      <c r="E74" s="353">
        <v>903</v>
      </c>
      <c r="F74" s="354">
        <v>4622</v>
      </c>
      <c r="G74" s="355">
        <f t="shared" si="2"/>
        <v>3874</v>
      </c>
      <c r="H74" s="353">
        <v>3854</v>
      </c>
      <c r="I74" s="353">
        <v>20</v>
      </c>
      <c r="J74" s="353">
        <f>'[4]Проф.с иными целями Пр.114'!C74</f>
        <v>57518</v>
      </c>
      <c r="K74" s="356"/>
    </row>
    <row r="75" spans="1:11" s="359" customFormat="1" x14ac:dyDescent="0.2">
      <c r="A75" s="79">
        <v>59</v>
      </c>
      <c r="B75" s="358" t="s">
        <v>2</v>
      </c>
      <c r="C75" s="353">
        <f t="shared" ref="C75:C138" si="3">D75+G75+J75</f>
        <v>98172</v>
      </c>
      <c r="D75" s="353">
        <f t="shared" ref="D75:D138" si="4">E75+F75</f>
        <v>8333</v>
      </c>
      <c r="E75" s="353">
        <v>1332</v>
      </c>
      <c r="F75" s="354">
        <v>7001</v>
      </c>
      <c r="G75" s="355">
        <f t="shared" ref="G75:G138" si="5">H75+I75</f>
        <v>5801</v>
      </c>
      <c r="H75" s="353">
        <v>5680</v>
      </c>
      <c r="I75" s="353">
        <v>121</v>
      </c>
      <c r="J75" s="353">
        <f>'[4]Проф.с иными целями Пр.114'!C75</f>
        <v>84038</v>
      </c>
      <c r="K75" s="356"/>
    </row>
    <row r="76" spans="1:11" s="359" customFormat="1" x14ac:dyDescent="0.2">
      <c r="A76" s="79">
        <v>60</v>
      </c>
      <c r="B76" s="352" t="s">
        <v>50</v>
      </c>
      <c r="C76" s="353">
        <f t="shared" si="3"/>
        <v>53589</v>
      </c>
      <c r="D76" s="353">
        <f t="shared" si="4"/>
        <v>4626</v>
      </c>
      <c r="E76" s="353">
        <v>730</v>
      </c>
      <c r="F76" s="354">
        <v>3896</v>
      </c>
      <c r="G76" s="355">
        <f t="shared" si="5"/>
        <v>3220</v>
      </c>
      <c r="H76" s="353">
        <v>3115</v>
      </c>
      <c r="I76" s="353">
        <v>105</v>
      </c>
      <c r="J76" s="353">
        <f>'[4]Проф.с иными целями Пр.114'!C76</f>
        <v>45743</v>
      </c>
      <c r="K76" s="356"/>
    </row>
    <row r="77" spans="1:11" s="359" customFormat="1" ht="25.5" x14ac:dyDescent="0.2">
      <c r="A77" s="79">
        <v>61</v>
      </c>
      <c r="B77" s="358" t="s">
        <v>455</v>
      </c>
      <c r="C77" s="353">
        <f t="shared" si="3"/>
        <v>55</v>
      </c>
      <c r="D77" s="353">
        <f t="shared" si="4"/>
        <v>0</v>
      </c>
      <c r="E77" s="353">
        <v>0</v>
      </c>
      <c r="F77" s="357">
        <v>0</v>
      </c>
      <c r="G77" s="355">
        <f t="shared" si="5"/>
        <v>0</v>
      </c>
      <c r="H77" s="353">
        <v>0</v>
      </c>
      <c r="I77" s="353">
        <v>0</v>
      </c>
      <c r="J77" s="353">
        <f>'[4]Проф.с иными целями Пр.114'!C77</f>
        <v>55</v>
      </c>
      <c r="K77" s="356"/>
    </row>
    <row r="78" spans="1:11" s="359" customFormat="1" x14ac:dyDescent="0.2">
      <c r="A78" s="79">
        <v>62</v>
      </c>
      <c r="B78" s="358" t="s">
        <v>456</v>
      </c>
      <c r="C78" s="353">
        <f t="shared" si="3"/>
        <v>25</v>
      </c>
      <c r="D78" s="353">
        <f t="shared" si="4"/>
        <v>0</v>
      </c>
      <c r="E78" s="353">
        <v>0</v>
      </c>
      <c r="F78" s="357">
        <v>0</v>
      </c>
      <c r="G78" s="355">
        <f t="shared" si="5"/>
        <v>0</v>
      </c>
      <c r="H78" s="353">
        <v>0</v>
      </c>
      <c r="I78" s="353">
        <v>0</v>
      </c>
      <c r="J78" s="353">
        <f>'[4]Проф.с иными целями Пр.114'!C78</f>
        <v>25</v>
      </c>
      <c r="K78" s="356"/>
    </row>
    <row r="79" spans="1:11" s="359" customFormat="1" ht="25.5" x14ac:dyDescent="0.2">
      <c r="A79" s="79">
        <v>63</v>
      </c>
      <c r="B79" s="358" t="s">
        <v>459</v>
      </c>
      <c r="C79" s="353">
        <f t="shared" si="3"/>
        <v>22</v>
      </c>
      <c r="D79" s="353">
        <f t="shared" si="4"/>
        <v>0</v>
      </c>
      <c r="E79" s="353">
        <v>0</v>
      </c>
      <c r="F79" s="357">
        <v>0</v>
      </c>
      <c r="G79" s="355">
        <f t="shared" si="5"/>
        <v>0</v>
      </c>
      <c r="H79" s="353">
        <v>0</v>
      </c>
      <c r="I79" s="353">
        <v>0</v>
      </c>
      <c r="J79" s="353">
        <f>'[4]Проф.с иными целями Пр.114'!C79</f>
        <v>22</v>
      </c>
      <c r="K79" s="356"/>
    </row>
    <row r="80" spans="1:11" s="359" customFormat="1" x14ac:dyDescent="0.2">
      <c r="A80" s="79">
        <v>64</v>
      </c>
      <c r="B80" s="83" t="s">
        <v>461</v>
      </c>
      <c r="C80" s="353">
        <f t="shared" si="3"/>
        <v>226489</v>
      </c>
      <c r="D80" s="353">
        <f t="shared" si="4"/>
        <v>30348</v>
      </c>
      <c r="E80" s="353">
        <v>0</v>
      </c>
      <c r="F80" s="354">
        <v>30348</v>
      </c>
      <c r="G80" s="355">
        <f t="shared" si="5"/>
        <v>270</v>
      </c>
      <c r="H80" s="353">
        <v>0</v>
      </c>
      <c r="I80" s="353">
        <v>270</v>
      </c>
      <c r="J80" s="353">
        <f>'[4]Проф.с иными целями Пр.114'!C80</f>
        <v>195871</v>
      </c>
      <c r="K80" s="356"/>
    </row>
    <row r="81" spans="1:11" s="359" customFormat="1" x14ac:dyDescent="0.2">
      <c r="A81" s="79">
        <v>65</v>
      </c>
      <c r="B81" s="83" t="s">
        <v>462</v>
      </c>
      <c r="C81" s="353">
        <f t="shared" si="3"/>
        <v>195701</v>
      </c>
      <c r="D81" s="353">
        <f t="shared" si="4"/>
        <v>26067</v>
      </c>
      <c r="E81" s="353">
        <v>0</v>
      </c>
      <c r="F81" s="354">
        <v>26067</v>
      </c>
      <c r="G81" s="355">
        <f t="shared" si="5"/>
        <v>418</v>
      </c>
      <c r="H81" s="353">
        <v>0</v>
      </c>
      <c r="I81" s="353">
        <v>418</v>
      </c>
      <c r="J81" s="353">
        <f>'[4]Проф.с иными целями Пр.114'!C81</f>
        <v>169216</v>
      </c>
      <c r="K81" s="356"/>
    </row>
    <row r="82" spans="1:11" s="359" customFormat="1" x14ac:dyDescent="0.2">
      <c r="A82" s="79">
        <v>66</v>
      </c>
      <c r="B82" s="83" t="s">
        <v>463</v>
      </c>
      <c r="C82" s="353">
        <f t="shared" si="3"/>
        <v>267996</v>
      </c>
      <c r="D82" s="353">
        <f t="shared" si="4"/>
        <v>34032</v>
      </c>
      <c r="E82" s="353">
        <v>0</v>
      </c>
      <c r="F82" s="354">
        <v>34032</v>
      </c>
      <c r="G82" s="355">
        <f t="shared" si="5"/>
        <v>90</v>
      </c>
      <c r="H82" s="353">
        <v>0</v>
      </c>
      <c r="I82" s="353">
        <v>90</v>
      </c>
      <c r="J82" s="353">
        <f>'[4]Проф.с иными целями Пр.114'!C82</f>
        <v>233874</v>
      </c>
      <c r="K82" s="356"/>
    </row>
    <row r="83" spans="1:11" s="359" customFormat="1" x14ac:dyDescent="0.2">
      <c r="A83" s="79">
        <v>67</v>
      </c>
      <c r="B83" s="83" t="s">
        <v>464</v>
      </c>
      <c r="C83" s="353">
        <f t="shared" si="3"/>
        <v>334174</v>
      </c>
      <c r="D83" s="353">
        <f t="shared" si="4"/>
        <v>42137</v>
      </c>
      <c r="E83" s="353">
        <v>0</v>
      </c>
      <c r="F83" s="354">
        <v>42137</v>
      </c>
      <c r="G83" s="355">
        <f t="shared" si="5"/>
        <v>278</v>
      </c>
      <c r="H83" s="353">
        <v>0</v>
      </c>
      <c r="I83" s="353">
        <v>278</v>
      </c>
      <c r="J83" s="353">
        <f>'[4]Проф.с иными целями Пр.114'!C83</f>
        <v>291759</v>
      </c>
      <c r="K83" s="356"/>
    </row>
    <row r="84" spans="1:11" s="359" customFormat="1" x14ac:dyDescent="0.2">
      <c r="A84" s="79">
        <v>68</v>
      </c>
      <c r="B84" s="83" t="s">
        <v>465</v>
      </c>
      <c r="C84" s="353">
        <f t="shared" si="3"/>
        <v>123172</v>
      </c>
      <c r="D84" s="353">
        <f t="shared" si="4"/>
        <v>17540</v>
      </c>
      <c r="E84" s="353">
        <v>0</v>
      </c>
      <c r="F84" s="354">
        <v>17540</v>
      </c>
      <c r="G84" s="355">
        <f t="shared" si="5"/>
        <v>92</v>
      </c>
      <c r="H84" s="353">
        <v>0</v>
      </c>
      <c r="I84" s="353">
        <v>92</v>
      </c>
      <c r="J84" s="353">
        <f>'[4]Проф.с иными целями Пр.114'!C84</f>
        <v>105540</v>
      </c>
      <c r="K84" s="356"/>
    </row>
    <row r="85" spans="1:11" s="359" customFormat="1" ht="25.5" x14ac:dyDescent="0.2">
      <c r="A85" s="79">
        <v>69</v>
      </c>
      <c r="B85" s="83" t="s">
        <v>466</v>
      </c>
      <c r="C85" s="353">
        <f t="shared" si="3"/>
        <v>29476</v>
      </c>
      <c r="D85" s="353">
        <f t="shared" si="4"/>
        <v>0</v>
      </c>
      <c r="E85" s="353">
        <v>0</v>
      </c>
      <c r="F85" s="357">
        <v>0</v>
      </c>
      <c r="G85" s="355">
        <f t="shared" si="5"/>
        <v>0</v>
      </c>
      <c r="H85" s="353">
        <v>0</v>
      </c>
      <c r="I85" s="353">
        <v>0</v>
      </c>
      <c r="J85" s="353">
        <f>'[4]Проф.с иными целями Пр.114'!C85</f>
        <v>29476</v>
      </c>
      <c r="K85" s="356"/>
    </row>
    <row r="86" spans="1:11" s="359" customFormat="1" ht="25.5" x14ac:dyDescent="0.2">
      <c r="A86" s="79">
        <v>70</v>
      </c>
      <c r="B86" s="83" t="s">
        <v>467</v>
      </c>
      <c r="C86" s="353">
        <f t="shared" si="3"/>
        <v>31433</v>
      </c>
      <c r="D86" s="353">
        <f t="shared" si="4"/>
        <v>0</v>
      </c>
      <c r="E86" s="353">
        <v>0</v>
      </c>
      <c r="F86" s="357">
        <v>0</v>
      </c>
      <c r="G86" s="355">
        <f t="shared" si="5"/>
        <v>0</v>
      </c>
      <c r="H86" s="353">
        <v>0</v>
      </c>
      <c r="I86" s="353">
        <v>0</v>
      </c>
      <c r="J86" s="353">
        <f>'[4]Проф.с иными целями Пр.114'!C86</f>
        <v>31433</v>
      </c>
      <c r="K86" s="356"/>
    </row>
    <row r="87" spans="1:11" s="359" customFormat="1" x14ac:dyDescent="0.2">
      <c r="A87" s="79">
        <v>71</v>
      </c>
      <c r="B87" s="83" t="s">
        <v>468</v>
      </c>
      <c r="C87" s="353">
        <f t="shared" si="3"/>
        <v>99004</v>
      </c>
      <c r="D87" s="353">
        <f t="shared" si="4"/>
        <v>5584</v>
      </c>
      <c r="E87" s="353">
        <v>3062</v>
      </c>
      <c r="F87" s="354">
        <v>2522</v>
      </c>
      <c r="G87" s="355">
        <f t="shared" si="5"/>
        <v>13066</v>
      </c>
      <c r="H87" s="353">
        <v>13066</v>
      </c>
      <c r="I87" s="353">
        <v>0</v>
      </c>
      <c r="J87" s="353">
        <f>'[4]Проф.с иными целями Пр.114'!C87</f>
        <v>80354</v>
      </c>
      <c r="K87" s="356"/>
    </row>
    <row r="88" spans="1:11" s="359" customFormat="1" x14ac:dyDescent="0.2">
      <c r="A88" s="79">
        <v>72</v>
      </c>
      <c r="B88" s="83" t="s">
        <v>469</v>
      </c>
      <c r="C88" s="353">
        <f t="shared" si="3"/>
        <v>66561</v>
      </c>
      <c r="D88" s="353">
        <f t="shared" si="4"/>
        <v>1979</v>
      </c>
      <c r="E88" s="353">
        <v>1979</v>
      </c>
      <c r="F88" s="357">
        <v>0</v>
      </c>
      <c r="G88" s="355">
        <f t="shared" si="5"/>
        <v>8444</v>
      </c>
      <c r="H88" s="353">
        <v>8444</v>
      </c>
      <c r="I88" s="353">
        <v>0</v>
      </c>
      <c r="J88" s="353">
        <f>'[4]Проф.с иными целями Пр.114'!C88</f>
        <v>56138</v>
      </c>
      <c r="K88" s="356"/>
    </row>
    <row r="89" spans="1:11" s="359" customFormat="1" x14ac:dyDescent="0.2">
      <c r="A89" s="79">
        <v>73</v>
      </c>
      <c r="B89" s="83" t="s">
        <v>470</v>
      </c>
      <c r="C89" s="353">
        <f t="shared" si="3"/>
        <v>56276</v>
      </c>
      <c r="D89" s="353">
        <f t="shared" si="4"/>
        <v>1907</v>
      </c>
      <c r="E89" s="353">
        <v>1907</v>
      </c>
      <c r="F89" s="357">
        <v>0</v>
      </c>
      <c r="G89" s="355">
        <f t="shared" si="5"/>
        <v>8136</v>
      </c>
      <c r="H89" s="353">
        <v>8136</v>
      </c>
      <c r="I89" s="353">
        <v>0</v>
      </c>
      <c r="J89" s="353">
        <f>'[4]Проф.с иными целями Пр.114'!C89</f>
        <v>46233</v>
      </c>
      <c r="K89" s="356"/>
    </row>
    <row r="90" spans="1:11" s="359" customFormat="1" x14ac:dyDescent="0.2">
      <c r="A90" s="79">
        <v>74</v>
      </c>
      <c r="B90" s="83" t="s">
        <v>471</v>
      </c>
      <c r="C90" s="353">
        <f t="shared" si="3"/>
        <v>55260</v>
      </c>
      <c r="D90" s="353">
        <f t="shared" si="4"/>
        <v>1440</v>
      </c>
      <c r="E90" s="353">
        <v>1440</v>
      </c>
      <c r="F90" s="357">
        <v>0</v>
      </c>
      <c r="G90" s="355">
        <f t="shared" si="5"/>
        <v>6142</v>
      </c>
      <c r="H90" s="353">
        <v>6142</v>
      </c>
      <c r="I90" s="353">
        <v>0</v>
      </c>
      <c r="J90" s="353">
        <f>'[4]Проф.с иными целями Пр.114'!C90</f>
        <v>47678</v>
      </c>
      <c r="K90" s="356"/>
    </row>
    <row r="91" spans="1:11" s="359" customFormat="1" x14ac:dyDescent="0.2">
      <c r="A91" s="79">
        <v>75</v>
      </c>
      <c r="B91" s="83" t="s">
        <v>472</v>
      </c>
      <c r="C91" s="353">
        <f t="shared" si="3"/>
        <v>135567</v>
      </c>
      <c r="D91" s="353">
        <f t="shared" si="4"/>
        <v>3753</v>
      </c>
      <c r="E91" s="353">
        <v>3753</v>
      </c>
      <c r="F91" s="357">
        <v>0</v>
      </c>
      <c r="G91" s="355">
        <f t="shared" si="5"/>
        <v>15996</v>
      </c>
      <c r="H91" s="353">
        <v>15996</v>
      </c>
      <c r="I91" s="353">
        <v>0</v>
      </c>
      <c r="J91" s="353">
        <f>'[4]Проф.с иными целями Пр.114'!C91</f>
        <v>115818</v>
      </c>
      <c r="K91" s="356"/>
    </row>
    <row r="92" spans="1:11" s="359" customFormat="1" x14ac:dyDescent="0.2">
      <c r="A92" s="79">
        <v>76</v>
      </c>
      <c r="B92" s="83" t="s">
        <v>473</v>
      </c>
      <c r="C92" s="353">
        <f t="shared" si="3"/>
        <v>68920</v>
      </c>
      <c r="D92" s="353">
        <f t="shared" si="4"/>
        <v>1911</v>
      </c>
      <c r="E92" s="353">
        <v>1911</v>
      </c>
      <c r="F92" s="357">
        <v>0</v>
      </c>
      <c r="G92" s="355">
        <f t="shared" si="5"/>
        <v>8153</v>
      </c>
      <c r="H92" s="353">
        <v>8153</v>
      </c>
      <c r="I92" s="353">
        <v>0</v>
      </c>
      <c r="J92" s="353">
        <f>'[4]Проф.с иными целями Пр.114'!C92</f>
        <v>58856</v>
      </c>
      <c r="K92" s="356"/>
    </row>
    <row r="93" spans="1:11" s="359" customFormat="1" x14ac:dyDescent="0.2">
      <c r="A93" s="79">
        <v>77</v>
      </c>
      <c r="B93" s="83" t="s">
        <v>285</v>
      </c>
      <c r="C93" s="353">
        <f t="shared" si="3"/>
        <v>73117</v>
      </c>
      <c r="D93" s="353">
        <f t="shared" si="4"/>
        <v>2161</v>
      </c>
      <c r="E93" s="353">
        <v>2161</v>
      </c>
      <c r="F93" s="357">
        <v>0</v>
      </c>
      <c r="G93" s="355">
        <f t="shared" si="5"/>
        <v>9218</v>
      </c>
      <c r="H93" s="353">
        <v>9218</v>
      </c>
      <c r="I93" s="353">
        <v>0</v>
      </c>
      <c r="J93" s="353">
        <f>'[4]Проф.с иными целями Пр.114'!C93</f>
        <v>61738</v>
      </c>
      <c r="K93" s="356"/>
    </row>
    <row r="94" spans="1:11" s="359" customFormat="1" x14ac:dyDescent="0.2">
      <c r="A94" s="79">
        <v>78</v>
      </c>
      <c r="B94" s="83" t="s">
        <v>474</v>
      </c>
      <c r="C94" s="353">
        <f t="shared" si="3"/>
        <v>36510</v>
      </c>
      <c r="D94" s="353">
        <f t="shared" si="4"/>
        <v>1286</v>
      </c>
      <c r="E94" s="353">
        <v>1286</v>
      </c>
      <c r="F94" s="357">
        <v>0</v>
      </c>
      <c r="G94" s="355">
        <f t="shared" si="5"/>
        <v>5486</v>
      </c>
      <c r="H94" s="353">
        <v>5486</v>
      </c>
      <c r="I94" s="353">
        <v>0</v>
      </c>
      <c r="J94" s="353">
        <f>'[4]Проф.с иными целями Пр.114'!C94</f>
        <v>29738</v>
      </c>
      <c r="K94" s="356"/>
    </row>
    <row r="95" spans="1:11" s="359" customFormat="1" x14ac:dyDescent="0.2">
      <c r="A95" s="79">
        <v>79</v>
      </c>
      <c r="B95" s="83" t="s">
        <v>312</v>
      </c>
      <c r="C95" s="353">
        <f t="shared" si="3"/>
        <v>137398</v>
      </c>
      <c r="D95" s="353">
        <f t="shared" si="4"/>
        <v>3660</v>
      </c>
      <c r="E95" s="353">
        <v>3660</v>
      </c>
      <c r="F95" s="357">
        <v>0</v>
      </c>
      <c r="G95" s="355">
        <f t="shared" si="5"/>
        <v>15614</v>
      </c>
      <c r="H95" s="353">
        <v>15614</v>
      </c>
      <c r="I95" s="353">
        <v>0</v>
      </c>
      <c r="J95" s="353">
        <f>'[4]Проф.с иными целями Пр.114'!C95</f>
        <v>118124</v>
      </c>
      <c r="K95" s="356"/>
    </row>
    <row r="96" spans="1:11" s="359" customFormat="1" x14ac:dyDescent="0.2">
      <c r="A96" s="79">
        <v>80</v>
      </c>
      <c r="B96" s="83" t="s">
        <v>475</v>
      </c>
      <c r="C96" s="353">
        <f t="shared" si="3"/>
        <v>48366</v>
      </c>
      <c r="D96" s="353">
        <f t="shared" si="4"/>
        <v>1687</v>
      </c>
      <c r="E96" s="353">
        <v>1687</v>
      </c>
      <c r="F96" s="357">
        <v>0</v>
      </c>
      <c r="G96" s="355">
        <f t="shared" si="5"/>
        <v>7196</v>
      </c>
      <c r="H96" s="353">
        <v>7196</v>
      </c>
      <c r="I96" s="353">
        <v>0</v>
      </c>
      <c r="J96" s="353">
        <f>'[4]Проф.с иными целями Пр.114'!C96</f>
        <v>39483</v>
      </c>
      <c r="K96" s="356"/>
    </row>
    <row r="97" spans="1:11" s="359" customFormat="1" x14ac:dyDescent="0.2">
      <c r="A97" s="79">
        <v>81</v>
      </c>
      <c r="B97" s="83" t="s">
        <v>476</v>
      </c>
      <c r="C97" s="353">
        <f t="shared" si="3"/>
        <v>47313</v>
      </c>
      <c r="D97" s="353">
        <f t="shared" si="4"/>
        <v>1639</v>
      </c>
      <c r="E97" s="353">
        <v>1639</v>
      </c>
      <c r="F97" s="357">
        <v>0</v>
      </c>
      <c r="G97" s="355">
        <f t="shared" si="5"/>
        <v>6995</v>
      </c>
      <c r="H97" s="353">
        <v>6995</v>
      </c>
      <c r="I97" s="353">
        <v>0</v>
      </c>
      <c r="J97" s="353">
        <f>'[4]Проф.с иными целями Пр.114'!C97</f>
        <v>38679</v>
      </c>
      <c r="K97" s="356"/>
    </row>
    <row r="98" spans="1:11" s="359" customFormat="1" ht="25.5" x14ac:dyDescent="0.2">
      <c r="A98" s="79">
        <v>82</v>
      </c>
      <c r="B98" s="83" t="s">
        <v>477</v>
      </c>
      <c r="C98" s="353">
        <f t="shared" si="3"/>
        <v>3111</v>
      </c>
      <c r="D98" s="353">
        <f t="shared" si="4"/>
        <v>0</v>
      </c>
      <c r="E98" s="353">
        <v>0</v>
      </c>
      <c r="F98" s="357">
        <v>0</v>
      </c>
      <c r="G98" s="355">
        <f t="shared" si="5"/>
        <v>0</v>
      </c>
      <c r="H98" s="353">
        <v>0</v>
      </c>
      <c r="I98" s="353">
        <v>0</v>
      </c>
      <c r="J98" s="353">
        <f>'[4]Проф.с иными целями Пр.114'!C98</f>
        <v>3111</v>
      </c>
      <c r="K98" s="356"/>
    </row>
    <row r="99" spans="1:11" s="359" customFormat="1" ht="25.5" x14ac:dyDescent="0.2">
      <c r="A99" s="79">
        <v>83</v>
      </c>
      <c r="B99" s="83" t="s">
        <v>478</v>
      </c>
      <c r="C99" s="353">
        <f t="shared" si="3"/>
        <v>3578</v>
      </c>
      <c r="D99" s="353">
        <f t="shared" si="4"/>
        <v>0</v>
      </c>
      <c r="E99" s="353">
        <v>0</v>
      </c>
      <c r="F99" s="357">
        <v>0</v>
      </c>
      <c r="G99" s="355">
        <f t="shared" si="5"/>
        <v>0</v>
      </c>
      <c r="H99" s="353">
        <v>0</v>
      </c>
      <c r="I99" s="353">
        <v>0</v>
      </c>
      <c r="J99" s="353">
        <f>'[4]Проф.с иными целями Пр.114'!C99</f>
        <v>3578</v>
      </c>
      <c r="K99" s="356"/>
    </row>
    <row r="100" spans="1:11" s="359" customFormat="1" ht="25.5" x14ac:dyDescent="0.2">
      <c r="A100" s="79">
        <v>84</v>
      </c>
      <c r="B100" s="83" t="s">
        <v>479</v>
      </c>
      <c r="C100" s="353">
        <f t="shared" si="3"/>
        <v>4126</v>
      </c>
      <c r="D100" s="353">
        <f t="shared" si="4"/>
        <v>0</v>
      </c>
      <c r="E100" s="353">
        <v>0</v>
      </c>
      <c r="F100" s="357">
        <v>0</v>
      </c>
      <c r="G100" s="355">
        <f t="shared" si="5"/>
        <v>0</v>
      </c>
      <c r="H100" s="353">
        <v>0</v>
      </c>
      <c r="I100" s="353">
        <v>0</v>
      </c>
      <c r="J100" s="353">
        <f>'[4]Проф.с иными целями Пр.114'!C100</f>
        <v>4126</v>
      </c>
      <c r="K100" s="356"/>
    </row>
    <row r="101" spans="1:11" s="359" customFormat="1" ht="25.5" x14ac:dyDescent="0.2">
      <c r="A101" s="79">
        <v>85</v>
      </c>
      <c r="B101" s="83" t="s">
        <v>480</v>
      </c>
      <c r="C101" s="353">
        <f t="shared" si="3"/>
        <v>3480</v>
      </c>
      <c r="D101" s="353">
        <f t="shared" si="4"/>
        <v>0</v>
      </c>
      <c r="E101" s="353">
        <v>0</v>
      </c>
      <c r="F101" s="357">
        <v>0</v>
      </c>
      <c r="G101" s="355">
        <f t="shared" si="5"/>
        <v>0</v>
      </c>
      <c r="H101" s="353">
        <v>0</v>
      </c>
      <c r="I101" s="353">
        <v>0</v>
      </c>
      <c r="J101" s="353">
        <f>'[4]Проф.с иными целями Пр.114'!C101</f>
        <v>3480</v>
      </c>
      <c r="K101" s="356"/>
    </row>
    <row r="102" spans="1:11" s="359" customFormat="1" ht="25.5" x14ac:dyDescent="0.2">
      <c r="A102" s="79">
        <v>86</v>
      </c>
      <c r="B102" s="83" t="s">
        <v>481</v>
      </c>
      <c r="C102" s="353">
        <f t="shared" si="3"/>
        <v>13472</v>
      </c>
      <c r="D102" s="353">
        <f t="shared" si="4"/>
        <v>0</v>
      </c>
      <c r="E102" s="353">
        <v>0</v>
      </c>
      <c r="F102" s="357">
        <v>0</v>
      </c>
      <c r="G102" s="355">
        <f t="shared" si="5"/>
        <v>0</v>
      </c>
      <c r="H102" s="353">
        <v>0</v>
      </c>
      <c r="I102" s="353">
        <v>0</v>
      </c>
      <c r="J102" s="353">
        <f>'[4]Проф.с иными целями Пр.114'!C102</f>
        <v>13472</v>
      </c>
      <c r="K102" s="356"/>
    </row>
    <row r="103" spans="1:11" s="359" customFormat="1" ht="25.5" x14ac:dyDescent="0.2">
      <c r="A103" s="79">
        <v>87</v>
      </c>
      <c r="B103" s="83" t="s">
        <v>695</v>
      </c>
      <c r="C103" s="353">
        <f t="shared" si="3"/>
        <v>3172</v>
      </c>
      <c r="D103" s="353">
        <f t="shared" si="4"/>
        <v>0</v>
      </c>
      <c r="E103" s="353">
        <v>0</v>
      </c>
      <c r="F103" s="357">
        <v>0</v>
      </c>
      <c r="G103" s="355">
        <f t="shared" si="5"/>
        <v>0</v>
      </c>
      <c r="H103" s="353">
        <v>0</v>
      </c>
      <c r="I103" s="353">
        <v>0</v>
      </c>
      <c r="J103" s="353">
        <f>'[4]Проф.с иными целями Пр.114'!C103</f>
        <v>3172</v>
      </c>
      <c r="K103" s="356"/>
    </row>
    <row r="104" spans="1:11" s="359" customFormat="1" ht="25.5" x14ac:dyDescent="0.2">
      <c r="A104" s="79">
        <v>88</v>
      </c>
      <c r="B104" s="83" t="s">
        <v>696</v>
      </c>
      <c r="C104" s="353">
        <f t="shared" si="3"/>
        <v>2676</v>
      </c>
      <c r="D104" s="353">
        <f t="shared" si="4"/>
        <v>0</v>
      </c>
      <c r="E104" s="353">
        <v>0</v>
      </c>
      <c r="F104" s="357">
        <v>0</v>
      </c>
      <c r="G104" s="355">
        <f t="shared" si="5"/>
        <v>0</v>
      </c>
      <c r="H104" s="353">
        <v>0</v>
      </c>
      <c r="I104" s="353">
        <v>0</v>
      </c>
      <c r="J104" s="353">
        <f>'[4]Проф.с иными целями Пр.114'!C104</f>
        <v>2676</v>
      </c>
      <c r="K104" s="356"/>
    </row>
    <row r="105" spans="1:11" s="359" customFormat="1" x14ac:dyDescent="0.2">
      <c r="A105" s="79">
        <v>89</v>
      </c>
      <c r="B105" s="83" t="s">
        <v>484</v>
      </c>
      <c r="C105" s="353">
        <f t="shared" si="3"/>
        <v>209171</v>
      </c>
      <c r="D105" s="353">
        <f t="shared" si="4"/>
        <v>18106</v>
      </c>
      <c r="E105" s="353">
        <v>2198</v>
      </c>
      <c r="F105" s="354">
        <v>15908</v>
      </c>
      <c r="G105" s="355">
        <f t="shared" si="5"/>
        <v>9556</v>
      </c>
      <c r="H105" s="353">
        <v>9378</v>
      </c>
      <c r="I105" s="353">
        <v>178</v>
      </c>
      <c r="J105" s="353">
        <f>'[4]Проф.с иными целями Пр.114'!C105</f>
        <v>181509</v>
      </c>
      <c r="K105" s="356"/>
    </row>
    <row r="106" spans="1:11" s="359" customFormat="1" x14ac:dyDescent="0.2">
      <c r="A106" s="79">
        <v>90</v>
      </c>
      <c r="B106" s="83" t="s">
        <v>60</v>
      </c>
      <c r="C106" s="353">
        <f t="shared" si="3"/>
        <v>88348</v>
      </c>
      <c r="D106" s="353">
        <f t="shared" si="4"/>
        <v>2115</v>
      </c>
      <c r="E106" s="353">
        <v>2115</v>
      </c>
      <c r="F106" s="357">
        <v>0</v>
      </c>
      <c r="G106" s="355">
        <f t="shared" si="5"/>
        <v>9022</v>
      </c>
      <c r="H106" s="353">
        <v>9022</v>
      </c>
      <c r="I106" s="353">
        <v>0</v>
      </c>
      <c r="J106" s="353">
        <f>'[4]Проф.с иными целями Пр.114'!C106</f>
        <v>77211</v>
      </c>
      <c r="K106" s="356"/>
    </row>
    <row r="107" spans="1:11" s="359" customFormat="1" x14ac:dyDescent="0.2">
      <c r="A107" s="79">
        <v>91</v>
      </c>
      <c r="B107" s="83" t="s">
        <v>56</v>
      </c>
      <c r="C107" s="353">
        <f t="shared" si="3"/>
        <v>69585</v>
      </c>
      <c r="D107" s="353">
        <f t="shared" si="4"/>
        <v>1837</v>
      </c>
      <c r="E107" s="353">
        <v>1837</v>
      </c>
      <c r="F107" s="357">
        <v>0</v>
      </c>
      <c r="G107" s="355">
        <f t="shared" si="5"/>
        <v>7837</v>
      </c>
      <c r="H107" s="353">
        <v>7837</v>
      </c>
      <c r="I107" s="353">
        <v>0</v>
      </c>
      <c r="J107" s="353">
        <f>'[4]Проф.с иными целями Пр.114'!C107</f>
        <v>59911</v>
      </c>
      <c r="K107" s="356"/>
    </row>
    <row r="108" spans="1:11" s="359" customFormat="1" x14ac:dyDescent="0.2">
      <c r="A108" s="79">
        <v>92</v>
      </c>
      <c r="B108" s="83" t="s">
        <v>55</v>
      </c>
      <c r="C108" s="353">
        <f t="shared" si="3"/>
        <v>38344</v>
      </c>
      <c r="D108" s="353">
        <f t="shared" si="4"/>
        <v>1052</v>
      </c>
      <c r="E108" s="353">
        <v>1052</v>
      </c>
      <c r="F108" s="357">
        <v>0</v>
      </c>
      <c r="G108" s="355">
        <f t="shared" si="5"/>
        <v>4490</v>
      </c>
      <c r="H108" s="353">
        <v>4490</v>
      </c>
      <c r="I108" s="353">
        <v>0</v>
      </c>
      <c r="J108" s="353">
        <f>'[4]Проф.с иными целями Пр.114'!C108</f>
        <v>32802</v>
      </c>
      <c r="K108" s="356"/>
    </row>
    <row r="109" spans="1:11" s="359" customFormat="1" x14ac:dyDescent="0.2">
      <c r="A109" s="79">
        <v>93</v>
      </c>
      <c r="B109" s="83" t="s">
        <v>57</v>
      </c>
      <c r="C109" s="353">
        <f t="shared" si="3"/>
        <v>24000</v>
      </c>
      <c r="D109" s="353">
        <f t="shared" si="4"/>
        <v>487</v>
      </c>
      <c r="E109" s="353">
        <v>487</v>
      </c>
      <c r="F109" s="357">
        <v>0</v>
      </c>
      <c r="G109" s="355">
        <f t="shared" si="5"/>
        <v>2081</v>
      </c>
      <c r="H109" s="353">
        <v>2081</v>
      </c>
      <c r="I109" s="353">
        <v>0</v>
      </c>
      <c r="J109" s="353">
        <f>'[4]Проф.с иными целями Пр.114'!C109</f>
        <v>21432</v>
      </c>
      <c r="K109" s="356"/>
    </row>
    <row r="110" spans="1:11" s="359" customFormat="1" x14ac:dyDescent="0.2">
      <c r="A110" s="79">
        <v>94</v>
      </c>
      <c r="B110" s="83" t="s">
        <v>58</v>
      </c>
      <c r="C110" s="353">
        <f t="shared" si="3"/>
        <v>3259</v>
      </c>
      <c r="D110" s="353">
        <f t="shared" si="4"/>
        <v>74</v>
      </c>
      <c r="E110" s="353">
        <v>74</v>
      </c>
      <c r="F110" s="357">
        <v>0</v>
      </c>
      <c r="G110" s="355">
        <f t="shared" si="5"/>
        <v>192</v>
      </c>
      <c r="H110" s="353">
        <v>192</v>
      </c>
      <c r="I110" s="353">
        <v>0</v>
      </c>
      <c r="J110" s="353">
        <f>'[4]Проф.с иными целями Пр.114'!C110</f>
        <v>2993</v>
      </c>
      <c r="K110" s="356"/>
    </row>
    <row r="111" spans="1:11" s="359" customFormat="1" ht="51" x14ac:dyDescent="0.2">
      <c r="A111" s="446">
        <v>95</v>
      </c>
      <c r="B111" s="369" t="s">
        <v>248</v>
      </c>
      <c r="C111" s="353">
        <f t="shared" si="3"/>
        <v>28411</v>
      </c>
      <c r="D111" s="353">
        <f t="shared" si="4"/>
        <v>806</v>
      </c>
      <c r="E111" s="353">
        <v>806</v>
      </c>
      <c r="F111" s="357">
        <v>0</v>
      </c>
      <c r="G111" s="355">
        <f t="shared" si="5"/>
        <v>3560</v>
      </c>
      <c r="H111" s="353">
        <v>3560</v>
      </c>
      <c r="I111" s="353">
        <v>0</v>
      </c>
      <c r="J111" s="353">
        <f>'[4]Проф.с иными целями Пр.114'!C111</f>
        <v>24045</v>
      </c>
      <c r="K111" s="356"/>
    </row>
    <row r="112" spans="1:11" s="359" customFormat="1" x14ac:dyDescent="0.2">
      <c r="A112" s="592"/>
      <c r="B112" s="83" t="s">
        <v>59</v>
      </c>
      <c r="C112" s="353">
        <f t="shared" si="3"/>
        <v>217890</v>
      </c>
      <c r="D112" s="353">
        <f t="shared" si="4"/>
        <v>5565</v>
      </c>
      <c r="E112" s="353">
        <v>5565</v>
      </c>
      <c r="F112" s="357">
        <v>0</v>
      </c>
      <c r="G112" s="355">
        <f t="shared" si="5"/>
        <v>23741</v>
      </c>
      <c r="H112" s="353">
        <v>23741</v>
      </c>
      <c r="I112" s="353">
        <v>0</v>
      </c>
      <c r="J112" s="353">
        <f>'[4]Проф.с иными целями Пр.114'!C112</f>
        <v>188584</v>
      </c>
      <c r="K112" s="356"/>
    </row>
    <row r="113" spans="1:11" s="359" customFormat="1" x14ac:dyDescent="0.2">
      <c r="A113" s="79">
        <v>96</v>
      </c>
      <c r="B113" s="83" t="s">
        <v>61</v>
      </c>
      <c r="C113" s="353">
        <f t="shared" si="3"/>
        <v>200810</v>
      </c>
      <c r="D113" s="353">
        <f t="shared" si="4"/>
        <v>26100</v>
      </c>
      <c r="E113" s="353">
        <v>0</v>
      </c>
      <c r="F113" s="354">
        <v>26100</v>
      </c>
      <c r="G113" s="355">
        <f t="shared" si="5"/>
        <v>501</v>
      </c>
      <c r="H113" s="353">
        <v>0</v>
      </c>
      <c r="I113" s="353">
        <v>501</v>
      </c>
      <c r="J113" s="353">
        <f>'[4]Проф.с иными целями Пр.114'!C113</f>
        <v>174209</v>
      </c>
      <c r="K113" s="356"/>
    </row>
    <row r="114" spans="1:11" s="359" customFormat="1" x14ac:dyDescent="0.2">
      <c r="A114" s="79">
        <v>97</v>
      </c>
      <c r="B114" s="83" t="s">
        <v>116</v>
      </c>
      <c r="C114" s="353">
        <f t="shared" si="3"/>
        <v>86096</v>
      </c>
      <c r="D114" s="353">
        <f t="shared" si="4"/>
        <v>2082</v>
      </c>
      <c r="E114" s="353">
        <v>2082</v>
      </c>
      <c r="F114" s="357">
        <v>0</v>
      </c>
      <c r="G114" s="355">
        <f t="shared" si="5"/>
        <v>8885</v>
      </c>
      <c r="H114" s="353">
        <v>8885</v>
      </c>
      <c r="I114" s="353">
        <v>0</v>
      </c>
      <c r="J114" s="353">
        <f>'[4]Проф.с иными целями Пр.114'!C114</f>
        <v>75129</v>
      </c>
      <c r="K114" s="356"/>
    </row>
    <row r="115" spans="1:11" s="359" customFormat="1" x14ac:dyDescent="0.2">
      <c r="A115" s="79">
        <v>98</v>
      </c>
      <c r="B115" s="83" t="s">
        <v>71</v>
      </c>
      <c r="C115" s="353">
        <f t="shared" si="3"/>
        <v>45026</v>
      </c>
      <c r="D115" s="353">
        <f t="shared" si="4"/>
        <v>0</v>
      </c>
      <c r="E115" s="353">
        <v>0</v>
      </c>
      <c r="F115" s="357">
        <v>0</v>
      </c>
      <c r="G115" s="355">
        <f t="shared" si="5"/>
        <v>0</v>
      </c>
      <c r="H115" s="353">
        <v>0</v>
      </c>
      <c r="I115" s="353">
        <v>0</v>
      </c>
      <c r="J115" s="353">
        <f>'[4]Проф.с иными целями Пр.114'!C115</f>
        <v>45026</v>
      </c>
      <c r="K115" s="356"/>
    </row>
    <row r="116" spans="1:11" s="359" customFormat="1" x14ac:dyDescent="0.2">
      <c r="A116" s="446">
        <v>99</v>
      </c>
      <c r="B116" s="83" t="s">
        <v>62</v>
      </c>
      <c r="C116" s="353">
        <f t="shared" si="3"/>
        <v>27099</v>
      </c>
      <c r="D116" s="353">
        <f t="shared" si="4"/>
        <v>335</v>
      </c>
      <c r="E116" s="353">
        <v>335</v>
      </c>
      <c r="F116" s="357">
        <v>0</v>
      </c>
      <c r="G116" s="355">
        <f t="shared" si="5"/>
        <v>1430</v>
      </c>
      <c r="H116" s="353">
        <v>1430</v>
      </c>
      <c r="I116" s="353">
        <v>0</v>
      </c>
      <c r="J116" s="353">
        <f>'[4]Проф.с иными целями Пр.114'!C116</f>
        <v>25334</v>
      </c>
      <c r="K116" s="356"/>
    </row>
    <row r="117" spans="1:11" s="359" customFormat="1" ht="25.5" x14ac:dyDescent="0.2">
      <c r="A117" s="592"/>
      <c r="B117" s="83" t="s">
        <v>485</v>
      </c>
      <c r="C117" s="353">
        <f t="shared" si="3"/>
        <v>3600</v>
      </c>
      <c r="D117" s="353">
        <f t="shared" si="4"/>
        <v>0</v>
      </c>
      <c r="E117" s="353">
        <v>0</v>
      </c>
      <c r="F117" s="357">
        <v>0</v>
      </c>
      <c r="G117" s="355">
        <f t="shared" si="5"/>
        <v>0</v>
      </c>
      <c r="H117" s="353">
        <v>0</v>
      </c>
      <c r="I117" s="353">
        <v>0</v>
      </c>
      <c r="J117" s="353">
        <f>'[4]Проф.с иными целями Пр.114'!C117</f>
        <v>3600</v>
      </c>
      <c r="K117" s="356"/>
    </row>
    <row r="118" spans="1:11" s="359" customFormat="1" ht="25.5" x14ac:dyDescent="0.2">
      <c r="A118" s="79">
        <v>100</v>
      </c>
      <c r="B118" s="83" t="s">
        <v>72</v>
      </c>
      <c r="C118" s="353">
        <f t="shared" si="3"/>
        <v>8400</v>
      </c>
      <c r="D118" s="353">
        <f t="shared" si="4"/>
        <v>0</v>
      </c>
      <c r="E118" s="353">
        <v>0</v>
      </c>
      <c r="F118" s="357">
        <v>0</v>
      </c>
      <c r="G118" s="355">
        <f t="shared" si="5"/>
        <v>0</v>
      </c>
      <c r="H118" s="353">
        <v>0</v>
      </c>
      <c r="I118" s="353">
        <v>0</v>
      </c>
      <c r="J118" s="353">
        <f>'[4]Проф.с иными целями Пр.114'!C118</f>
        <v>8400</v>
      </c>
      <c r="K118" s="356"/>
    </row>
    <row r="119" spans="1:11" s="359" customFormat="1" x14ac:dyDescent="0.2">
      <c r="A119" s="79">
        <v>101</v>
      </c>
      <c r="B119" s="358" t="s">
        <v>486</v>
      </c>
      <c r="C119" s="353">
        <f t="shared" si="3"/>
        <v>8188</v>
      </c>
      <c r="D119" s="353">
        <f t="shared" si="4"/>
        <v>293</v>
      </c>
      <c r="E119" s="353">
        <v>293</v>
      </c>
      <c r="F119" s="357">
        <v>0</v>
      </c>
      <c r="G119" s="355">
        <f t="shared" si="5"/>
        <v>1251</v>
      </c>
      <c r="H119" s="353">
        <v>1251</v>
      </c>
      <c r="I119" s="353">
        <v>0</v>
      </c>
      <c r="J119" s="353">
        <f>'[4]Проф.с иными целями Пр.114'!C119</f>
        <v>6644</v>
      </c>
      <c r="K119" s="356"/>
    </row>
    <row r="120" spans="1:11" s="359" customFormat="1" x14ac:dyDescent="0.2">
      <c r="A120" s="79">
        <v>102</v>
      </c>
      <c r="B120" s="352" t="s">
        <v>3</v>
      </c>
      <c r="C120" s="353">
        <f t="shared" si="3"/>
        <v>44247</v>
      </c>
      <c r="D120" s="353">
        <f t="shared" si="4"/>
        <v>3938</v>
      </c>
      <c r="E120" s="353">
        <v>591</v>
      </c>
      <c r="F120" s="354">
        <v>3347</v>
      </c>
      <c r="G120" s="355">
        <f t="shared" si="5"/>
        <v>2632</v>
      </c>
      <c r="H120" s="353">
        <v>2521</v>
      </c>
      <c r="I120" s="353">
        <v>111</v>
      </c>
      <c r="J120" s="353">
        <f>'[4]Проф.с иными целями Пр.114'!C120</f>
        <v>37677</v>
      </c>
      <c r="K120" s="356"/>
    </row>
    <row r="121" spans="1:11" s="359" customFormat="1" x14ac:dyDescent="0.2">
      <c r="A121" s="79">
        <v>103</v>
      </c>
      <c r="B121" s="358" t="s">
        <v>10</v>
      </c>
      <c r="C121" s="353">
        <f t="shared" si="3"/>
        <v>45954</v>
      </c>
      <c r="D121" s="353">
        <f t="shared" si="4"/>
        <v>4398</v>
      </c>
      <c r="E121" s="353">
        <v>602</v>
      </c>
      <c r="F121" s="354">
        <v>3796</v>
      </c>
      <c r="G121" s="355">
        <f t="shared" si="5"/>
        <v>2585</v>
      </c>
      <c r="H121" s="353">
        <v>2569</v>
      </c>
      <c r="I121" s="353">
        <v>16</v>
      </c>
      <c r="J121" s="353">
        <f>'[4]Проф.с иными целями Пр.114'!C121</f>
        <v>38971</v>
      </c>
      <c r="K121" s="356"/>
    </row>
    <row r="122" spans="1:11" s="359" customFormat="1" x14ac:dyDescent="0.2">
      <c r="A122" s="79">
        <v>104</v>
      </c>
      <c r="B122" s="352" t="s">
        <v>15</v>
      </c>
      <c r="C122" s="353">
        <f t="shared" si="3"/>
        <v>123452</v>
      </c>
      <c r="D122" s="353">
        <f t="shared" si="4"/>
        <v>11431</v>
      </c>
      <c r="E122" s="353">
        <v>1593</v>
      </c>
      <c r="F122" s="354">
        <v>9838</v>
      </c>
      <c r="G122" s="355">
        <f t="shared" si="5"/>
        <v>6976</v>
      </c>
      <c r="H122" s="353">
        <v>6796</v>
      </c>
      <c r="I122" s="353">
        <v>180</v>
      </c>
      <c r="J122" s="353">
        <f>'[4]Проф.с иными целями Пр.114'!C122</f>
        <v>105045</v>
      </c>
      <c r="K122" s="356"/>
    </row>
    <row r="123" spans="1:11" s="359" customFormat="1" x14ac:dyDescent="0.2">
      <c r="A123" s="79">
        <v>105</v>
      </c>
      <c r="B123" s="358" t="s">
        <v>38</v>
      </c>
      <c r="C123" s="353">
        <f t="shared" si="3"/>
        <v>55575</v>
      </c>
      <c r="D123" s="353">
        <f t="shared" si="4"/>
        <v>5009</v>
      </c>
      <c r="E123" s="353">
        <v>736</v>
      </c>
      <c r="F123" s="354">
        <v>4273</v>
      </c>
      <c r="G123" s="355">
        <f t="shared" si="5"/>
        <v>3191</v>
      </c>
      <c r="H123" s="353">
        <v>3139</v>
      </c>
      <c r="I123" s="353">
        <v>52</v>
      </c>
      <c r="J123" s="353">
        <f>'[4]Проф.с иными целями Пр.114'!C123</f>
        <v>47375</v>
      </c>
      <c r="K123" s="356"/>
    </row>
    <row r="124" spans="1:11" s="359" customFormat="1" x14ac:dyDescent="0.2">
      <c r="A124" s="79">
        <v>106</v>
      </c>
      <c r="B124" s="358" t="s">
        <v>16</v>
      </c>
      <c r="C124" s="353">
        <f t="shared" si="3"/>
        <v>69034</v>
      </c>
      <c r="D124" s="353">
        <f t="shared" si="4"/>
        <v>5220</v>
      </c>
      <c r="E124" s="353">
        <v>948</v>
      </c>
      <c r="F124" s="354">
        <v>4272</v>
      </c>
      <c r="G124" s="355">
        <f t="shared" si="5"/>
        <v>4116</v>
      </c>
      <c r="H124" s="353">
        <v>4047</v>
      </c>
      <c r="I124" s="353">
        <v>69</v>
      </c>
      <c r="J124" s="353">
        <f>'[4]Проф.с иными целями Пр.114'!C124</f>
        <v>59698</v>
      </c>
      <c r="K124" s="356"/>
    </row>
    <row r="125" spans="1:11" s="359" customFormat="1" ht="25.5" x14ac:dyDescent="0.2">
      <c r="A125" s="79">
        <v>107</v>
      </c>
      <c r="B125" s="358" t="s">
        <v>488</v>
      </c>
      <c r="C125" s="353">
        <f t="shared" si="3"/>
        <v>28</v>
      </c>
      <c r="D125" s="353">
        <f t="shared" si="4"/>
        <v>0</v>
      </c>
      <c r="E125" s="353">
        <v>0</v>
      </c>
      <c r="F125" s="357">
        <v>0</v>
      </c>
      <c r="G125" s="355">
        <f t="shared" si="5"/>
        <v>0</v>
      </c>
      <c r="H125" s="353">
        <v>0</v>
      </c>
      <c r="I125" s="353">
        <v>0</v>
      </c>
      <c r="J125" s="353">
        <f>'[4]Проф.с иными целями Пр.114'!C125</f>
        <v>28</v>
      </c>
      <c r="K125" s="356"/>
    </row>
    <row r="126" spans="1:11" s="359" customFormat="1" x14ac:dyDescent="0.2">
      <c r="A126" s="79">
        <v>108</v>
      </c>
      <c r="B126" s="352" t="s">
        <v>26</v>
      </c>
      <c r="C126" s="353">
        <f t="shared" si="3"/>
        <v>132139</v>
      </c>
      <c r="D126" s="353">
        <f t="shared" si="4"/>
        <v>13087</v>
      </c>
      <c r="E126" s="353">
        <v>1677</v>
      </c>
      <c r="F126" s="354">
        <v>11410</v>
      </c>
      <c r="G126" s="355">
        <f t="shared" si="5"/>
        <v>7407</v>
      </c>
      <c r="H126" s="353">
        <v>7152</v>
      </c>
      <c r="I126" s="353">
        <v>255</v>
      </c>
      <c r="J126" s="353">
        <f>'[4]Проф.с иными целями Пр.114'!C126</f>
        <v>111645</v>
      </c>
      <c r="K126" s="356"/>
    </row>
    <row r="127" spans="1:11" s="359" customFormat="1" x14ac:dyDescent="0.2">
      <c r="A127" s="79">
        <v>109</v>
      </c>
      <c r="B127" s="352" t="s">
        <v>31</v>
      </c>
      <c r="C127" s="353">
        <f t="shared" si="3"/>
        <v>118565</v>
      </c>
      <c r="D127" s="353">
        <f t="shared" si="4"/>
        <v>10218</v>
      </c>
      <c r="E127" s="353">
        <v>1538</v>
      </c>
      <c r="F127" s="354">
        <v>8680</v>
      </c>
      <c r="G127" s="355">
        <f t="shared" si="5"/>
        <v>6681</v>
      </c>
      <c r="H127" s="353">
        <v>6561</v>
      </c>
      <c r="I127" s="353">
        <v>120</v>
      </c>
      <c r="J127" s="353">
        <f>'[4]Проф.с иными целями Пр.114'!C127</f>
        <v>101666</v>
      </c>
      <c r="K127" s="356"/>
    </row>
    <row r="128" spans="1:11" s="359" customFormat="1" x14ac:dyDescent="0.2">
      <c r="A128" s="79">
        <v>110</v>
      </c>
      <c r="B128" s="358" t="s">
        <v>32</v>
      </c>
      <c r="C128" s="353">
        <f t="shared" si="3"/>
        <v>41383</v>
      </c>
      <c r="D128" s="353">
        <f t="shared" si="4"/>
        <v>3860</v>
      </c>
      <c r="E128" s="353">
        <v>546</v>
      </c>
      <c r="F128" s="354">
        <v>3314</v>
      </c>
      <c r="G128" s="355">
        <f t="shared" si="5"/>
        <v>2374</v>
      </c>
      <c r="H128" s="353">
        <v>2329</v>
      </c>
      <c r="I128" s="353">
        <v>45</v>
      </c>
      <c r="J128" s="353">
        <f>'[4]Проф.с иными целями Пр.114'!C128</f>
        <v>35149</v>
      </c>
      <c r="K128" s="356"/>
    </row>
    <row r="129" spans="1:11" s="359" customFormat="1" x14ac:dyDescent="0.2">
      <c r="A129" s="79">
        <v>111</v>
      </c>
      <c r="B129" s="352" t="s">
        <v>35</v>
      </c>
      <c r="C129" s="353">
        <f t="shared" si="3"/>
        <v>65015</v>
      </c>
      <c r="D129" s="353">
        <f t="shared" si="4"/>
        <v>5504</v>
      </c>
      <c r="E129" s="353">
        <v>881</v>
      </c>
      <c r="F129" s="354">
        <v>4623</v>
      </c>
      <c r="G129" s="355">
        <f t="shared" si="5"/>
        <v>3824</v>
      </c>
      <c r="H129" s="353">
        <v>3759</v>
      </c>
      <c r="I129" s="353">
        <v>65</v>
      </c>
      <c r="J129" s="353">
        <f>'[4]Проф.с иными целями Пр.114'!C129</f>
        <v>55687</v>
      </c>
      <c r="K129" s="356"/>
    </row>
    <row r="130" spans="1:11" s="359" customFormat="1" x14ac:dyDescent="0.2">
      <c r="A130" s="79">
        <v>112</v>
      </c>
      <c r="B130" s="358" t="s">
        <v>42</v>
      </c>
      <c r="C130" s="353">
        <f t="shared" si="3"/>
        <v>63346</v>
      </c>
      <c r="D130" s="353">
        <f t="shared" si="4"/>
        <v>6036</v>
      </c>
      <c r="E130" s="353">
        <v>816</v>
      </c>
      <c r="F130" s="354">
        <v>5220</v>
      </c>
      <c r="G130" s="355">
        <f t="shared" si="5"/>
        <v>3571</v>
      </c>
      <c r="H130" s="353">
        <v>3481</v>
      </c>
      <c r="I130" s="353">
        <v>90</v>
      </c>
      <c r="J130" s="353">
        <f>'[4]Проф.с иными целями Пр.114'!C130</f>
        <v>53739</v>
      </c>
      <c r="K130" s="356"/>
    </row>
    <row r="131" spans="1:11" s="359" customFormat="1" x14ac:dyDescent="0.2">
      <c r="A131" s="79">
        <v>113</v>
      </c>
      <c r="B131" s="358" t="s">
        <v>21</v>
      </c>
      <c r="C131" s="353">
        <f t="shared" si="3"/>
        <v>79618</v>
      </c>
      <c r="D131" s="353">
        <f t="shared" si="4"/>
        <v>7196</v>
      </c>
      <c r="E131" s="353">
        <v>927</v>
      </c>
      <c r="F131" s="354">
        <v>6269</v>
      </c>
      <c r="G131" s="355">
        <f t="shared" si="5"/>
        <v>4013</v>
      </c>
      <c r="H131" s="353">
        <v>3957</v>
      </c>
      <c r="I131" s="353">
        <v>56</v>
      </c>
      <c r="J131" s="353">
        <f>'[4]Проф.с иными целями Пр.114'!C131</f>
        <v>68409</v>
      </c>
      <c r="K131" s="356"/>
    </row>
    <row r="132" spans="1:11" s="359" customFormat="1" x14ac:dyDescent="0.2">
      <c r="A132" s="79">
        <v>114</v>
      </c>
      <c r="B132" s="352" t="s">
        <v>41</v>
      </c>
      <c r="C132" s="353">
        <f t="shared" si="3"/>
        <v>47994</v>
      </c>
      <c r="D132" s="353">
        <f t="shared" si="4"/>
        <v>4651</v>
      </c>
      <c r="E132" s="353">
        <v>624</v>
      </c>
      <c r="F132" s="354">
        <v>4027</v>
      </c>
      <c r="G132" s="355">
        <f t="shared" si="5"/>
        <v>2782</v>
      </c>
      <c r="H132" s="353">
        <v>2664</v>
      </c>
      <c r="I132" s="353">
        <v>118</v>
      </c>
      <c r="J132" s="353">
        <f>'[4]Проф.с иными целями Пр.114'!C132</f>
        <v>40561</v>
      </c>
      <c r="K132" s="356"/>
    </row>
    <row r="133" spans="1:11" s="359" customFormat="1" x14ac:dyDescent="0.2">
      <c r="A133" s="79">
        <v>115</v>
      </c>
      <c r="B133" s="358" t="s">
        <v>48</v>
      </c>
      <c r="C133" s="353">
        <f t="shared" si="3"/>
        <v>71813</v>
      </c>
      <c r="D133" s="353">
        <f t="shared" si="4"/>
        <v>6174</v>
      </c>
      <c r="E133" s="353">
        <v>973</v>
      </c>
      <c r="F133" s="354">
        <v>5201</v>
      </c>
      <c r="G133" s="355">
        <f t="shared" si="5"/>
        <v>4227</v>
      </c>
      <c r="H133" s="353">
        <v>4152</v>
      </c>
      <c r="I133" s="353">
        <v>75</v>
      </c>
      <c r="J133" s="353">
        <f>'[4]Проф.с иными целями Пр.114'!C133</f>
        <v>61412</v>
      </c>
      <c r="K133" s="356"/>
    </row>
    <row r="134" spans="1:11" s="359" customFormat="1" x14ac:dyDescent="0.2">
      <c r="A134" s="79">
        <v>116</v>
      </c>
      <c r="B134" s="358" t="s">
        <v>49</v>
      </c>
      <c r="C134" s="353">
        <f t="shared" si="3"/>
        <v>120000</v>
      </c>
      <c r="D134" s="353">
        <f t="shared" si="4"/>
        <v>9943</v>
      </c>
      <c r="E134" s="353">
        <v>1621</v>
      </c>
      <c r="F134" s="354">
        <v>8322</v>
      </c>
      <c r="G134" s="355">
        <f t="shared" si="5"/>
        <v>6998</v>
      </c>
      <c r="H134" s="353">
        <v>6914</v>
      </c>
      <c r="I134" s="353">
        <v>84</v>
      </c>
      <c r="J134" s="353">
        <f>'[4]Проф.с иными целями Пр.114'!C134</f>
        <v>103059</v>
      </c>
      <c r="K134" s="356"/>
    </row>
    <row r="135" spans="1:11" s="359" customFormat="1" x14ac:dyDescent="0.2">
      <c r="A135" s="79">
        <v>117</v>
      </c>
      <c r="B135" s="358" t="s">
        <v>14</v>
      </c>
      <c r="C135" s="353">
        <f t="shared" si="3"/>
        <v>57005</v>
      </c>
      <c r="D135" s="353">
        <f t="shared" si="4"/>
        <v>5160</v>
      </c>
      <c r="E135" s="353">
        <v>766</v>
      </c>
      <c r="F135" s="354">
        <v>4394</v>
      </c>
      <c r="G135" s="355">
        <f t="shared" si="5"/>
        <v>3350</v>
      </c>
      <c r="H135" s="353">
        <v>3266</v>
      </c>
      <c r="I135" s="353">
        <v>84</v>
      </c>
      <c r="J135" s="353">
        <f>'[4]Проф.с иными целями Пр.114'!C135</f>
        <v>48495</v>
      </c>
      <c r="K135" s="356"/>
    </row>
    <row r="136" spans="1:11" s="359" customFormat="1" x14ac:dyDescent="0.2">
      <c r="A136" s="79">
        <v>118</v>
      </c>
      <c r="B136" s="370" t="s">
        <v>697</v>
      </c>
      <c r="C136" s="353">
        <f t="shared" si="3"/>
        <v>42896</v>
      </c>
      <c r="D136" s="353">
        <f t="shared" si="4"/>
        <v>950</v>
      </c>
      <c r="E136" s="353">
        <v>950</v>
      </c>
      <c r="F136" s="357">
        <v>0</v>
      </c>
      <c r="G136" s="355">
        <f t="shared" si="5"/>
        <v>4054</v>
      </c>
      <c r="H136" s="353">
        <v>4054</v>
      </c>
      <c r="I136" s="353">
        <v>0</v>
      </c>
      <c r="J136" s="353">
        <f>'[4]Проф.с иными целями Пр.114'!C136</f>
        <v>37892</v>
      </c>
      <c r="K136" s="356"/>
    </row>
    <row r="137" spans="1:11" s="359" customFormat="1" x14ac:dyDescent="0.2">
      <c r="A137" s="79">
        <v>119</v>
      </c>
      <c r="B137" s="83" t="s">
        <v>495</v>
      </c>
      <c r="C137" s="353">
        <f t="shared" si="3"/>
        <v>0</v>
      </c>
      <c r="D137" s="353">
        <f t="shared" si="4"/>
        <v>0</v>
      </c>
      <c r="E137" s="353">
        <v>0</v>
      </c>
      <c r="F137" s="357">
        <v>0</v>
      </c>
      <c r="G137" s="355">
        <f t="shared" si="5"/>
        <v>0</v>
      </c>
      <c r="H137" s="353">
        <v>0</v>
      </c>
      <c r="I137" s="353">
        <v>0</v>
      </c>
      <c r="J137" s="353">
        <f>'[4]Проф.с иными целями Пр.114'!C137</f>
        <v>0</v>
      </c>
      <c r="K137" s="356"/>
    </row>
    <row r="138" spans="1:11" s="371" customFormat="1" x14ac:dyDescent="0.2">
      <c r="A138" s="79">
        <v>120</v>
      </c>
      <c r="B138" s="352" t="s">
        <v>490</v>
      </c>
      <c r="C138" s="353">
        <f t="shared" si="3"/>
        <v>25</v>
      </c>
      <c r="D138" s="353">
        <f t="shared" si="4"/>
        <v>0</v>
      </c>
      <c r="E138" s="353">
        <v>0</v>
      </c>
      <c r="F138" s="357">
        <v>0</v>
      </c>
      <c r="G138" s="355">
        <f t="shared" si="5"/>
        <v>0</v>
      </c>
      <c r="H138" s="353">
        <v>0</v>
      </c>
      <c r="I138" s="353">
        <v>0</v>
      </c>
      <c r="J138" s="353">
        <f>'[4]Проф.с иными целями Пр.114'!C138</f>
        <v>25</v>
      </c>
      <c r="K138" s="356"/>
    </row>
    <row r="139" spans="1:11" x14ac:dyDescent="0.2">
      <c r="A139" s="79">
        <v>121</v>
      </c>
      <c r="B139" s="358" t="s">
        <v>491</v>
      </c>
      <c r="C139" s="353">
        <f t="shared" ref="C139:C165" si="6">D139+G139+J139</f>
        <v>66</v>
      </c>
      <c r="D139" s="353">
        <f t="shared" ref="D139:D166" si="7">E139+F139</f>
        <v>0</v>
      </c>
      <c r="E139" s="353">
        <v>0</v>
      </c>
      <c r="F139" s="357">
        <v>0</v>
      </c>
      <c r="G139" s="355">
        <f t="shared" ref="G139:G165" si="8">H139+I139</f>
        <v>0</v>
      </c>
      <c r="H139" s="353">
        <v>0</v>
      </c>
      <c r="I139" s="353">
        <v>0</v>
      </c>
      <c r="J139" s="353">
        <f>'[4]Проф.с иными целями Пр.114'!C139</f>
        <v>66</v>
      </c>
      <c r="K139" s="356"/>
    </row>
    <row r="140" spans="1:11" x14ac:dyDescent="0.2">
      <c r="A140" s="79">
        <v>122</v>
      </c>
      <c r="B140" s="358" t="s">
        <v>73</v>
      </c>
      <c r="C140" s="353">
        <f t="shared" si="6"/>
        <v>219</v>
      </c>
      <c r="D140" s="353">
        <f t="shared" si="7"/>
        <v>0</v>
      </c>
      <c r="E140" s="353">
        <v>0</v>
      </c>
      <c r="F140" s="357">
        <v>0</v>
      </c>
      <c r="G140" s="355">
        <f t="shared" si="8"/>
        <v>0</v>
      </c>
      <c r="H140" s="353">
        <v>0</v>
      </c>
      <c r="I140" s="353">
        <v>0</v>
      </c>
      <c r="J140" s="353">
        <f>'[4]Проф.с иными целями Пр.114'!C140</f>
        <v>219</v>
      </c>
      <c r="K140" s="356"/>
    </row>
    <row r="141" spans="1:11" ht="25.5" x14ac:dyDescent="0.2">
      <c r="A141" s="79">
        <v>123</v>
      </c>
      <c r="B141" s="358" t="s">
        <v>498</v>
      </c>
      <c r="C141" s="353">
        <f t="shared" si="6"/>
        <v>8</v>
      </c>
      <c r="D141" s="353">
        <f t="shared" si="7"/>
        <v>0</v>
      </c>
      <c r="E141" s="353">
        <v>0</v>
      </c>
      <c r="F141" s="357">
        <v>0</v>
      </c>
      <c r="G141" s="355">
        <f t="shared" si="8"/>
        <v>0</v>
      </c>
      <c r="H141" s="353">
        <v>0</v>
      </c>
      <c r="I141" s="353">
        <v>0</v>
      </c>
      <c r="J141" s="353">
        <f>'[4]Проф.с иными целями Пр.114'!C141</f>
        <v>8</v>
      </c>
      <c r="K141" s="356"/>
    </row>
    <row r="142" spans="1:11" ht="25.5" x14ac:dyDescent="0.2">
      <c r="A142" s="79">
        <v>124</v>
      </c>
      <c r="B142" s="358" t="s">
        <v>499</v>
      </c>
      <c r="C142" s="353">
        <f t="shared" si="6"/>
        <v>8</v>
      </c>
      <c r="D142" s="353">
        <f t="shared" si="7"/>
        <v>0</v>
      </c>
      <c r="E142" s="353">
        <v>0</v>
      </c>
      <c r="F142" s="357">
        <v>0</v>
      </c>
      <c r="G142" s="355">
        <f t="shared" si="8"/>
        <v>0</v>
      </c>
      <c r="H142" s="353">
        <v>0</v>
      </c>
      <c r="I142" s="353">
        <v>0</v>
      </c>
      <c r="J142" s="353">
        <f>'[4]Проф.с иными целями Пр.114'!C142</f>
        <v>8</v>
      </c>
      <c r="K142" s="356"/>
    </row>
    <row r="143" spans="1:11" ht="25.5" x14ac:dyDescent="0.2">
      <c r="A143" s="79">
        <v>125</v>
      </c>
      <c r="B143" s="358" t="s">
        <v>500</v>
      </c>
      <c r="C143" s="353">
        <f t="shared" si="6"/>
        <v>8</v>
      </c>
      <c r="D143" s="353">
        <f t="shared" si="7"/>
        <v>0</v>
      </c>
      <c r="E143" s="353">
        <v>0</v>
      </c>
      <c r="F143" s="357">
        <v>0</v>
      </c>
      <c r="G143" s="355">
        <f t="shared" si="8"/>
        <v>0</v>
      </c>
      <c r="H143" s="353">
        <v>0</v>
      </c>
      <c r="I143" s="353">
        <v>0</v>
      </c>
      <c r="J143" s="353">
        <f>'[4]Проф.с иными целями Пр.114'!C143</f>
        <v>8</v>
      </c>
      <c r="K143" s="356"/>
    </row>
    <row r="144" spans="1:11" x14ac:dyDescent="0.2">
      <c r="A144" s="79">
        <v>126</v>
      </c>
      <c r="B144" s="358" t="s">
        <v>74</v>
      </c>
      <c r="C144" s="353">
        <f t="shared" si="6"/>
        <v>217195</v>
      </c>
      <c r="D144" s="353">
        <f t="shared" si="7"/>
        <v>0</v>
      </c>
      <c r="E144" s="353">
        <v>0</v>
      </c>
      <c r="F144" s="357">
        <v>0</v>
      </c>
      <c r="G144" s="355">
        <f t="shared" si="8"/>
        <v>0</v>
      </c>
      <c r="H144" s="353">
        <v>0</v>
      </c>
      <c r="I144" s="353">
        <v>0</v>
      </c>
      <c r="J144" s="353">
        <f>'[4]Проф.с иными целями Пр.114'!C144</f>
        <v>217195</v>
      </c>
      <c r="K144" s="356"/>
    </row>
    <row r="145" spans="1:11" x14ac:dyDescent="0.2">
      <c r="A145" s="79">
        <v>127</v>
      </c>
      <c r="B145" s="358" t="s">
        <v>79</v>
      </c>
      <c r="C145" s="353">
        <f t="shared" si="6"/>
        <v>130000</v>
      </c>
      <c r="D145" s="353">
        <f t="shared" si="7"/>
        <v>0</v>
      </c>
      <c r="E145" s="353">
        <v>0</v>
      </c>
      <c r="F145" s="357">
        <v>0</v>
      </c>
      <c r="G145" s="355">
        <f t="shared" si="8"/>
        <v>0</v>
      </c>
      <c r="H145" s="353">
        <v>0</v>
      </c>
      <c r="I145" s="353">
        <v>0</v>
      </c>
      <c r="J145" s="353">
        <f>'[4]Проф.с иными целями Пр.114'!C145</f>
        <v>130000</v>
      </c>
      <c r="K145" s="356"/>
    </row>
    <row r="146" spans="1:11" x14ac:dyDescent="0.2">
      <c r="A146" s="79">
        <v>128</v>
      </c>
      <c r="B146" s="358" t="s">
        <v>80</v>
      </c>
      <c r="C146" s="353">
        <f t="shared" si="6"/>
        <v>85000</v>
      </c>
      <c r="D146" s="353">
        <f t="shared" si="7"/>
        <v>0</v>
      </c>
      <c r="E146" s="353">
        <v>0</v>
      </c>
      <c r="F146" s="357">
        <v>0</v>
      </c>
      <c r="G146" s="355">
        <f t="shared" si="8"/>
        <v>0</v>
      </c>
      <c r="H146" s="353">
        <v>0</v>
      </c>
      <c r="I146" s="353">
        <v>0</v>
      </c>
      <c r="J146" s="353">
        <f>'[4]Проф.с иными целями Пр.114'!C146</f>
        <v>85000</v>
      </c>
      <c r="K146" s="356"/>
    </row>
    <row r="147" spans="1:11" x14ac:dyDescent="0.2">
      <c r="A147" s="79">
        <v>129</v>
      </c>
      <c r="B147" s="358" t="s">
        <v>63</v>
      </c>
      <c r="C147" s="353">
        <f t="shared" si="6"/>
        <v>113400</v>
      </c>
      <c r="D147" s="353">
        <f t="shared" si="7"/>
        <v>0</v>
      </c>
      <c r="E147" s="353">
        <v>0</v>
      </c>
      <c r="F147" s="357">
        <v>0</v>
      </c>
      <c r="G147" s="355">
        <f t="shared" si="8"/>
        <v>0</v>
      </c>
      <c r="H147" s="353">
        <v>0</v>
      </c>
      <c r="I147" s="353">
        <v>0</v>
      </c>
      <c r="J147" s="353">
        <f>'[4]Проф.с иными целями Пр.114'!C147</f>
        <v>113400</v>
      </c>
      <c r="K147" s="356"/>
    </row>
    <row r="148" spans="1:11" x14ac:dyDescent="0.2">
      <c r="A148" s="79">
        <v>130</v>
      </c>
      <c r="B148" s="358" t="s">
        <v>75</v>
      </c>
      <c r="C148" s="353">
        <f t="shared" si="6"/>
        <v>8000</v>
      </c>
      <c r="D148" s="353">
        <f t="shared" si="7"/>
        <v>0</v>
      </c>
      <c r="E148" s="353">
        <v>0</v>
      </c>
      <c r="F148" s="357">
        <v>0</v>
      </c>
      <c r="G148" s="355">
        <f t="shared" si="8"/>
        <v>0</v>
      </c>
      <c r="H148" s="353">
        <v>0</v>
      </c>
      <c r="I148" s="353">
        <v>0</v>
      </c>
      <c r="J148" s="353">
        <f>'[4]Проф.с иными целями Пр.114'!C148</f>
        <v>8000</v>
      </c>
      <c r="K148" s="356"/>
    </row>
    <row r="149" spans="1:11" x14ac:dyDescent="0.2">
      <c r="A149" s="79">
        <v>131</v>
      </c>
      <c r="B149" s="358" t="s">
        <v>137</v>
      </c>
      <c r="C149" s="353">
        <f t="shared" si="6"/>
        <v>65356</v>
      </c>
      <c r="D149" s="353">
        <f t="shared" si="7"/>
        <v>0</v>
      </c>
      <c r="E149" s="353">
        <v>0</v>
      </c>
      <c r="F149" s="357">
        <v>0</v>
      </c>
      <c r="G149" s="355">
        <f t="shared" si="8"/>
        <v>0</v>
      </c>
      <c r="H149" s="353">
        <v>0</v>
      </c>
      <c r="I149" s="353">
        <v>0</v>
      </c>
      <c r="J149" s="353">
        <f>'[4]Проф.с иными целями Пр.114'!C149</f>
        <v>65356</v>
      </c>
      <c r="K149" s="356"/>
    </row>
    <row r="150" spans="1:11" x14ac:dyDescent="0.2">
      <c r="A150" s="79">
        <v>132</v>
      </c>
      <c r="B150" s="358" t="s">
        <v>76</v>
      </c>
      <c r="C150" s="353">
        <f t="shared" si="6"/>
        <v>57642</v>
      </c>
      <c r="D150" s="353">
        <f t="shared" si="7"/>
        <v>0</v>
      </c>
      <c r="E150" s="353">
        <v>0</v>
      </c>
      <c r="F150" s="357">
        <v>0</v>
      </c>
      <c r="G150" s="355">
        <f t="shared" si="8"/>
        <v>0</v>
      </c>
      <c r="H150" s="353">
        <v>0</v>
      </c>
      <c r="I150" s="353">
        <v>0</v>
      </c>
      <c r="J150" s="353">
        <f>'[4]Проф.с иными целями Пр.114'!C150</f>
        <v>57642</v>
      </c>
      <c r="K150" s="356"/>
    </row>
    <row r="151" spans="1:11" x14ac:dyDescent="0.2">
      <c r="A151" s="79">
        <v>133</v>
      </c>
      <c r="B151" s="358" t="s">
        <v>254</v>
      </c>
      <c r="C151" s="353">
        <f t="shared" si="6"/>
        <v>91000</v>
      </c>
      <c r="D151" s="353">
        <f t="shared" si="7"/>
        <v>0</v>
      </c>
      <c r="E151" s="353">
        <v>0</v>
      </c>
      <c r="F151" s="357">
        <v>0</v>
      </c>
      <c r="G151" s="355">
        <f t="shared" si="8"/>
        <v>0</v>
      </c>
      <c r="H151" s="353">
        <v>0</v>
      </c>
      <c r="I151" s="353">
        <v>0</v>
      </c>
      <c r="J151" s="353">
        <f>'[4]Проф.с иными целями Пр.114'!C151</f>
        <v>91000</v>
      </c>
      <c r="K151" s="356"/>
    </row>
    <row r="152" spans="1:11" x14ac:dyDescent="0.2">
      <c r="A152" s="79">
        <v>134</v>
      </c>
      <c r="B152" s="358" t="s">
        <v>255</v>
      </c>
      <c r="C152" s="353">
        <f t="shared" si="6"/>
        <v>10328</v>
      </c>
      <c r="D152" s="353">
        <f t="shared" si="7"/>
        <v>0</v>
      </c>
      <c r="E152" s="353">
        <v>0</v>
      </c>
      <c r="F152" s="357">
        <v>0</v>
      </c>
      <c r="G152" s="355">
        <f t="shared" si="8"/>
        <v>0</v>
      </c>
      <c r="H152" s="353">
        <v>0</v>
      </c>
      <c r="I152" s="353">
        <v>0</v>
      </c>
      <c r="J152" s="353">
        <f>'[4]Проф.с иными целями Пр.114'!C152</f>
        <v>10328</v>
      </c>
      <c r="K152" s="356"/>
    </row>
    <row r="153" spans="1:11" x14ac:dyDescent="0.2">
      <c r="A153" s="79">
        <v>135</v>
      </c>
      <c r="B153" s="358" t="s">
        <v>81</v>
      </c>
      <c r="C153" s="353">
        <f t="shared" si="6"/>
        <v>57392</v>
      </c>
      <c r="D153" s="353">
        <f t="shared" si="7"/>
        <v>0</v>
      </c>
      <c r="E153" s="353">
        <v>0</v>
      </c>
      <c r="F153" s="357">
        <v>0</v>
      </c>
      <c r="G153" s="355">
        <f t="shared" si="8"/>
        <v>0</v>
      </c>
      <c r="H153" s="353">
        <v>0</v>
      </c>
      <c r="I153" s="353">
        <v>0</v>
      </c>
      <c r="J153" s="353">
        <f>'[4]Проф.с иными целями Пр.114'!C153</f>
        <v>57392</v>
      </c>
      <c r="K153" s="356"/>
    </row>
    <row r="154" spans="1:11" x14ac:dyDescent="0.2">
      <c r="A154" s="79">
        <v>136</v>
      </c>
      <c r="B154" s="358" t="s">
        <v>64</v>
      </c>
      <c r="C154" s="353">
        <f t="shared" si="6"/>
        <v>1009</v>
      </c>
      <c r="D154" s="353">
        <f t="shared" si="7"/>
        <v>0</v>
      </c>
      <c r="E154" s="353">
        <v>0</v>
      </c>
      <c r="F154" s="357">
        <v>0</v>
      </c>
      <c r="G154" s="355">
        <f t="shared" si="8"/>
        <v>0</v>
      </c>
      <c r="H154" s="353">
        <v>0</v>
      </c>
      <c r="I154" s="353">
        <v>0</v>
      </c>
      <c r="J154" s="353">
        <f>'[4]Проф.с иными целями Пр.114'!C154</f>
        <v>1009</v>
      </c>
      <c r="K154" s="356"/>
    </row>
    <row r="155" spans="1:11" x14ac:dyDescent="0.2">
      <c r="A155" s="446">
        <v>137</v>
      </c>
      <c r="B155" s="358" t="s">
        <v>77</v>
      </c>
      <c r="C155" s="353">
        <f t="shared" si="6"/>
        <v>84825</v>
      </c>
      <c r="D155" s="353">
        <f t="shared" si="7"/>
        <v>1722</v>
      </c>
      <c r="E155" s="353">
        <v>1722</v>
      </c>
      <c r="F155" s="357">
        <v>0</v>
      </c>
      <c r="G155" s="355">
        <f t="shared" si="8"/>
        <v>7346</v>
      </c>
      <c r="H155" s="353">
        <v>7346</v>
      </c>
      <c r="I155" s="353">
        <v>0</v>
      </c>
      <c r="J155" s="353">
        <f>'[4]Проф.с иными целями Пр.114'!C155</f>
        <v>75757</v>
      </c>
      <c r="K155" s="356"/>
    </row>
    <row r="156" spans="1:11" ht="51" x14ac:dyDescent="0.2">
      <c r="A156" s="592"/>
      <c r="B156" s="372" t="s">
        <v>698</v>
      </c>
      <c r="C156" s="353">
        <f t="shared" si="6"/>
        <v>192170</v>
      </c>
      <c r="D156" s="353">
        <f t="shared" si="7"/>
        <v>21076</v>
      </c>
      <c r="E156" s="353">
        <v>2645</v>
      </c>
      <c r="F156" s="354">
        <v>18431</v>
      </c>
      <c r="G156" s="355">
        <f t="shared" si="8"/>
        <v>11449</v>
      </c>
      <c r="H156" s="353">
        <v>11284</v>
      </c>
      <c r="I156" s="353">
        <v>165</v>
      </c>
      <c r="J156" s="353">
        <f>'[4]Проф.с иными целями Пр.114'!C156</f>
        <v>159645</v>
      </c>
      <c r="K156" s="356"/>
    </row>
    <row r="157" spans="1:11" x14ac:dyDescent="0.2">
      <c r="A157" s="446">
        <v>138</v>
      </c>
      <c r="B157" s="358" t="s">
        <v>699</v>
      </c>
      <c r="C157" s="353">
        <f t="shared" si="6"/>
        <v>3000</v>
      </c>
      <c r="D157" s="353">
        <f t="shared" si="7"/>
        <v>0</v>
      </c>
      <c r="E157" s="353">
        <v>0</v>
      </c>
      <c r="F157" s="357">
        <v>0</v>
      </c>
      <c r="G157" s="355">
        <f t="shared" si="8"/>
        <v>0</v>
      </c>
      <c r="H157" s="353">
        <v>0</v>
      </c>
      <c r="I157" s="353">
        <v>0</v>
      </c>
      <c r="J157" s="353">
        <f>'[4]Проф.с иными целями Пр.114'!C157</f>
        <v>3000</v>
      </c>
      <c r="K157" s="356"/>
    </row>
    <row r="158" spans="1:11" ht="58.5" customHeight="1" x14ac:dyDescent="0.2">
      <c r="A158" s="592"/>
      <c r="B158" s="373" t="s">
        <v>700</v>
      </c>
      <c r="C158" s="353">
        <f t="shared" si="6"/>
        <v>1442</v>
      </c>
      <c r="D158" s="353">
        <f t="shared" si="7"/>
        <v>0</v>
      </c>
      <c r="E158" s="353">
        <v>0</v>
      </c>
      <c r="F158" s="357">
        <v>0</v>
      </c>
      <c r="G158" s="355">
        <f t="shared" si="8"/>
        <v>0</v>
      </c>
      <c r="H158" s="353">
        <v>0</v>
      </c>
      <c r="I158" s="353">
        <v>0</v>
      </c>
      <c r="J158" s="353">
        <f>'[4]Проф.с иными целями Пр.114'!C158</f>
        <v>1442</v>
      </c>
      <c r="K158" s="356"/>
    </row>
    <row r="159" spans="1:11" x14ac:dyDescent="0.2">
      <c r="A159" s="79">
        <v>139</v>
      </c>
      <c r="B159" s="358" t="s">
        <v>502</v>
      </c>
      <c r="C159" s="353">
        <f t="shared" si="6"/>
        <v>9830</v>
      </c>
      <c r="D159" s="353">
        <f t="shared" si="7"/>
        <v>0</v>
      </c>
      <c r="E159" s="353">
        <v>0</v>
      </c>
      <c r="F159" s="357">
        <v>0</v>
      </c>
      <c r="G159" s="355">
        <f t="shared" si="8"/>
        <v>0</v>
      </c>
      <c r="H159" s="353">
        <v>0</v>
      </c>
      <c r="I159" s="353">
        <v>0</v>
      </c>
      <c r="J159" s="353">
        <f>'[4]Проф.с иными целями Пр.114'!C159</f>
        <v>9830</v>
      </c>
      <c r="K159" s="356"/>
    </row>
    <row r="160" spans="1:11" x14ac:dyDescent="0.2">
      <c r="A160" s="79">
        <v>140</v>
      </c>
      <c r="B160" s="374" t="s">
        <v>417</v>
      </c>
      <c r="C160" s="353">
        <f t="shared" si="6"/>
        <v>26480</v>
      </c>
      <c r="D160" s="353">
        <f t="shared" si="7"/>
        <v>0</v>
      </c>
      <c r="E160" s="353">
        <v>0</v>
      </c>
      <c r="F160" s="357">
        <v>0</v>
      </c>
      <c r="G160" s="355">
        <f t="shared" si="8"/>
        <v>0</v>
      </c>
      <c r="H160" s="353">
        <v>0</v>
      </c>
      <c r="I160" s="353">
        <v>0</v>
      </c>
      <c r="J160" s="353">
        <f>'[4]Проф.с иными целями Пр.114'!C160</f>
        <v>26480</v>
      </c>
      <c r="K160" s="356"/>
    </row>
    <row r="161" spans="1:11" x14ac:dyDescent="0.2">
      <c r="A161" s="79">
        <v>141</v>
      </c>
      <c r="B161" s="375" t="s">
        <v>410</v>
      </c>
      <c r="C161" s="353">
        <f t="shared" si="6"/>
        <v>10080</v>
      </c>
      <c r="D161" s="353">
        <f t="shared" si="7"/>
        <v>0</v>
      </c>
      <c r="E161" s="353">
        <v>0</v>
      </c>
      <c r="F161" s="357">
        <v>0</v>
      </c>
      <c r="G161" s="355">
        <f t="shared" si="8"/>
        <v>0</v>
      </c>
      <c r="H161" s="353">
        <v>0</v>
      </c>
      <c r="I161" s="353">
        <v>0</v>
      </c>
      <c r="J161" s="353">
        <f>'[4]Проф.с иными целями Пр.114'!C161</f>
        <v>10080</v>
      </c>
      <c r="K161" s="356"/>
    </row>
    <row r="162" spans="1:11" x14ac:dyDescent="0.2">
      <c r="A162" s="79">
        <v>142</v>
      </c>
      <c r="B162" s="376" t="s">
        <v>701</v>
      </c>
      <c r="C162" s="353">
        <f t="shared" si="6"/>
        <v>5480</v>
      </c>
      <c r="D162" s="353">
        <f t="shared" si="7"/>
        <v>0</v>
      </c>
      <c r="E162" s="353">
        <v>0</v>
      </c>
      <c r="F162" s="357">
        <v>0</v>
      </c>
      <c r="G162" s="355">
        <f t="shared" si="8"/>
        <v>0</v>
      </c>
      <c r="H162" s="353">
        <v>0</v>
      </c>
      <c r="I162" s="353">
        <v>0</v>
      </c>
      <c r="J162" s="353">
        <f>'[4]Проф.с иными целями Пр.114'!C162</f>
        <v>5480</v>
      </c>
      <c r="K162" s="356"/>
    </row>
    <row r="163" spans="1:11" x14ac:dyDescent="0.2">
      <c r="A163" s="79">
        <v>143</v>
      </c>
      <c r="B163" s="375" t="s">
        <v>702</v>
      </c>
      <c r="C163" s="353">
        <f t="shared" si="6"/>
        <v>2600</v>
      </c>
      <c r="D163" s="353">
        <f t="shared" si="7"/>
        <v>0</v>
      </c>
      <c r="E163" s="353">
        <v>0</v>
      </c>
      <c r="F163" s="357">
        <v>0</v>
      </c>
      <c r="G163" s="355">
        <f t="shared" si="8"/>
        <v>0</v>
      </c>
      <c r="H163" s="353">
        <v>0</v>
      </c>
      <c r="I163" s="353">
        <v>0</v>
      </c>
      <c r="J163" s="353">
        <f>'[4]Проф.с иными целями Пр.114'!C163</f>
        <v>2600</v>
      </c>
      <c r="K163" s="356"/>
    </row>
    <row r="164" spans="1:11" x14ac:dyDescent="0.2">
      <c r="A164" s="79">
        <v>144</v>
      </c>
      <c r="B164" s="358" t="s">
        <v>703</v>
      </c>
      <c r="C164" s="353">
        <f t="shared" si="6"/>
        <v>640</v>
      </c>
      <c r="D164" s="353">
        <f t="shared" si="7"/>
        <v>0</v>
      </c>
      <c r="E164" s="353">
        <v>0</v>
      </c>
      <c r="F164" s="357">
        <v>0</v>
      </c>
      <c r="G164" s="355">
        <f t="shared" si="8"/>
        <v>0</v>
      </c>
      <c r="H164" s="353">
        <v>0</v>
      </c>
      <c r="I164" s="353">
        <v>0</v>
      </c>
      <c r="J164" s="353">
        <f>'[4]Проф.с иными целями Пр.114'!C164</f>
        <v>640</v>
      </c>
      <c r="K164" s="356"/>
    </row>
    <row r="165" spans="1:11" x14ac:dyDescent="0.2">
      <c r="A165" s="377"/>
      <c r="B165" s="358" t="s">
        <v>65</v>
      </c>
      <c r="C165" s="353">
        <f t="shared" si="6"/>
        <v>302720</v>
      </c>
      <c r="D165" s="353">
        <f t="shared" si="7"/>
        <v>0</v>
      </c>
      <c r="E165" s="353">
        <v>0</v>
      </c>
      <c r="F165" s="357">
        <v>0</v>
      </c>
      <c r="G165" s="355">
        <f t="shared" si="8"/>
        <v>0</v>
      </c>
      <c r="H165" s="353">
        <v>0</v>
      </c>
      <c r="I165" s="353">
        <v>0</v>
      </c>
      <c r="J165" s="353">
        <f>'[4]Проф.с иными целями Пр.114'!C165</f>
        <v>302720</v>
      </c>
      <c r="K165" s="356"/>
    </row>
    <row r="166" spans="1:11" s="382" customFormat="1" x14ac:dyDescent="0.25">
      <c r="A166" s="378"/>
      <c r="B166" s="378" t="s">
        <v>106</v>
      </c>
      <c r="C166" s="379">
        <f>SUM(C10:C165)</f>
        <v>11801387</v>
      </c>
      <c r="D166" s="380">
        <f t="shared" si="7"/>
        <v>850857</v>
      </c>
      <c r="E166" s="379">
        <f t="shared" ref="E166:J166" si="9">SUM(E10:E165)</f>
        <v>140148</v>
      </c>
      <c r="F166" s="381">
        <f>SUM(F10:F165)</f>
        <v>710709</v>
      </c>
      <c r="G166" s="379">
        <f>SUM(G10:G165)</f>
        <v>609432</v>
      </c>
      <c r="H166" s="379">
        <f t="shared" si="9"/>
        <v>597941</v>
      </c>
      <c r="I166" s="379">
        <f t="shared" si="9"/>
        <v>11491</v>
      </c>
      <c r="J166" s="379">
        <f t="shared" si="9"/>
        <v>10341098</v>
      </c>
      <c r="K166" s="356"/>
    </row>
    <row r="167" spans="1:11" s="382" customFormat="1" x14ac:dyDescent="0.25">
      <c r="A167" s="383"/>
      <c r="B167" s="383"/>
      <c r="C167" s="384"/>
      <c r="D167" s="384"/>
      <c r="E167" s="385"/>
      <c r="F167" s="385"/>
      <c r="G167" s="385"/>
      <c r="H167" s="385"/>
      <c r="I167" s="385"/>
      <c r="J167" s="384"/>
      <c r="K167" s="384"/>
    </row>
    <row r="169" spans="1:11" x14ac:dyDescent="0.2">
      <c r="E169" s="359"/>
    </row>
    <row r="170" spans="1:11" x14ac:dyDescent="0.2">
      <c r="D170" s="359"/>
      <c r="E170" s="359"/>
      <c r="F170" s="359"/>
      <c r="G170" s="359"/>
      <c r="H170" s="359"/>
      <c r="I170" s="359"/>
    </row>
    <row r="171" spans="1:11" x14ac:dyDescent="0.2">
      <c r="D171" s="359"/>
    </row>
    <row r="173" spans="1:11" x14ac:dyDescent="0.2">
      <c r="D173" s="359"/>
    </row>
  </sheetData>
  <mergeCells count="25">
    <mergeCell ref="A116:A117"/>
    <mergeCell ref="A155:A156"/>
    <mergeCell ref="A157:A158"/>
    <mergeCell ref="A14:A15"/>
    <mergeCell ref="A36:A37"/>
    <mergeCell ref="A41:A42"/>
    <mergeCell ref="A47:A49"/>
    <mergeCell ref="A52:A53"/>
    <mergeCell ref="A111:A112"/>
    <mergeCell ref="A1:J1"/>
    <mergeCell ref="A3:A8"/>
    <mergeCell ref="B3:B8"/>
    <mergeCell ref="C3:C8"/>
    <mergeCell ref="D3:J3"/>
    <mergeCell ref="D4:F4"/>
    <mergeCell ref="G4:I4"/>
    <mergeCell ref="J4:J8"/>
    <mergeCell ref="D5:D8"/>
    <mergeCell ref="E5:F5"/>
    <mergeCell ref="G5:G8"/>
    <mergeCell ref="H5:I5"/>
    <mergeCell ref="E6:E8"/>
    <mergeCell ref="F6:F8"/>
    <mergeCell ref="H6:H8"/>
    <mergeCell ref="I6:I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4"/>
  <sheetViews>
    <sheetView workbookViewId="0">
      <pane xSplit="2" ySplit="9" topLeftCell="C157" activePane="bottomRight" state="frozen"/>
      <selection pane="topRight" activeCell="C1" sqref="C1"/>
      <selection pane="bottomLeft" activeCell="A10" sqref="A10"/>
      <selection pane="bottomRight" activeCell="H38" sqref="H38"/>
    </sheetView>
  </sheetViews>
  <sheetFormatPr defaultRowHeight="15" x14ac:dyDescent="0.25"/>
  <cols>
    <col min="1" max="1" width="4.28515625" style="277" customWidth="1"/>
    <col min="2" max="2" width="32" style="277" customWidth="1"/>
    <col min="3" max="3" width="11.140625" style="386" customWidth="1"/>
    <col min="4" max="5" width="11" style="386" customWidth="1"/>
    <col min="6" max="6" width="13.42578125" style="386" customWidth="1"/>
    <col min="7" max="7" width="11.140625" style="386" customWidth="1"/>
    <col min="8" max="8" width="12.28515625" style="386" customWidth="1"/>
    <col min="9" max="9" width="11.140625" style="386" customWidth="1"/>
    <col min="10" max="11" width="9.140625" style="386"/>
    <col min="12" max="12" width="11.28515625" style="386" customWidth="1"/>
    <col min="13" max="13" width="11.140625" style="386" customWidth="1"/>
    <col min="14" max="15" width="9.140625" style="386"/>
    <col min="16" max="16" width="12.28515625" style="386" customWidth="1"/>
    <col min="17" max="17" width="11.7109375" style="386" customWidth="1"/>
    <col min="18" max="19" width="11.42578125" style="386" customWidth="1"/>
    <col min="20" max="20" width="13.140625" style="386" customWidth="1"/>
    <col min="21" max="21" width="0" style="386" hidden="1" customWidth="1"/>
    <col min="22" max="22" width="11.5703125" style="386" hidden="1" customWidth="1"/>
    <col min="23" max="56" width="0" style="386" hidden="1" customWidth="1"/>
    <col min="57" max="16384" width="9.140625" style="386"/>
  </cols>
  <sheetData>
    <row r="1" spans="1:56" ht="18.75" x14ac:dyDescent="0.25">
      <c r="A1" s="386"/>
      <c r="B1" s="594" t="s">
        <v>704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</row>
    <row r="2" spans="1:56" x14ac:dyDescent="0.25">
      <c r="A2" s="346"/>
    </row>
    <row r="3" spans="1:56" x14ac:dyDescent="0.25">
      <c r="A3" s="595" t="s">
        <v>0</v>
      </c>
      <c r="B3" s="595" t="s">
        <v>317</v>
      </c>
      <c r="C3" s="598" t="s">
        <v>705</v>
      </c>
      <c r="D3" s="599" t="s">
        <v>183</v>
      </c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600"/>
    </row>
    <row r="4" spans="1:56" x14ac:dyDescent="0.25">
      <c r="A4" s="596"/>
      <c r="B4" s="596"/>
      <c r="C4" s="598"/>
      <c r="D4" s="595" t="s">
        <v>706</v>
      </c>
      <c r="E4" s="601" t="s">
        <v>707</v>
      </c>
      <c r="F4" s="601"/>
      <c r="G4" s="602"/>
      <c r="H4" s="595" t="s">
        <v>708</v>
      </c>
      <c r="I4" s="605" t="s">
        <v>709</v>
      </c>
      <c r="J4" s="601"/>
      <c r="K4" s="601"/>
      <c r="L4" s="601"/>
      <c r="M4" s="601"/>
      <c r="N4" s="601"/>
      <c r="O4" s="598" t="s">
        <v>710</v>
      </c>
      <c r="P4" s="598"/>
      <c r="Q4" s="598"/>
      <c r="R4" s="605" t="s">
        <v>711</v>
      </c>
      <c r="S4" s="601"/>
      <c r="T4" s="602"/>
    </row>
    <row r="5" spans="1:56" x14ac:dyDescent="0.25">
      <c r="A5" s="596"/>
      <c r="B5" s="596"/>
      <c r="C5" s="598"/>
      <c r="D5" s="596"/>
      <c r="E5" s="603"/>
      <c r="F5" s="603"/>
      <c r="G5" s="604"/>
      <c r="H5" s="596"/>
      <c r="I5" s="606"/>
      <c r="J5" s="603"/>
      <c r="K5" s="603"/>
      <c r="L5" s="603"/>
      <c r="M5" s="603"/>
      <c r="N5" s="603"/>
      <c r="O5" s="598"/>
      <c r="P5" s="598"/>
      <c r="Q5" s="598"/>
      <c r="R5" s="606"/>
      <c r="S5" s="603"/>
      <c r="T5" s="604"/>
    </row>
    <row r="6" spans="1:56" x14ac:dyDescent="0.25">
      <c r="A6" s="596"/>
      <c r="B6" s="596"/>
      <c r="C6" s="598"/>
      <c r="D6" s="596"/>
      <c r="E6" s="601" t="s">
        <v>712</v>
      </c>
      <c r="F6" s="602"/>
      <c r="G6" s="598" t="s">
        <v>713</v>
      </c>
      <c r="H6" s="596"/>
      <c r="I6" s="595" t="s">
        <v>713</v>
      </c>
      <c r="J6" s="607" t="s">
        <v>714</v>
      </c>
      <c r="K6" s="600"/>
      <c r="L6" s="601" t="s">
        <v>712</v>
      </c>
      <c r="M6" s="602"/>
      <c r="N6" s="605" t="s">
        <v>715</v>
      </c>
      <c r="O6" s="598" t="s">
        <v>713</v>
      </c>
      <c r="P6" s="598" t="s">
        <v>712</v>
      </c>
      <c r="Q6" s="598"/>
      <c r="R6" s="595" t="s">
        <v>713</v>
      </c>
      <c r="S6" s="598" t="s">
        <v>712</v>
      </c>
      <c r="T6" s="598"/>
    </row>
    <row r="7" spans="1:56" x14ac:dyDescent="0.25">
      <c r="A7" s="596"/>
      <c r="B7" s="596"/>
      <c r="C7" s="598"/>
      <c r="D7" s="596"/>
      <c r="E7" s="603"/>
      <c r="F7" s="604"/>
      <c r="G7" s="598"/>
      <c r="H7" s="596"/>
      <c r="I7" s="596"/>
      <c r="J7" s="595" t="s">
        <v>716</v>
      </c>
      <c r="K7" s="595" t="s">
        <v>717</v>
      </c>
      <c r="L7" s="603"/>
      <c r="M7" s="604"/>
      <c r="N7" s="612"/>
      <c r="O7" s="598"/>
      <c r="P7" s="598"/>
      <c r="Q7" s="598"/>
      <c r="R7" s="596"/>
      <c r="S7" s="598"/>
      <c r="T7" s="598"/>
    </row>
    <row r="8" spans="1:56" ht="45" x14ac:dyDescent="0.25">
      <c r="A8" s="597"/>
      <c r="B8" s="597"/>
      <c r="C8" s="598"/>
      <c r="D8" s="597"/>
      <c r="E8" s="351" t="s">
        <v>427</v>
      </c>
      <c r="F8" s="351" t="s">
        <v>428</v>
      </c>
      <c r="G8" s="598"/>
      <c r="H8" s="597"/>
      <c r="I8" s="597"/>
      <c r="J8" s="597"/>
      <c r="K8" s="597"/>
      <c r="L8" s="387" t="s">
        <v>427</v>
      </c>
      <c r="M8" s="387" t="s">
        <v>428</v>
      </c>
      <c r="N8" s="606"/>
      <c r="O8" s="598"/>
      <c r="P8" s="351" t="s">
        <v>427</v>
      </c>
      <c r="Q8" s="351" t="s">
        <v>428</v>
      </c>
      <c r="R8" s="597"/>
      <c r="S8" s="351" t="s">
        <v>427</v>
      </c>
      <c r="T8" s="351" t="s">
        <v>428</v>
      </c>
    </row>
    <row r="9" spans="1:56" x14ac:dyDescent="0.25">
      <c r="A9" s="351">
        <v>1</v>
      </c>
      <c r="B9" s="351">
        <v>2</v>
      </c>
      <c r="C9" s="351">
        <v>3</v>
      </c>
      <c r="D9" s="351">
        <v>4</v>
      </c>
      <c r="E9" s="351">
        <v>5</v>
      </c>
      <c r="F9" s="351">
        <v>6</v>
      </c>
      <c r="G9" s="351">
        <v>7</v>
      </c>
      <c r="H9" s="351">
        <v>8</v>
      </c>
      <c r="I9" s="351">
        <v>9</v>
      </c>
      <c r="J9" s="351">
        <v>10</v>
      </c>
      <c r="K9" s="351">
        <v>11</v>
      </c>
      <c r="L9" s="351">
        <v>12</v>
      </c>
      <c r="M9" s="351">
        <v>13</v>
      </c>
      <c r="N9" s="351">
        <v>14</v>
      </c>
      <c r="O9" s="351">
        <v>15</v>
      </c>
      <c r="P9" s="351">
        <v>16</v>
      </c>
      <c r="Q9" s="351">
        <v>17</v>
      </c>
      <c r="R9" s="351">
        <v>18</v>
      </c>
      <c r="S9" s="351">
        <v>19</v>
      </c>
      <c r="T9" s="351">
        <v>20</v>
      </c>
    </row>
    <row r="10" spans="1:56" x14ac:dyDescent="0.25">
      <c r="A10" s="388">
        <v>1</v>
      </c>
      <c r="B10" s="352" t="s">
        <v>13</v>
      </c>
      <c r="C10" s="389">
        <f>D10+E10+F10+G10+H10+I10+J10+K10+L10+M10+N10+P10+Q10+R10+S10+T10+O10</f>
        <v>134795</v>
      </c>
      <c r="D10" s="389">
        <v>2111</v>
      </c>
      <c r="E10" s="389">
        <v>1997</v>
      </c>
      <c r="F10" s="389">
        <v>49755</v>
      </c>
      <c r="G10" s="389">
        <v>0</v>
      </c>
      <c r="H10" s="389">
        <v>8225</v>
      </c>
      <c r="I10" s="389">
        <v>0</v>
      </c>
      <c r="J10" s="389">
        <v>1025</v>
      </c>
      <c r="K10" s="389">
        <v>439</v>
      </c>
      <c r="L10" s="389">
        <v>4848</v>
      </c>
      <c r="M10" s="389">
        <v>27349</v>
      </c>
      <c r="N10" s="389">
        <v>0</v>
      </c>
      <c r="O10" s="389">
        <v>0</v>
      </c>
      <c r="P10" s="389">
        <v>1126</v>
      </c>
      <c r="Q10" s="389">
        <v>12300</v>
      </c>
      <c r="R10" s="389">
        <v>0</v>
      </c>
      <c r="S10" s="389">
        <v>3749</v>
      </c>
      <c r="T10" s="389">
        <v>21871</v>
      </c>
      <c r="U10" s="390">
        <v>134795</v>
      </c>
      <c r="V10" s="390">
        <f>U10-C10</f>
        <v>0</v>
      </c>
      <c r="W10" s="390">
        <v>2111</v>
      </c>
      <c r="X10" s="390">
        <v>1997</v>
      </c>
      <c r="Y10" s="390">
        <f>W10-D10</f>
        <v>0</v>
      </c>
      <c r="Z10" s="390">
        <f>X10-E10</f>
        <v>0</v>
      </c>
      <c r="AA10" s="390">
        <v>49755</v>
      </c>
      <c r="AB10" s="390">
        <f>AA10-F10</f>
        <v>0</v>
      </c>
      <c r="AC10" s="390">
        <v>0</v>
      </c>
      <c r="AD10" s="390">
        <f>AC10-G10</f>
        <v>0</v>
      </c>
      <c r="AE10" s="390">
        <v>8225</v>
      </c>
      <c r="AF10" s="386">
        <v>0</v>
      </c>
      <c r="AG10" s="386">
        <v>1025</v>
      </c>
      <c r="AH10" s="386">
        <v>439</v>
      </c>
      <c r="AI10" s="386">
        <v>4848</v>
      </c>
      <c r="AJ10" s="386">
        <v>27349</v>
      </c>
      <c r="AK10" s="386">
        <v>0</v>
      </c>
      <c r="AL10" s="386">
        <v>0</v>
      </c>
      <c r="AM10" s="386">
        <v>1126</v>
      </c>
      <c r="AN10" s="386">
        <v>12300</v>
      </c>
      <c r="AO10" s="386">
        <v>0</v>
      </c>
      <c r="AP10" s="386">
        <v>3749</v>
      </c>
      <c r="AQ10" s="386">
        <v>21871</v>
      </c>
      <c r="AR10" s="390">
        <f>AE10-H10</f>
        <v>0</v>
      </c>
      <c r="AS10" s="390">
        <f t="shared" ref="AS10:BD25" si="0">AF10-I10</f>
        <v>0</v>
      </c>
      <c r="AT10" s="390">
        <f t="shared" si="0"/>
        <v>0</v>
      </c>
      <c r="AU10" s="390">
        <f t="shared" si="0"/>
        <v>0</v>
      </c>
      <c r="AV10" s="390">
        <f t="shared" si="0"/>
        <v>0</v>
      </c>
      <c r="AW10" s="390">
        <f t="shared" si="0"/>
        <v>0</v>
      </c>
      <c r="AX10" s="390">
        <f t="shared" si="0"/>
        <v>0</v>
      </c>
      <c r="AY10" s="390">
        <f t="shared" si="0"/>
        <v>0</v>
      </c>
      <c r="AZ10" s="390">
        <f t="shared" si="0"/>
        <v>0</v>
      </c>
      <c r="BA10" s="390">
        <f t="shared" si="0"/>
        <v>0</v>
      </c>
      <c r="BB10" s="390">
        <f t="shared" si="0"/>
        <v>0</v>
      </c>
      <c r="BC10" s="390">
        <f t="shared" si="0"/>
        <v>0</v>
      </c>
      <c r="BD10" s="390">
        <f t="shared" si="0"/>
        <v>0</v>
      </c>
    </row>
    <row r="11" spans="1:56" ht="25.5" x14ac:dyDescent="0.25">
      <c r="A11" s="388">
        <v>2</v>
      </c>
      <c r="B11" s="352" t="s">
        <v>429</v>
      </c>
      <c r="C11" s="389">
        <f t="shared" ref="C11:C76" si="1">D11+E11+F11+G11+H11+I11+J11+K11+L11+M11+N11+P11+Q11+R11+S11+T11+O11</f>
        <v>1403</v>
      </c>
      <c r="D11" s="389">
        <v>0</v>
      </c>
      <c r="E11" s="389">
        <v>0</v>
      </c>
      <c r="F11" s="389">
        <v>0</v>
      </c>
      <c r="G11" s="389">
        <v>0</v>
      </c>
      <c r="H11" s="389">
        <v>0</v>
      </c>
      <c r="I11" s="389">
        <v>1029</v>
      </c>
      <c r="J11" s="389">
        <v>0</v>
      </c>
      <c r="K11" s="389">
        <v>0</v>
      </c>
      <c r="L11" s="389">
        <v>0</v>
      </c>
      <c r="M11" s="389">
        <v>0</v>
      </c>
      <c r="N11" s="389">
        <v>0</v>
      </c>
      <c r="O11" s="389">
        <v>374</v>
      </c>
      <c r="P11" s="389">
        <v>0</v>
      </c>
      <c r="Q11" s="389">
        <v>0</v>
      </c>
      <c r="R11" s="389">
        <v>0</v>
      </c>
      <c r="S11" s="389">
        <v>0</v>
      </c>
      <c r="T11" s="389">
        <v>0</v>
      </c>
      <c r="U11" s="386">
        <v>1403</v>
      </c>
      <c r="V11" s="390">
        <f t="shared" ref="V11:V74" si="2">U11-C11</f>
        <v>0</v>
      </c>
      <c r="W11" s="386">
        <v>0</v>
      </c>
      <c r="X11" s="386">
        <v>0</v>
      </c>
      <c r="Y11" s="386">
        <f t="shared" ref="Y11:Z74" si="3">W11-D11</f>
        <v>0</v>
      </c>
      <c r="Z11" s="386">
        <f t="shared" si="3"/>
        <v>0</v>
      </c>
      <c r="AA11" s="386">
        <v>0</v>
      </c>
      <c r="AB11" s="390">
        <f t="shared" ref="AB11:AB74" si="4">AA11-F11</f>
        <v>0</v>
      </c>
      <c r="AC11" s="386">
        <v>0</v>
      </c>
      <c r="AD11" s="390">
        <f t="shared" ref="AD11:AD74" si="5">AC11-G11</f>
        <v>0</v>
      </c>
      <c r="AE11" s="386">
        <v>0</v>
      </c>
      <c r="AF11" s="386">
        <v>1029</v>
      </c>
      <c r="AG11" s="386">
        <v>0</v>
      </c>
      <c r="AH11" s="386">
        <v>0</v>
      </c>
      <c r="AI11" s="386">
        <v>0</v>
      </c>
      <c r="AJ11" s="386">
        <v>0</v>
      </c>
      <c r="AK11" s="386">
        <v>0</v>
      </c>
      <c r="AL11" s="386">
        <v>374</v>
      </c>
      <c r="AM11" s="386">
        <v>0</v>
      </c>
      <c r="AN11" s="386">
        <v>0</v>
      </c>
      <c r="AO11" s="386">
        <v>0</v>
      </c>
      <c r="AP11" s="386">
        <v>0</v>
      </c>
      <c r="AQ11" s="386">
        <v>0</v>
      </c>
      <c r="AR11" s="386">
        <f t="shared" ref="AR11:BD44" si="6">AE11-H11</f>
        <v>0</v>
      </c>
      <c r="AS11" s="386">
        <f t="shared" si="0"/>
        <v>0</v>
      </c>
      <c r="AT11" s="386">
        <f t="shared" si="0"/>
        <v>0</v>
      </c>
      <c r="AU11" s="386">
        <f t="shared" si="0"/>
        <v>0</v>
      </c>
      <c r="AV11" s="386">
        <f t="shared" si="0"/>
        <v>0</v>
      </c>
      <c r="AW11" s="386">
        <f t="shared" si="0"/>
        <v>0</v>
      </c>
      <c r="AX11" s="386">
        <f t="shared" si="0"/>
        <v>0</v>
      </c>
      <c r="AY11" s="386">
        <f t="shared" si="0"/>
        <v>0</v>
      </c>
      <c r="AZ11" s="386">
        <f t="shared" si="0"/>
        <v>0</v>
      </c>
      <c r="BA11" s="386">
        <f t="shared" si="0"/>
        <v>0</v>
      </c>
      <c r="BB11" s="386">
        <f t="shared" si="0"/>
        <v>0</v>
      </c>
      <c r="BC11" s="386">
        <f t="shared" si="0"/>
        <v>0</v>
      </c>
      <c r="BD11" s="386">
        <f t="shared" si="0"/>
        <v>0</v>
      </c>
    </row>
    <row r="12" spans="1:56" x14ac:dyDescent="0.25">
      <c r="A12" s="388">
        <v>3</v>
      </c>
      <c r="B12" s="358" t="s">
        <v>22</v>
      </c>
      <c r="C12" s="389">
        <f t="shared" si="1"/>
        <v>134339</v>
      </c>
      <c r="D12" s="389">
        <v>2152</v>
      </c>
      <c r="E12" s="389">
        <v>1903</v>
      </c>
      <c r="F12" s="389">
        <v>45959</v>
      </c>
      <c r="G12" s="389">
        <v>0</v>
      </c>
      <c r="H12" s="389">
        <v>7186</v>
      </c>
      <c r="I12" s="389">
        <v>0</v>
      </c>
      <c r="J12" s="389">
        <v>1025</v>
      </c>
      <c r="K12" s="389">
        <v>439</v>
      </c>
      <c r="L12" s="389">
        <v>7866</v>
      </c>
      <c r="M12" s="389">
        <v>44966</v>
      </c>
      <c r="N12" s="389">
        <v>156</v>
      </c>
      <c r="O12" s="389">
        <v>0</v>
      </c>
      <c r="P12" s="389">
        <v>2515</v>
      </c>
      <c r="Q12" s="389">
        <v>2294</v>
      </c>
      <c r="R12" s="389">
        <v>0</v>
      </c>
      <c r="S12" s="389">
        <v>3555</v>
      </c>
      <c r="T12" s="389">
        <v>14323</v>
      </c>
      <c r="U12" s="386">
        <v>134339</v>
      </c>
      <c r="V12" s="390">
        <f t="shared" si="2"/>
        <v>0</v>
      </c>
      <c r="W12" s="386">
        <v>2152</v>
      </c>
      <c r="X12" s="386">
        <v>1903</v>
      </c>
      <c r="Y12" s="386">
        <f t="shared" si="3"/>
        <v>0</v>
      </c>
      <c r="Z12" s="386">
        <f t="shared" si="3"/>
        <v>0</v>
      </c>
      <c r="AA12" s="386">
        <v>45959</v>
      </c>
      <c r="AB12" s="390">
        <f t="shared" si="4"/>
        <v>0</v>
      </c>
      <c r="AC12" s="386">
        <v>0</v>
      </c>
      <c r="AD12" s="390">
        <f t="shared" si="5"/>
        <v>0</v>
      </c>
      <c r="AE12" s="386">
        <v>7186</v>
      </c>
      <c r="AF12" s="386">
        <v>0</v>
      </c>
      <c r="AG12" s="386">
        <v>1025</v>
      </c>
      <c r="AH12" s="386">
        <v>439</v>
      </c>
      <c r="AI12" s="386">
        <v>7866</v>
      </c>
      <c r="AJ12" s="386">
        <v>44966</v>
      </c>
      <c r="AK12" s="386">
        <v>156</v>
      </c>
      <c r="AL12" s="386">
        <v>0</v>
      </c>
      <c r="AM12" s="386">
        <v>2515</v>
      </c>
      <c r="AN12" s="386">
        <v>2294</v>
      </c>
      <c r="AO12" s="386">
        <v>0</v>
      </c>
      <c r="AP12" s="386">
        <v>3555</v>
      </c>
      <c r="AQ12" s="386">
        <v>14323</v>
      </c>
      <c r="AR12" s="386">
        <f t="shared" si="6"/>
        <v>0</v>
      </c>
      <c r="AS12" s="386">
        <f t="shared" si="0"/>
        <v>0</v>
      </c>
      <c r="AT12" s="386">
        <f t="shared" si="0"/>
        <v>0</v>
      </c>
      <c r="AU12" s="386">
        <f t="shared" si="0"/>
        <v>0</v>
      </c>
      <c r="AV12" s="386">
        <f t="shared" si="0"/>
        <v>0</v>
      </c>
      <c r="AW12" s="386">
        <f t="shared" si="0"/>
        <v>0</v>
      </c>
      <c r="AX12" s="386">
        <f t="shared" si="0"/>
        <v>0</v>
      </c>
      <c r="AY12" s="386">
        <f t="shared" si="0"/>
        <v>0</v>
      </c>
      <c r="AZ12" s="386">
        <f t="shared" si="0"/>
        <v>0</v>
      </c>
      <c r="BA12" s="386">
        <f t="shared" si="0"/>
        <v>0</v>
      </c>
      <c r="BB12" s="386">
        <f t="shared" si="0"/>
        <v>0</v>
      </c>
      <c r="BC12" s="386">
        <f t="shared" si="0"/>
        <v>0</v>
      </c>
      <c r="BD12" s="386">
        <f t="shared" si="0"/>
        <v>0</v>
      </c>
    </row>
    <row r="13" spans="1:56" x14ac:dyDescent="0.25">
      <c r="A13" s="388">
        <v>4</v>
      </c>
      <c r="B13" s="358" t="s">
        <v>430</v>
      </c>
      <c r="C13" s="389">
        <f t="shared" si="1"/>
        <v>1297</v>
      </c>
      <c r="D13" s="389">
        <v>0</v>
      </c>
      <c r="E13" s="389">
        <v>0</v>
      </c>
      <c r="F13" s="389">
        <v>0</v>
      </c>
      <c r="G13" s="389">
        <v>0</v>
      </c>
      <c r="H13" s="389">
        <v>0</v>
      </c>
      <c r="I13" s="389">
        <v>812</v>
      </c>
      <c r="J13" s="389">
        <v>0</v>
      </c>
      <c r="K13" s="389">
        <v>0</v>
      </c>
      <c r="L13" s="389">
        <v>0</v>
      </c>
      <c r="M13" s="389">
        <v>0</v>
      </c>
      <c r="N13" s="389">
        <v>0</v>
      </c>
      <c r="O13" s="389">
        <v>61</v>
      </c>
      <c r="P13" s="389">
        <v>0</v>
      </c>
      <c r="Q13" s="389">
        <v>0</v>
      </c>
      <c r="R13" s="389">
        <v>424</v>
      </c>
      <c r="S13" s="389">
        <v>0</v>
      </c>
      <c r="T13" s="389">
        <v>0</v>
      </c>
      <c r="U13" s="386">
        <v>1297</v>
      </c>
      <c r="V13" s="390">
        <f t="shared" si="2"/>
        <v>0</v>
      </c>
      <c r="W13" s="386">
        <v>0</v>
      </c>
      <c r="X13" s="386">
        <v>0</v>
      </c>
      <c r="Y13" s="386">
        <f t="shared" si="3"/>
        <v>0</v>
      </c>
      <c r="Z13" s="386">
        <f t="shared" si="3"/>
        <v>0</v>
      </c>
      <c r="AA13" s="386">
        <v>0</v>
      </c>
      <c r="AB13" s="390">
        <f t="shared" si="4"/>
        <v>0</v>
      </c>
      <c r="AC13" s="386">
        <v>0</v>
      </c>
      <c r="AD13" s="390">
        <f t="shared" si="5"/>
        <v>0</v>
      </c>
      <c r="AE13" s="386">
        <v>0</v>
      </c>
      <c r="AF13" s="386">
        <v>812</v>
      </c>
      <c r="AG13" s="386">
        <v>0</v>
      </c>
      <c r="AH13" s="386">
        <v>0</v>
      </c>
      <c r="AI13" s="386">
        <v>0</v>
      </c>
      <c r="AJ13" s="386">
        <v>0</v>
      </c>
      <c r="AK13" s="386">
        <v>0</v>
      </c>
      <c r="AL13" s="386">
        <v>61</v>
      </c>
      <c r="AM13" s="386">
        <v>0</v>
      </c>
      <c r="AN13" s="386">
        <v>0</v>
      </c>
      <c r="AO13" s="386">
        <v>424</v>
      </c>
      <c r="AP13" s="386">
        <v>0</v>
      </c>
      <c r="AQ13" s="386">
        <v>0</v>
      </c>
      <c r="AR13" s="386">
        <f t="shared" si="6"/>
        <v>0</v>
      </c>
      <c r="AS13" s="386">
        <f t="shared" si="0"/>
        <v>0</v>
      </c>
      <c r="AT13" s="386">
        <f t="shared" si="0"/>
        <v>0</v>
      </c>
      <c r="AU13" s="386">
        <f t="shared" si="0"/>
        <v>0</v>
      </c>
      <c r="AV13" s="386">
        <f t="shared" si="0"/>
        <v>0</v>
      </c>
      <c r="AW13" s="386">
        <f t="shared" si="0"/>
        <v>0</v>
      </c>
      <c r="AX13" s="386">
        <f t="shared" si="0"/>
        <v>0</v>
      </c>
      <c r="AY13" s="386">
        <f t="shared" si="0"/>
        <v>0</v>
      </c>
      <c r="AZ13" s="386">
        <f t="shared" si="0"/>
        <v>0</v>
      </c>
      <c r="BA13" s="386">
        <f t="shared" si="0"/>
        <v>0</v>
      </c>
      <c r="BB13" s="386">
        <f t="shared" si="0"/>
        <v>0</v>
      </c>
      <c r="BC13" s="386">
        <f t="shared" si="0"/>
        <v>0</v>
      </c>
      <c r="BD13" s="386">
        <f t="shared" si="0"/>
        <v>0</v>
      </c>
    </row>
    <row r="14" spans="1:56" x14ac:dyDescent="0.25">
      <c r="A14" s="608">
        <v>5</v>
      </c>
      <c r="B14" s="360" t="s">
        <v>66</v>
      </c>
      <c r="C14" s="389">
        <f t="shared" si="1"/>
        <v>315145</v>
      </c>
      <c r="D14" s="389">
        <v>5006</v>
      </c>
      <c r="E14" s="389">
        <v>7059</v>
      </c>
      <c r="F14" s="389">
        <v>97417</v>
      </c>
      <c r="G14" s="389">
        <v>0</v>
      </c>
      <c r="H14" s="389">
        <v>13874</v>
      </c>
      <c r="I14" s="389">
        <v>0</v>
      </c>
      <c r="J14" s="389">
        <v>1025</v>
      </c>
      <c r="K14" s="389">
        <v>439</v>
      </c>
      <c r="L14" s="389">
        <v>29412</v>
      </c>
      <c r="M14" s="389">
        <v>88361</v>
      </c>
      <c r="N14" s="389">
        <v>0</v>
      </c>
      <c r="O14" s="389">
        <v>0</v>
      </c>
      <c r="P14" s="389">
        <v>5372</v>
      </c>
      <c r="Q14" s="389">
        <v>1340</v>
      </c>
      <c r="R14" s="389">
        <v>0</v>
      </c>
      <c r="S14" s="389">
        <v>16698</v>
      </c>
      <c r="T14" s="389">
        <v>49142</v>
      </c>
      <c r="U14" s="386">
        <v>315145</v>
      </c>
      <c r="V14" s="390">
        <f t="shared" si="2"/>
        <v>0</v>
      </c>
      <c r="W14" s="386">
        <v>5006</v>
      </c>
      <c r="X14" s="386">
        <v>7059</v>
      </c>
      <c r="Y14" s="386">
        <f t="shared" si="3"/>
        <v>0</v>
      </c>
      <c r="Z14" s="386">
        <f t="shared" si="3"/>
        <v>0</v>
      </c>
      <c r="AA14" s="386">
        <v>97417</v>
      </c>
      <c r="AB14" s="390">
        <f t="shared" si="4"/>
        <v>0</v>
      </c>
      <c r="AC14" s="386">
        <v>0</v>
      </c>
      <c r="AD14" s="390">
        <f t="shared" si="5"/>
        <v>0</v>
      </c>
      <c r="AE14" s="386">
        <v>13874</v>
      </c>
      <c r="AF14" s="386">
        <v>0</v>
      </c>
      <c r="AG14" s="386">
        <v>1025</v>
      </c>
      <c r="AH14" s="386">
        <v>439</v>
      </c>
      <c r="AI14" s="386">
        <v>29412</v>
      </c>
      <c r="AJ14" s="386">
        <v>88361</v>
      </c>
      <c r="AK14" s="386">
        <v>0</v>
      </c>
      <c r="AL14" s="386">
        <v>0</v>
      </c>
      <c r="AM14" s="386">
        <v>5372</v>
      </c>
      <c r="AN14" s="386">
        <v>1340</v>
      </c>
      <c r="AO14" s="386">
        <v>0</v>
      </c>
      <c r="AP14" s="386">
        <v>16698</v>
      </c>
      <c r="AQ14" s="386">
        <v>49142</v>
      </c>
      <c r="AR14" s="386">
        <f t="shared" si="6"/>
        <v>0</v>
      </c>
      <c r="AS14" s="386">
        <f t="shared" si="0"/>
        <v>0</v>
      </c>
      <c r="AT14" s="386">
        <f t="shared" si="0"/>
        <v>0</v>
      </c>
      <c r="AU14" s="386">
        <f t="shared" si="0"/>
        <v>0</v>
      </c>
      <c r="AV14" s="386">
        <f t="shared" si="0"/>
        <v>0</v>
      </c>
      <c r="AW14" s="386">
        <f t="shared" si="0"/>
        <v>0</v>
      </c>
      <c r="AX14" s="386">
        <f t="shared" si="0"/>
        <v>0</v>
      </c>
      <c r="AY14" s="386">
        <f t="shared" si="0"/>
        <v>0</v>
      </c>
      <c r="AZ14" s="386">
        <f t="shared" si="0"/>
        <v>0</v>
      </c>
      <c r="BA14" s="386">
        <f t="shared" si="0"/>
        <v>0</v>
      </c>
      <c r="BB14" s="386">
        <f t="shared" si="0"/>
        <v>0</v>
      </c>
      <c r="BC14" s="386">
        <f t="shared" si="0"/>
        <v>0</v>
      </c>
      <c r="BD14" s="386">
        <f t="shared" si="0"/>
        <v>0</v>
      </c>
    </row>
    <row r="15" spans="1:56" ht="51" x14ac:dyDescent="0.25">
      <c r="A15" s="609"/>
      <c r="B15" s="361" t="s">
        <v>431</v>
      </c>
      <c r="C15" s="389">
        <f t="shared" si="1"/>
        <v>40884</v>
      </c>
      <c r="D15" s="389">
        <v>693</v>
      </c>
      <c r="E15" s="389">
        <v>746</v>
      </c>
      <c r="F15" s="389">
        <v>12809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  <c r="L15" s="389">
        <v>1931</v>
      </c>
      <c r="M15" s="389">
        <v>9932</v>
      </c>
      <c r="N15" s="389">
        <v>0</v>
      </c>
      <c r="O15" s="389">
        <v>0</v>
      </c>
      <c r="P15" s="389">
        <v>4108</v>
      </c>
      <c r="Q15" s="389">
        <v>0</v>
      </c>
      <c r="R15" s="389">
        <v>0</v>
      </c>
      <c r="S15" s="389">
        <v>1215</v>
      </c>
      <c r="T15" s="389">
        <v>9450</v>
      </c>
      <c r="U15" s="386">
        <v>40884</v>
      </c>
      <c r="V15" s="390">
        <f t="shared" si="2"/>
        <v>0</v>
      </c>
      <c r="W15" s="386">
        <v>693</v>
      </c>
      <c r="X15" s="386">
        <v>746</v>
      </c>
      <c r="Y15" s="386">
        <f t="shared" si="3"/>
        <v>0</v>
      </c>
      <c r="Z15" s="386">
        <f t="shared" si="3"/>
        <v>0</v>
      </c>
      <c r="AA15" s="386">
        <v>12809</v>
      </c>
      <c r="AB15" s="390">
        <f t="shared" si="4"/>
        <v>0</v>
      </c>
      <c r="AC15" s="386">
        <v>0</v>
      </c>
      <c r="AD15" s="390">
        <f t="shared" si="5"/>
        <v>0</v>
      </c>
      <c r="AE15" s="386">
        <v>0</v>
      </c>
      <c r="AF15" s="386">
        <v>0</v>
      </c>
      <c r="AG15" s="386">
        <v>0</v>
      </c>
      <c r="AH15" s="386">
        <v>0</v>
      </c>
      <c r="AI15" s="386">
        <v>1931</v>
      </c>
      <c r="AJ15" s="386">
        <v>9932</v>
      </c>
      <c r="AK15" s="386">
        <v>0</v>
      </c>
      <c r="AL15" s="386">
        <v>0</v>
      </c>
      <c r="AM15" s="386">
        <v>4108</v>
      </c>
      <c r="AN15" s="386">
        <v>0</v>
      </c>
      <c r="AO15" s="386">
        <v>0</v>
      </c>
      <c r="AP15" s="386">
        <v>1215</v>
      </c>
      <c r="AQ15" s="386">
        <v>9450</v>
      </c>
      <c r="AR15" s="386">
        <f t="shared" si="6"/>
        <v>0</v>
      </c>
      <c r="AS15" s="386">
        <f t="shared" si="0"/>
        <v>0</v>
      </c>
      <c r="AT15" s="386">
        <f t="shared" si="0"/>
        <v>0</v>
      </c>
      <c r="AU15" s="386">
        <f t="shared" si="0"/>
        <v>0</v>
      </c>
      <c r="AV15" s="386">
        <f t="shared" si="0"/>
        <v>0</v>
      </c>
      <c r="AW15" s="386">
        <f t="shared" si="0"/>
        <v>0</v>
      </c>
      <c r="AX15" s="386">
        <f t="shared" si="0"/>
        <v>0</v>
      </c>
      <c r="AY15" s="386">
        <f t="shared" si="0"/>
        <v>0</v>
      </c>
      <c r="AZ15" s="386">
        <f t="shared" si="0"/>
        <v>0</v>
      </c>
      <c r="BA15" s="386">
        <f t="shared" si="0"/>
        <v>0</v>
      </c>
      <c r="BB15" s="386">
        <f t="shared" si="0"/>
        <v>0</v>
      </c>
      <c r="BC15" s="386">
        <f t="shared" si="0"/>
        <v>0</v>
      </c>
      <c r="BD15" s="386">
        <f t="shared" si="0"/>
        <v>0</v>
      </c>
    </row>
    <row r="16" spans="1:56" x14ac:dyDescent="0.25">
      <c r="A16" s="388">
        <v>6</v>
      </c>
      <c r="B16" s="358" t="s">
        <v>51</v>
      </c>
      <c r="C16" s="389">
        <f t="shared" si="1"/>
        <v>98323</v>
      </c>
      <c r="D16" s="389">
        <v>1644</v>
      </c>
      <c r="E16" s="389">
        <v>5916</v>
      </c>
      <c r="F16" s="389">
        <v>27945</v>
      </c>
      <c r="G16" s="389">
        <v>0</v>
      </c>
      <c r="H16" s="389">
        <v>0</v>
      </c>
      <c r="I16" s="389">
        <v>0</v>
      </c>
      <c r="J16" s="389">
        <v>1025</v>
      </c>
      <c r="K16" s="389">
        <v>439</v>
      </c>
      <c r="L16" s="389">
        <v>8240</v>
      </c>
      <c r="M16" s="389">
        <v>30984</v>
      </c>
      <c r="N16" s="389">
        <v>0</v>
      </c>
      <c r="O16" s="389">
        <v>0</v>
      </c>
      <c r="P16" s="389">
        <v>0</v>
      </c>
      <c r="Q16" s="389">
        <v>7111</v>
      </c>
      <c r="R16" s="389">
        <v>0</v>
      </c>
      <c r="S16" s="389">
        <v>1203</v>
      </c>
      <c r="T16" s="389">
        <v>13816</v>
      </c>
      <c r="U16" s="386">
        <v>98323</v>
      </c>
      <c r="V16" s="390">
        <f t="shared" si="2"/>
        <v>0</v>
      </c>
      <c r="W16" s="386">
        <v>1644</v>
      </c>
      <c r="X16" s="386">
        <v>5916</v>
      </c>
      <c r="Y16" s="386">
        <f t="shared" si="3"/>
        <v>0</v>
      </c>
      <c r="Z16" s="386">
        <f t="shared" si="3"/>
        <v>0</v>
      </c>
      <c r="AA16" s="386">
        <v>27945</v>
      </c>
      <c r="AB16" s="390">
        <f t="shared" si="4"/>
        <v>0</v>
      </c>
      <c r="AC16" s="386">
        <v>0</v>
      </c>
      <c r="AD16" s="390">
        <f t="shared" si="5"/>
        <v>0</v>
      </c>
      <c r="AE16" s="386">
        <v>0</v>
      </c>
      <c r="AF16" s="386">
        <v>0</v>
      </c>
      <c r="AG16" s="386">
        <v>1025</v>
      </c>
      <c r="AH16" s="386">
        <v>439</v>
      </c>
      <c r="AI16" s="386">
        <v>8240</v>
      </c>
      <c r="AJ16" s="386">
        <v>30984</v>
      </c>
      <c r="AK16" s="386">
        <v>0</v>
      </c>
      <c r="AL16" s="386">
        <v>0</v>
      </c>
      <c r="AM16" s="386">
        <v>0</v>
      </c>
      <c r="AN16" s="386">
        <v>7111</v>
      </c>
      <c r="AO16" s="386">
        <v>0</v>
      </c>
      <c r="AP16" s="386">
        <v>1203</v>
      </c>
      <c r="AQ16" s="386">
        <v>13816</v>
      </c>
      <c r="AR16" s="386">
        <f t="shared" si="6"/>
        <v>0</v>
      </c>
      <c r="AS16" s="386">
        <f t="shared" si="0"/>
        <v>0</v>
      </c>
      <c r="AT16" s="386">
        <f t="shared" si="0"/>
        <v>0</v>
      </c>
      <c r="AU16" s="386">
        <f t="shared" si="0"/>
        <v>0</v>
      </c>
      <c r="AV16" s="386">
        <f t="shared" si="0"/>
        <v>0</v>
      </c>
      <c r="AW16" s="386">
        <f t="shared" si="0"/>
        <v>0</v>
      </c>
      <c r="AX16" s="386">
        <f t="shared" si="0"/>
        <v>0</v>
      </c>
      <c r="AY16" s="386">
        <f t="shared" si="0"/>
        <v>0</v>
      </c>
      <c r="AZ16" s="386">
        <f t="shared" si="0"/>
        <v>0</v>
      </c>
      <c r="BA16" s="386">
        <f t="shared" si="0"/>
        <v>0</v>
      </c>
      <c r="BB16" s="386">
        <f t="shared" si="0"/>
        <v>0</v>
      </c>
      <c r="BC16" s="386">
        <f t="shared" si="0"/>
        <v>0</v>
      </c>
      <c r="BD16" s="386">
        <f t="shared" si="0"/>
        <v>0</v>
      </c>
    </row>
    <row r="17" spans="1:56" x14ac:dyDescent="0.25">
      <c r="A17" s="388">
        <v>7</v>
      </c>
      <c r="B17" s="358" t="s">
        <v>4</v>
      </c>
      <c r="C17" s="389">
        <f t="shared" si="1"/>
        <v>41931</v>
      </c>
      <c r="D17" s="389">
        <v>714</v>
      </c>
      <c r="E17" s="389">
        <v>1753</v>
      </c>
      <c r="F17" s="389">
        <v>22555</v>
      </c>
      <c r="G17" s="389">
        <v>0</v>
      </c>
      <c r="H17" s="389">
        <v>0</v>
      </c>
      <c r="I17" s="389">
        <v>0</v>
      </c>
      <c r="J17" s="389">
        <v>0</v>
      </c>
      <c r="K17" s="389">
        <v>0</v>
      </c>
      <c r="L17" s="389">
        <v>5972</v>
      </c>
      <c r="M17" s="389">
        <v>7209</v>
      </c>
      <c r="N17" s="389">
        <v>0</v>
      </c>
      <c r="O17" s="389">
        <v>0</v>
      </c>
      <c r="P17" s="389">
        <v>0</v>
      </c>
      <c r="Q17" s="389">
        <v>1052</v>
      </c>
      <c r="R17" s="389">
        <v>0</v>
      </c>
      <c r="S17" s="389">
        <v>389</v>
      </c>
      <c r="T17" s="389">
        <v>2287</v>
      </c>
      <c r="U17" s="386">
        <v>41931</v>
      </c>
      <c r="V17" s="390">
        <f t="shared" si="2"/>
        <v>0</v>
      </c>
      <c r="W17" s="386">
        <v>714</v>
      </c>
      <c r="X17" s="386">
        <v>1753</v>
      </c>
      <c r="Y17" s="386">
        <f t="shared" si="3"/>
        <v>0</v>
      </c>
      <c r="Z17" s="386">
        <f t="shared" si="3"/>
        <v>0</v>
      </c>
      <c r="AA17" s="386">
        <v>22555</v>
      </c>
      <c r="AB17" s="390">
        <f t="shared" si="4"/>
        <v>0</v>
      </c>
      <c r="AC17" s="386">
        <v>0</v>
      </c>
      <c r="AD17" s="390">
        <f t="shared" si="5"/>
        <v>0</v>
      </c>
      <c r="AE17" s="386">
        <v>0</v>
      </c>
      <c r="AF17" s="386">
        <v>0</v>
      </c>
      <c r="AG17" s="386">
        <v>0</v>
      </c>
      <c r="AH17" s="386">
        <v>0</v>
      </c>
      <c r="AI17" s="386">
        <v>5972</v>
      </c>
      <c r="AJ17" s="386">
        <v>7209</v>
      </c>
      <c r="AK17" s="386">
        <v>0</v>
      </c>
      <c r="AL17" s="386">
        <v>0</v>
      </c>
      <c r="AM17" s="386">
        <v>0</v>
      </c>
      <c r="AN17" s="386">
        <v>1052</v>
      </c>
      <c r="AO17" s="386">
        <v>0</v>
      </c>
      <c r="AP17" s="386">
        <v>389</v>
      </c>
      <c r="AQ17" s="386">
        <v>2287</v>
      </c>
      <c r="AR17" s="386">
        <f t="shared" si="6"/>
        <v>0</v>
      </c>
      <c r="AS17" s="386">
        <f t="shared" si="0"/>
        <v>0</v>
      </c>
      <c r="AT17" s="386">
        <f t="shared" si="0"/>
        <v>0</v>
      </c>
      <c r="AU17" s="386">
        <f t="shared" si="0"/>
        <v>0</v>
      </c>
      <c r="AV17" s="386">
        <f t="shared" si="0"/>
        <v>0</v>
      </c>
      <c r="AW17" s="386">
        <f t="shared" si="0"/>
        <v>0</v>
      </c>
      <c r="AX17" s="386">
        <f t="shared" si="0"/>
        <v>0</v>
      </c>
      <c r="AY17" s="386">
        <f t="shared" si="0"/>
        <v>0</v>
      </c>
      <c r="AZ17" s="386">
        <f t="shared" si="0"/>
        <v>0</v>
      </c>
      <c r="BA17" s="386">
        <f t="shared" si="0"/>
        <v>0</v>
      </c>
      <c r="BB17" s="386">
        <f t="shared" si="0"/>
        <v>0</v>
      </c>
      <c r="BC17" s="386">
        <f t="shared" si="0"/>
        <v>0</v>
      </c>
      <c r="BD17" s="386">
        <f t="shared" si="0"/>
        <v>0</v>
      </c>
    </row>
    <row r="18" spans="1:56" x14ac:dyDescent="0.25">
      <c r="A18" s="388">
        <v>8</v>
      </c>
      <c r="B18" s="358" t="s">
        <v>8</v>
      </c>
      <c r="C18" s="389">
        <f t="shared" si="1"/>
        <v>43971</v>
      </c>
      <c r="D18" s="389">
        <v>742</v>
      </c>
      <c r="E18" s="389">
        <v>770</v>
      </c>
      <c r="F18" s="389">
        <v>14312</v>
      </c>
      <c r="G18" s="389">
        <v>0</v>
      </c>
      <c r="H18" s="389">
        <v>0</v>
      </c>
      <c r="I18" s="389">
        <v>0</v>
      </c>
      <c r="J18" s="389">
        <v>1025</v>
      </c>
      <c r="K18" s="389">
        <v>439</v>
      </c>
      <c r="L18" s="389">
        <v>6886</v>
      </c>
      <c r="M18" s="389">
        <v>9496</v>
      </c>
      <c r="N18" s="389">
        <v>0</v>
      </c>
      <c r="O18" s="389">
        <v>0</v>
      </c>
      <c r="P18" s="389">
        <v>0</v>
      </c>
      <c r="Q18" s="389">
        <v>3295</v>
      </c>
      <c r="R18" s="389">
        <v>0</v>
      </c>
      <c r="S18" s="389">
        <v>500</v>
      </c>
      <c r="T18" s="389">
        <v>6506</v>
      </c>
      <c r="U18" s="386">
        <v>43971</v>
      </c>
      <c r="V18" s="390">
        <f t="shared" si="2"/>
        <v>0</v>
      </c>
      <c r="W18" s="386">
        <v>742</v>
      </c>
      <c r="X18" s="386">
        <v>770</v>
      </c>
      <c r="Y18" s="386">
        <f t="shared" si="3"/>
        <v>0</v>
      </c>
      <c r="Z18" s="386">
        <f t="shared" si="3"/>
        <v>0</v>
      </c>
      <c r="AA18" s="386">
        <v>14312</v>
      </c>
      <c r="AB18" s="390">
        <f t="shared" si="4"/>
        <v>0</v>
      </c>
      <c r="AC18" s="386">
        <v>0</v>
      </c>
      <c r="AD18" s="390">
        <f t="shared" si="5"/>
        <v>0</v>
      </c>
      <c r="AE18" s="386">
        <v>0</v>
      </c>
      <c r="AF18" s="386">
        <v>0</v>
      </c>
      <c r="AG18" s="386">
        <v>1025</v>
      </c>
      <c r="AH18" s="386">
        <v>439</v>
      </c>
      <c r="AI18" s="386">
        <v>6886</v>
      </c>
      <c r="AJ18" s="386">
        <v>9496</v>
      </c>
      <c r="AK18" s="386">
        <v>0</v>
      </c>
      <c r="AL18" s="386">
        <v>0</v>
      </c>
      <c r="AM18" s="386">
        <v>0</v>
      </c>
      <c r="AN18" s="386">
        <v>3295</v>
      </c>
      <c r="AO18" s="386">
        <v>0</v>
      </c>
      <c r="AP18" s="386">
        <v>500</v>
      </c>
      <c r="AQ18" s="386">
        <v>6506</v>
      </c>
      <c r="AR18" s="386">
        <f t="shared" si="6"/>
        <v>0</v>
      </c>
      <c r="AS18" s="386">
        <f t="shared" si="0"/>
        <v>0</v>
      </c>
      <c r="AT18" s="386">
        <f t="shared" si="0"/>
        <v>0</v>
      </c>
      <c r="AU18" s="386">
        <f t="shared" si="0"/>
        <v>0</v>
      </c>
      <c r="AV18" s="386">
        <f t="shared" si="0"/>
        <v>0</v>
      </c>
      <c r="AW18" s="386">
        <f t="shared" si="0"/>
        <v>0</v>
      </c>
      <c r="AX18" s="386">
        <f t="shared" si="0"/>
        <v>0</v>
      </c>
      <c r="AY18" s="386">
        <f t="shared" si="0"/>
        <v>0</v>
      </c>
      <c r="AZ18" s="386">
        <f t="shared" si="0"/>
        <v>0</v>
      </c>
      <c r="BA18" s="386">
        <f t="shared" si="0"/>
        <v>0</v>
      </c>
      <c r="BB18" s="386">
        <f t="shared" si="0"/>
        <v>0</v>
      </c>
      <c r="BC18" s="386">
        <f t="shared" si="0"/>
        <v>0</v>
      </c>
      <c r="BD18" s="386">
        <f t="shared" si="0"/>
        <v>0</v>
      </c>
    </row>
    <row r="19" spans="1:56" x14ac:dyDescent="0.25">
      <c r="A19" s="388">
        <v>9</v>
      </c>
      <c r="B19" s="358" t="s">
        <v>17</v>
      </c>
      <c r="C19" s="389">
        <f t="shared" si="1"/>
        <v>47619</v>
      </c>
      <c r="D19" s="389">
        <v>847</v>
      </c>
      <c r="E19" s="389">
        <v>774</v>
      </c>
      <c r="F19" s="389">
        <v>16045</v>
      </c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2481</v>
      </c>
      <c r="M19" s="389">
        <v>13233</v>
      </c>
      <c r="N19" s="389">
        <v>0</v>
      </c>
      <c r="O19" s="389">
        <v>0</v>
      </c>
      <c r="P19" s="389">
        <v>2892</v>
      </c>
      <c r="Q19" s="389">
        <v>4750</v>
      </c>
      <c r="R19" s="389">
        <v>0</v>
      </c>
      <c r="S19" s="389">
        <v>1488</v>
      </c>
      <c r="T19" s="389">
        <v>5109</v>
      </c>
      <c r="U19" s="386">
        <v>47619</v>
      </c>
      <c r="V19" s="390">
        <f t="shared" si="2"/>
        <v>0</v>
      </c>
      <c r="W19" s="386">
        <v>847</v>
      </c>
      <c r="X19" s="386">
        <v>774</v>
      </c>
      <c r="Y19" s="386">
        <f t="shared" si="3"/>
        <v>0</v>
      </c>
      <c r="Z19" s="386">
        <f t="shared" si="3"/>
        <v>0</v>
      </c>
      <c r="AA19" s="386">
        <v>16045</v>
      </c>
      <c r="AB19" s="390">
        <f t="shared" si="4"/>
        <v>0</v>
      </c>
      <c r="AC19" s="386">
        <v>0</v>
      </c>
      <c r="AD19" s="390">
        <f t="shared" si="5"/>
        <v>0</v>
      </c>
      <c r="AE19" s="386">
        <v>0</v>
      </c>
      <c r="AF19" s="386">
        <v>0</v>
      </c>
      <c r="AG19" s="386">
        <v>0</v>
      </c>
      <c r="AH19" s="386">
        <v>0</v>
      </c>
      <c r="AI19" s="386">
        <v>2481</v>
      </c>
      <c r="AJ19" s="386">
        <v>13233</v>
      </c>
      <c r="AK19" s="386">
        <v>0</v>
      </c>
      <c r="AL19" s="386">
        <v>0</v>
      </c>
      <c r="AM19" s="386">
        <v>2892</v>
      </c>
      <c r="AN19" s="386">
        <v>4750</v>
      </c>
      <c r="AO19" s="386">
        <v>0</v>
      </c>
      <c r="AP19" s="386">
        <v>1488</v>
      </c>
      <c r="AQ19" s="386">
        <v>5109</v>
      </c>
      <c r="AR19" s="386">
        <f t="shared" si="6"/>
        <v>0</v>
      </c>
      <c r="AS19" s="386">
        <f t="shared" si="0"/>
        <v>0</v>
      </c>
      <c r="AT19" s="386">
        <f t="shared" si="0"/>
        <v>0</v>
      </c>
      <c r="AU19" s="386">
        <f t="shared" si="0"/>
        <v>0</v>
      </c>
      <c r="AV19" s="386">
        <f t="shared" si="0"/>
        <v>0</v>
      </c>
      <c r="AW19" s="386">
        <f t="shared" si="0"/>
        <v>0</v>
      </c>
      <c r="AX19" s="386">
        <f t="shared" si="0"/>
        <v>0</v>
      </c>
      <c r="AY19" s="386">
        <f t="shared" si="0"/>
        <v>0</v>
      </c>
      <c r="AZ19" s="386">
        <f t="shared" si="0"/>
        <v>0</v>
      </c>
      <c r="BA19" s="386">
        <f t="shared" si="0"/>
        <v>0</v>
      </c>
      <c r="BB19" s="386">
        <f t="shared" si="0"/>
        <v>0</v>
      </c>
      <c r="BC19" s="386">
        <f t="shared" si="0"/>
        <v>0</v>
      </c>
      <c r="BD19" s="386">
        <f t="shared" si="0"/>
        <v>0</v>
      </c>
    </row>
    <row r="20" spans="1:56" x14ac:dyDescent="0.25">
      <c r="A20" s="388">
        <v>10</v>
      </c>
      <c r="B20" s="358" t="s">
        <v>44</v>
      </c>
      <c r="C20" s="389">
        <f t="shared" si="1"/>
        <v>50929</v>
      </c>
      <c r="D20" s="389">
        <v>867</v>
      </c>
      <c r="E20" s="389">
        <v>2543</v>
      </c>
      <c r="F20" s="389">
        <v>13032</v>
      </c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6231</v>
      </c>
      <c r="M20" s="389">
        <v>15226</v>
      </c>
      <c r="N20" s="389">
        <v>0</v>
      </c>
      <c r="O20" s="389">
        <v>0</v>
      </c>
      <c r="P20" s="389">
        <v>1500</v>
      </c>
      <c r="Q20" s="389">
        <v>5118</v>
      </c>
      <c r="R20" s="389">
        <v>0</v>
      </c>
      <c r="S20" s="389">
        <v>444</v>
      </c>
      <c r="T20" s="389">
        <v>5968</v>
      </c>
      <c r="U20" s="386">
        <v>50929</v>
      </c>
      <c r="V20" s="390">
        <f t="shared" si="2"/>
        <v>0</v>
      </c>
      <c r="W20" s="386">
        <v>867</v>
      </c>
      <c r="X20" s="386">
        <v>2543</v>
      </c>
      <c r="Y20" s="386">
        <f t="shared" si="3"/>
        <v>0</v>
      </c>
      <c r="Z20" s="386">
        <f t="shared" si="3"/>
        <v>0</v>
      </c>
      <c r="AA20" s="386">
        <v>13032</v>
      </c>
      <c r="AB20" s="390">
        <f t="shared" si="4"/>
        <v>0</v>
      </c>
      <c r="AC20" s="386">
        <v>0</v>
      </c>
      <c r="AD20" s="390">
        <f t="shared" si="5"/>
        <v>0</v>
      </c>
      <c r="AE20" s="386">
        <v>0</v>
      </c>
      <c r="AF20" s="386">
        <v>0</v>
      </c>
      <c r="AG20" s="386">
        <v>0</v>
      </c>
      <c r="AH20" s="386">
        <v>0</v>
      </c>
      <c r="AI20" s="386">
        <v>6231</v>
      </c>
      <c r="AJ20" s="386">
        <v>15226</v>
      </c>
      <c r="AK20" s="386">
        <v>0</v>
      </c>
      <c r="AL20" s="386">
        <v>0</v>
      </c>
      <c r="AM20" s="386">
        <v>1500</v>
      </c>
      <c r="AN20" s="386">
        <v>5118</v>
      </c>
      <c r="AO20" s="386">
        <v>0</v>
      </c>
      <c r="AP20" s="386">
        <v>444</v>
      </c>
      <c r="AQ20" s="386">
        <v>5968</v>
      </c>
      <c r="AR20" s="386">
        <f t="shared" si="6"/>
        <v>0</v>
      </c>
      <c r="AS20" s="386">
        <f t="shared" si="0"/>
        <v>0</v>
      </c>
      <c r="AT20" s="386">
        <f t="shared" si="0"/>
        <v>0</v>
      </c>
      <c r="AU20" s="386">
        <f t="shared" si="0"/>
        <v>0</v>
      </c>
      <c r="AV20" s="386">
        <f t="shared" si="0"/>
        <v>0</v>
      </c>
      <c r="AW20" s="386">
        <f t="shared" si="0"/>
        <v>0</v>
      </c>
      <c r="AX20" s="386">
        <f t="shared" si="0"/>
        <v>0</v>
      </c>
      <c r="AY20" s="386">
        <f t="shared" si="0"/>
        <v>0</v>
      </c>
      <c r="AZ20" s="386">
        <f t="shared" si="0"/>
        <v>0</v>
      </c>
      <c r="BA20" s="386">
        <f t="shared" si="0"/>
        <v>0</v>
      </c>
      <c r="BB20" s="386">
        <f t="shared" si="0"/>
        <v>0</v>
      </c>
      <c r="BC20" s="386">
        <f t="shared" si="0"/>
        <v>0</v>
      </c>
      <c r="BD20" s="386">
        <f t="shared" si="0"/>
        <v>0</v>
      </c>
    </row>
    <row r="21" spans="1:56" x14ac:dyDescent="0.25">
      <c r="A21" s="388">
        <v>11</v>
      </c>
      <c r="B21" s="360" t="s">
        <v>29</v>
      </c>
      <c r="C21" s="389">
        <f t="shared" si="1"/>
        <v>52970</v>
      </c>
      <c r="D21" s="389">
        <v>898</v>
      </c>
      <c r="E21" s="389">
        <v>1007</v>
      </c>
      <c r="F21" s="389">
        <v>16423</v>
      </c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2665</v>
      </c>
      <c r="M21" s="389">
        <v>16943</v>
      </c>
      <c r="N21" s="389">
        <v>0</v>
      </c>
      <c r="O21" s="389">
        <v>0</v>
      </c>
      <c r="P21" s="389">
        <v>1488</v>
      </c>
      <c r="Q21" s="389">
        <v>810</v>
      </c>
      <c r="R21" s="389">
        <v>0</v>
      </c>
      <c r="S21" s="389">
        <v>4287</v>
      </c>
      <c r="T21" s="389">
        <v>8449</v>
      </c>
      <c r="U21" s="386">
        <v>52970</v>
      </c>
      <c r="V21" s="390">
        <f t="shared" si="2"/>
        <v>0</v>
      </c>
      <c r="W21" s="386">
        <v>898</v>
      </c>
      <c r="X21" s="386">
        <v>1007</v>
      </c>
      <c r="Y21" s="386">
        <f t="shared" si="3"/>
        <v>0</v>
      </c>
      <c r="Z21" s="386">
        <f t="shared" si="3"/>
        <v>0</v>
      </c>
      <c r="AA21" s="386">
        <v>16423</v>
      </c>
      <c r="AB21" s="390">
        <f t="shared" si="4"/>
        <v>0</v>
      </c>
      <c r="AC21" s="386">
        <v>0</v>
      </c>
      <c r="AD21" s="390">
        <f t="shared" si="5"/>
        <v>0</v>
      </c>
      <c r="AE21" s="386">
        <v>0</v>
      </c>
      <c r="AF21" s="386">
        <v>0</v>
      </c>
      <c r="AG21" s="386">
        <v>0</v>
      </c>
      <c r="AH21" s="386">
        <v>0</v>
      </c>
      <c r="AI21" s="386">
        <v>2665</v>
      </c>
      <c r="AJ21" s="386">
        <v>16943</v>
      </c>
      <c r="AK21" s="386">
        <v>0</v>
      </c>
      <c r="AL21" s="386">
        <v>0</v>
      </c>
      <c r="AM21" s="386">
        <v>1488</v>
      </c>
      <c r="AN21" s="386">
        <v>810</v>
      </c>
      <c r="AO21" s="386">
        <v>0</v>
      </c>
      <c r="AP21" s="386">
        <v>4287</v>
      </c>
      <c r="AQ21" s="386">
        <v>8449</v>
      </c>
      <c r="AR21" s="386">
        <f t="shared" si="6"/>
        <v>0</v>
      </c>
      <c r="AS21" s="386">
        <f t="shared" si="0"/>
        <v>0</v>
      </c>
      <c r="AT21" s="386">
        <f t="shared" si="0"/>
        <v>0</v>
      </c>
      <c r="AU21" s="386">
        <f t="shared" si="0"/>
        <v>0</v>
      </c>
      <c r="AV21" s="386">
        <f t="shared" si="0"/>
        <v>0</v>
      </c>
      <c r="AW21" s="386">
        <f t="shared" si="0"/>
        <v>0</v>
      </c>
      <c r="AX21" s="386">
        <f t="shared" si="0"/>
        <v>0</v>
      </c>
      <c r="AY21" s="386">
        <f t="shared" si="0"/>
        <v>0</v>
      </c>
      <c r="AZ21" s="386">
        <f t="shared" si="0"/>
        <v>0</v>
      </c>
      <c r="BA21" s="386">
        <f t="shared" si="0"/>
        <v>0</v>
      </c>
      <c r="BB21" s="386">
        <f t="shared" si="0"/>
        <v>0</v>
      </c>
      <c r="BC21" s="386">
        <f t="shared" si="0"/>
        <v>0</v>
      </c>
      <c r="BD21" s="386">
        <f t="shared" si="0"/>
        <v>0</v>
      </c>
    </row>
    <row r="22" spans="1:56" x14ac:dyDescent="0.25">
      <c r="A22" s="388">
        <v>12</v>
      </c>
      <c r="B22" s="358" t="s">
        <v>30</v>
      </c>
      <c r="C22" s="389">
        <f t="shared" si="1"/>
        <v>49970</v>
      </c>
      <c r="D22" s="389">
        <v>844</v>
      </c>
      <c r="E22" s="389">
        <v>1716</v>
      </c>
      <c r="F22" s="389">
        <v>17212</v>
      </c>
      <c r="G22" s="389">
        <v>0</v>
      </c>
      <c r="H22" s="389">
        <v>0</v>
      </c>
      <c r="I22" s="389">
        <v>0</v>
      </c>
      <c r="J22" s="389">
        <v>1025</v>
      </c>
      <c r="K22" s="389">
        <v>439</v>
      </c>
      <c r="L22" s="389">
        <v>5011</v>
      </c>
      <c r="M22" s="389">
        <v>13155</v>
      </c>
      <c r="N22" s="389">
        <v>0</v>
      </c>
      <c r="O22" s="389">
        <v>0</v>
      </c>
      <c r="P22" s="389">
        <v>0</v>
      </c>
      <c r="Q22" s="389">
        <v>1020</v>
      </c>
      <c r="R22" s="389">
        <v>0</v>
      </c>
      <c r="S22" s="389">
        <v>2328</v>
      </c>
      <c r="T22" s="389">
        <v>7220</v>
      </c>
      <c r="U22" s="386">
        <v>49970</v>
      </c>
      <c r="V22" s="390">
        <f t="shared" si="2"/>
        <v>0</v>
      </c>
      <c r="W22" s="386">
        <v>844</v>
      </c>
      <c r="X22" s="386">
        <v>1716</v>
      </c>
      <c r="Y22" s="386">
        <f t="shared" si="3"/>
        <v>0</v>
      </c>
      <c r="Z22" s="386">
        <f t="shared" si="3"/>
        <v>0</v>
      </c>
      <c r="AA22" s="386">
        <v>17212</v>
      </c>
      <c r="AB22" s="390">
        <f t="shared" si="4"/>
        <v>0</v>
      </c>
      <c r="AC22" s="386">
        <v>0</v>
      </c>
      <c r="AD22" s="390">
        <f t="shared" si="5"/>
        <v>0</v>
      </c>
      <c r="AE22" s="386">
        <v>0</v>
      </c>
      <c r="AF22" s="386">
        <v>0</v>
      </c>
      <c r="AG22" s="386">
        <v>1025</v>
      </c>
      <c r="AH22" s="386">
        <v>439</v>
      </c>
      <c r="AI22" s="386">
        <v>5011</v>
      </c>
      <c r="AJ22" s="386">
        <v>13155</v>
      </c>
      <c r="AK22" s="386">
        <v>0</v>
      </c>
      <c r="AL22" s="386">
        <v>0</v>
      </c>
      <c r="AM22" s="386">
        <v>0</v>
      </c>
      <c r="AN22" s="386">
        <v>1020</v>
      </c>
      <c r="AO22" s="386">
        <v>0</v>
      </c>
      <c r="AP22" s="386">
        <v>2328</v>
      </c>
      <c r="AQ22" s="386">
        <v>7220</v>
      </c>
      <c r="AR22" s="386">
        <f t="shared" si="6"/>
        <v>0</v>
      </c>
      <c r="AS22" s="386">
        <f t="shared" si="0"/>
        <v>0</v>
      </c>
      <c r="AT22" s="386">
        <f t="shared" si="0"/>
        <v>0</v>
      </c>
      <c r="AU22" s="386">
        <f t="shared" si="0"/>
        <v>0</v>
      </c>
      <c r="AV22" s="386">
        <f t="shared" si="0"/>
        <v>0</v>
      </c>
      <c r="AW22" s="386">
        <f t="shared" si="0"/>
        <v>0</v>
      </c>
      <c r="AX22" s="386">
        <f t="shared" si="0"/>
        <v>0</v>
      </c>
      <c r="AY22" s="386">
        <f t="shared" si="0"/>
        <v>0</v>
      </c>
      <c r="AZ22" s="386">
        <f t="shared" si="0"/>
        <v>0</v>
      </c>
      <c r="BA22" s="386">
        <f t="shared" si="0"/>
        <v>0</v>
      </c>
      <c r="BB22" s="386">
        <f t="shared" si="0"/>
        <v>0</v>
      </c>
      <c r="BC22" s="386">
        <f t="shared" si="0"/>
        <v>0</v>
      </c>
      <c r="BD22" s="386">
        <f t="shared" si="0"/>
        <v>0</v>
      </c>
    </row>
    <row r="23" spans="1:56" x14ac:dyDescent="0.25">
      <c r="A23" s="388">
        <v>13</v>
      </c>
      <c r="B23" s="360" t="s">
        <v>33</v>
      </c>
      <c r="C23" s="389">
        <f t="shared" si="1"/>
        <v>59397</v>
      </c>
      <c r="D23" s="389">
        <v>1032</v>
      </c>
      <c r="E23" s="389">
        <v>378</v>
      </c>
      <c r="F23" s="389">
        <v>11246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389">
        <v>8403</v>
      </c>
      <c r="M23" s="389">
        <v>11826</v>
      </c>
      <c r="N23" s="389">
        <v>0</v>
      </c>
      <c r="O23" s="389">
        <v>0</v>
      </c>
      <c r="P23" s="389">
        <v>1500</v>
      </c>
      <c r="Q23" s="389">
        <v>4841</v>
      </c>
      <c r="R23" s="389">
        <v>0</v>
      </c>
      <c r="S23" s="389">
        <v>4401</v>
      </c>
      <c r="T23" s="389">
        <v>15770</v>
      </c>
      <c r="U23" s="386">
        <v>59397</v>
      </c>
      <c r="V23" s="390">
        <f t="shared" si="2"/>
        <v>0</v>
      </c>
      <c r="W23" s="386">
        <v>1032</v>
      </c>
      <c r="X23" s="386">
        <v>378</v>
      </c>
      <c r="Y23" s="386">
        <f t="shared" si="3"/>
        <v>0</v>
      </c>
      <c r="Z23" s="386">
        <f t="shared" si="3"/>
        <v>0</v>
      </c>
      <c r="AA23" s="386">
        <v>11246</v>
      </c>
      <c r="AB23" s="390">
        <f t="shared" si="4"/>
        <v>0</v>
      </c>
      <c r="AC23" s="386">
        <v>0</v>
      </c>
      <c r="AD23" s="390">
        <f t="shared" si="5"/>
        <v>0</v>
      </c>
      <c r="AE23" s="386">
        <v>0</v>
      </c>
      <c r="AF23" s="386">
        <v>0</v>
      </c>
      <c r="AG23" s="386">
        <v>0</v>
      </c>
      <c r="AH23" s="386">
        <v>0</v>
      </c>
      <c r="AI23" s="386">
        <v>8403</v>
      </c>
      <c r="AJ23" s="386">
        <v>11826</v>
      </c>
      <c r="AK23" s="386">
        <v>0</v>
      </c>
      <c r="AL23" s="386">
        <v>0</v>
      </c>
      <c r="AM23" s="386">
        <v>1500</v>
      </c>
      <c r="AN23" s="386">
        <v>4841</v>
      </c>
      <c r="AO23" s="386">
        <v>0</v>
      </c>
      <c r="AP23" s="386">
        <v>4401</v>
      </c>
      <c r="AQ23" s="386">
        <v>15770</v>
      </c>
      <c r="AR23" s="386">
        <f t="shared" si="6"/>
        <v>0</v>
      </c>
      <c r="AS23" s="386">
        <f t="shared" si="0"/>
        <v>0</v>
      </c>
      <c r="AT23" s="386">
        <f t="shared" si="0"/>
        <v>0</v>
      </c>
      <c r="AU23" s="386">
        <f t="shared" si="0"/>
        <v>0</v>
      </c>
      <c r="AV23" s="386">
        <f t="shared" si="0"/>
        <v>0</v>
      </c>
      <c r="AW23" s="386">
        <f t="shared" si="0"/>
        <v>0</v>
      </c>
      <c r="AX23" s="386">
        <f t="shared" si="0"/>
        <v>0</v>
      </c>
      <c r="AY23" s="386">
        <f t="shared" si="0"/>
        <v>0</v>
      </c>
      <c r="AZ23" s="386">
        <f t="shared" si="0"/>
        <v>0</v>
      </c>
      <c r="BA23" s="386">
        <f t="shared" si="0"/>
        <v>0</v>
      </c>
      <c r="BB23" s="386">
        <f t="shared" si="0"/>
        <v>0</v>
      </c>
      <c r="BC23" s="386">
        <f t="shared" si="0"/>
        <v>0</v>
      </c>
      <c r="BD23" s="386">
        <f t="shared" si="0"/>
        <v>0</v>
      </c>
    </row>
    <row r="24" spans="1:56" x14ac:dyDescent="0.25">
      <c r="A24" s="388">
        <v>14</v>
      </c>
      <c r="B24" s="358" t="s">
        <v>39</v>
      </c>
      <c r="C24" s="389">
        <f t="shared" si="1"/>
        <v>47782</v>
      </c>
      <c r="D24" s="389">
        <v>802</v>
      </c>
      <c r="E24" s="389">
        <v>590</v>
      </c>
      <c r="F24" s="389">
        <v>15049</v>
      </c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1200</v>
      </c>
      <c r="M24" s="389">
        <v>12709</v>
      </c>
      <c r="N24" s="389">
        <v>0</v>
      </c>
      <c r="O24" s="389">
        <v>0</v>
      </c>
      <c r="P24" s="389">
        <v>900</v>
      </c>
      <c r="Q24" s="389">
        <v>4841</v>
      </c>
      <c r="R24" s="389">
        <v>0</v>
      </c>
      <c r="S24" s="389">
        <v>4310</v>
      </c>
      <c r="T24" s="389">
        <v>7381</v>
      </c>
      <c r="U24" s="386">
        <v>47782</v>
      </c>
      <c r="V24" s="390">
        <f t="shared" si="2"/>
        <v>0</v>
      </c>
      <c r="W24" s="386">
        <v>802</v>
      </c>
      <c r="X24" s="386">
        <v>590</v>
      </c>
      <c r="Y24" s="386">
        <f t="shared" si="3"/>
        <v>0</v>
      </c>
      <c r="Z24" s="386">
        <f t="shared" si="3"/>
        <v>0</v>
      </c>
      <c r="AA24" s="386">
        <v>15049</v>
      </c>
      <c r="AB24" s="390">
        <f t="shared" si="4"/>
        <v>0</v>
      </c>
      <c r="AC24" s="386">
        <v>0</v>
      </c>
      <c r="AD24" s="390">
        <f t="shared" si="5"/>
        <v>0</v>
      </c>
      <c r="AE24" s="386">
        <v>0</v>
      </c>
      <c r="AF24" s="386">
        <v>0</v>
      </c>
      <c r="AG24" s="386">
        <v>0</v>
      </c>
      <c r="AH24" s="386">
        <v>0</v>
      </c>
      <c r="AI24" s="386">
        <v>1200</v>
      </c>
      <c r="AJ24" s="386">
        <v>12709</v>
      </c>
      <c r="AK24" s="386">
        <v>0</v>
      </c>
      <c r="AL24" s="386">
        <v>0</v>
      </c>
      <c r="AM24" s="386">
        <v>900</v>
      </c>
      <c r="AN24" s="386">
        <v>4841</v>
      </c>
      <c r="AO24" s="386">
        <v>0</v>
      </c>
      <c r="AP24" s="386">
        <v>4310</v>
      </c>
      <c r="AQ24" s="386">
        <v>7381</v>
      </c>
      <c r="AR24" s="386">
        <f t="shared" si="6"/>
        <v>0</v>
      </c>
      <c r="AS24" s="386">
        <f t="shared" si="0"/>
        <v>0</v>
      </c>
      <c r="AT24" s="386">
        <f t="shared" si="0"/>
        <v>0</v>
      </c>
      <c r="AU24" s="386">
        <f t="shared" si="0"/>
        <v>0</v>
      </c>
      <c r="AV24" s="386">
        <f t="shared" si="0"/>
        <v>0</v>
      </c>
      <c r="AW24" s="386">
        <f t="shared" si="0"/>
        <v>0</v>
      </c>
      <c r="AX24" s="386">
        <f t="shared" si="0"/>
        <v>0</v>
      </c>
      <c r="AY24" s="386">
        <f t="shared" si="0"/>
        <v>0</v>
      </c>
      <c r="AZ24" s="386">
        <f t="shared" si="0"/>
        <v>0</v>
      </c>
      <c r="BA24" s="386">
        <f t="shared" si="0"/>
        <v>0</v>
      </c>
      <c r="BB24" s="386">
        <f t="shared" si="0"/>
        <v>0</v>
      </c>
      <c r="BC24" s="386">
        <f t="shared" si="0"/>
        <v>0</v>
      </c>
      <c r="BD24" s="386">
        <f t="shared" si="0"/>
        <v>0</v>
      </c>
    </row>
    <row r="25" spans="1:56" x14ac:dyDescent="0.25">
      <c r="A25" s="388">
        <v>15</v>
      </c>
      <c r="B25" s="358" t="s">
        <v>436</v>
      </c>
      <c r="C25" s="389">
        <f t="shared" si="1"/>
        <v>6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I25" s="389">
        <v>6</v>
      </c>
      <c r="J25" s="389">
        <v>0</v>
      </c>
      <c r="K25" s="389">
        <v>0</v>
      </c>
      <c r="L25" s="389">
        <v>0</v>
      </c>
      <c r="M25" s="389">
        <v>0</v>
      </c>
      <c r="N25" s="389">
        <v>0</v>
      </c>
      <c r="O25" s="389">
        <v>0</v>
      </c>
      <c r="P25" s="389">
        <v>0</v>
      </c>
      <c r="Q25" s="389">
        <v>0</v>
      </c>
      <c r="R25" s="389">
        <v>0</v>
      </c>
      <c r="S25" s="389">
        <v>0</v>
      </c>
      <c r="T25" s="389">
        <v>0</v>
      </c>
      <c r="U25" s="386">
        <v>6</v>
      </c>
      <c r="V25" s="390">
        <f t="shared" si="2"/>
        <v>0</v>
      </c>
      <c r="W25" s="386">
        <v>0</v>
      </c>
      <c r="X25" s="386">
        <v>0</v>
      </c>
      <c r="Y25" s="386">
        <f t="shared" si="3"/>
        <v>0</v>
      </c>
      <c r="Z25" s="386">
        <f t="shared" si="3"/>
        <v>0</v>
      </c>
      <c r="AA25" s="386">
        <v>0</v>
      </c>
      <c r="AB25" s="390">
        <f t="shared" si="4"/>
        <v>0</v>
      </c>
      <c r="AC25" s="386">
        <v>0</v>
      </c>
      <c r="AD25" s="390">
        <f t="shared" si="5"/>
        <v>0</v>
      </c>
      <c r="AE25" s="386">
        <v>0</v>
      </c>
      <c r="AF25" s="386">
        <v>6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  <c r="AR25" s="386">
        <f t="shared" si="6"/>
        <v>0</v>
      </c>
      <c r="AS25" s="386">
        <f t="shared" si="0"/>
        <v>0</v>
      </c>
      <c r="AT25" s="386">
        <f t="shared" si="0"/>
        <v>0</v>
      </c>
      <c r="AU25" s="386">
        <f t="shared" si="0"/>
        <v>0</v>
      </c>
      <c r="AV25" s="386">
        <f t="shared" si="0"/>
        <v>0</v>
      </c>
      <c r="AW25" s="386">
        <f t="shared" si="0"/>
        <v>0</v>
      </c>
      <c r="AX25" s="386">
        <f t="shared" si="0"/>
        <v>0</v>
      </c>
      <c r="AY25" s="386">
        <f t="shared" si="0"/>
        <v>0</v>
      </c>
      <c r="AZ25" s="386">
        <f t="shared" si="0"/>
        <v>0</v>
      </c>
      <c r="BA25" s="386">
        <f t="shared" si="0"/>
        <v>0</v>
      </c>
      <c r="BB25" s="386">
        <f t="shared" si="0"/>
        <v>0</v>
      </c>
      <c r="BC25" s="386">
        <f t="shared" si="0"/>
        <v>0</v>
      </c>
      <c r="BD25" s="386">
        <f t="shared" si="0"/>
        <v>0</v>
      </c>
    </row>
    <row r="26" spans="1:56" x14ac:dyDescent="0.25">
      <c r="A26" s="388">
        <v>16</v>
      </c>
      <c r="B26" s="358" t="s">
        <v>52</v>
      </c>
      <c r="C26" s="389">
        <f t="shared" si="1"/>
        <v>141873</v>
      </c>
      <c r="D26" s="389">
        <v>2193</v>
      </c>
      <c r="E26" s="389">
        <v>3285</v>
      </c>
      <c r="F26" s="389">
        <v>29189</v>
      </c>
      <c r="G26" s="389">
        <v>0</v>
      </c>
      <c r="H26" s="389">
        <v>8103</v>
      </c>
      <c r="I26" s="389">
        <v>0</v>
      </c>
      <c r="J26" s="389">
        <v>1025</v>
      </c>
      <c r="K26" s="389">
        <v>439</v>
      </c>
      <c r="L26" s="389">
        <v>9590</v>
      </c>
      <c r="M26" s="389">
        <v>45243</v>
      </c>
      <c r="N26" s="389">
        <v>0</v>
      </c>
      <c r="O26" s="389">
        <v>0</v>
      </c>
      <c r="P26" s="389">
        <v>3437</v>
      </c>
      <c r="Q26" s="389">
        <v>7500</v>
      </c>
      <c r="R26" s="389">
        <v>0</v>
      </c>
      <c r="S26" s="389">
        <v>3672</v>
      </c>
      <c r="T26" s="389">
        <v>28197</v>
      </c>
      <c r="U26" s="386">
        <v>141873</v>
      </c>
      <c r="V26" s="390">
        <f t="shared" si="2"/>
        <v>0</v>
      </c>
      <c r="W26" s="386">
        <v>2193</v>
      </c>
      <c r="X26" s="386">
        <v>3285</v>
      </c>
      <c r="Y26" s="386">
        <f t="shared" si="3"/>
        <v>0</v>
      </c>
      <c r="Z26" s="386">
        <f t="shared" si="3"/>
        <v>0</v>
      </c>
      <c r="AA26" s="386">
        <v>29189</v>
      </c>
      <c r="AB26" s="390">
        <f t="shared" si="4"/>
        <v>0</v>
      </c>
      <c r="AC26" s="386">
        <v>0</v>
      </c>
      <c r="AD26" s="390">
        <f t="shared" si="5"/>
        <v>0</v>
      </c>
      <c r="AE26" s="386">
        <v>8103</v>
      </c>
      <c r="AF26" s="386">
        <v>0</v>
      </c>
      <c r="AG26" s="386">
        <v>1025</v>
      </c>
      <c r="AH26" s="386">
        <v>439</v>
      </c>
      <c r="AI26" s="386">
        <v>9590</v>
      </c>
      <c r="AJ26" s="386">
        <v>45243</v>
      </c>
      <c r="AK26" s="386">
        <v>0</v>
      </c>
      <c r="AL26" s="386">
        <v>0</v>
      </c>
      <c r="AM26" s="386">
        <v>3437</v>
      </c>
      <c r="AN26" s="386">
        <v>7500</v>
      </c>
      <c r="AO26" s="386">
        <v>0</v>
      </c>
      <c r="AP26" s="386">
        <v>3672</v>
      </c>
      <c r="AQ26" s="386">
        <v>28197</v>
      </c>
      <c r="AR26" s="386">
        <f t="shared" si="6"/>
        <v>0</v>
      </c>
      <c r="AS26" s="386">
        <f t="shared" si="6"/>
        <v>0</v>
      </c>
      <c r="AT26" s="386">
        <f t="shared" si="6"/>
        <v>0</v>
      </c>
      <c r="AU26" s="386">
        <f t="shared" si="6"/>
        <v>0</v>
      </c>
      <c r="AV26" s="386">
        <f t="shared" si="6"/>
        <v>0</v>
      </c>
      <c r="AW26" s="386">
        <f t="shared" si="6"/>
        <v>0</v>
      </c>
      <c r="AX26" s="386">
        <f t="shared" si="6"/>
        <v>0</v>
      </c>
      <c r="AY26" s="386">
        <f t="shared" si="6"/>
        <v>0</v>
      </c>
      <c r="AZ26" s="386">
        <f t="shared" si="6"/>
        <v>0</v>
      </c>
      <c r="BA26" s="386">
        <f t="shared" si="6"/>
        <v>0</v>
      </c>
      <c r="BB26" s="386">
        <f t="shared" si="6"/>
        <v>0</v>
      </c>
      <c r="BC26" s="386">
        <f t="shared" si="6"/>
        <v>0</v>
      </c>
      <c r="BD26" s="386">
        <f t="shared" si="6"/>
        <v>0</v>
      </c>
    </row>
    <row r="27" spans="1:56" ht="25.5" x14ac:dyDescent="0.25">
      <c r="A27" s="388">
        <v>17</v>
      </c>
      <c r="B27" s="363" t="s">
        <v>441</v>
      </c>
      <c r="C27" s="389">
        <f t="shared" si="1"/>
        <v>2391</v>
      </c>
      <c r="D27" s="389">
        <v>0</v>
      </c>
      <c r="E27" s="389">
        <v>0</v>
      </c>
      <c r="F27" s="389">
        <v>0</v>
      </c>
      <c r="G27" s="389">
        <v>0</v>
      </c>
      <c r="H27" s="389">
        <v>0</v>
      </c>
      <c r="I27" s="389">
        <v>1093</v>
      </c>
      <c r="J27" s="389">
        <v>0</v>
      </c>
      <c r="K27" s="389">
        <v>0</v>
      </c>
      <c r="L27" s="389">
        <v>0</v>
      </c>
      <c r="M27" s="389">
        <v>0</v>
      </c>
      <c r="N27" s="389">
        <v>0</v>
      </c>
      <c r="O27" s="389">
        <v>773</v>
      </c>
      <c r="P27" s="389">
        <v>0</v>
      </c>
      <c r="Q27" s="389">
        <v>0</v>
      </c>
      <c r="R27" s="389">
        <v>525</v>
      </c>
      <c r="S27" s="389">
        <v>0</v>
      </c>
      <c r="T27" s="389">
        <v>0</v>
      </c>
      <c r="U27" s="386">
        <v>2391</v>
      </c>
      <c r="V27" s="390">
        <f t="shared" si="2"/>
        <v>0</v>
      </c>
      <c r="W27" s="386">
        <v>0</v>
      </c>
      <c r="X27" s="386">
        <v>0</v>
      </c>
      <c r="Y27" s="386">
        <f t="shared" si="3"/>
        <v>0</v>
      </c>
      <c r="Z27" s="386">
        <f t="shared" si="3"/>
        <v>0</v>
      </c>
      <c r="AA27" s="386">
        <v>0</v>
      </c>
      <c r="AB27" s="390">
        <f t="shared" si="4"/>
        <v>0</v>
      </c>
      <c r="AC27" s="386">
        <v>0</v>
      </c>
      <c r="AD27" s="390">
        <f t="shared" si="5"/>
        <v>0</v>
      </c>
      <c r="AE27" s="386">
        <v>0</v>
      </c>
      <c r="AF27" s="386">
        <v>1093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773</v>
      </c>
      <c r="AM27" s="386">
        <v>0</v>
      </c>
      <c r="AN27" s="386">
        <v>0</v>
      </c>
      <c r="AO27" s="386">
        <v>525</v>
      </c>
      <c r="AP27" s="386">
        <v>0</v>
      </c>
      <c r="AQ27" s="386">
        <v>0</v>
      </c>
      <c r="AR27" s="386">
        <f t="shared" si="6"/>
        <v>0</v>
      </c>
      <c r="AS27" s="386">
        <f t="shared" si="6"/>
        <v>0</v>
      </c>
      <c r="AT27" s="386">
        <f t="shared" si="6"/>
        <v>0</v>
      </c>
      <c r="AU27" s="386">
        <f t="shared" si="6"/>
        <v>0</v>
      </c>
      <c r="AV27" s="386">
        <f t="shared" si="6"/>
        <v>0</v>
      </c>
      <c r="AW27" s="386">
        <f t="shared" si="6"/>
        <v>0</v>
      </c>
      <c r="AX27" s="386">
        <f t="shared" si="6"/>
        <v>0</v>
      </c>
      <c r="AY27" s="386">
        <f t="shared" si="6"/>
        <v>0</v>
      </c>
      <c r="AZ27" s="386">
        <f t="shared" si="6"/>
        <v>0</v>
      </c>
      <c r="BA27" s="386">
        <f t="shared" si="6"/>
        <v>0</v>
      </c>
      <c r="BB27" s="386">
        <f t="shared" si="6"/>
        <v>0</v>
      </c>
      <c r="BC27" s="386">
        <f t="shared" si="6"/>
        <v>0</v>
      </c>
      <c r="BD27" s="386">
        <f t="shared" si="6"/>
        <v>0</v>
      </c>
    </row>
    <row r="28" spans="1:56" x14ac:dyDescent="0.25">
      <c r="A28" s="388">
        <v>18</v>
      </c>
      <c r="B28" s="358" t="s">
        <v>6</v>
      </c>
      <c r="C28" s="389">
        <f t="shared" si="1"/>
        <v>119360</v>
      </c>
      <c r="D28" s="389">
        <v>1908</v>
      </c>
      <c r="E28" s="389">
        <v>1738</v>
      </c>
      <c r="F28" s="389">
        <v>34980</v>
      </c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18350</v>
      </c>
      <c r="M28" s="389">
        <v>29979</v>
      </c>
      <c r="N28" s="389">
        <v>0</v>
      </c>
      <c r="O28" s="389">
        <v>0</v>
      </c>
      <c r="P28" s="389">
        <v>2586</v>
      </c>
      <c r="Q28" s="389">
        <v>13648</v>
      </c>
      <c r="R28" s="389">
        <v>0</v>
      </c>
      <c r="S28" s="389">
        <v>779</v>
      </c>
      <c r="T28" s="389">
        <v>15392</v>
      </c>
      <c r="U28" s="386">
        <v>119360</v>
      </c>
      <c r="V28" s="390">
        <f t="shared" si="2"/>
        <v>0</v>
      </c>
      <c r="W28" s="386">
        <v>1908</v>
      </c>
      <c r="X28" s="386">
        <v>1738</v>
      </c>
      <c r="Y28" s="386">
        <f t="shared" si="3"/>
        <v>0</v>
      </c>
      <c r="Z28" s="386">
        <f t="shared" si="3"/>
        <v>0</v>
      </c>
      <c r="AA28" s="386">
        <v>34980</v>
      </c>
      <c r="AB28" s="390">
        <f t="shared" si="4"/>
        <v>0</v>
      </c>
      <c r="AC28" s="386">
        <v>0</v>
      </c>
      <c r="AD28" s="390">
        <f t="shared" si="5"/>
        <v>0</v>
      </c>
      <c r="AE28" s="386">
        <v>0</v>
      </c>
      <c r="AF28" s="386">
        <v>0</v>
      </c>
      <c r="AG28" s="386">
        <v>0</v>
      </c>
      <c r="AH28" s="386">
        <v>0</v>
      </c>
      <c r="AI28" s="386">
        <v>18350</v>
      </c>
      <c r="AJ28" s="386">
        <v>29979</v>
      </c>
      <c r="AK28" s="386">
        <v>0</v>
      </c>
      <c r="AL28" s="386">
        <v>0</v>
      </c>
      <c r="AM28" s="386">
        <v>2586</v>
      </c>
      <c r="AN28" s="386">
        <v>13648</v>
      </c>
      <c r="AO28" s="386">
        <v>0</v>
      </c>
      <c r="AP28" s="386">
        <v>779</v>
      </c>
      <c r="AQ28" s="386">
        <v>15392</v>
      </c>
      <c r="AR28" s="386">
        <f t="shared" si="6"/>
        <v>0</v>
      </c>
      <c r="AS28" s="386">
        <f t="shared" si="6"/>
        <v>0</v>
      </c>
      <c r="AT28" s="386">
        <f t="shared" si="6"/>
        <v>0</v>
      </c>
      <c r="AU28" s="386">
        <f t="shared" si="6"/>
        <v>0</v>
      </c>
      <c r="AV28" s="386">
        <f t="shared" si="6"/>
        <v>0</v>
      </c>
      <c r="AW28" s="386">
        <f t="shared" si="6"/>
        <v>0</v>
      </c>
      <c r="AX28" s="386">
        <f t="shared" si="6"/>
        <v>0</v>
      </c>
      <c r="AY28" s="386">
        <f t="shared" si="6"/>
        <v>0</v>
      </c>
      <c r="AZ28" s="386">
        <f t="shared" si="6"/>
        <v>0</v>
      </c>
      <c r="BA28" s="386">
        <f t="shared" si="6"/>
        <v>0</v>
      </c>
      <c r="BB28" s="386">
        <f t="shared" si="6"/>
        <v>0</v>
      </c>
      <c r="BC28" s="386">
        <f t="shared" si="6"/>
        <v>0</v>
      </c>
      <c r="BD28" s="386">
        <f t="shared" si="6"/>
        <v>0</v>
      </c>
    </row>
    <row r="29" spans="1:56" x14ac:dyDescent="0.25">
      <c r="A29" s="388">
        <v>19</v>
      </c>
      <c r="B29" s="358" t="s">
        <v>11</v>
      </c>
      <c r="C29" s="389">
        <f t="shared" si="1"/>
        <v>235833</v>
      </c>
      <c r="D29" s="389">
        <v>3710</v>
      </c>
      <c r="E29" s="389">
        <v>8606</v>
      </c>
      <c r="F29" s="389">
        <v>85798</v>
      </c>
      <c r="G29" s="389">
        <v>0</v>
      </c>
      <c r="H29" s="389">
        <v>12290</v>
      </c>
      <c r="I29" s="389">
        <v>0</v>
      </c>
      <c r="J29" s="389">
        <v>1025</v>
      </c>
      <c r="K29" s="389">
        <v>439</v>
      </c>
      <c r="L29" s="389">
        <v>17496</v>
      </c>
      <c r="M29" s="389">
        <v>35093</v>
      </c>
      <c r="N29" s="389">
        <v>0</v>
      </c>
      <c r="O29" s="389">
        <v>0</v>
      </c>
      <c r="P29" s="389">
        <v>0</v>
      </c>
      <c r="Q29" s="389">
        <v>40000</v>
      </c>
      <c r="R29" s="389">
        <v>0</v>
      </c>
      <c r="S29" s="389">
        <v>10110</v>
      </c>
      <c r="T29" s="389">
        <v>21266</v>
      </c>
      <c r="U29" s="386">
        <v>235833</v>
      </c>
      <c r="V29" s="390">
        <f t="shared" si="2"/>
        <v>0</v>
      </c>
      <c r="W29" s="386">
        <v>3710</v>
      </c>
      <c r="X29" s="386">
        <v>8606</v>
      </c>
      <c r="Y29" s="386">
        <f t="shared" si="3"/>
        <v>0</v>
      </c>
      <c r="Z29" s="386">
        <f t="shared" si="3"/>
        <v>0</v>
      </c>
      <c r="AA29" s="386">
        <v>85798</v>
      </c>
      <c r="AB29" s="390">
        <f t="shared" si="4"/>
        <v>0</v>
      </c>
      <c r="AC29" s="386">
        <v>0</v>
      </c>
      <c r="AD29" s="390">
        <f t="shared" si="5"/>
        <v>0</v>
      </c>
      <c r="AE29" s="386">
        <v>12290</v>
      </c>
      <c r="AF29" s="386">
        <v>0</v>
      </c>
      <c r="AG29" s="386">
        <v>1025</v>
      </c>
      <c r="AH29" s="386">
        <v>439</v>
      </c>
      <c r="AI29" s="386">
        <v>17496</v>
      </c>
      <c r="AJ29" s="386">
        <v>35093</v>
      </c>
      <c r="AK29" s="386">
        <v>0</v>
      </c>
      <c r="AL29" s="386">
        <v>0</v>
      </c>
      <c r="AM29" s="386">
        <v>0</v>
      </c>
      <c r="AN29" s="386">
        <v>40000</v>
      </c>
      <c r="AO29" s="386">
        <v>0</v>
      </c>
      <c r="AP29" s="386">
        <v>10110</v>
      </c>
      <c r="AQ29" s="386">
        <v>21266</v>
      </c>
      <c r="AR29" s="386">
        <f t="shared" si="6"/>
        <v>0</v>
      </c>
      <c r="AS29" s="386">
        <f t="shared" si="6"/>
        <v>0</v>
      </c>
      <c r="AT29" s="386">
        <f t="shared" si="6"/>
        <v>0</v>
      </c>
      <c r="AU29" s="386">
        <f t="shared" si="6"/>
        <v>0</v>
      </c>
      <c r="AV29" s="386">
        <f t="shared" si="6"/>
        <v>0</v>
      </c>
      <c r="AW29" s="386">
        <f t="shared" si="6"/>
        <v>0</v>
      </c>
      <c r="AX29" s="386">
        <f t="shared" si="6"/>
        <v>0</v>
      </c>
      <c r="AY29" s="386">
        <f t="shared" si="6"/>
        <v>0</v>
      </c>
      <c r="AZ29" s="386">
        <f t="shared" si="6"/>
        <v>0</v>
      </c>
      <c r="BA29" s="386">
        <f t="shared" si="6"/>
        <v>0</v>
      </c>
      <c r="BB29" s="386">
        <f t="shared" si="6"/>
        <v>0</v>
      </c>
      <c r="BC29" s="386">
        <f t="shared" si="6"/>
        <v>0</v>
      </c>
      <c r="BD29" s="386">
        <f t="shared" si="6"/>
        <v>0</v>
      </c>
    </row>
    <row r="30" spans="1:56" x14ac:dyDescent="0.25">
      <c r="A30" s="388">
        <v>20</v>
      </c>
      <c r="B30" s="358" t="s">
        <v>134</v>
      </c>
      <c r="C30" s="389">
        <f t="shared" si="1"/>
        <v>156323</v>
      </c>
      <c r="D30" s="389">
        <v>2581</v>
      </c>
      <c r="E30" s="389">
        <v>8527</v>
      </c>
      <c r="F30" s="389">
        <v>32482</v>
      </c>
      <c r="G30" s="389">
        <v>0</v>
      </c>
      <c r="H30" s="389">
        <v>0</v>
      </c>
      <c r="I30" s="389">
        <v>0</v>
      </c>
      <c r="J30" s="389">
        <v>1025</v>
      </c>
      <c r="K30" s="389">
        <v>439</v>
      </c>
      <c r="L30" s="389">
        <v>14368</v>
      </c>
      <c r="M30" s="389">
        <v>41027</v>
      </c>
      <c r="N30" s="389">
        <v>0</v>
      </c>
      <c r="O30" s="389">
        <v>0</v>
      </c>
      <c r="P30" s="389">
        <v>2000</v>
      </c>
      <c r="Q30" s="389">
        <v>15019</v>
      </c>
      <c r="R30" s="389">
        <v>0</v>
      </c>
      <c r="S30" s="389">
        <v>5685</v>
      </c>
      <c r="T30" s="389">
        <v>33170</v>
      </c>
      <c r="U30" s="386">
        <v>156323</v>
      </c>
      <c r="V30" s="390">
        <f t="shared" si="2"/>
        <v>0</v>
      </c>
      <c r="W30" s="386">
        <v>2581</v>
      </c>
      <c r="X30" s="386">
        <v>8527</v>
      </c>
      <c r="Y30" s="386">
        <f t="shared" si="3"/>
        <v>0</v>
      </c>
      <c r="Z30" s="386">
        <f t="shared" si="3"/>
        <v>0</v>
      </c>
      <c r="AA30" s="386">
        <v>32482</v>
      </c>
      <c r="AB30" s="390">
        <f t="shared" si="4"/>
        <v>0</v>
      </c>
      <c r="AC30" s="386">
        <v>0</v>
      </c>
      <c r="AD30" s="390">
        <f t="shared" si="5"/>
        <v>0</v>
      </c>
      <c r="AE30" s="386">
        <v>0</v>
      </c>
      <c r="AF30" s="386">
        <v>0</v>
      </c>
      <c r="AG30" s="386">
        <v>1025</v>
      </c>
      <c r="AH30" s="386">
        <v>439</v>
      </c>
      <c r="AI30" s="386">
        <v>14368</v>
      </c>
      <c r="AJ30" s="386">
        <v>41027</v>
      </c>
      <c r="AK30" s="386">
        <v>0</v>
      </c>
      <c r="AL30" s="386">
        <v>0</v>
      </c>
      <c r="AM30" s="386">
        <v>2000</v>
      </c>
      <c r="AN30" s="386">
        <v>15019</v>
      </c>
      <c r="AO30" s="386">
        <v>0</v>
      </c>
      <c r="AP30" s="386">
        <v>5685</v>
      </c>
      <c r="AQ30" s="386">
        <v>33170</v>
      </c>
      <c r="AR30" s="386">
        <f t="shared" si="6"/>
        <v>0</v>
      </c>
      <c r="AS30" s="386">
        <f t="shared" si="6"/>
        <v>0</v>
      </c>
      <c r="AT30" s="386">
        <f t="shared" si="6"/>
        <v>0</v>
      </c>
      <c r="AU30" s="386">
        <f t="shared" si="6"/>
        <v>0</v>
      </c>
      <c r="AV30" s="386">
        <f t="shared" si="6"/>
        <v>0</v>
      </c>
      <c r="AW30" s="386">
        <f t="shared" si="6"/>
        <v>0</v>
      </c>
      <c r="AX30" s="386">
        <f t="shared" si="6"/>
        <v>0</v>
      </c>
      <c r="AY30" s="386">
        <f t="shared" si="6"/>
        <v>0</v>
      </c>
      <c r="AZ30" s="386">
        <f t="shared" si="6"/>
        <v>0</v>
      </c>
      <c r="BA30" s="386">
        <f t="shared" si="6"/>
        <v>0</v>
      </c>
      <c r="BB30" s="386">
        <f t="shared" si="6"/>
        <v>0</v>
      </c>
      <c r="BC30" s="386">
        <f t="shared" si="6"/>
        <v>0</v>
      </c>
      <c r="BD30" s="386">
        <f t="shared" si="6"/>
        <v>0</v>
      </c>
    </row>
    <row r="31" spans="1:56" x14ac:dyDescent="0.25">
      <c r="A31" s="388">
        <v>21</v>
      </c>
      <c r="B31" s="358" t="s">
        <v>442</v>
      </c>
      <c r="C31" s="389">
        <f t="shared" si="1"/>
        <v>35612</v>
      </c>
      <c r="D31" s="389">
        <v>521</v>
      </c>
      <c r="E31" s="389">
        <v>386</v>
      </c>
      <c r="F31" s="389">
        <v>8114</v>
      </c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9062</v>
      </c>
      <c r="M31" s="389">
        <v>5854</v>
      </c>
      <c r="N31" s="389">
        <v>0</v>
      </c>
      <c r="O31" s="389">
        <v>0</v>
      </c>
      <c r="P31" s="389">
        <v>950</v>
      </c>
      <c r="Q31" s="389">
        <v>2350</v>
      </c>
      <c r="R31" s="389">
        <v>0</v>
      </c>
      <c r="S31" s="389">
        <v>713</v>
      </c>
      <c r="T31" s="389">
        <v>7662</v>
      </c>
      <c r="U31" s="386">
        <v>35612</v>
      </c>
      <c r="V31" s="390">
        <f t="shared" si="2"/>
        <v>0</v>
      </c>
      <c r="W31" s="386">
        <v>521</v>
      </c>
      <c r="X31" s="386">
        <v>386</v>
      </c>
      <c r="Y31" s="386">
        <f t="shared" si="3"/>
        <v>0</v>
      </c>
      <c r="Z31" s="386">
        <f t="shared" si="3"/>
        <v>0</v>
      </c>
      <c r="AA31" s="386">
        <v>8114</v>
      </c>
      <c r="AB31" s="390">
        <f t="shared" si="4"/>
        <v>0</v>
      </c>
      <c r="AC31" s="386">
        <v>0</v>
      </c>
      <c r="AD31" s="390">
        <f t="shared" si="5"/>
        <v>0</v>
      </c>
      <c r="AE31" s="386">
        <v>0</v>
      </c>
      <c r="AF31" s="386">
        <v>0</v>
      </c>
      <c r="AG31" s="386">
        <v>0</v>
      </c>
      <c r="AH31" s="386">
        <v>0</v>
      </c>
      <c r="AI31" s="386">
        <v>9062</v>
      </c>
      <c r="AJ31" s="386">
        <v>5854</v>
      </c>
      <c r="AK31" s="386">
        <v>0</v>
      </c>
      <c r="AL31" s="386">
        <v>0</v>
      </c>
      <c r="AM31" s="386">
        <v>950</v>
      </c>
      <c r="AN31" s="386">
        <v>2350</v>
      </c>
      <c r="AO31" s="386">
        <v>0</v>
      </c>
      <c r="AP31" s="386">
        <v>713</v>
      </c>
      <c r="AQ31" s="386">
        <v>7662</v>
      </c>
      <c r="AR31" s="386">
        <f t="shared" si="6"/>
        <v>0</v>
      </c>
      <c r="AS31" s="386">
        <f t="shared" si="6"/>
        <v>0</v>
      </c>
      <c r="AT31" s="386">
        <f t="shared" si="6"/>
        <v>0</v>
      </c>
      <c r="AU31" s="386">
        <f t="shared" si="6"/>
        <v>0</v>
      </c>
      <c r="AV31" s="386">
        <f t="shared" si="6"/>
        <v>0</v>
      </c>
      <c r="AW31" s="386">
        <f t="shared" si="6"/>
        <v>0</v>
      </c>
      <c r="AX31" s="386">
        <f t="shared" si="6"/>
        <v>0</v>
      </c>
      <c r="AY31" s="386">
        <f t="shared" si="6"/>
        <v>0</v>
      </c>
      <c r="AZ31" s="386">
        <f t="shared" si="6"/>
        <v>0</v>
      </c>
      <c r="BA31" s="386">
        <f t="shared" si="6"/>
        <v>0</v>
      </c>
      <c r="BB31" s="386">
        <f t="shared" si="6"/>
        <v>0</v>
      </c>
      <c r="BC31" s="386">
        <f t="shared" si="6"/>
        <v>0</v>
      </c>
      <c r="BD31" s="386">
        <f t="shared" si="6"/>
        <v>0</v>
      </c>
    </row>
    <row r="32" spans="1:56" x14ac:dyDescent="0.25">
      <c r="A32" s="388">
        <v>22</v>
      </c>
      <c r="B32" s="358" t="s">
        <v>47</v>
      </c>
      <c r="C32" s="389">
        <f t="shared" si="1"/>
        <v>64168</v>
      </c>
      <c r="D32" s="389">
        <v>1052</v>
      </c>
      <c r="E32" s="389">
        <v>609</v>
      </c>
      <c r="F32" s="389">
        <v>5296</v>
      </c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1291</v>
      </c>
      <c r="M32" s="389">
        <v>17434</v>
      </c>
      <c r="N32" s="389">
        <v>0</v>
      </c>
      <c r="O32" s="389">
        <v>0</v>
      </c>
      <c r="P32" s="389">
        <v>2000</v>
      </c>
      <c r="Q32" s="389">
        <v>7112</v>
      </c>
      <c r="R32" s="389">
        <v>0</v>
      </c>
      <c r="S32" s="389">
        <v>2450</v>
      </c>
      <c r="T32" s="389">
        <v>26924</v>
      </c>
      <c r="U32" s="386">
        <v>64168</v>
      </c>
      <c r="V32" s="390">
        <f t="shared" si="2"/>
        <v>0</v>
      </c>
      <c r="W32" s="386">
        <v>1052</v>
      </c>
      <c r="X32" s="386">
        <v>609</v>
      </c>
      <c r="Y32" s="386">
        <f t="shared" si="3"/>
        <v>0</v>
      </c>
      <c r="Z32" s="386">
        <f t="shared" si="3"/>
        <v>0</v>
      </c>
      <c r="AA32" s="386">
        <v>5296</v>
      </c>
      <c r="AB32" s="390">
        <f t="shared" si="4"/>
        <v>0</v>
      </c>
      <c r="AC32" s="386">
        <v>0</v>
      </c>
      <c r="AD32" s="390">
        <f t="shared" si="5"/>
        <v>0</v>
      </c>
      <c r="AE32" s="386">
        <v>0</v>
      </c>
      <c r="AF32" s="386">
        <v>0</v>
      </c>
      <c r="AG32" s="386">
        <v>0</v>
      </c>
      <c r="AH32" s="386">
        <v>0</v>
      </c>
      <c r="AI32" s="386">
        <v>1291</v>
      </c>
      <c r="AJ32" s="386">
        <v>17434</v>
      </c>
      <c r="AK32" s="386">
        <v>0</v>
      </c>
      <c r="AL32" s="386">
        <v>0</v>
      </c>
      <c r="AM32" s="386">
        <v>2000</v>
      </c>
      <c r="AN32" s="386">
        <v>7112</v>
      </c>
      <c r="AO32" s="386">
        <v>0</v>
      </c>
      <c r="AP32" s="386">
        <v>2450</v>
      </c>
      <c r="AQ32" s="386">
        <v>26924</v>
      </c>
      <c r="AR32" s="386">
        <f t="shared" si="6"/>
        <v>0</v>
      </c>
      <c r="AS32" s="386">
        <f t="shared" si="6"/>
        <v>0</v>
      </c>
      <c r="AT32" s="386">
        <f t="shared" si="6"/>
        <v>0</v>
      </c>
      <c r="AU32" s="386">
        <f t="shared" si="6"/>
        <v>0</v>
      </c>
      <c r="AV32" s="386">
        <f t="shared" si="6"/>
        <v>0</v>
      </c>
      <c r="AW32" s="386">
        <f t="shared" si="6"/>
        <v>0</v>
      </c>
      <c r="AX32" s="386">
        <f t="shared" si="6"/>
        <v>0</v>
      </c>
      <c r="AY32" s="386">
        <f t="shared" si="6"/>
        <v>0</v>
      </c>
      <c r="AZ32" s="386">
        <f t="shared" si="6"/>
        <v>0</v>
      </c>
      <c r="BA32" s="386">
        <f t="shared" si="6"/>
        <v>0</v>
      </c>
      <c r="BB32" s="386">
        <f t="shared" si="6"/>
        <v>0</v>
      </c>
      <c r="BC32" s="386">
        <f t="shared" si="6"/>
        <v>0</v>
      </c>
      <c r="BD32" s="386">
        <f t="shared" si="6"/>
        <v>0</v>
      </c>
    </row>
    <row r="33" spans="1:56" x14ac:dyDescent="0.25">
      <c r="A33" s="388">
        <v>23</v>
      </c>
      <c r="B33" s="358" t="s">
        <v>1</v>
      </c>
      <c r="C33" s="389">
        <f t="shared" si="1"/>
        <v>87341</v>
      </c>
      <c r="D33" s="389">
        <v>1392</v>
      </c>
      <c r="E33" s="389">
        <v>1955</v>
      </c>
      <c r="F33" s="389">
        <v>33471</v>
      </c>
      <c r="G33" s="389">
        <v>0</v>
      </c>
      <c r="H33" s="389">
        <v>0</v>
      </c>
      <c r="I33" s="389">
        <v>0</v>
      </c>
      <c r="J33" s="389">
        <v>1025</v>
      </c>
      <c r="K33" s="389">
        <v>439</v>
      </c>
      <c r="L33" s="389">
        <v>7137</v>
      </c>
      <c r="M33" s="389">
        <v>13656</v>
      </c>
      <c r="N33" s="389">
        <v>0</v>
      </c>
      <c r="O33" s="389">
        <v>0</v>
      </c>
      <c r="P33" s="389">
        <v>0</v>
      </c>
      <c r="Q33" s="389">
        <v>11232</v>
      </c>
      <c r="R33" s="389">
        <v>0</v>
      </c>
      <c r="S33" s="389">
        <v>3048</v>
      </c>
      <c r="T33" s="389">
        <v>13986</v>
      </c>
      <c r="U33" s="386">
        <v>87341</v>
      </c>
      <c r="V33" s="390">
        <f t="shared" si="2"/>
        <v>0</v>
      </c>
      <c r="W33" s="386">
        <v>1392</v>
      </c>
      <c r="X33" s="386">
        <v>1955</v>
      </c>
      <c r="Y33" s="386">
        <f t="shared" si="3"/>
        <v>0</v>
      </c>
      <c r="Z33" s="386">
        <f t="shared" si="3"/>
        <v>0</v>
      </c>
      <c r="AA33" s="386">
        <v>33471</v>
      </c>
      <c r="AB33" s="390">
        <f t="shared" si="4"/>
        <v>0</v>
      </c>
      <c r="AC33" s="386">
        <v>0</v>
      </c>
      <c r="AD33" s="390">
        <f t="shared" si="5"/>
        <v>0</v>
      </c>
      <c r="AE33" s="386">
        <v>0</v>
      </c>
      <c r="AF33" s="386">
        <v>0</v>
      </c>
      <c r="AG33" s="386">
        <v>1025</v>
      </c>
      <c r="AH33" s="386">
        <v>439</v>
      </c>
      <c r="AI33" s="386">
        <v>7137</v>
      </c>
      <c r="AJ33" s="386">
        <v>13656</v>
      </c>
      <c r="AK33" s="386">
        <v>0</v>
      </c>
      <c r="AL33" s="386">
        <v>0</v>
      </c>
      <c r="AM33" s="386">
        <v>0</v>
      </c>
      <c r="AN33" s="386">
        <v>11232</v>
      </c>
      <c r="AO33" s="386">
        <v>0</v>
      </c>
      <c r="AP33" s="386">
        <v>3048</v>
      </c>
      <c r="AQ33" s="386">
        <v>13986</v>
      </c>
      <c r="AR33" s="386">
        <f t="shared" si="6"/>
        <v>0</v>
      </c>
      <c r="AS33" s="386">
        <f t="shared" si="6"/>
        <v>0</v>
      </c>
      <c r="AT33" s="386">
        <f t="shared" si="6"/>
        <v>0</v>
      </c>
      <c r="AU33" s="386">
        <f t="shared" si="6"/>
        <v>0</v>
      </c>
      <c r="AV33" s="386">
        <f t="shared" si="6"/>
        <v>0</v>
      </c>
      <c r="AW33" s="386">
        <f t="shared" si="6"/>
        <v>0</v>
      </c>
      <c r="AX33" s="386">
        <f t="shared" si="6"/>
        <v>0</v>
      </c>
      <c r="AY33" s="386">
        <f t="shared" si="6"/>
        <v>0</v>
      </c>
      <c r="AZ33" s="386">
        <f t="shared" si="6"/>
        <v>0</v>
      </c>
      <c r="BA33" s="386">
        <f t="shared" si="6"/>
        <v>0</v>
      </c>
      <c r="BB33" s="386">
        <f t="shared" si="6"/>
        <v>0</v>
      </c>
      <c r="BC33" s="386">
        <f t="shared" si="6"/>
        <v>0</v>
      </c>
      <c r="BD33" s="386">
        <f t="shared" si="6"/>
        <v>0</v>
      </c>
    </row>
    <row r="34" spans="1:56" x14ac:dyDescent="0.25">
      <c r="A34" s="388">
        <v>24</v>
      </c>
      <c r="B34" s="358" t="s">
        <v>18</v>
      </c>
      <c r="C34" s="389">
        <f t="shared" si="1"/>
        <v>35929</v>
      </c>
      <c r="D34" s="389">
        <v>557</v>
      </c>
      <c r="E34" s="389">
        <v>3206</v>
      </c>
      <c r="F34" s="389">
        <v>8036</v>
      </c>
      <c r="G34" s="389">
        <v>0</v>
      </c>
      <c r="H34" s="389">
        <v>0</v>
      </c>
      <c r="I34" s="389">
        <v>0</v>
      </c>
      <c r="J34" s="389">
        <v>0</v>
      </c>
      <c r="K34" s="389">
        <v>0</v>
      </c>
      <c r="L34" s="389">
        <v>1551</v>
      </c>
      <c r="M34" s="389">
        <v>6655</v>
      </c>
      <c r="N34" s="389">
        <v>0</v>
      </c>
      <c r="O34" s="389">
        <v>0</v>
      </c>
      <c r="P34" s="389">
        <v>1290</v>
      </c>
      <c r="Q34" s="389">
        <v>4236</v>
      </c>
      <c r="R34" s="389">
        <v>0</v>
      </c>
      <c r="S34" s="389">
        <v>1427</v>
      </c>
      <c r="T34" s="389">
        <v>8971</v>
      </c>
      <c r="U34" s="386">
        <v>35929</v>
      </c>
      <c r="V34" s="390">
        <f t="shared" si="2"/>
        <v>0</v>
      </c>
      <c r="W34" s="386">
        <v>557</v>
      </c>
      <c r="X34" s="386">
        <v>3206</v>
      </c>
      <c r="Y34" s="386">
        <f t="shared" si="3"/>
        <v>0</v>
      </c>
      <c r="Z34" s="386">
        <f t="shared" si="3"/>
        <v>0</v>
      </c>
      <c r="AA34" s="386">
        <v>8036</v>
      </c>
      <c r="AB34" s="390">
        <f t="shared" si="4"/>
        <v>0</v>
      </c>
      <c r="AC34" s="386">
        <v>0</v>
      </c>
      <c r="AD34" s="390">
        <f t="shared" si="5"/>
        <v>0</v>
      </c>
      <c r="AE34" s="386">
        <v>0</v>
      </c>
      <c r="AF34" s="386">
        <v>0</v>
      </c>
      <c r="AG34" s="386">
        <v>0</v>
      </c>
      <c r="AH34" s="386">
        <v>0</v>
      </c>
      <c r="AI34" s="386">
        <v>1551</v>
      </c>
      <c r="AJ34" s="386">
        <v>6655</v>
      </c>
      <c r="AK34" s="386">
        <v>0</v>
      </c>
      <c r="AL34" s="386">
        <v>0</v>
      </c>
      <c r="AM34" s="386">
        <v>1290</v>
      </c>
      <c r="AN34" s="386">
        <v>4236</v>
      </c>
      <c r="AO34" s="386">
        <v>0</v>
      </c>
      <c r="AP34" s="386">
        <v>1427</v>
      </c>
      <c r="AQ34" s="386">
        <v>8971</v>
      </c>
      <c r="AR34" s="386">
        <f t="shared" si="6"/>
        <v>0</v>
      </c>
      <c r="AS34" s="386">
        <f t="shared" si="6"/>
        <v>0</v>
      </c>
      <c r="AT34" s="386">
        <f t="shared" si="6"/>
        <v>0</v>
      </c>
      <c r="AU34" s="386">
        <f t="shared" si="6"/>
        <v>0</v>
      </c>
      <c r="AV34" s="386">
        <f t="shared" si="6"/>
        <v>0</v>
      </c>
      <c r="AW34" s="386">
        <f t="shared" si="6"/>
        <v>0</v>
      </c>
      <c r="AX34" s="386">
        <f t="shared" si="6"/>
        <v>0</v>
      </c>
      <c r="AY34" s="386">
        <f t="shared" si="6"/>
        <v>0</v>
      </c>
      <c r="AZ34" s="386">
        <f t="shared" si="6"/>
        <v>0</v>
      </c>
      <c r="BA34" s="386">
        <f t="shared" si="6"/>
        <v>0</v>
      </c>
      <c r="BB34" s="386">
        <f t="shared" si="6"/>
        <v>0</v>
      </c>
      <c r="BC34" s="386">
        <f t="shared" si="6"/>
        <v>0</v>
      </c>
      <c r="BD34" s="386">
        <f t="shared" si="6"/>
        <v>0</v>
      </c>
    </row>
    <row r="35" spans="1:56" x14ac:dyDescent="0.25">
      <c r="A35" s="388">
        <v>25</v>
      </c>
      <c r="B35" s="358" t="s">
        <v>25</v>
      </c>
      <c r="C35" s="389">
        <f t="shared" si="1"/>
        <v>30212</v>
      </c>
      <c r="D35" s="389">
        <v>507</v>
      </c>
      <c r="E35" s="389">
        <v>662</v>
      </c>
      <c r="F35" s="389">
        <v>6277</v>
      </c>
      <c r="G35" s="389">
        <v>0</v>
      </c>
      <c r="H35" s="389">
        <v>0</v>
      </c>
      <c r="I35" s="389">
        <v>0</v>
      </c>
      <c r="J35" s="389">
        <v>0</v>
      </c>
      <c r="K35" s="389">
        <v>0</v>
      </c>
      <c r="L35" s="389">
        <v>1152</v>
      </c>
      <c r="M35" s="389">
        <v>5935</v>
      </c>
      <c r="N35" s="389">
        <v>0</v>
      </c>
      <c r="O35" s="389">
        <v>0</v>
      </c>
      <c r="P35" s="389">
        <v>660</v>
      </c>
      <c r="Q35" s="389">
        <v>3121</v>
      </c>
      <c r="R35" s="389">
        <v>0</v>
      </c>
      <c r="S35" s="389">
        <v>1271</v>
      </c>
      <c r="T35" s="389">
        <v>10627</v>
      </c>
      <c r="U35" s="386">
        <v>30212</v>
      </c>
      <c r="V35" s="390">
        <f t="shared" si="2"/>
        <v>0</v>
      </c>
      <c r="W35" s="386">
        <v>507</v>
      </c>
      <c r="X35" s="386">
        <v>662</v>
      </c>
      <c r="Y35" s="386">
        <f t="shared" si="3"/>
        <v>0</v>
      </c>
      <c r="Z35" s="386">
        <f t="shared" si="3"/>
        <v>0</v>
      </c>
      <c r="AA35" s="386">
        <v>6277</v>
      </c>
      <c r="AB35" s="390">
        <f t="shared" si="4"/>
        <v>0</v>
      </c>
      <c r="AC35" s="386">
        <v>0</v>
      </c>
      <c r="AD35" s="390">
        <f t="shared" si="5"/>
        <v>0</v>
      </c>
      <c r="AE35" s="386">
        <v>0</v>
      </c>
      <c r="AF35" s="386">
        <v>0</v>
      </c>
      <c r="AG35" s="386">
        <v>0</v>
      </c>
      <c r="AH35" s="386">
        <v>0</v>
      </c>
      <c r="AI35" s="386">
        <v>1152</v>
      </c>
      <c r="AJ35" s="386">
        <v>5935</v>
      </c>
      <c r="AK35" s="386">
        <v>0</v>
      </c>
      <c r="AL35" s="386">
        <v>0</v>
      </c>
      <c r="AM35" s="386">
        <v>660</v>
      </c>
      <c r="AN35" s="386">
        <v>3121</v>
      </c>
      <c r="AO35" s="386">
        <v>0</v>
      </c>
      <c r="AP35" s="386">
        <v>1271</v>
      </c>
      <c r="AQ35" s="386">
        <v>10627</v>
      </c>
      <c r="AR35" s="386">
        <f t="shared" si="6"/>
        <v>0</v>
      </c>
      <c r="AS35" s="386">
        <f t="shared" si="6"/>
        <v>0</v>
      </c>
      <c r="AT35" s="386">
        <f t="shared" si="6"/>
        <v>0</v>
      </c>
      <c r="AU35" s="386">
        <f t="shared" si="6"/>
        <v>0</v>
      </c>
      <c r="AV35" s="386">
        <f t="shared" si="6"/>
        <v>0</v>
      </c>
      <c r="AW35" s="386">
        <f t="shared" si="6"/>
        <v>0</v>
      </c>
      <c r="AX35" s="386">
        <f t="shared" si="6"/>
        <v>0</v>
      </c>
      <c r="AY35" s="386">
        <f t="shared" si="6"/>
        <v>0</v>
      </c>
      <c r="AZ35" s="386">
        <f t="shared" si="6"/>
        <v>0</v>
      </c>
      <c r="BA35" s="386">
        <f t="shared" si="6"/>
        <v>0</v>
      </c>
      <c r="BB35" s="386">
        <f t="shared" si="6"/>
        <v>0</v>
      </c>
      <c r="BC35" s="386">
        <f t="shared" si="6"/>
        <v>0</v>
      </c>
      <c r="BD35" s="386">
        <f t="shared" si="6"/>
        <v>0</v>
      </c>
    </row>
    <row r="36" spans="1:56" x14ac:dyDescent="0.25">
      <c r="A36" s="608">
        <v>26</v>
      </c>
      <c r="B36" s="358" t="s">
        <v>115</v>
      </c>
      <c r="C36" s="389">
        <f t="shared" si="1"/>
        <v>75509</v>
      </c>
      <c r="D36" s="391">
        <v>2831</v>
      </c>
      <c r="E36" s="391">
        <v>3329</v>
      </c>
      <c r="F36" s="391">
        <v>38357</v>
      </c>
      <c r="G36" s="392">
        <v>0</v>
      </c>
      <c r="H36" s="392">
        <v>0</v>
      </c>
      <c r="I36" s="392">
        <v>0</v>
      </c>
      <c r="J36" s="392">
        <v>0</v>
      </c>
      <c r="K36" s="392">
        <v>0</v>
      </c>
      <c r="L36" s="391">
        <v>5824</v>
      </c>
      <c r="M36" s="392">
        <v>13864</v>
      </c>
      <c r="N36" s="391">
        <v>432</v>
      </c>
      <c r="O36" s="392">
        <v>0</v>
      </c>
      <c r="P36" s="392">
        <v>0</v>
      </c>
      <c r="Q36" s="391">
        <v>3000</v>
      </c>
      <c r="R36" s="392">
        <v>0</v>
      </c>
      <c r="S36" s="391">
        <v>652</v>
      </c>
      <c r="T36" s="391">
        <v>7220</v>
      </c>
      <c r="U36" s="386">
        <v>75509</v>
      </c>
      <c r="V36" s="390">
        <f t="shared" si="2"/>
        <v>0</v>
      </c>
      <c r="W36" s="386">
        <v>2831</v>
      </c>
      <c r="X36" s="386">
        <v>3329</v>
      </c>
      <c r="Y36" s="386">
        <f t="shared" si="3"/>
        <v>0</v>
      </c>
      <c r="Z36" s="386">
        <f t="shared" si="3"/>
        <v>0</v>
      </c>
      <c r="AA36" s="386">
        <v>38357</v>
      </c>
      <c r="AB36" s="390">
        <f t="shared" si="4"/>
        <v>0</v>
      </c>
      <c r="AC36" s="386">
        <v>0</v>
      </c>
      <c r="AD36" s="390">
        <f t="shared" si="5"/>
        <v>0</v>
      </c>
      <c r="AE36" s="386">
        <v>0</v>
      </c>
      <c r="AF36" s="386">
        <v>0</v>
      </c>
      <c r="AG36" s="386">
        <v>0</v>
      </c>
      <c r="AH36" s="386">
        <v>0</v>
      </c>
      <c r="AI36" s="386">
        <v>5824</v>
      </c>
      <c r="AJ36" s="386">
        <v>13864</v>
      </c>
      <c r="AK36" s="386">
        <v>432</v>
      </c>
      <c r="AL36" s="386">
        <v>0</v>
      </c>
      <c r="AM36" s="386">
        <v>0</v>
      </c>
      <c r="AN36" s="386">
        <v>3000</v>
      </c>
      <c r="AO36" s="386">
        <v>0</v>
      </c>
      <c r="AP36" s="386">
        <v>652</v>
      </c>
      <c r="AQ36" s="386">
        <v>7220</v>
      </c>
      <c r="AR36" s="386">
        <f t="shared" si="6"/>
        <v>0</v>
      </c>
      <c r="AS36" s="386">
        <f t="shared" si="6"/>
        <v>0</v>
      </c>
      <c r="AT36" s="386">
        <f t="shared" si="6"/>
        <v>0</v>
      </c>
      <c r="AU36" s="386">
        <f t="shared" si="6"/>
        <v>0</v>
      </c>
      <c r="AV36" s="386">
        <f t="shared" si="6"/>
        <v>0</v>
      </c>
      <c r="AW36" s="386">
        <f t="shared" si="6"/>
        <v>0</v>
      </c>
      <c r="AX36" s="386">
        <f t="shared" si="6"/>
        <v>0</v>
      </c>
      <c r="AY36" s="386">
        <f t="shared" si="6"/>
        <v>0</v>
      </c>
      <c r="AZ36" s="386">
        <f t="shared" si="6"/>
        <v>0</v>
      </c>
      <c r="BA36" s="386">
        <f t="shared" si="6"/>
        <v>0</v>
      </c>
      <c r="BB36" s="386">
        <f t="shared" si="6"/>
        <v>0</v>
      </c>
      <c r="BC36" s="386">
        <f t="shared" si="6"/>
        <v>0</v>
      </c>
      <c r="BD36" s="386">
        <f t="shared" si="6"/>
        <v>0</v>
      </c>
    </row>
    <row r="37" spans="1:56" ht="51" x14ac:dyDescent="0.25">
      <c r="A37" s="609"/>
      <c r="B37" s="358" t="s">
        <v>443</v>
      </c>
      <c r="C37" s="389">
        <f t="shared" si="1"/>
        <v>84268</v>
      </c>
      <c r="D37" s="391">
        <v>2579</v>
      </c>
      <c r="E37" s="391">
        <v>12615</v>
      </c>
      <c r="F37" s="391">
        <v>22829</v>
      </c>
      <c r="G37" s="392">
        <v>0</v>
      </c>
      <c r="H37" s="391">
        <v>15046</v>
      </c>
      <c r="I37" s="392">
        <v>0</v>
      </c>
      <c r="J37" s="392">
        <v>886</v>
      </c>
      <c r="K37" s="392">
        <v>438</v>
      </c>
      <c r="L37" s="391">
        <v>2009</v>
      </c>
      <c r="M37" s="391">
        <v>10387</v>
      </c>
      <c r="N37" s="392">
        <v>0</v>
      </c>
      <c r="O37" s="392">
        <v>0</v>
      </c>
      <c r="P37" s="392">
        <v>0</v>
      </c>
      <c r="Q37" s="391">
        <v>2528</v>
      </c>
      <c r="R37" s="392">
        <v>0</v>
      </c>
      <c r="S37" s="391">
        <v>6974</v>
      </c>
      <c r="T37" s="391">
        <v>7977</v>
      </c>
      <c r="U37" s="386">
        <v>84268</v>
      </c>
      <c r="V37" s="390">
        <f t="shared" si="2"/>
        <v>0</v>
      </c>
      <c r="W37" s="386">
        <v>2579</v>
      </c>
      <c r="X37" s="386">
        <v>12615</v>
      </c>
      <c r="Y37" s="386">
        <f t="shared" si="3"/>
        <v>0</v>
      </c>
      <c r="Z37" s="386">
        <f t="shared" si="3"/>
        <v>0</v>
      </c>
      <c r="AA37" s="386">
        <v>22829</v>
      </c>
      <c r="AB37" s="390">
        <f t="shared" si="4"/>
        <v>0</v>
      </c>
      <c r="AC37" s="386">
        <v>0</v>
      </c>
      <c r="AD37" s="390">
        <f t="shared" si="5"/>
        <v>0</v>
      </c>
      <c r="AE37" s="386">
        <v>15046</v>
      </c>
      <c r="AF37" s="386">
        <v>0</v>
      </c>
      <c r="AG37" s="386">
        <v>886</v>
      </c>
      <c r="AH37" s="386">
        <v>438</v>
      </c>
      <c r="AI37" s="386">
        <v>2009</v>
      </c>
      <c r="AJ37" s="386">
        <v>10387</v>
      </c>
      <c r="AK37" s="386">
        <v>0</v>
      </c>
      <c r="AL37" s="386">
        <v>0</v>
      </c>
      <c r="AM37" s="386">
        <v>0</v>
      </c>
      <c r="AN37" s="386">
        <v>2528</v>
      </c>
      <c r="AO37" s="386">
        <v>0</v>
      </c>
      <c r="AP37" s="386">
        <v>6974</v>
      </c>
      <c r="AQ37" s="386">
        <v>7977</v>
      </c>
      <c r="AR37" s="386">
        <f t="shared" si="6"/>
        <v>0</v>
      </c>
      <c r="AS37" s="386">
        <f t="shared" si="6"/>
        <v>0</v>
      </c>
      <c r="AT37" s="386">
        <f t="shared" si="6"/>
        <v>0</v>
      </c>
      <c r="AU37" s="386">
        <f t="shared" si="6"/>
        <v>0</v>
      </c>
      <c r="AV37" s="386">
        <f t="shared" si="6"/>
        <v>0</v>
      </c>
      <c r="AW37" s="386">
        <f t="shared" si="6"/>
        <v>0</v>
      </c>
      <c r="AX37" s="386">
        <f t="shared" si="6"/>
        <v>0</v>
      </c>
      <c r="AY37" s="386">
        <f t="shared" si="6"/>
        <v>0</v>
      </c>
      <c r="AZ37" s="386">
        <f t="shared" si="6"/>
        <v>0</v>
      </c>
      <c r="BA37" s="386">
        <f t="shared" si="6"/>
        <v>0</v>
      </c>
      <c r="BB37" s="386">
        <f t="shared" si="6"/>
        <v>0</v>
      </c>
      <c r="BC37" s="386">
        <f t="shared" si="6"/>
        <v>0</v>
      </c>
      <c r="BD37" s="386">
        <f t="shared" si="6"/>
        <v>0</v>
      </c>
    </row>
    <row r="38" spans="1:56" ht="25.5" x14ac:dyDescent="0.25">
      <c r="A38" s="388">
        <v>27</v>
      </c>
      <c r="B38" s="358" t="s">
        <v>54</v>
      </c>
      <c r="C38" s="389">
        <f t="shared" si="1"/>
        <v>13457</v>
      </c>
      <c r="D38" s="392">
        <v>451</v>
      </c>
      <c r="E38" s="392">
        <v>221</v>
      </c>
      <c r="F38" s="391">
        <v>4410</v>
      </c>
      <c r="G38" s="392">
        <v>0</v>
      </c>
      <c r="H38" s="391">
        <v>3095</v>
      </c>
      <c r="I38" s="392">
        <v>0</v>
      </c>
      <c r="J38" s="392">
        <v>139</v>
      </c>
      <c r="K38" s="392">
        <v>1</v>
      </c>
      <c r="L38" s="392">
        <v>702</v>
      </c>
      <c r="M38" s="392">
        <v>918</v>
      </c>
      <c r="N38" s="392">
        <v>0</v>
      </c>
      <c r="O38" s="392">
        <v>0</v>
      </c>
      <c r="P38" s="392">
        <v>0</v>
      </c>
      <c r="Q38" s="392">
        <v>305</v>
      </c>
      <c r="R38" s="392">
        <v>0</v>
      </c>
      <c r="S38" s="391">
        <v>2604</v>
      </c>
      <c r="T38" s="392">
        <v>611</v>
      </c>
      <c r="U38" s="386">
        <v>13457</v>
      </c>
      <c r="V38" s="390">
        <f t="shared" si="2"/>
        <v>0</v>
      </c>
      <c r="W38" s="386">
        <v>451</v>
      </c>
      <c r="X38" s="386">
        <v>221</v>
      </c>
      <c r="Y38" s="386">
        <f t="shared" si="3"/>
        <v>0</v>
      </c>
      <c r="Z38" s="386">
        <f t="shared" si="3"/>
        <v>0</v>
      </c>
      <c r="AA38" s="386">
        <v>4410</v>
      </c>
      <c r="AB38" s="390">
        <f t="shared" si="4"/>
        <v>0</v>
      </c>
      <c r="AC38" s="386">
        <v>0</v>
      </c>
      <c r="AD38" s="390">
        <f t="shared" si="5"/>
        <v>0</v>
      </c>
      <c r="AE38" s="386">
        <v>3095</v>
      </c>
      <c r="AF38" s="386">
        <v>0</v>
      </c>
      <c r="AG38" s="386">
        <v>139</v>
      </c>
      <c r="AH38" s="386">
        <v>1</v>
      </c>
      <c r="AI38" s="386">
        <v>702</v>
      </c>
      <c r="AJ38" s="386">
        <v>918</v>
      </c>
      <c r="AK38" s="386">
        <v>0</v>
      </c>
      <c r="AL38" s="386">
        <v>0</v>
      </c>
      <c r="AM38" s="386">
        <v>0</v>
      </c>
      <c r="AN38" s="386">
        <v>305</v>
      </c>
      <c r="AO38" s="386">
        <v>0</v>
      </c>
      <c r="AP38" s="386">
        <v>2604</v>
      </c>
      <c r="AQ38" s="386">
        <v>611</v>
      </c>
      <c r="AR38" s="386">
        <f t="shared" si="6"/>
        <v>0</v>
      </c>
      <c r="AS38" s="386">
        <f t="shared" si="6"/>
        <v>0</v>
      </c>
      <c r="AT38" s="386">
        <f t="shared" si="6"/>
        <v>0</v>
      </c>
      <c r="AU38" s="386">
        <f t="shared" si="6"/>
        <v>0</v>
      </c>
      <c r="AV38" s="386">
        <f t="shared" si="6"/>
        <v>0</v>
      </c>
      <c r="AW38" s="386">
        <f t="shared" si="6"/>
        <v>0</v>
      </c>
      <c r="AX38" s="386">
        <f t="shared" si="6"/>
        <v>0</v>
      </c>
      <c r="AY38" s="386">
        <f t="shared" si="6"/>
        <v>0</v>
      </c>
      <c r="AZ38" s="386">
        <f t="shared" si="6"/>
        <v>0</v>
      </c>
      <c r="BA38" s="386">
        <f t="shared" si="6"/>
        <v>0</v>
      </c>
      <c r="BB38" s="386">
        <f t="shared" si="6"/>
        <v>0</v>
      </c>
      <c r="BC38" s="386">
        <f t="shared" si="6"/>
        <v>0</v>
      </c>
      <c r="BD38" s="386">
        <f t="shared" si="6"/>
        <v>0</v>
      </c>
    </row>
    <row r="39" spans="1:56" ht="25.5" x14ac:dyDescent="0.25">
      <c r="A39" s="610">
        <v>28</v>
      </c>
      <c r="B39" s="358" t="s">
        <v>198</v>
      </c>
      <c r="C39" s="389">
        <f t="shared" si="1"/>
        <v>171500</v>
      </c>
      <c r="D39" s="393">
        <v>3606</v>
      </c>
      <c r="E39" s="393">
        <v>11024</v>
      </c>
      <c r="F39" s="393">
        <v>49398</v>
      </c>
      <c r="G39" s="393">
        <v>0</v>
      </c>
      <c r="H39" s="393">
        <v>0</v>
      </c>
      <c r="I39" s="393">
        <v>0</v>
      </c>
      <c r="J39" s="393">
        <v>1025</v>
      </c>
      <c r="K39" s="393">
        <v>439</v>
      </c>
      <c r="L39" s="393">
        <v>7012</v>
      </c>
      <c r="M39" s="393">
        <v>41748</v>
      </c>
      <c r="N39" s="393">
        <v>0</v>
      </c>
      <c r="O39" s="393">
        <v>0</v>
      </c>
      <c r="P39" s="393">
        <v>1326</v>
      </c>
      <c r="Q39" s="393">
        <v>19299</v>
      </c>
      <c r="R39" s="393">
        <v>0</v>
      </c>
      <c r="S39" s="393">
        <v>4874</v>
      </c>
      <c r="T39" s="393">
        <v>31749</v>
      </c>
      <c r="U39" s="386">
        <v>171500</v>
      </c>
      <c r="V39" s="390">
        <f t="shared" si="2"/>
        <v>0</v>
      </c>
      <c r="W39" s="386">
        <v>3606</v>
      </c>
      <c r="X39" s="386">
        <v>11024</v>
      </c>
      <c r="Y39" s="386">
        <f t="shared" si="3"/>
        <v>0</v>
      </c>
      <c r="Z39" s="386">
        <f t="shared" si="3"/>
        <v>0</v>
      </c>
      <c r="AA39" s="386">
        <v>49398</v>
      </c>
      <c r="AB39" s="390">
        <f t="shared" si="4"/>
        <v>0</v>
      </c>
      <c r="AC39" s="386">
        <v>0</v>
      </c>
      <c r="AD39" s="390">
        <f t="shared" si="5"/>
        <v>0</v>
      </c>
      <c r="AE39" s="386">
        <v>0</v>
      </c>
      <c r="AF39" s="386">
        <v>0</v>
      </c>
      <c r="AG39" s="386">
        <v>1025</v>
      </c>
      <c r="AH39" s="386">
        <v>439</v>
      </c>
      <c r="AI39" s="386">
        <v>7012</v>
      </c>
      <c r="AJ39" s="386">
        <v>41748</v>
      </c>
      <c r="AK39" s="386">
        <v>0</v>
      </c>
      <c r="AL39" s="386">
        <v>0</v>
      </c>
      <c r="AM39" s="386">
        <v>1326</v>
      </c>
      <c r="AN39" s="386">
        <v>19299</v>
      </c>
      <c r="AO39" s="386">
        <v>0</v>
      </c>
      <c r="AP39" s="386">
        <v>4874</v>
      </c>
      <c r="AQ39" s="386">
        <v>31749</v>
      </c>
      <c r="AR39" s="386">
        <f t="shared" si="6"/>
        <v>0</v>
      </c>
      <c r="AS39" s="386">
        <f t="shared" si="6"/>
        <v>0</v>
      </c>
      <c r="AT39" s="386">
        <f t="shared" si="6"/>
        <v>0</v>
      </c>
      <c r="AU39" s="386">
        <f t="shared" si="6"/>
        <v>0</v>
      </c>
      <c r="AV39" s="386">
        <f t="shared" si="6"/>
        <v>0</v>
      </c>
      <c r="AW39" s="386">
        <f t="shared" si="6"/>
        <v>0</v>
      </c>
      <c r="AX39" s="386">
        <f t="shared" si="6"/>
        <v>0</v>
      </c>
      <c r="AY39" s="386">
        <f t="shared" si="6"/>
        <v>0</v>
      </c>
      <c r="AZ39" s="386">
        <f t="shared" si="6"/>
        <v>0</v>
      </c>
      <c r="BA39" s="386">
        <f t="shared" si="6"/>
        <v>0</v>
      </c>
      <c r="BB39" s="386">
        <f t="shared" si="6"/>
        <v>0</v>
      </c>
      <c r="BC39" s="386">
        <f t="shared" si="6"/>
        <v>0</v>
      </c>
      <c r="BD39" s="386">
        <f t="shared" si="6"/>
        <v>0</v>
      </c>
    </row>
    <row r="40" spans="1:56" ht="51" x14ac:dyDescent="0.25">
      <c r="A40" s="610"/>
      <c r="B40" s="361" t="s">
        <v>692</v>
      </c>
      <c r="C40" s="389">
        <f t="shared" si="1"/>
        <v>80024</v>
      </c>
      <c r="D40" s="393">
        <v>1208</v>
      </c>
      <c r="E40" s="393">
        <v>2667</v>
      </c>
      <c r="F40" s="393">
        <v>23119</v>
      </c>
      <c r="G40" s="393">
        <v>0</v>
      </c>
      <c r="H40" s="393">
        <v>0</v>
      </c>
      <c r="I40" s="393">
        <v>0</v>
      </c>
      <c r="J40" s="393">
        <v>768</v>
      </c>
      <c r="K40" s="393">
        <v>329</v>
      </c>
      <c r="L40" s="393">
        <v>3578</v>
      </c>
      <c r="M40" s="393">
        <v>17052</v>
      </c>
      <c r="N40" s="393">
        <v>0</v>
      </c>
      <c r="O40" s="393">
        <v>0</v>
      </c>
      <c r="P40" s="393">
        <v>375</v>
      </c>
      <c r="Q40" s="393">
        <v>7934</v>
      </c>
      <c r="R40" s="393">
        <v>0</v>
      </c>
      <c r="S40" s="393">
        <v>808</v>
      </c>
      <c r="T40" s="393">
        <v>22186</v>
      </c>
      <c r="U40" s="386">
        <v>80024</v>
      </c>
      <c r="V40" s="390">
        <f t="shared" si="2"/>
        <v>0</v>
      </c>
      <c r="W40" s="386">
        <v>1208</v>
      </c>
      <c r="X40" s="386">
        <v>2667</v>
      </c>
      <c r="Y40" s="386">
        <f t="shared" si="3"/>
        <v>0</v>
      </c>
      <c r="Z40" s="386">
        <f t="shared" si="3"/>
        <v>0</v>
      </c>
      <c r="AA40" s="386">
        <v>23119</v>
      </c>
      <c r="AB40" s="390">
        <f t="shared" si="4"/>
        <v>0</v>
      </c>
      <c r="AC40" s="386">
        <v>0</v>
      </c>
      <c r="AD40" s="390">
        <f t="shared" si="5"/>
        <v>0</v>
      </c>
      <c r="AE40" s="386">
        <v>0</v>
      </c>
      <c r="AF40" s="386">
        <v>0</v>
      </c>
      <c r="AG40" s="386">
        <v>768</v>
      </c>
      <c r="AH40" s="386">
        <v>329</v>
      </c>
      <c r="AI40" s="386">
        <v>3578</v>
      </c>
      <c r="AJ40" s="386">
        <v>17052</v>
      </c>
      <c r="AK40" s="386">
        <v>0</v>
      </c>
      <c r="AL40" s="386">
        <v>0</v>
      </c>
      <c r="AM40" s="386">
        <v>375</v>
      </c>
      <c r="AN40" s="386">
        <v>7934</v>
      </c>
      <c r="AO40" s="386">
        <v>0</v>
      </c>
      <c r="AP40" s="386">
        <v>808</v>
      </c>
      <c r="AQ40" s="386">
        <v>22186</v>
      </c>
      <c r="AR40" s="386">
        <f t="shared" si="6"/>
        <v>0</v>
      </c>
      <c r="AS40" s="386">
        <f t="shared" si="6"/>
        <v>0</v>
      </c>
      <c r="AT40" s="386">
        <f t="shared" si="6"/>
        <v>0</v>
      </c>
      <c r="AU40" s="386">
        <f t="shared" si="6"/>
        <v>0</v>
      </c>
      <c r="AV40" s="386">
        <f t="shared" si="6"/>
        <v>0</v>
      </c>
      <c r="AW40" s="386">
        <f t="shared" si="6"/>
        <v>0</v>
      </c>
      <c r="AX40" s="386">
        <f t="shared" si="6"/>
        <v>0</v>
      </c>
      <c r="AY40" s="386">
        <f t="shared" si="6"/>
        <v>0</v>
      </c>
      <c r="AZ40" s="386">
        <f t="shared" si="6"/>
        <v>0</v>
      </c>
      <c r="BA40" s="386">
        <f t="shared" si="6"/>
        <v>0</v>
      </c>
      <c r="BB40" s="386">
        <f t="shared" si="6"/>
        <v>0</v>
      </c>
      <c r="BC40" s="386">
        <f t="shared" si="6"/>
        <v>0</v>
      </c>
      <c r="BD40" s="386">
        <f t="shared" si="6"/>
        <v>0</v>
      </c>
    </row>
    <row r="41" spans="1:56" ht="25.5" x14ac:dyDescent="0.25">
      <c r="A41" s="394">
        <v>29</v>
      </c>
      <c r="B41" s="358" t="s">
        <v>67</v>
      </c>
      <c r="C41" s="389">
        <f t="shared" si="1"/>
        <v>15230</v>
      </c>
      <c r="D41" s="389">
        <v>345</v>
      </c>
      <c r="E41" s="389">
        <v>449</v>
      </c>
      <c r="F41" s="389">
        <v>4314</v>
      </c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988</v>
      </c>
      <c r="M41" s="389">
        <v>2467</v>
      </c>
      <c r="N41" s="389">
        <v>607</v>
      </c>
      <c r="O41" s="389">
        <v>0</v>
      </c>
      <c r="P41" s="389">
        <v>0</v>
      </c>
      <c r="Q41" s="389">
        <v>2050</v>
      </c>
      <c r="R41" s="389">
        <v>0</v>
      </c>
      <c r="S41" s="389">
        <v>646</v>
      </c>
      <c r="T41" s="389">
        <v>3364</v>
      </c>
      <c r="U41" s="386">
        <v>15230</v>
      </c>
      <c r="V41" s="390">
        <f t="shared" si="2"/>
        <v>0</v>
      </c>
      <c r="W41" s="386">
        <v>345</v>
      </c>
      <c r="X41" s="386">
        <v>449</v>
      </c>
      <c r="Y41" s="386">
        <f t="shared" si="3"/>
        <v>0</v>
      </c>
      <c r="Z41" s="386">
        <f t="shared" si="3"/>
        <v>0</v>
      </c>
      <c r="AA41" s="386">
        <v>4314</v>
      </c>
      <c r="AB41" s="390">
        <f t="shared" si="4"/>
        <v>0</v>
      </c>
      <c r="AC41" s="386">
        <v>0</v>
      </c>
      <c r="AD41" s="390">
        <f t="shared" si="5"/>
        <v>0</v>
      </c>
      <c r="AE41" s="386">
        <v>0</v>
      </c>
      <c r="AF41" s="386">
        <v>0</v>
      </c>
      <c r="AG41" s="386">
        <v>0</v>
      </c>
      <c r="AH41" s="386">
        <v>0</v>
      </c>
      <c r="AI41" s="386">
        <v>988</v>
      </c>
      <c r="AJ41" s="386">
        <v>2467</v>
      </c>
      <c r="AK41" s="386">
        <v>607</v>
      </c>
      <c r="AL41" s="386">
        <v>0</v>
      </c>
      <c r="AM41" s="386">
        <v>0</v>
      </c>
      <c r="AN41" s="386">
        <v>2050</v>
      </c>
      <c r="AO41" s="386">
        <v>0</v>
      </c>
      <c r="AP41" s="386">
        <v>646</v>
      </c>
      <c r="AQ41" s="386">
        <v>3364</v>
      </c>
      <c r="AR41" s="386">
        <f t="shared" si="6"/>
        <v>0</v>
      </c>
      <c r="AS41" s="386">
        <f t="shared" si="6"/>
        <v>0</v>
      </c>
      <c r="AT41" s="386">
        <f t="shared" si="6"/>
        <v>0</v>
      </c>
      <c r="AU41" s="386">
        <f t="shared" si="6"/>
        <v>0</v>
      </c>
      <c r="AV41" s="386">
        <f t="shared" si="6"/>
        <v>0</v>
      </c>
      <c r="AW41" s="386">
        <f t="shared" si="6"/>
        <v>0</v>
      </c>
      <c r="AX41" s="386">
        <f t="shared" si="6"/>
        <v>0</v>
      </c>
      <c r="AY41" s="386">
        <f t="shared" si="6"/>
        <v>0</v>
      </c>
      <c r="AZ41" s="386">
        <f t="shared" si="6"/>
        <v>0</v>
      </c>
      <c r="BA41" s="386">
        <f t="shared" si="6"/>
        <v>0</v>
      </c>
      <c r="BB41" s="386">
        <f t="shared" si="6"/>
        <v>0</v>
      </c>
      <c r="BC41" s="386">
        <f t="shared" si="6"/>
        <v>0</v>
      </c>
      <c r="BD41" s="386">
        <f t="shared" si="6"/>
        <v>0</v>
      </c>
    </row>
    <row r="42" spans="1:56" ht="63.75" x14ac:dyDescent="0.25">
      <c r="A42" s="395"/>
      <c r="B42" s="361" t="s">
        <v>693</v>
      </c>
      <c r="C42" s="389">
        <f t="shared" si="1"/>
        <v>24416</v>
      </c>
      <c r="D42" s="389">
        <v>517</v>
      </c>
      <c r="E42" s="389">
        <v>787</v>
      </c>
      <c r="F42" s="389">
        <v>7424</v>
      </c>
      <c r="G42" s="389">
        <v>0</v>
      </c>
      <c r="H42" s="389">
        <v>0</v>
      </c>
      <c r="I42" s="389">
        <v>0</v>
      </c>
      <c r="J42" s="389">
        <v>257</v>
      </c>
      <c r="K42" s="389">
        <v>110</v>
      </c>
      <c r="L42" s="389">
        <v>1532</v>
      </c>
      <c r="M42" s="389">
        <v>4424</v>
      </c>
      <c r="N42" s="389">
        <v>0</v>
      </c>
      <c r="O42" s="389">
        <v>0</v>
      </c>
      <c r="P42" s="389">
        <v>125</v>
      </c>
      <c r="Q42" s="389">
        <v>2050</v>
      </c>
      <c r="R42" s="389">
        <v>0</v>
      </c>
      <c r="S42" s="389">
        <v>317</v>
      </c>
      <c r="T42" s="389">
        <v>6873</v>
      </c>
      <c r="U42" s="386">
        <v>24416</v>
      </c>
      <c r="V42" s="390">
        <f t="shared" si="2"/>
        <v>0</v>
      </c>
      <c r="W42" s="386">
        <v>517</v>
      </c>
      <c r="X42" s="386">
        <v>787</v>
      </c>
      <c r="Y42" s="386">
        <f t="shared" si="3"/>
        <v>0</v>
      </c>
      <c r="Z42" s="386">
        <f t="shared" si="3"/>
        <v>0</v>
      </c>
      <c r="AA42" s="386">
        <v>7424</v>
      </c>
      <c r="AB42" s="390">
        <f t="shared" si="4"/>
        <v>0</v>
      </c>
      <c r="AC42" s="386">
        <v>0</v>
      </c>
      <c r="AD42" s="390">
        <f t="shared" si="5"/>
        <v>0</v>
      </c>
      <c r="AE42" s="386">
        <v>0</v>
      </c>
      <c r="AF42" s="386">
        <v>0</v>
      </c>
      <c r="AG42" s="386">
        <v>257</v>
      </c>
      <c r="AH42" s="386">
        <v>110</v>
      </c>
      <c r="AI42" s="386">
        <v>1532</v>
      </c>
      <c r="AJ42" s="386">
        <v>4424</v>
      </c>
      <c r="AK42" s="386">
        <v>0</v>
      </c>
      <c r="AL42" s="386">
        <v>0</v>
      </c>
      <c r="AM42" s="386">
        <v>125</v>
      </c>
      <c r="AN42" s="386">
        <v>2050</v>
      </c>
      <c r="AO42" s="386">
        <v>0</v>
      </c>
      <c r="AP42" s="386">
        <v>317</v>
      </c>
      <c r="AQ42" s="386">
        <v>6873</v>
      </c>
      <c r="AR42" s="386">
        <f t="shared" si="6"/>
        <v>0</v>
      </c>
      <c r="AS42" s="386">
        <f t="shared" si="6"/>
        <v>0</v>
      </c>
      <c r="AT42" s="386">
        <f t="shared" si="6"/>
        <v>0</v>
      </c>
      <c r="AU42" s="386">
        <f t="shared" si="6"/>
        <v>0</v>
      </c>
      <c r="AV42" s="386">
        <f t="shared" si="6"/>
        <v>0</v>
      </c>
      <c r="AW42" s="386">
        <f t="shared" si="6"/>
        <v>0</v>
      </c>
      <c r="AX42" s="386">
        <f t="shared" si="6"/>
        <v>0</v>
      </c>
      <c r="AY42" s="386">
        <f t="shared" si="6"/>
        <v>0</v>
      </c>
      <c r="AZ42" s="386">
        <f t="shared" si="6"/>
        <v>0</v>
      </c>
      <c r="BA42" s="386">
        <f t="shared" si="6"/>
        <v>0</v>
      </c>
      <c r="BB42" s="386">
        <f t="shared" si="6"/>
        <v>0</v>
      </c>
      <c r="BC42" s="386">
        <f t="shared" si="6"/>
        <v>0</v>
      </c>
      <c r="BD42" s="386">
        <f t="shared" si="6"/>
        <v>0</v>
      </c>
    </row>
    <row r="43" spans="1:56" ht="25.5" x14ac:dyDescent="0.25">
      <c r="A43" s="388">
        <v>30</v>
      </c>
      <c r="B43" s="358" t="s">
        <v>78</v>
      </c>
      <c r="C43" s="389">
        <f t="shared" si="1"/>
        <v>479</v>
      </c>
      <c r="D43" s="389">
        <v>0</v>
      </c>
      <c r="E43" s="389">
        <v>0</v>
      </c>
      <c r="F43" s="389">
        <v>0</v>
      </c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89">
        <v>0</v>
      </c>
      <c r="N43" s="389">
        <v>479</v>
      </c>
      <c r="O43" s="389">
        <v>0</v>
      </c>
      <c r="P43" s="389">
        <v>0</v>
      </c>
      <c r="Q43" s="389">
        <v>0</v>
      </c>
      <c r="R43" s="389">
        <v>0</v>
      </c>
      <c r="S43" s="389">
        <v>0</v>
      </c>
      <c r="T43" s="389">
        <v>0</v>
      </c>
      <c r="U43" s="386">
        <v>479</v>
      </c>
      <c r="V43" s="390">
        <f t="shared" si="2"/>
        <v>0</v>
      </c>
      <c r="W43" s="386">
        <v>0</v>
      </c>
      <c r="X43" s="386">
        <v>0</v>
      </c>
      <c r="Y43" s="386">
        <f t="shared" si="3"/>
        <v>0</v>
      </c>
      <c r="Z43" s="386">
        <f t="shared" si="3"/>
        <v>0</v>
      </c>
      <c r="AA43" s="386">
        <v>0</v>
      </c>
      <c r="AB43" s="390">
        <f t="shared" si="4"/>
        <v>0</v>
      </c>
      <c r="AC43" s="386">
        <v>0</v>
      </c>
      <c r="AD43" s="390">
        <f t="shared" si="5"/>
        <v>0</v>
      </c>
      <c r="AE43" s="386">
        <v>0</v>
      </c>
      <c r="AF43" s="386">
        <v>0</v>
      </c>
      <c r="AG43" s="386">
        <v>0</v>
      </c>
      <c r="AH43" s="386">
        <v>0</v>
      </c>
      <c r="AI43" s="386">
        <v>0</v>
      </c>
      <c r="AJ43" s="386">
        <v>0</v>
      </c>
      <c r="AK43" s="386">
        <v>479</v>
      </c>
      <c r="AL43" s="386">
        <v>0</v>
      </c>
      <c r="AM43" s="386">
        <v>0</v>
      </c>
      <c r="AN43" s="386">
        <v>0</v>
      </c>
      <c r="AO43" s="386">
        <v>0</v>
      </c>
      <c r="AP43" s="386">
        <v>0</v>
      </c>
      <c r="AQ43" s="386">
        <v>0</v>
      </c>
      <c r="AR43" s="386">
        <f t="shared" si="6"/>
        <v>0</v>
      </c>
      <c r="AS43" s="386">
        <f t="shared" si="6"/>
        <v>0</v>
      </c>
      <c r="AT43" s="386">
        <f t="shared" si="6"/>
        <v>0</v>
      </c>
      <c r="AU43" s="386">
        <f t="shared" si="6"/>
        <v>0</v>
      </c>
      <c r="AV43" s="386">
        <f t="shared" si="6"/>
        <v>0</v>
      </c>
      <c r="AW43" s="386">
        <f t="shared" si="6"/>
        <v>0</v>
      </c>
      <c r="AX43" s="386">
        <f t="shared" si="6"/>
        <v>0</v>
      </c>
      <c r="AY43" s="386">
        <f t="shared" si="6"/>
        <v>0</v>
      </c>
      <c r="AZ43" s="386">
        <f t="shared" si="6"/>
        <v>0</v>
      </c>
      <c r="BA43" s="386">
        <f t="shared" si="6"/>
        <v>0</v>
      </c>
      <c r="BB43" s="386">
        <f t="shared" si="6"/>
        <v>0</v>
      </c>
      <c r="BC43" s="386">
        <f t="shared" si="6"/>
        <v>0</v>
      </c>
      <c r="BD43" s="386">
        <f t="shared" si="6"/>
        <v>0</v>
      </c>
    </row>
    <row r="44" spans="1:56" ht="25.5" x14ac:dyDescent="0.25">
      <c r="A44" s="388">
        <v>31</v>
      </c>
      <c r="B44" s="358" t="s">
        <v>68</v>
      </c>
      <c r="C44" s="389">
        <f t="shared" si="1"/>
        <v>244235</v>
      </c>
      <c r="D44" s="389">
        <v>0</v>
      </c>
      <c r="E44" s="389">
        <v>381</v>
      </c>
      <c r="F44" s="389">
        <v>27719</v>
      </c>
      <c r="G44" s="389">
        <v>0</v>
      </c>
      <c r="H44" s="389">
        <v>5364</v>
      </c>
      <c r="I44" s="389">
        <v>0</v>
      </c>
      <c r="J44" s="389">
        <v>0</v>
      </c>
      <c r="K44" s="389">
        <v>0</v>
      </c>
      <c r="L44" s="389">
        <v>862</v>
      </c>
      <c r="M44" s="389">
        <v>78000</v>
      </c>
      <c r="N44" s="389">
        <v>445</v>
      </c>
      <c r="O44" s="389">
        <v>0</v>
      </c>
      <c r="P44" s="389">
        <v>0</v>
      </c>
      <c r="Q44" s="389">
        <v>4500</v>
      </c>
      <c r="R44" s="389">
        <v>0</v>
      </c>
      <c r="S44" s="389">
        <v>741</v>
      </c>
      <c r="T44" s="389">
        <v>126223</v>
      </c>
      <c r="U44" s="386">
        <v>244235</v>
      </c>
      <c r="V44" s="390">
        <f t="shared" si="2"/>
        <v>0</v>
      </c>
      <c r="W44" s="386">
        <v>0</v>
      </c>
      <c r="X44" s="386">
        <v>381</v>
      </c>
      <c r="Y44" s="386">
        <f t="shared" si="3"/>
        <v>0</v>
      </c>
      <c r="Z44" s="386">
        <f t="shared" si="3"/>
        <v>0</v>
      </c>
      <c r="AA44" s="386">
        <v>27719</v>
      </c>
      <c r="AB44" s="390">
        <f t="shared" si="4"/>
        <v>0</v>
      </c>
      <c r="AC44" s="386">
        <v>0</v>
      </c>
      <c r="AD44" s="390">
        <f t="shared" si="5"/>
        <v>0</v>
      </c>
      <c r="AE44" s="386">
        <v>5364</v>
      </c>
      <c r="AF44" s="386">
        <v>0</v>
      </c>
      <c r="AG44" s="386">
        <v>0</v>
      </c>
      <c r="AH44" s="386">
        <v>0</v>
      </c>
      <c r="AI44" s="386">
        <v>862</v>
      </c>
      <c r="AJ44" s="386">
        <v>78000</v>
      </c>
      <c r="AK44" s="386">
        <v>445</v>
      </c>
      <c r="AL44" s="386">
        <v>0</v>
      </c>
      <c r="AM44" s="386">
        <v>0</v>
      </c>
      <c r="AN44" s="386">
        <v>4500</v>
      </c>
      <c r="AO44" s="386">
        <v>0</v>
      </c>
      <c r="AP44" s="386">
        <v>741</v>
      </c>
      <c r="AQ44" s="386">
        <v>126223</v>
      </c>
      <c r="AR44" s="386">
        <f t="shared" si="6"/>
        <v>0</v>
      </c>
      <c r="AS44" s="386">
        <f t="shared" si="6"/>
        <v>0</v>
      </c>
      <c r="AT44" s="386">
        <f t="shared" si="6"/>
        <v>0</v>
      </c>
      <c r="AU44" s="386">
        <f t="shared" si="6"/>
        <v>0</v>
      </c>
      <c r="AV44" s="386">
        <f t="shared" si="6"/>
        <v>0</v>
      </c>
      <c r="AW44" s="386">
        <f t="shared" si="6"/>
        <v>0</v>
      </c>
      <c r="AX44" s="386">
        <f t="shared" ref="AX44:BD80" si="7">AK44-N44</f>
        <v>0</v>
      </c>
      <c r="AY44" s="386">
        <f t="shared" si="7"/>
        <v>0</v>
      </c>
      <c r="AZ44" s="386">
        <f t="shared" si="7"/>
        <v>0</v>
      </c>
      <c r="BA44" s="386">
        <f t="shared" si="7"/>
        <v>0</v>
      </c>
      <c r="BB44" s="386">
        <f t="shared" si="7"/>
        <v>0</v>
      </c>
      <c r="BC44" s="386">
        <f t="shared" si="7"/>
        <v>0</v>
      </c>
      <c r="BD44" s="386">
        <f t="shared" si="7"/>
        <v>0</v>
      </c>
    </row>
    <row r="45" spans="1:56" ht="25.5" x14ac:dyDescent="0.25">
      <c r="A45" s="388">
        <v>32</v>
      </c>
      <c r="B45" s="358" t="s">
        <v>448</v>
      </c>
      <c r="C45" s="389">
        <f t="shared" si="1"/>
        <v>12000</v>
      </c>
      <c r="D45" s="389">
        <v>0</v>
      </c>
      <c r="E45" s="389">
        <v>0</v>
      </c>
      <c r="F45" s="389">
        <v>0</v>
      </c>
      <c r="G45" s="389">
        <v>0</v>
      </c>
      <c r="H45" s="389">
        <v>0</v>
      </c>
      <c r="I45" s="389">
        <v>9591</v>
      </c>
      <c r="J45" s="389">
        <v>0</v>
      </c>
      <c r="K45" s="389">
        <v>0</v>
      </c>
      <c r="L45" s="389">
        <v>0</v>
      </c>
      <c r="M45" s="389">
        <v>0</v>
      </c>
      <c r="N45" s="389">
        <v>0</v>
      </c>
      <c r="O45" s="389">
        <v>2400</v>
      </c>
      <c r="P45" s="389">
        <v>0</v>
      </c>
      <c r="Q45" s="389">
        <v>0</v>
      </c>
      <c r="R45" s="389">
        <v>9</v>
      </c>
      <c r="S45" s="389">
        <v>0</v>
      </c>
      <c r="T45" s="389">
        <v>0</v>
      </c>
      <c r="U45" s="386">
        <v>12000</v>
      </c>
      <c r="V45" s="390">
        <f t="shared" si="2"/>
        <v>0</v>
      </c>
      <c r="W45" s="386">
        <v>0</v>
      </c>
      <c r="X45" s="386">
        <v>0</v>
      </c>
      <c r="Y45" s="386">
        <f t="shared" si="3"/>
        <v>0</v>
      </c>
      <c r="Z45" s="386">
        <f t="shared" si="3"/>
        <v>0</v>
      </c>
      <c r="AA45" s="386">
        <v>0</v>
      </c>
      <c r="AB45" s="390">
        <f t="shared" si="4"/>
        <v>0</v>
      </c>
      <c r="AC45" s="386">
        <v>0</v>
      </c>
      <c r="AD45" s="390">
        <f t="shared" si="5"/>
        <v>0</v>
      </c>
      <c r="AE45" s="386">
        <v>0</v>
      </c>
      <c r="AF45" s="386">
        <v>9591</v>
      </c>
      <c r="AG45" s="386">
        <v>0</v>
      </c>
      <c r="AH45" s="386">
        <v>0</v>
      </c>
      <c r="AI45" s="386">
        <v>0</v>
      </c>
      <c r="AJ45" s="386">
        <v>0</v>
      </c>
      <c r="AK45" s="386">
        <v>0</v>
      </c>
      <c r="AL45" s="386">
        <v>2400</v>
      </c>
      <c r="AM45" s="386">
        <v>0</v>
      </c>
      <c r="AN45" s="386">
        <v>0</v>
      </c>
      <c r="AO45" s="386">
        <v>9</v>
      </c>
      <c r="AP45" s="386">
        <v>0</v>
      </c>
      <c r="AQ45" s="386">
        <v>0</v>
      </c>
      <c r="AR45" s="386">
        <f t="shared" ref="AR45:AZ85" si="8">AE45-H45</f>
        <v>0</v>
      </c>
      <c r="AS45" s="386">
        <f t="shared" si="8"/>
        <v>0</v>
      </c>
      <c r="AT45" s="386">
        <f t="shared" si="8"/>
        <v>0</v>
      </c>
      <c r="AU45" s="386">
        <f t="shared" si="8"/>
        <v>0</v>
      </c>
      <c r="AV45" s="386">
        <f t="shared" si="8"/>
        <v>0</v>
      </c>
      <c r="AW45" s="386">
        <f t="shared" si="8"/>
        <v>0</v>
      </c>
      <c r="AX45" s="386">
        <f t="shared" si="7"/>
        <v>0</v>
      </c>
      <c r="AY45" s="386">
        <f t="shared" si="7"/>
        <v>0</v>
      </c>
      <c r="AZ45" s="386">
        <f t="shared" si="7"/>
        <v>0</v>
      </c>
      <c r="BA45" s="386">
        <f t="shared" si="7"/>
        <v>0</v>
      </c>
      <c r="BB45" s="386">
        <f t="shared" si="7"/>
        <v>0</v>
      </c>
      <c r="BC45" s="386">
        <f t="shared" si="7"/>
        <v>0</v>
      </c>
      <c r="BD45" s="386">
        <f t="shared" si="7"/>
        <v>0</v>
      </c>
    </row>
    <row r="46" spans="1:56" x14ac:dyDescent="0.25">
      <c r="A46" s="388">
        <v>33</v>
      </c>
      <c r="B46" s="358" t="s">
        <v>119</v>
      </c>
      <c r="C46" s="389">
        <f t="shared" si="1"/>
        <v>10266</v>
      </c>
      <c r="D46" s="389">
        <v>0</v>
      </c>
      <c r="E46" s="389">
        <v>0</v>
      </c>
      <c r="F46" s="389">
        <v>0</v>
      </c>
      <c r="G46" s="389">
        <v>790</v>
      </c>
      <c r="H46" s="389">
        <v>0</v>
      </c>
      <c r="I46" s="389">
        <v>7516</v>
      </c>
      <c r="J46" s="389">
        <v>0</v>
      </c>
      <c r="K46" s="389">
        <v>0</v>
      </c>
      <c r="L46" s="389">
        <v>0</v>
      </c>
      <c r="M46" s="389">
        <v>0</v>
      </c>
      <c r="N46" s="389">
        <v>0</v>
      </c>
      <c r="O46" s="389">
        <v>0</v>
      </c>
      <c r="P46" s="389">
        <v>0</v>
      </c>
      <c r="Q46" s="389">
        <v>0</v>
      </c>
      <c r="R46" s="389">
        <v>1960</v>
      </c>
      <c r="S46" s="389">
        <v>0</v>
      </c>
      <c r="T46" s="389">
        <v>0</v>
      </c>
      <c r="U46" s="386">
        <v>10266</v>
      </c>
      <c r="V46" s="390">
        <f t="shared" si="2"/>
        <v>0</v>
      </c>
      <c r="W46" s="386">
        <v>0</v>
      </c>
      <c r="X46" s="386">
        <v>0</v>
      </c>
      <c r="Y46" s="386">
        <f t="shared" si="3"/>
        <v>0</v>
      </c>
      <c r="Z46" s="386">
        <f t="shared" si="3"/>
        <v>0</v>
      </c>
      <c r="AA46" s="386">
        <v>0</v>
      </c>
      <c r="AB46" s="390">
        <f t="shared" si="4"/>
        <v>0</v>
      </c>
      <c r="AC46" s="386">
        <v>790</v>
      </c>
      <c r="AD46" s="390">
        <f t="shared" si="5"/>
        <v>0</v>
      </c>
      <c r="AE46" s="386">
        <v>0</v>
      </c>
      <c r="AF46" s="386">
        <v>7516</v>
      </c>
      <c r="AG46" s="386">
        <v>0</v>
      </c>
      <c r="AH46" s="386">
        <v>0</v>
      </c>
      <c r="AI46" s="386">
        <v>0</v>
      </c>
      <c r="AJ46" s="386">
        <v>0</v>
      </c>
      <c r="AK46" s="386">
        <v>0</v>
      </c>
      <c r="AL46" s="386">
        <v>0</v>
      </c>
      <c r="AM46" s="386">
        <v>0</v>
      </c>
      <c r="AN46" s="386">
        <v>0</v>
      </c>
      <c r="AO46" s="386">
        <v>1960</v>
      </c>
      <c r="AP46" s="386">
        <v>0</v>
      </c>
      <c r="AQ46" s="386">
        <v>0</v>
      </c>
      <c r="AR46" s="386">
        <f t="shared" si="8"/>
        <v>0</v>
      </c>
      <c r="AS46" s="386">
        <f t="shared" si="8"/>
        <v>0</v>
      </c>
      <c r="AT46" s="386">
        <f t="shared" si="8"/>
        <v>0</v>
      </c>
      <c r="AU46" s="386">
        <f t="shared" si="8"/>
        <v>0</v>
      </c>
      <c r="AV46" s="386">
        <f t="shared" si="8"/>
        <v>0</v>
      </c>
      <c r="AW46" s="386">
        <f t="shared" si="8"/>
        <v>0</v>
      </c>
      <c r="AX46" s="386">
        <f t="shared" si="7"/>
        <v>0</v>
      </c>
      <c r="AY46" s="386">
        <f t="shared" si="7"/>
        <v>0</v>
      </c>
      <c r="AZ46" s="386">
        <f t="shared" si="7"/>
        <v>0</v>
      </c>
      <c r="BA46" s="386">
        <f t="shared" si="7"/>
        <v>0</v>
      </c>
      <c r="BB46" s="386">
        <f t="shared" si="7"/>
        <v>0</v>
      </c>
      <c r="BC46" s="386">
        <f t="shared" si="7"/>
        <v>0</v>
      </c>
      <c r="BD46" s="386">
        <f t="shared" si="7"/>
        <v>0</v>
      </c>
    </row>
    <row r="47" spans="1:56" x14ac:dyDescent="0.25">
      <c r="A47" s="608">
        <v>34</v>
      </c>
      <c r="B47" s="358" t="s">
        <v>53</v>
      </c>
      <c r="C47" s="389">
        <f t="shared" si="1"/>
        <v>127436</v>
      </c>
      <c r="D47" s="389">
        <v>4493</v>
      </c>
      <c r="E47" s="389">
        <v>40</v>
      </c>
      <c r="F47" s="389">
        <v>29083</v>
      </c>
      <c r="G47" s="389">
        <v>0</v>
      </c>
      <c r="H47" s="389">
        <v>11808</v>
      </c>
      <c r="I47" s="389">
        <v>0</v>
      </c>
      <c r="J47" s="389">
        <v>1025</v>
      </c>
      <c r="K47" s="389">
        <v>439</v>
      </c>
      <c r="L47" s="389">
        <v>9816</v>
      </c>
      <c r="M47" s="389">
        <v>52442</v>
      </c>
      <c r="N47" s="389">
        <v>0</v>
      </c>
      <c r="O47" s="389">
        <v>0</v>
      </c>
      <c r="P47" s="389">
        <v>9500</v>
      </c>
      <c r="Q47" s="389">
        <v>8050</v>
      </c>
      <c r="R47" s="389">
        <v>0</v>
      </c>
      <c r="S47" s="389">
        <v>135</v>
      </c>
      <c r="T47" s="389">
        <v>605</v>
      </c>
      <c r="U47" s="386">
        <v>127436</v>
      </c>
      <c r="V47" s="390">
        <f t="shared" si="2"/>
        <v>0</v>
      </c>
      <c r="W47" s="386">
        <v>4493</v>
      </c>
      <c r="X47" s="386">
        <v>40</v>
      </c>
      <c r="Y47" s="386">
        <f t="shared" si="3"/>
        <v>0</v>
      </c>
      <c r="Z47" s="386">
        <f t="shared" si="3"/>
        <v>0</v>
      </c>
      <c r="AA47" s="386">
        <v>29083</v>
      </c>
      <c r="AB47" s="390">
        <f t="shared" si="4"/>
        <v>0</v>
      </c>
      <c r="AC47" s="386">
        <v>0</v>
      </c>
      <c r="AD47" s="390">
        <f t="shared" si="5"/>
        <v>0</v>
      </c>
      <c r="AE47" s="386">
        <v>11808</v>
      </c>
      <c r="AF47" s="386">
        <v>0</v>
      </c>
      <c r="AG47" s="386">
        <v>1025</v>
      </c>
      <c r="AH47" s="386">
        <v>439</v>
      </c>
      <c r="AI47" s="386">
        <v>9816</v>
      </c>
      <c r="AJ47" s="386">
        <v>52442</v>
      </c>
      <c r="AK47" s="386">
        <v>0</v>
      </c>
      <c r="AL47" s="386">
        <v>0</v>
      </c>
      <c r="AM47" s="386">
        <v>9500</v>
      </c>
      <c r="AN47" s="386">
        <v>8050</v>
      </c>
      <c r="AO47" s="386">
        <v>0</v>
      </c>
      <c r="AP47" s="386">
        <v>135</v>
      </c>
      <c r="AQ47" s="386">
        <v>605</v>
      </c>
      <c r="AR47" s="386">
        <f t="shared" si="8"/>
        <v>0</v>
      </c>
      <c r="AS47" s="386">
        <f t="shared" si="8"/>
        <v>0</v>
      </c>
      <c r="AT47" s="386">
        <f t="shared" si="8"/>
        <v>0</v>
      </c>
      <c r="AU47" s="386">
        <f t="shared" si="8"/>
        <v>0</v>
      </c>
      <c r="AV47" s="386">
        <f t="shared" si="8"/>
        <v>0</v>
      </c>
      <c r="AW47" s="386">
        <f t="shared" si="8"/>
        <v>0</v>
      </c>
      <c r="AX47" s="386">
        <f t="shared" si="7"/>
        <v>0</v>
      </c>
      <c r="AY47" s="386">
        <f t="shared" si="7"/>
        <v>0</v>
      </c>
      <c r="AZ47" s="386">
        <f t="shared" si="7"/>
        <v>0</v>
      </c>
      <c r="BA47" s="386">
        <f t="shared" si="7"/>
        <v>0</v>
      </c>
      <c r="BB47" s="386">
        <f t="shared" si="7"/>
        <v>0</v>
      </c>
      <c r="BC47" s="386">
        <f t="shared" si="7"/>
        <v>0</v>
      </c>
      <c r="BD47" s="386">
        <f t="shared" si="7"/>
        <v>0</v>
      </c>
    </row>
    <row r="48" spans="1:56" ht="51" x14ac:dyDescent="0.25">
      <c r="A48" s="611"/>
      <c r="B48" s="361" t="s">
        <v>449</v>
      </c>
      <c r="C48" s="389">
        <f t="shared" si="1"/>
        <v>129391</v>
      </c>
      <c r="D48" s="389">
        <v>0</v>
      </c>
      <c r="E48" s="389">
        <v>0</v>
      </c>
      <c r="F48" s="389">
        <v>15130</v>
      </c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666</v>
      </c>
      <c r="M48" s="389">
        <v>49410</v>
      </c>
      <c r="N48" s="389">
        <v>0</v>
      </c>
      <c r="O48" s="389">
        <v>0</v>
      </c>
      <c r="P48" s="389">
        <v>0</v>
      </c>
      <c r="Q48" s="389">
        <v>10500</v>
      </c>
      <c r="R48" s="389">
        <v>0</v>
      </c>
      <c r="S48" s="389">
        <v>6100</v>
      </c>
      <c r="T48" s="389">
        <v>47585</v>
      </c>
      <c r="U48" s="386">
        <v>129391</v>
      </c>
      <c r="V48" s="390">
        <f t="shared" si="2"/>
        <v>0</v>
      </c>
      <c r="W48" s="386">
        <v>0</v>
      </c>
      <c r="X48" s="386">
        <v>0</v>
      </c>
      <c r="Y48" s="386">
        <f t="shared" si="3"/>
        <v>0</v>
      </c>
      <c r="Z48" s="386">
        <f t="shared" si="3"/>
        <v>0</v>
      </c>
      <c r="AA48" s="386">
        <v>15130</v>
      </c>
      <c r="AB48" s="390">
        <f t="shared" si="4"/>
        <v>0</v>
      </c>
      <c r="AC48" s="386">
        <v>0</v>
      </c>
      <c r="AD48" s="390">
        <f t="shared" si="5"/>
        <v>0</v>
      </c>
      <c r="AE48" s="386">
        <v>0</v>
      </c>
      <c r="AF48" s="386">
        <v>0</v>
      </c>
      <c r="AG48" s="386">
        <v>0</v>
      </c>
      <c r="AH48" s="386">
        <v>0</v>
      </c>
      <c r="AI48" s="386">
        <v>666</v>
      </c>
      <c r="AJ48" s="386">
        <v>49410</v>
      </c>
      <c r="AK48" s="386">
        <v>0</v>
      </c>
      <c r="AL48" s="386">
        <v>0</v>
      </c>
      <c r="AM48" s="386">
        <v>0</v>
      </c>
      <c r="AN48" s="386">
        <v>10500</v>
      </c>
      <c r="AO48" s="386">
        <v>0</v>
      </c>
      <c r="AP48" s="386">
        <v>6100</v>
      </c>
      <c r="AQ48" s="386">
        <v>47585</v>
      </c>
      <c r="AR48" s="386">
        <f t="shared" si="8"/>
        <v>0</v>
      </c>
      <c r="AS48" s="386">
        <f t="shared" si="8"/>
        <v>0</v>
      </c>
      <c r="AT48" s="386">
        <f t="shared" si="8"/>
        <v>0</v>
      </c>
      <c r="AU48" s="386">
        <f t="shared" si="8"/>
        <v>0</v>
      </c>
      <c r="AV48" s="386">
        <f t="shared" si="8"/>
        <v>0</v>
      </c>
      <c r="AW48" s="386">
        <f t="shared" si="8"/>
        <v>0</v>
      </c>
      <c r="AX48" s="386">
        <f t="shared" si="7"/>
        <v>0</v>
      </c>
      <c r="AY48" s="386">
        <f t="shared" si="7"/>
        <v>0</v>
      </c>
      <c r="AZ48" s="386">
        <f t="shared" si="7"/>
        <v>0</v>
      </c>
      <c r="BA48" s="386">
        <f t="shared" si="7"/>
        <v>0</v>
      </c>
      <c r="BB48" s="386">
        <f t="shared" si="7"/>
        <v>0</v>
      </c>
      <c r="BC48" s="386">
        <f t="shared" si="7"/>
        <v>0</v>
      </c>
      <c r="BD48" s="386">
        <f t="shared" si="7"/>
        <v>0</v>
      </c>
    </row>
    <row r="49" spans="1:56" ht="38.25" x14ac:dyDescent="0.25">
      <c r="A49" s="609"/>
      <c r="B49" s="361" t="s">
        <v>694</v>
      </c>
      <c r="C49" s="389">
        <f t="shared" si="1"/>
        <v>22000</v>
      </c>
      <c r="D49" s="389">
        <v>0</v>
      </c>
      <c r="E49" s="389">
        <v>0</v>
      </c>
      <c r="F49" s="389">
        <v>0</v>
      </c>
      <c r="G49" s="389">
        <v>6000</v>
      </c>
      <c r="H49" s="389">
        <v>0</v>
      </c>
      <c r="I49" s="389">
        <v>7890</v>
      </c>
      <c r="J49" s="389">
        <v>0</v>
      </c>
      <c r="K49" s="389">
        <v>0</v>
      </c>
      <c r="L49" s="389">
        <v>0</v>
      </c>
      <c r="M49" s="389">
        <v>0</v>
      </c>
      <c r="N49" s="389">
        <v>0</v>
      </c>
      <c r="O49" s="389">
        <v>500</v>
      </c>
      <c r="P49" s="389">
        <v>0</v>
      </c>
      <c r="Q49" s="389">
        <v>0</v>
      </c>
      <c r="R49" s="389">
        <v>7610</v>
      </c>
      <c r="S49" s="389">
        <v>0</v>
      </c>
      <c r="T49" s="389">
        <v>0</v>
      </c>
      <c r="U49" s="386">
        <v>22000</v>
      </c>
      <c r="V49" s="390">
        <f t="shared" si="2"/>
        <v>0</v>
      </c>
      <c r="W49" s="386">
        <v>0</v>
      </c>
      <c r="X49" s="386">
        <v>0</v>
      </c>
      <c r="Y49" s="386">
        <f t="shared" si="3"/>
        <v>0</v>
      </c>
      <c r="Z49" s="386">
        <f t="shared" si="3"/>
        <v>0</v>
      </c>
      <c r="AA49" s="386">
        <v>0</v>
      </c>
      <c r="AB49" s="390">
        <f t="shared" si="4"/>
        <v>0</v>
      </c>
      <c r="AC49" s="386">
        <v>6000</v>
      </c>
      <c r="AD49" s="390">
        <f t="shared" si="5"/>
        <v>0</v>
      </c>
      <c r="AE49" s="386">
        <v>0</v>
      </c>
      <c r="AF49" s="386">
        <v>7890</v>
      </c>
      <c r="AG49" s="386">
        <v>0</v>
      </c>
      <c r="AH49" s="386">
        <v>0</v>
      </c>
      <c r="AI49" s="386">
        <v>0</v>
      </c>
      <c r="AJ49" s="386">
        <v>0</v>
      </c>
      <c r="AK49" s="386">
        <v>0</v>
      </c>
      <c r="AL49" s="386">
        <v>500</v>
      </c>
      <c r="AM49" s="386">
        <v>0</v>
      </c>
      <c r="AN49" s="386">
        <v>0</v>
      </c>
      <c r="AO49" s="386">
        <v>7610</v>
      </c>
      <c r="AP49" s="386">
        <v>0</v>
      </c>
      <c r="AQ49" s="386">
        <v>0</v>
      </c>
      <c r="AR49" s="386">
        <f t="shared" si="8"/>
        <v>0</v>
      </c>
      <c r="AS49" s="386">
        <f t="shared" si="8"/>
        <v>0</v>
      </c>
      <c r="AT49" s="386">
        <f t="shared" si="8"/>
        <v>0</v>
      </c>
      <c r="AU49" s="386">
        <f t="shared" si="8"/>
        <v>0</v>
      </c>
      <c r="AV49" s="386">
        <f t="shared" si="8"/>
        <v>0</v>
      </c>
      <c r="AW49" s="386">
        <f t="shared" si="8"/>
        <v>0</v>
      </c>
      <c r="AX49" s="386">
        <f t="shared" si="7"/>
        <v>0</v>
      </c>
      <c r="AY49" s="386">
        <f t="shared" si="7"/>
        <v>0</v>
      </c>
      <c r="AZ49" s="386">
        <f t="shared" si="7"/>
        <v>0</v>
      </c>
      <c r="BA49" s="386">
        <f t="shared" si="7"/>
        <v>0</v>
      </c>
      <c r="BB49" s="386">
        <f t="shared" si="7"/>
        <v>0</v>
      </c>
      <c r="BC49" s="386">
        <f t="shared" si="7"/>
        <v>0</v>
      </c>
      <c r="BD49" s="386">
        <f t="shared" si="7"/>
        <v>0</v>
      </c>
    </row>
    <row r="50" spans="1:56" ht="25.5" x14ac:dyDescent="0.25">
      <c r="A50" s="388">
        <v>35</v>
      </c>
      <c r="B50" s="358" t="s">
        <v>451</v>
      </c>
      <c r="C50" s="389">
        <f t="shared" si="1"/>
        <v>4198</v>
      </c>
      <c r="D50" s="389">
        <v>0</v>
      </c>
      <c r="E50" s="389">
        <v>0</v>
      </c>
      <c r="F50" s="389">
        <v>0</v>
      </c>
      <c r="G50" s="389">
        <v>0</v>
      </c>
      <c r="H50" s="389">
        <v>0</v>
      </c>
      <c r="I50" s="389">
        <v>2698</v>
      </c>
      <c r="J50" s="389">
        <v>0</v>
      </c>
      <c r="K50" s="389">
        <v>0</v>
      </c>
      <c r="L50" s="389">
        <v>0</v>
      </c>
      <c r="M50" s="389">
        <v>0</v>
      </c>
      <c r="N50" s="389">
        <v>0</v>
      </c>
      <c r="O50" s="389">
        <v>1500</v>
      </c>
      <c r="P50" s="389">
        <v>0</v>
      </c>
      <c r="Q50" s="389">
        <v>0</v>
      </c>
      <c r="R50" s="389">
        <v>0</v>
      </c>
      <c r="S50" s="389">
        <v>0</v>
      </c>
      <c r="T50" s="389">
        <v>0</v>
      </c>
      <c r="U50" s="386">
        <v>4198</v>
      </c>
      <c r="V50" s="390">
        <f t="shared" si="2"/>
        <v>0</v>
      </c>
      <c r="W50" s="386">
        <v>0</v>
      </c>
      <c r="X50" s="386">
        <v>0</v>
      </c>
      <c r="Y50" s="386">
        <f t="shared" si="3"/>
        <v>0</v>
      </c>
      <c r="Z50" s="386">
        <f t="shared" si="3"/>
        <v>0</v>
      </c>
      <c r="AA50" s="386">
        <v>0</v>
      </c>
      <c r="AB50" s="390">
        <f t="shared" si="4"/>
        <v>0</v>
      </c>
      <c r="AC50" s="386">
        <v>0</v>
      </c>
      <c r="AD50" s="390">
        <f t="shared" si="5"/>
        <v>0</v>
      </c>
      <c r="AE50" s="386">
        <v>0</v>
      </c>
      <c r="AF50" s="386">
        <v>2698</v>
      </c>
      <c r="AG50" s="386">
        <v>0</v>
      </c>
      <c r="AH50" s="386">
        <v>0</v>
      </c>
      <c r="AI50" s="386">
        <v>0</v>
      </c>
      <c r="AJ50" s="386">
        <v>0</v>
      </c>
      <c r="AK50" s="386">
        <v>0</v>
      </c>
      <c r="AL50" s="386">
        <v>1500</v>
      </c>
      <c r="AM50" s="386">
        <v>0</v>
      </c>
      <c r="AN50" s="386">
        <v>0</v>
      </c>
      <c r="AO50" s="386">
        <v>0</v>
      </c>
      <c r="AP50" s="386">
        <v>0</v>
      </c>
      <c r="AQ50" s="386">
        <v>0</v>
      </c>
      <c r="AR50" s="386">
        <f t="shared" si="8"/>
        <v>0</v>
      </c>
      <c r="AS50" s="386">
        <f t="shared" si="8"/>
        <v>0</v>
      </c>
      <c r="AT50" s="386">
        <f t="shared" si="8"/>
        <v>0</v>
      </c>
      <c r="AU50" s="386">
        <f t="shared" si="8"/>
        <v>0</v>
      </c>
      <c r="AV50" s="386">
        <f t="shared" si="8"/>
        <v>0</v>
      </c>
      <c r="AW50" s="386">
        <f t="shared" si="8"/>
        <v>0</v>
      </c>
      <c r="AX50" s="386">
        <f t="shared" si="7"/>
        <v>0</v>
      </c>
      <c r="AY50" s="386">
        <f t="shared" si="7"/>
        <v>0</v>
      </c>
      <c r="AZ50" s="386">
        <f t="shared" si="7"/>
        <v>0</v>
      </c>
      <c r="BA50" s="386">
        <f t="shared" si="7"/>
        <v>0</v>
      </c>
      <c r="BB50" s="386">
        <f t="shared" si="7"/>
        <v>0</v>
      </c>
      <c r="BC50" s="386">
        <f t="shared" si="7"/>
        <v>0</v>
      </c>
      <c r="BD50" s="386">
        <f t="shared" si="7"/>
        <v>0</v>
      </c>
    </row>
    <row r="51" spans="1:56" x14ac:dyDescent="0.25">
      <c r="A51" s="388">
        <v>36</v>
      </c>
      <c r="B51" s="358" t="s">
        <v>118</v>
      </c>
      <c r="C51" s="389">
        <f t="shared" si="1"/>
        <v>11900</v>
      </c>
      <c r="D51" s="389">
        <v>0</v>
      </c>
      <c r="E51" s="389">
        <v>0</v>
      </c>
      <c r="F51" s="389">
        <v>0</v>
      </c>
      <c r="G51" s="389">
        <v>440</v>
      </c>
      <c r="H51" s="389">
        <v>0</v>
      </c>
      <c r="I51" s="389">
        <v>2000</v>
      </c>
      <c r="J51" s="389">
        <v>0</v>
      </c>
      <c r="K51" s="389">
        <v>0</v>
      </c>
      <c r="L51" s="389">
        <v>0</v>
      </c>
      <c r="M51" s="389">
        <v>0</v>
      </c>
      <c r="N51" s="389">
        <v>0</v>
      </c>
      <c r="O51" s="389">
        <v>0</v>
      </c>
      <c r="P51" s="389">
        <v>0</v>
      </c>
      <c r="Q51" s="389">
        <v>0</v>
      </c>
      <c r="R51" s="389">
        <v>9460</v>
      </c>
      <c r="S51" s="389">
        <v>0</v>
      </c>
      <c r="T51" s="389">
        <v>0</v>
      </c>
      <c r="U51" s="386">
        <v>11900</v>
      </c>
      <c r="V51" s="390">
        <f t="shared" si="2"/>
        <v>0</v>
      </c>
      <c r="W51" s="386">
        <v>0</v>
      </c>
      <c r="X51" s="386">
        <v>0</v>
      </c>
      <c r="Y51" s="386">
        <f t="shared" si="3"/>
        <v>0</v>
      </c>
      <c r="Z51" s="386">
        <f t="shared" si="3"/>
        <v>0</v>
      </c>
      <c r="AA51" s="386">
        <v>0</v>
      </c>
      <c r="AB51" s="390">
        <f t="shared" si="4"/>
        <v>0</v>
      </c>
      <c r="AC51" s="386">
        <v>440</v>
      </c>
      <c r="AD51" s="390">
        <f t="shared" si="5"/>
        <v>0</v>
      </c>
      <c r="AE51" s="386">
        <v>0</v>
      </c>
      <c r="AF51" s="386">
        <v>2000</v>
      </c>
      <c r="AG51" s="386">
        <v>0</v>
      </c>
      <c r="AH51" s="386">
        <v>0</v>
      </c>
      <c r="AI51" s="386">
        <v>0</v>
      </c>
      <c r="AJ51" s="386">
        <v>0</v>
      </c>
      <c r="AK51" s="386">
        <v>0</v>
      </c>
      <c r="AL51" s="386">
        <v>0</v>
      </c>
      <c r="AM51" s="386">
        <v>0</v>
      </c>
      <c r="AN51" s="386">
        <v>0</v>
      </c>
      <c r="AO51" s="386">
        <v>9460</v>
      </c>
      <c r="AP51" s="386">
        <v>0</v>
      </c>
      <c r="AQ51" s="386">
        <v>0</v>
      </c>
      <c r="AR51" s="386">
        <f t="shared" si="8"/>
        <v>0</v>
      </c>
      <c r="AS51" s="386">
        <f t="shared" si="8"/>
        <v>0</v>
      </c>
      <c r="AT51" s="386">
        <f t="shared" si="8"/>
        <v>0</v>
      </c>
      <c r="AU51" s="386">
        <f t="shared" si="8"/>
        <v>0</v>
      </c>
      <c r="AV51" s="386">
        <f t="shared" si="8"/>
        <v>0</v>
      </c>
      <c r="AW51" s="386">
        <f t="shared" si="8"/>
        <v>0</v>
      </c>
      <c r="AX51" s="386">
        <f t="shared" si="7"/>
        <v>0</v>
      </c>
      <c r="AY51" s="386">
        <f t="shared" si="7"/>
        <v>0</v>
      </c>
      <c r="AZ51" s="386">
        <f t="shared" si="7"/>
        <v>0</v>
      </c>
      <c r="BA51" s="386">
        <f t="shared" si="7"/>
        <v>0</v>
      </c>
      <c r="BB51" s="386">
        <f t="shared" si="7"/>
        <v>0</v>
      </c>
      <c r="BC51" s="386">
        <f t="shared" si="7"/>
        <v>0</v>
      </c>
      <c r="BD51" s="386">
        <f t="shared" si="7"/>
        <v>0</v>
      </c>
    </row>
    <row r="52" spans="1:56" x14ac:dyDescent="0.25">
      <c r="A52" s="608">
        <v>37</v>
      </c>
      <c r="B52" s="358" t="s">
        <v>36</v>
      </c>
      <c r="C52" s="389">
        <f t="shared" si="1"/>
        <v>141050</v>
      </c>
      <c r="D52" s="389">
        <v>2331</v>
      </c>
      <c r="E52" s="389">
        <v>5401</v>
      </c>
      <c r="F52" s="389">
        <v>39081</v>
      </c>
      <c r="G52" s="389">
        <v>0</v>
      </c>
      <c r="H52" s="389">
        <v>6893</v>
      </c>
      <c r="I52" s="389">
        <v>0</v>
      </c>
      <c r="J52" s="389">
        <v>1025</v>
      </c>
      <c r="K52" s="389">
        <v>439</v>
      </c>
      <c r="L52" s="389">
        <v>7928</v>
      </c>
      <c r="M52" s="389">
        <v>57537</v>
      </c>
      <c r="N52" s="389">
        <v>0</v>
      </c>
      <c r="O52" s="389">
        <v>0</v>
      </c>
      <c r="P52" s="389">
        <v>4311</v>
      </c>
      <c r="Q52" s="389">
        <v>2800</v>
      </c>
      <c r="R52" s="389">
        <v>0</v>
      </c>
      <c r="S52" s="389">
        <v>1518</v>
      </c>
      <c r="T52" s="389">
        <v>11786</v>
      </c>
      <c r="U52" s="386">
        <v>141050</v>
      </c>
      <c r="V52" s="390">
        <f t="shared" si="2"/>
        <v>0</v>
      </c>
      <c r="W52" s="386">
        <v>2331</v>
      </c>
      <c r="X52" s="386">
        <v>5401</v>
      </c>
      <c r="Y52" s="386">
        <f t="shared" si="3"/>
        <v>0</v>
      </c>
      <c r="Z52" s="386">
        <f t="shared" si="3"/>
        <v>0</v>
      </c>
      <c r="AA52" s="386">
        <v>39081</v>
      </c>
      <c r="AB52" s="390">
        <f t="shared" si="4"/>
        <v>0</v>
      </c>
      <c r="AC52" s="386">
        <v>0</v>
      </c>
      <c r="AD52" s="390">
        <f t="shared" si="5"/>
        <v>0</v>
      </c>
      <c r="AE52" s="386">
        <v>6893</v>
      </c>
      <c r="AF52" s="386">
        <v>0</v>
      </c>
      <c r="AG52" s="386">
        <v>1025</v>
      </c>
      <c r="AH52" s="386">
        <v>439</v>
      </c>
      <c r="AI52" s="386">
        <v>7928</v>
      </c>
      <c r="AJ52" s="386">
        <v>57537</v>
      </c>
      <c r="AK52" s="386">
        <v>0</v>
      </c>
      <c r="AL52" s="386">
        <v>0</v>
      </c>
      <c r="AM52" s="386">
        <v>4311</v>
      </c>
      <c r="AN52" s="386">
        <v>2800</v>
      </c>
      <c r="AO52" s="386">
        <v>0</v>
      </c>
      <c r="AP52" s="386">
        <v>1518</v>
      </c>
      <c r="AQ52" s="386">
        <v>11786</v>
      </c>
      <c r="AR52" s="386">
        <f t="shared" si="8"/>
        <v>0</v>
      </c>
      <c r="AS52" s="386">
        <f t="shared" si="8"/>
        <v>0</v>
      </c>
      <c r="AT52" s="386">
        <f t="shared" si="8"/>
        <v>0</v>
      </c>
      <c r="AU52" s="386">
        <f t="shared" si="8"/>
        <v>0</v>
      </c>
      <c r="AV52" s="386">
        <f t="shared" si="8"/>
        <v>0</v>
      </c>
      <c r="AW52" s="386">
        <f t="shared" si="8"/>
        <v>0</v>
      </c>
      <c r="AX52" s="386">
        <f t="shared" si="7"/>
        <v>0</v>
      </c>
      <c r="AY52" s="386">
        <f t="shared" si="7"/>
        <v>0</v>
      </c>
      <c r="AZ52" s="386">
        <f t="shared" si="7"/>
        <v>0</v>
      </c>
      <c r="BA52" s="386">
        <f t="shared" si="7"/>
        <v>0</v>
      </c>
      <c r="BB52" s="386">
        <f t="shared" si="7"/>
        <v>0</v>
      </c>
      <c r="BC52" s="386">
        <f t="shared" si="7"/>
        <v>0</v>
      </c>
      <c r="BD52" s="386">
        <f t="shared" si="7"/>
        <v>0</v>
      </c>
    </row>
    <row r="53" spans="1:56" ht="51" x14ac:dyDescent="0.25">
      <c r="A53" s="609"/>
      <c r="B53" s="361" t="s">
        <v>452</v>
      </c>
      <c r="C53" s="389">
        <f t="shared" si="1"/>
        <v>52278</v>
      </c>
      <c r="D53" s="389">
        <v>845</v>
      </c>
      <c r="E53" s="389">
        <v>789</v>
      </c>
      <c r="F53" s="389">
        <v>16579</v>
      </c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3122</v>
      </c>
      <c r="M53" s="389">
        <v>26008</v>
      </c>
      <c r="N53" s="389">
        <v>0</v>
      </c>
      <c r="O53" s="389">
        <v>0</v>
      </c>
      <c r="P53" s="389">
        <v>0</v>
      </c>
      <c r="Q53" s="389">
        <v>0</v>
      </c>
      <c r="R53" s="389">
        <v>0</v>
      </c>
      <c r="S53" s="389">
        <v>2750</v>
      </c>
      <c r="T53" s="389">
        <v>2185</v>
      </c>
      <c r="U53" s="386">
        <v>52278</v>
      </c>
      <c r="V53" s="390">
        <f t="shared" si="2"/>
        <v>0</v>
      </c>
      <c r="W53" s="386">
        <v>845</v>
      </c>
      <c r="X53" s="386">
        <v>789</v>
      </c>
      <c r="Y53" s="386">
        <f t="shared" si="3"/>
        <v>0</v>
      </c>
      <c r="Z53" s="386">
        <f t="shared" si="3"/>
        <v>0</v>
      </c>
      <c r="AA53" s="386">
        <v>16579</v>
      </c>
      <c r="AB53" s="390">
        <f t="shared" si="4"/>
        <v>0</v>
      </c>
      <c r="AC53" s="386">
        <v>0</v>
      </c>
      <c r="AD53" s="390">
        <f t="shared" si="5"/>
        <v>0</v>
      </c>
      <c r="AE53" s="386">
        <v>0</v>
      </c>
      <c r="AF53" s="386">
        <v>0</v>
      </c>
      <c r="AG53" s="386">
        <v>0</v>
      </c>
      <c r="AH53" s="386">
        <v>0</v>
      </c>
      <c r="AI53" s="386">
        <v>3122</v>
      </c>
      <c r="AJ53" s="386">
        <v>26008</v>
      </c>
      <c r="AK53" s="386">
        <v>0</v>
      </c>
      <c r="AL53" s="386">
        <v>0</v>
      </c>
      <c r="AM53" s="386">
        <v>0</v>
      </c>
      <c r="AN53" s="386">
        <v>0</v>
      </c>
      <c r="AO53" s="386">
        <v>0</v>
      </c>
      <c r="AP53" s="386">
        <v>2750</v>
      </c>
      <c r="AQ53" s="386">
        <v>2185</v>
      </c>
      <c r="AR53" s="386">
        <f t="shared" si="8"/>
        <v>0</v>
      </c>
      <c r="AS53" s="386">
        <f t="shared" si="8"/>
        <v>0</v>
      </c>
      <c r="AT53" s="386">
        <f t="shared" si="8"/>
        <v>0</v>
      </c>
      <c r="AU53" s="386">
        <f t="shared" si="8"/>
        <v>0</v>
      </c>
      <c r="AV53" s="386">
        <f t="shared" si="8"/>
        <v>0</v>
      </c>
      <c r="AW53" s="386">
        <f t="shared" si="8"/>
        <v>0</v>
      </c>
      <c r="AX53" s="386">
        <f t="shared" si="7"/>
        <v>0</v>
      </c>
      <c r="AY53" s="386">
        <f t="shared" si="7"/>
        <v>0</v>
      </c>
      <c r="AZ53" s="386">
        <f t="shared" si="7"/>
        <v>0</v>
      </c>
      <c r="BA53" s="386">
        <f t="shared" si="7"/>
        <v>0</v>
      </c>
      <c r="BB53" s="386">
        <f t="shared" si="7"/>
        <v>0</v>
      </c>
      <c r="BC53" s="386">
        <f t="shared" si="7"/>
        <v>0</v>
      </c>
      <c r="BD53" s="386">
        <f t="shared" si="7"/>
        <v>0</v>
      </c>
    </row>
    <row r="54" spans="1:56" x14ac:dyDescent="0.25">
      <c r="A54" s="388">
        <v>38</v>
      </c>
      <c r="B54" s="358" t="s">
        <v>28</v>
      </c>
      <c r="C54" s="389">
        <f t="shared" si="1"/>
        <v>187773</v>
      </c>
      <c r="D54" s="389">
        <v>3080</v>
      </c>
      <c r="E54" s="389">
        <v>5982</v>
      </c>
      <c r="F54" s="389">
        <v>49420</v>
      </c>
      <c r="G54" s="389">
        <v>0</v>
      </c>
      <c r="H54" s="389">
        <v>4221</v>
      </c>
      <c r="I54" s="389">
        <v>0</v>
      </c>
      <c r="J54" s="389">
        <v>0</v>
      </c>
      <c r="K54" s="389">
        <v>0</v>
      </c>
      <c r="L54" s="389">
        <v>7861</v>
      </c>
      <c r="M54" s="389">
        <v>53894</v>
      </c>
      <c r="N54" s="389">
        <v>0</v>
      </c>
      <c r="O54" s="389">
        <v>0</v>
      </c>
      <c r="P54" s="389">
        <v>17114</v>
      </c>
      <c r="Q54" s="389">
        <v>15486</v>
      </c>
      <c r="R54" s="389">
        <v>0</v>
      </c>
      <c r="S54" s="389">
        <v>2017</v>
      </c>
      <c r="T54" s="389">
        <v>28698</v>
      </c>
      <c r="U54" s="386">
        <v>187773</v>
      </c>
      <c r="V54" s="390">
        <f t="shared" si="2"/>
        <v>0</v>
      </c>
      <c r="W54" s="386">
        <v>3080</v>
      </c>
      <c r="X54" s="386">
        <v>5982</v>
      </c>
      <c r="Y54" s="386">
        <f t="shared" si="3"/>
        <v>0</v>
      </c>
      <c r="Z54" s="386">
        <f t="shared" si="3"/>
        <v>0</v>
      </c>
      <c r="AA54" s="386">
        <v>49420</v>
      </c>
      <c r="AB54" s="390">
        <f t="shared" si="4"/>
        <v>0</v>
      </c>
      <c r="AC54" s="386">
        <v>0</v>
      </c>
      <c r="AD54" s="390">
        <f t="shared" si="5"/>
        <v>0</v>
      </c>
      <c r="AE54" s="386">
        <v>4221</v>
      </c>
      <c r="AF54" s="386">
        <v>0</v>
      </c>
      <c r="AG54" s="386">
        <v>0</v>
      </c>
      <c r="AH54" s="386">
        <v>0</v>
      </c>
      <c r="AI54" s="386">
        <v>7861</v>
      </c>
      <c r="AJ54" s="386">
        <v>53894</v>
      </c>
      <c r="AK54" s="386">
        <v>0</v>
      </c>
      <c r="AL54" s="386">
        <v>0</v>
      </c>
      <c r="AM54" s="386">
        <v>17114</v>
      </c>
      <c r="AN54" s="386">
        <v>15486</v>
      </c>
      <c r="AO54" s="386">
        <v>0</v>
      </c>
      <c r="AP54" s="386">
        <v>2017</v>
      </c>
      <c r="AQ54" s="386">
        <v>28698</v>
      </c>
      <c r="AR54" s="386">
        <f t="shared" si="8"/>
        <v>0</v>
      </c>
      <c r="AS54" s="386">
        <f t="shared" si="8"/>
        <v>0</v>
      </c>
      <c r="AT54" s="386">
        <f t="shared" si="8"/>
        <v>0</v>
      </c>
      <c r="AU54" s="386">
        <f t="shared" si="8"/>
        <v>0</v>
      </c>
      <c r="AV54" s="386">
        <f t="shared" si="8"/>
        <v>0</v>
      </c>
      <c r="AW54" s="386">
        <f t="shared" si="8"/>
        <v>0</v>
      </c>
      <c r="AX54" s="386">
        <f t="shared" si="7"/>
        <v>0</v>
      </c>
      <c r="AY54" s="386">
        <f t="shared" si="7"/>
        <v>0</v>
      </c>
      <c r="AZ54" s="386">
        <f t="shared" si="7"/>
        <v>0</v>
      </c>
      <c r="BA54" s="386">
        <f t="shared" si="7"/>
        <v>0</v>
      </c>
      <c r="BB54" s="386">
        <f t="shared" si="7"/>
        <v>0</v>
      </c>
      <c r="BC54" s="386">
        <f t="shared" si="7"/>
        <v>0</v>
      </c>
      <c r="BD54" s="386">
        <f t="shared" si="7"/>
        <v>0</v>
      </c>
    </row>
    <row r="55" spans="1:56" x14ac:dyDescent="0.25">
      <c r="A55" s="388">
        <v>39</v>
      </c>
      <c r="B55" s="358" t="s">
        <v>37</v>
      </c>
      <c r="C55" s="389">
        <f t="shared" si="1"/>
        <v>177627</v>
      </c>
      <c r="D55" s="389">
        <v>2947</v>
      </c>
      <c r="E55" s="389">
        <v>3404</v>
      </c>
      <c r="F55" s="389">
        <v>52801</v>
      </c>
      <c r="G55" s="389">
        <v>0</v>
      </c>
      <c r="H55" s="389">
        <v>0</v>
      </c>
      <c r="I55" s="389">
        <v>0</v>
      </c>
      <c r="J55" s="389">
        <v>1025</v>
      </c>
      <c r="K55" s="389">
        <v>439</v>
      </c>
      <c r="L55" s="389">
        <v>10090</v>
      </c>
      <c r="M55" s="389">
        <v>71915</v>
      </c>
      <c r="N55" s="389">
        <v>0</v>
      </c>
      <c r="O55" s="389">
        <v>0</v>
      </c>
      <c r="P55" s="389">
        <v>7111</v>
      </c>
      <c r="Q55" s="389">
        <v>300</v>
      </c>
      <c r="R55" s="389">
        <v>0</v>
      </c>
      <c r="S55" s="389">
        <v>2562</v>
      </c>
      <c r="T55" s="389">
        <v>25033</v>
      </c>
      <c r="U55" s="386">
        <v>177627</v>
      </c>
      <c r="V55" s="390">
        <f t="shared" si="2"/>
        <v>0</v>
      </c>
      <c r="W55" s="386">
        <v>2947</v>
      </c>
      <c r="X55" s="386">
        <v>3404</v>
      </c>
      <c r="Y55" s="386">
        <f t="shared" si="3"/>
        <v>0</v>
      </c>
      <c r="Z55" s="386">
        <f t="shared" si="3"/>
        <v>0</v>
      </c>
      <c r="AA55" s="386">
        <v>52801</v>
      </c>
      <c r="AB55" s="390">
        <f t="shared" si="4"/>
        <v>0</v>
      </c>
      <c r="AC55" s="386">
        <v>0</v>
      </c>
      <c r="AD55" s="390">
        <f t="shared" si="5"/>
        <v>0</v>
      </c>
      <c r="AE55" s="386">
        <v>0</v>
      </c>
      <c r="AF55" s="386">
        <v>0</v>
      </c>
      <c r="AG55" s="386">
        <v>1025</v>
      </c>
      <c r="AH55" s="386">
        <v>439</v>
      </c>
      <c r="AI55" s="386">
        <v>10090</v>
      </c>
      <c r="AJ55" s="386">
        <v>71915</v>
      </c>
      <c r="AK55" s="386">
        <v>0</v>
      </c>
      <c r="AL55" s="386">
        <v>0</v>
      </c>
      <c r="AM55" s="386">
        <v>7111</v>
      </c>
      <c r="AN55" s="386">
        <v>300</v>
      </c>
      <c r="AO55" s="386">
        <v>0</v>
      </c>
      <c r="AP55" s="386">
        <v>2562</v>
      </c>
      <c r="AQ55" s="386">
        <v>25033</v>
      </c>
      <c r="AR55" s="386">
        <f t="shared" si="8"/>
        <v>0</v>
      </c>
      <c r="AS55" s="386">
        <f t="shared" si="8"/>
        <v>0</v>
      </c>
      <c r="AT55" s="386">
        <f t="shared" si="8"/>
        <v>0</v>
      </c>
      <c r="AU55" s="386">
        <f t="shared" si="8"/>
        <v>0</v>
      </c>
      <c r="AV55" s="386">
        <f t="shared" si="8"/>
        <v>0</v>
      </c>
      <c r="AW55" s="386">
        <f t="shared" si="8"/>
        <v>0</v>
      </c>
      <c r="AX55" s="386">
        <f t="shared" si="7"/>
        <v>0</v>
      </c>
      <c r="AY55" s="386">
        <f t="shared" si="7"/>
        <v>0</v>
      </c>
      <c r="AZ55" s="386">
        <f t="shared" si="7"/>
        <v>0</v>
      </c>
      <c r="BA55" s="386">
        <f t="shared" si="7"/>
        <v>0</v>
      </c>
      <c r="BB55" s="386">
        <f t="shared" si="7"/>
        <v>0</v>
      </c>
      <c r="BC55" s="386">
        <f t="shared" si="7"/>
        <v>0</v>
      </c>
      <c r="BD55" s="386">
        <f t="shared" si="7"/>
        <v>0</v>
      </c>
    </row>
    <row r="56" spans="1:56" x14ac:dyDescent="0.25">
      <c r="A56" s="388">
        <v>40</v>
      </c>
      <c r="B56" s="358" t="s">
        <v>24</v>
      </c>
      <c r="C56" s="389">
        <f t="shared" si="1"/>
        <v>54964</v>
      </c>
      <c r="D56" s="389">
        <v>907</v>
      </c>
      <c r="E56" s="389">
        <v>765</v>
      </c>
      <c r="F56" s="389">
        <v>11947</v>
      </c>
      <c r="G56" s="389">
        <v>0</v>
      </c>
      <c r="H56" s="389">
        <v>0</v>
      </c>
      <c r="I56" s="389">
        <v>0</v>
      </c>
      <c r="J56" s="389">
        <v>0</v>
      </c>
      <c r="K56" s="389">
        <v>0</v>
      </c>
      <c r="L56" s="389">
        <v>2297</v>
      </c>
      <c r="M56" s="389">
        <v>10139</v>
      </c>
      <c r="N56" s="389">
        <v>0</v>
      </c>
      <c r="O56" s="389">
        <v>0</v>
      </c>
      <c r="P56" s="389">
        <v>2016</v>
      </c>
      <c r="Q56" s="389">
        <v>7208</v>
      </c>
      <c r="R56" s="389">
        <v>0</v>
      </c>
      <c r="S56" s="389">
        <v>5984</v>
      </c>
      <c r="T56" s="389">
        <v>13701</v>
      </c>
      <c r="U56" s="386">
        <v>54964</v>
      </c>
      <c r="V56" s="390">
        <f t="shared" si="2"/>
        <v>0</v>
      </c>
      <c r="W56" s="386">
        <v>907</v>
      </c>
      <c r="X56" s="386">
        <v>765</v>
      </c>
      <c r="Y56" s="386">
        <f t="shared" si="3"/>
        <v>0</v>
      </c>
      <c r="Z56" s="386">
        <f t="shared" si="3"/>
        <v>0</v>
      </c>
      <c r="AA56" s="386">
        <v>11947</v>
      </c>
      <c r="AB56" s="390">
        <f t="shared" si="4"/>
        <v>0</v>
      </c>
      <c r="AC56" s="386">
        <v>0</v>
      </c>
      <c r="AD56" s="390">
        <f t="shared" si="5"/>
        <v>0</v>
      </c>
      <c r="AE56" s="386">
        <v>0</v>
      </c>
      <c r="AF56" s="386">
        <v>0</v>
      </c>
      <c r="AG56" s="386">
        <v>0</v>
      </c>
      <c r="AH56" s="386">
        <v>0</v>
      </c>
      <c r="AI56" s="386">
        <v>2297</v>
      </c>
      <c r="AJ56" s="386">
        <v>10139</v>
      </c>
      <c r="AK56" s="386">
        <v>0</v>
      </c>
      <c r="AL56" s="386">
        <v>0</v>
      </c>
      <c r="AM56" s="386">
        <v>2016</v>
      </c>
      <c r="AN56" s="386">
        <v>7208</v>
      </c>
      <c r="AO56" s="386">
        <v>0</v>
      </c>
      <c r="AP56" s="386">
        <v>5984</v>
      </c>
      <c r="AQ56" s="386">
        <v>13701</v>
      </c>
      <c r="AR56" s="386">
        <f t="shared" si="8"/>
        <v>0</v>
      </c>
      <c r="AS56" s="386">
        <f t="shared" si="8"/>
        <v>0</v>
      </c>
      <c r="AT56" s="386">
        <f t="shared" si="8"/>
        <v>0</v>
      </c>
      <c r="AU56" s="386">
        <f t="shared" si="8"/>
        <v>0</v>
      </c>
      <c r="AV56" s="386">
        <f t="shared" si="8"/>
        <v>0</v>
      </c>
      <c r="AW56" s="386">
        <f t="shared" si="8"/>
        <v>0</v>
      </c>
      <c r="AX56" s="386">
        <f t="shared" si="7"/>
        <v>0</v>
      </c>
      <c r="AY56" s="386">
        <f t="shared" si="7"/>
        <v>0</v>
      </c>
      <c r="AZ56" s="386">
        <f t="shared" si="7"/>
        <v>0</v>
      </c>
      <c r="BA56" s="386">
        <f t="shared" si="7"/>
        <v>0</v>
      </c>
      <c r="BB56" s="386">
        <f t="shared" si="7"/>
        <v>0</v>
      </c>
      <c r="BC56" s="386">
        <f t="shared" si="7"/>
        <v>0</v>
      </c>
      <c r="BD56" s="386">
        <f t="shared" si="7"/>
        <v>0</v>
      </c>
    </row>
    <row r="57" spans="1:56" x14ac:dyDescent="0.25">
      <c r="A57" s="388">
        <v>41</v>
      </c>
      <c r="B57" s="358" t="s">
        <v>19</v>
      </c>
      <c r="C57" s="389">
        <f t="shared" si="1"/>
        <v>67984</v>
      </c>
      <c r="D57" s="389">
        <v>1139</v>
      </c>
      <c r="E57" s="389">
        <v>2256</v>
      </c>
      <c r="F57" s="389">
        <v>26895</v>
      </c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3948</v>
      </c>
      <c r="M57" s="389">
        <v>20492</v>
      </c>
      <c r="N57" s="389">
        <v>0</v>
      </c>
      <c r="O57" s="389">
        <v>0</v>
      </c>
      <c r="P57" s="389">
        <v>850</v>
      </c>
      <c r="Q57" s="389">
        <v>6550</v>
      </c>
      <c r="R57" s="389">
        <v>0</v>
      </c>
      <c r="S57" s="389">
        <v>823</v>
      </c>
      <c r="T57" s="389">
        <v>5031</v>
      </c>
      <c r="U57" s="386">
        <v>67984</v>
      </c>
      <c r="V57" s="390">
        <f t="shared" si="2"/>
        <v>0</v>
      </c>
      <c r="W57" s="386">
        <v>1139</v>
      </c>
      <c r="X57" s="386">
        <v>2256</v>
      </c>
      <c r="Y57" s="386">
        <f t="shared" si="3"/>
        <v>0</v>
      </c>
      <c r="Z57" s="386">
        <f t="shared" si="3"/>
        <v>0</v>
      </c>
      <c r="AA57" s="386">
        <v>26895</v>
      </c>
      <c r="AB57" s="390">
        <f t="shared" si="4"/>
        <v>0</v>
      </c>
      <c r="AC57" s="386">
        <v>0</v>
      </c>
      <c r="AD57" s="390">
        <f t="shared" si="5"/>
        <v>0</v>
      </c>
      <c r="AE57" s="386">
        <v>0</v>
      </c>
      <c r="AF57" s="386">
        <v>0</v>
      </c>
      <c r="AG57" s="386">
        <v>0</v>
      </c>
      <c r="AH57" s="386">
        <v>0</v>
      </c>
      <c r="AI57" s="386">
        <v>3948</v>
      </c>
      <c r="AJ57" s="386">
        <v>20492</v>
      </c>
      <c r="AK57" s="386">
        <v>0</v>
      </c>
      <c r="AL57" s="386">
        <v>0</v>
      </c>
      <c r="AM57" s="386">
        <v>850</v>
      </c>
      <c r="AN57" s="386">
        <v>6550</v>
      </c>
      <c r="AO57" s="386">
        <v>0</v>
      </c>
      <c r="AP57" s="386">
        <v>823</v>
      </c>
      <c r="AQ57" s="386">
        <v>5031</v>
      </c>
      <c r="AR57" s="386">
        <f t="shared" si="8"/>
        <v>0</v>
      </c>
      <c r="AS57" s="386">
        <f t="shared" si="8"/>
        <v>0</v>
      </c>
      <c r="AT57" s="386">
        <f t="shared" si="8"/>
        <v>0</v>
      </c>
      <c r="AU57" s="386">
        <f t="shared" si="8"/>
        <v>0</v>
      </c>
      <c r="AV57" s="386">
        <f t="shared" si="8"/>
        <v>0</v>
      </c>
      <c r="AW57" s="386">
        <f t="shared" si="8"/>
        <v>0</v>
      </c>
      <c r="AX57" s="386">
        <f t="shared" si="7"/>
        <v>0</v>
      </c>
      <c r="AY57" s="386">
        <f t="shared" si="7"/>
        <v>0</v>
      </c>
      <c r="AZ57" s="386">
        <f t="shared" si="7"/>
        <v>0</v>
      </c>
      <c r="BA57" s="386">
        <f t="shared" si="7"/>
        <v>0</v>
      </c>
      <c r="BB57" s="386">
        <f t="shared" si="7"/>
        <v>0</v>
      </c>
      <c r="BC57" s="386">
        <f t="shared" si="7"/>
        <v>0</v>
      </c>
      <c r="BD57" s="386">
        <f t="shared" si="7"/>
        <v>0</v>
      </c>
    </row>
    <row r="58" spans="1:56" x14ac:dyDescent="0.25">
      <c r="A58" s="388">
        <v>42</v>
      </c>
      <c r="B58" s="358" t="s">
        <v>34</v>
      </c>
      <c r="C58" s="389">
        <f t="shared" si="1"/>
        <v>63682</v>
      </c>
      <c r="D58" s="389">
        <v>1062</v>
      </c>
      <c r="E58" s="389">
        <v>556</v>
      </c>
      <c r="F58" s="389">
        <v>23840</v>
      </c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3626</v>
      </c>
      <c r="M58" s="389">
        <v>18366</v>
      </c>
      <c r="N58" s="389">
        <v>0</v>
      </c>
      <c r="O58" s="389">
        <v>0</v>
      </c>
      <c r="P58" s="389">
        <v>3150</v>
      </c>
      <c r="Q58" s="389">
        <v>4717</v>
      </c>
      <c r="R58" s="389">
        <v>0</v>
      </c>
      <c r="S58" s="389">
        <v>1163</v>
      </c>
      <c r="T58" s="389">
        <v>7202</v>
      </c>
      <c r="U58" s="386">
        <v>63682</v>
      </c>
      <c r="V58" s="390">
        <f t="shared" si="2"/>
        <v>0</v>
      </c>
      <c r="W58" s="386">
        <v>1062</v>
      </c>
      <c r="X58" s="386">
        <v>556</v>
      </c>
      <c r="Y58" s="386">
        <f t="shared" si="3"/>
        <v>0</v>
      </c>
      <c r="Z58" s="386">
        <f t="shared" si="3"/>
        <v>0</v>
      </c>
      <c r="AA58" s="386">
        <v>23840</v>
      </c>
      <c r="AB58" s="390">
        <f t="shared" si="4"/>
        <v>0</v>
      </c>
      <c r="AC58" s="386">
        <v>0</v>
      </c>
      <c r="AD58" s="390">
        <f t="shared" si="5"/>
        <v>0</v>
      </c>
      <c r="AE58" s="386">
        <v>0</v>
      </c>
      <c r="AF58" s="386">
        <v>0</v>
      </c>
      <c r="AG58" s="386">
        <v>0</v>
      </c>
      <c r="AH58" s="386">
        <v>0</v>
      </c>
      <c r="AI58" s="386">
        <v>3626</v>
      </c>
      <c r="AJ58" s="386">
        <v>18366</v>
      </c>
      <c r="AK58" s="386">
        <v>0</v>
      </c>
      <c r="AL58" s="386">
        <v>0</v>
      </c>
      <c r="AM58" s="386">
        <v>3150</v>
      </c>
      <c r="AN58" s="386">
        <v>4717</v>
      </c>
      <c r="AO58" s="386">
        <v>0</v>
      </c>
      <c r="AP58" s="386">
        <v>1163</v>
      </c>
      <c r="AQ58" s="386">
        <v>7202</v>
      </c>
      <c r="AR58" s="386">
        <f t="shared" si="8"/>
        <v>0</v>
      </c>
      <c r="AS58" s="386">
        <f t="shared" si="8"/>
        <v>0</v>
      </c>
      <c r="AT58" s="386">
        <f t="shared" si="8"/>
        <v>0</v>
      </c>
      <c r="AU58" s="386">
        <f t="shared" si="8"/>
        <v>0</v>
      </c>
      <c r="AV58" s="386">
        <f t="shared" si="8"/>
        <v>0</v>
      </c>
      <c r="AW58" s="386">
        <f t="shared" si="8"/>
        <v>0</v>
      </c>
      <c r="AX58" s="386">
        <f t="shared" si="7"/>
        <v>0</v>
      </c>
      <c r="AY58" s="386">
        <f t="shared" si="7"/>
        <v>0</v>
      </c>
      <c r="AZ58" s="386">
        <f t="shared" si="7"/>
        <v>0</v>
      </c>
      <c r="BA58" s="386">
        <f t="shared" si="7"/>
        <v>0</v>
      </c>
      <c r="BB58" s="386">
        <f t="shared" si="7"/>
        <v>0</v>
      </c>
      <c r="BC58" s="386">
        <f t="shared" si="7"/>
        <v>0</v>
      </c>
      <c r="BD58" s="386">
        <f t="shared" si="7"/>
        <v>0</v>
      </c>
    </row>
    <row r="59" spans="1:56" x14ac:dyDescent="0.25">
      <c r="A59" s="388">
        <v>43</v>
      </c>
      <c r="B59" s="358" t="s">
        <v>43</v>
      </c>
      <c r="C59" s="389">
        <f t="shared" si="1"/>
        <v>41258</v>
      </c>
      <c r="D59" s="389">
        <v>717</v>
      </c>
      <c r="E59" s="389">
        <v>626</v>
      </c>
      <c r="F59" s="389">
        <v>14733</v>
      </c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452</v>
      </c>
      <c r="M59" s="389">
        <v>11843</v>
      </c>
      <c r="N59" s="389">
        <v>0</v>
      </c>
      <c r="O59" s="389">
        <v>0</v>
      </c>
      <c r="P59" s="389">
        <v>4085</v>
      </c>
      <c r="Q59" s="389">
        <v>0</v>
      </c>
      <c r="R59" s="389">
        <v>0</v>
      </c>
      <c r="S59" s="389">
        <v>220</v>
      </c>
      <c r="T59" s="389">
        <v>8582</v>
      </c>
      <c r="U59" s="386">
        <v>41258</v>
      </c>
      <c r="V59" s="390">
        <f t="shared" si="2"/>
        <v>0</v>
      </c>
      <c r="W59" s="386">
        <v>717</v>
      </c>
      <c r="X59" s="386">
        <v>626</v>
      </c>
      <c r="Y59" s="386">
        <f t="shared" si="3"/>
        <v>0</v>
      </c>
      <c r="Z59" s="386">
        <f t="shared" si="3"/>
        <v>0</v>
      </c>
      <c r="AA59" s="386">
        <v>14733</v>
      </c>
      <c r="AB59" s="390">
        <f t="shared" si="4"/>
        <v>0</v>
      </c>
      <c r="AC59" s="386">
        <v>0</v>
      </c>
      <c r="AD59" s="390">
        <f t="shared" si="5"/>
        <v>0</v>
      </c>
      <c r="AE59" s="386">
        <v>0</v>
      </c>
      <c r="AF59" s="386">
        <v>0</v>
      </c>
      <c r="AG59" s="386">
        <v>0</v>
      </c>
      <c r="AH59" s="386">
        <v>0</v>
      </c>
      <c r="AI59" s="386">
        <v>452</v>
      </c>
      <c r="AJ59" s="386">
        <v>11843</v>
      </c>
      <c r="AK59" s="386">
        <v>0</v>
      </c>
      <c r="AL59" s="386">
        <v>0</v>
      </c>
      <c r="AM59" s="386">
        <v>4085</v>
      </c>
      <c r="AN59" s="386">
        <v>0</v>
      </c>
      <c r="AO59" s="386">
        <v>0</v>
      </c>
      <c r="AP59" s="386">
        <v>220</v>
      </c>
      <c r="AQ59" s="386">
        <v>8582</v>
      </c>
      <c r="AR59" s="386">
        <f t="shared" si="8"/>
        <v>0</v>
      </c>
      <c r="AS59" s="386">
        <f t="shared" si="8"/>
        <v>0</v>
      </c>
      <c r="AT59" s="386">
        <f t="shared" si="8"/>
        <v>0</v>
      </c>
      <c r="AU59" s="386">
        <f t="shared" si="8"/>
        <v>0</v>
      </c>
      <c r="AV59" s="386">
        <f t="shared" si="8"/>
        <v>0</v>
      </c>
      <c r="AW59" s="386">
        <f t="shared" si="8"/>
        <v>0</v>
      </c>
      <c r="AX59" s="386">
        <f t="shared" si="7"/>
        <v>0</v>
      </c>
      <c r="AY59" s="386">
        <f t="shared" si="7"/>
        <v>0</v>
      </c>
      <c r="AZ59" s="386">
        <f t="shared" si="7"/>
        <v>0</v>
      </c>
      <c r="BA59" s="386">
        <f t="shared" si="7"/>
        <v>0</v>
      </c>
      <c r="BB59" s="386">
        <f t="shared" si="7"/>
        <v>0</v>
      </c>
      <c r="BC59" s="386">
        <f t="shared" si="7"/>
        <v>0</v>
      </c>
      <c r="BD59" s="386">
        <f t="shared" si="7"/>
        <v>0</v>
      </c>
    </row>
    <row r="60" spans="1:56" x14ac:dyDescent="0.25">
      <c r="A60" s="388">
        <v>44</v>
      </c>
      <c r="B60" s="358" t="s">
        <v>5</v>
      </c>
      <c r="C60" s="389">
        <f t="shared" si="1"/>
        <v>71389</v>
      </c>
      <c r="D60" s="389">
        <v>1253</v>
      </c>
      <c r="E60" s="389">
        <v>2162</v>
      </c>
      <c r="F60" s="389">
        <v>27333</v>
      </c>
      <c r="G60" s="389">
        <v>0</v>
      </c>
      <c r="H60" s="389">
        <v>0</v>
      </c>
      <c r="I60" s="389">
        <v>0</v>
      </c>
      <c r="J60" s="389">
        <v>0</v>
      </c>
      <c r="K60" s="389">
        <v>0</v>
      </c>
      <c r="L60" s="389">
        <v>2489</v>
      </c>
      <c r="M60" s="389">
        <v>24113</v>
      </c>
      <c r="N60" s="389">
        <v>0</v>
      </c>
      <c r="O60" s="389">
        <v>0</v>
      </c>
      <c r="P60" s="389">
        <v>469</v>
      </c>
      <c r="Q60" s="389">
        <v>6203</v>
      </c>
      <c r="R60" s="389">
        <v>0</v>
      </c>
      <c r="S60" s="389">
        <v>853</v>
      </c>
      <c r="T60" s="389">
        <v>6514</v>
      </c>
      <c r="U60" s="386">
        <v>71389</v>
      </c>
      <c r="V60" s="390">
        <f t="shared" si="2"/>
        <v>0</v>
      </c>
      <c r="W60" s="386">
        <v>1253</v>
      </c>
      <c r="X60" s="386">
        <v>2162</v>
      </c>
      <c r="Y60" s="386">
        <f t="shared" si="3"/>
        <v>0</v>
      </c>
      <c r="Z60" s="386">
        <f t="shared" si="3"/>
        <v>0</v>
      </c>
      <c r="AA60" s="386">
        <v>27333</v>
      </c>
      <c r="AB60" s="390">
        <f t="shared" si="4"/>
        <v>0</v>
      </c>
      <c r="AC60" s="386">
        <v>0</v>
      </c>
      <c r="AD60" s="390">
        <f t="shared" si="5"/>
        <v>0</v>
      </c>
      <c r="AE60" s="386">
        <v>0</v>
      </c>
      <c r="AF60" s="386">
        <v>0</v>
      </c>
      <c r="AG60" s="386">
        <v>0</v>
      </c>
      <c r="AH60" s="386">
        <v>0</v>
      </c>
      <c r="AI60" s="386">
        <v>2489</v>
      </c>
      <c r="AJ60" s="386">
        <v>24113</v>
      </c>
      <c r="AK60" s="386">
        <v>0</v>
      </c>
      <c r="AL60" s="386">
        <v>0</v>
      </c>
      <c r="AM60" s="386">
        <v>469</v>
      </c>
      <c r="AN60" s="386">
        <v>6203</v>
      </c>
      <c r="AO60" s="386">
        <v>0</v>
      </c>
      <c r="AP60" s="386">
        <v>853</v>
      </c>
      <c r="AQ60" s="386">
        <v>6514</v>
      </c>
      <c r="AR60" s="386">
        <f t="shared" si="8"/>
        <v>0</v>
      </c>
      <c r="AS60" s="386">
        <f t="shared" si="8"/>
        <v>0</v>
      </c>
      <c r="AT60" s="386">
        <f t="shared" si="8"/>
        <v>0</v>
      </c>
      <c r="AU60" s="386">
        <f t="shared" si="8"/>
        <v>0</v>
      </c>
      <c r="AV60" s="386">
        <f t="shared" si="8"/>
        <v>0</v>
      </c>
      <c r="AW60" s="386">
        <f t="shared" si="8"/>
        <v>0</v>
      </c>
      <c r="AX60" s="386">
        <f t="shared" si="7"/>
        <v>0</v>
      </c>
      <c r="AY60" s="386">
        <f t="shared" si="7"/>
        <v>0</v>
      </c>
      <c r="AZ60" s="386">
        <f t="shared" si="7"/>
        <v>0</v>
      </c>
      <c r="BA60" s="386">
        <f t="shared" si="7"/>
        <v>0</v>
      </c>
      <c r="BB60" s="386">
        <f t="shared" si="7"/>
        <v>0</v>
      </c>
      <c r="BC60" s="386">
        <f t="shared" si="7"/>
        <v>0</v>
      </c>
      <c r="BD60" s="386">
        <f t="shared" si="7"/>
        <v>0</v>
      </c>
    </row>
    <row r="61" spans="1:56" x14ac:dyDescent="0.25">
      <c r="A61" s="388">
        <v>45</v>
      </c>
      <c r="B61" s="358" t="s">
        <v>46</v>
      </c>
      <c r="C61" s="389">
        <f t="shared" si="1"/>
        <v>33834</v>
      </c>
      <c r="D61" s="389">
        <v>598</v>
      </c>
      <c r="E61" s="389">
        <v>699</v>
      </c>
      <c r="F61" s="389">
        <v>11851</v>
      </c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1865</v>
      </c>
      <c r="M61" s="389">
        <v>8034</v>
      </c>
      <c r="N61" s="389">
        <v>0</v>
      </c>
      <c r="O61" s="389">
        <v>0</v>
      </c>
      <c r="P61" s="389">
        <v>949</v>
      </c>
      <c r="Q61" s="389">
        <v>4601</v>
      </c>
      <c r="R61" s="389">
        <v>0</v>
      </c>
      <c r="S61" s="389">
        <v>2116</v>
      </c>
      <c r="T61" s="389">
        <v>3121</v>
      </c>
      <c r="U61" s="386">
        <v>33834</v>
      </c>
      <c r="V61" s="390">
        <f t="shared" si="2"/>
        <v>0</v>
      </c>
      <c r="W61" s="386">
        <v>598</v>
      </c>
      <c r="X61" s="386">
        <v>699</v>
      </c>
      <c r="Y61" s="386">
        <f t="shared" si="3"/>
        <v>0</v>
      </c>
      <c r="Z61" s="386">
        <f t="shared" si="3"/>
        <v>0</v>
      </c>
      <c r="AA61" s="386">
        <v>11851</v>
      </c>
      <c r="AB61" s="390">
        <f t="shared" si="4"/>
        <v>0</v>
      </c>
      <c r="AC61" s="386">
        <v>0</v>
      </c>
      <c r="AD61" s="390">
        <f t="shared" si="5"/>
        <v>0</v>
      </c>
      <c r="AE61" s="386">
        <v>0</v>
      </c>
      <c r="AF61" s="386">
        <v>0</v>
      </c>
      <c r="AG61" s="386">
        <v>0</v>
      </c>
      <c r="AH61" s="386">
        <v>0</v>
      </c>
      <c r="AI61" s="386">
        <v>1865</v>
      </c>
      <c r="AJ61" s="386">
        <v>8034</v>
      </c>
      <c r="AK61" s="386">
        <v>0</v>
      </c>
      <c r="AL61" s="386">
        <v>0</v>
      </c>
      <c r="AM61" s="386">
        <v>949</v>
      </c>
      <c r="AN61" s="386">
        <v>4601</v>
      </c>
      <c r="AO61" s="386">
        <v>0</v>
      </c>
      <c r="AP61" s="386">
        <v>2116</v>
      </c>
      <c r="AQ61" s="386">
        <v>3121</v>
      </c>
      <c r="AR61" s="386">
        <f t="shared" si="8"/>
        <v>0</v>
      </c>
      <c r="AS61" s="386">
        <f t="shared" si="8"/>
        <v>0</v>
      </c>
      <c r="AT61" s="386">
        <f t="shared" si="8"/>
        <v>0</v>
      </c>
      <c r="AU61" s="386">
        <f t="shared" si="8"/>
        <v>0</v>
      </c>
      <c r="AV61" s="386">
        <f t="shared" si="8"/>
        <v>0</v>
      </c>
      <c r="AW61" s="386">
        <f t="shared" si="8"/>
        <v>0</v>
      </c>
      <c r="AX61" s="386">
        <f t="shared" si="7"/>
        <v>0</v>
      </c>
      <c r="AY61" s="386">
        <f t="shared" si="7"/>
        <v>0</v>
      </c>
      <c r="AZ61" s="386">
        <f t="shared" si="7"/>
        <v>0</v>
      </c>
      <c r="BA61" s="386">
        <f t="shared" si="7"/>
        <v>0</v>
      </c>
      <c r="BB61" s="386">
        <f t="shared" si="7"/>
        <v>0</v>
      </c>
      <c r="BC61" s="386">
        <f t="shared" si="7"/>
        <v>0</v>
      </c>
      <c r="BD61" s="386">
        <f t="shared" si="7"/>
        <v>0</v>
      </c>
    </row>
    <row r="62" spans="1:56" ht="25.5" x14ac:dyDescent="0.25">
      <c r="A62" s="388">
        <v>46</v>
      </c>
      <c r="B62" s="368" t="s">
        <v>385</v>
      </c>
      <c r="C62" s="389">
        <f t="shared" si="1"/>
        <v>10138</v>
      </c>
      <c r="D62" s="389">
        <v>395</v>
      </c>
      <c r="E62" s="389">
        <v>100</v>
      </c>
      <c r="F62" s="389">
        <v>5000</v>
      </c>
      <c r="G62" s="389">
        <v>0</v>
      </c>
      <c r="H62" s="389">
        <v>0</v>
      </c>
      <c r="I62" s="389">
        <v>0</v>
      </c>
      <c r="J62" s="389">
        <v>0</v>
      </c>
      <c r="K62" s="389">
        <v>0</v>
      </c>
      <c r="L62" s="389">
        <v>275</v>
      </c>
      <c r="M62" s="389">
        <v>3320</v>
      </c>
      <c r="N62" s="389">
        <v>0</v>
      </c>
      <c r="O62" s="389">
        <v>0</v>
      </c>
      <c r="P62" s="389">
        <v>120</v>
      </c>
      <c r="Q62" s="389">
        <v>0</v>
      </c>
      <c r="R62" s="389">
        <v>0</v>
      </c>
      <c r="S62" s="389">
        <v>147</v>
      </c>
      <c r="T62" s="389">
        <v>781</v>
      </c>
      <c r="U62" s="386">
        <v>10138</v>
      </c>
      <c r="V62" s="390">
        <f t="shared" si="2"/>
        <v>0</v>
      </c>
      <c r="W62" s="386">
        <v>395</v>
      </c>
      <c r="X62" s="386">
        <v>100</v>
      </c>
      <c r="Y62" s="386">
        <f t="shared" si="3"/>
        <v>0</v>
      </c>
      <c r="Z62" s="386">
        <f t="shared" si="3"/>
        <v>0</v>
      </c>
      <c r="AA62" s="386">
        <v>5000</v>
      </c>
      <c r="AB62" s="390">
        <f t="shared" si="4"/>
        <v>0</v>
      </c>
      <c r="AC62" s="386">
        <v>0</v>
      </c>
      <c r="AD62" s="390">
        <f t="shared" si="5"/>
        <v>0</v>
      </c>
      <c r="AE62" s="386">
        <v>0</v>
      </c>
      <c r="AF62" s="386">
        <v>0</v>
      </c>
      <c r="AG62" s="386">
        <v>0</v>
      </c>
      <c r="AH62" s="386">
        <v>0</v>
      </c>
      <c r="AI62" s="386">
        <v>275</v>
      </c>
      <c r="AJ62" s="386">
        <v>3320</v>
      </c>
      <c r="AK62" s="386">
        <v>0</v>
      </c>
      <c r="AL62" s="386">
        <v>0</v>
      </c>
      <c r="AM62" s="386">
        <v>120</v>
      </c>
      <c r="AN62" s="386">
        <v>0</v>
      </c>
      <c r="AO62" s="386">
        <v>0</v>
      </c>
      <c r="AP62" s="386">
        <v>147</v>
      </c>
      <c r="AQ62" s="386">
        <v>781</v>
      </c>
      <c r="AR62" s="386">
        <f t="shared" si="8"/>
        <v>0</v>
      </c>
      <c r="AS62" s="386">
        <f t="shared" si="8"/>
        <v>0</v>
      </c>
      <c r="AT62" s="386">
        <f t="shared" si="8"/>
        <v>0</v>
      </c>
      <c r="AU62" s="386">
        <f t="shared" si="8"/>
        <v>0</v>
      </c>
      <c r="AV62" s="386">
        <f t="shared" si="8"/>
        <v>0</v>
      </c>
      <c r="AW62" s="386">
        <f t="shared" si="8"/>
        <v>0</v>
      </c>
      <c r="AX62" s="386">
        <f t="shared" si="7"/>
        <v>0</v>
      </c>
      <c r="AY62" s="386">
        <f t="shared" si="7"/>
        <v>0</v>
      </c>
      <c r="AZ62" s="386">
        <f t="shared" si="7"/>
        <v>0</v>
      </c>
      <c r="BA62" s="386">
        <f t="shared" si="7"/>
        <v>0</v>
      </c>
      <c r="BB62" s="386">
        <f t="shared" si="7"/>
        <v>0</v>
      </c>
      <c r="BC62" s="386">
        <f t="shared" si="7"/>
        <v>0</v>
      </c>
      <c r="BD62" s="386">
        <f t="shared" si="7"/>
        <v>0</v>
      </c>
    </row>
    <row r="63" spans="1:56" x14ac:dyDescent="0.25">
      <c r="A63" s="388">
        <v>47</v>
      </c>
      <c r="B63" s="358" t="s">
        <v>69</v>
      </c>
      <c r="C63" s="389">
        <f t="shared" si="1"/>
        <v>20116</v>
      </c>
      <c r="D63" s="389">
        <v>757</v>
      </c>
      <c r="E63" s="389">
        <v>500</v>
      </c>
      <c r="F63" s="389">
        <v>11280</v>
      </c>
      <c r="G63" s="389">
        <v>0</v>
      </c>
      <c r="H63" s="389">
        <v>0</v>
      </c>
      <c r="I63" s="389">
        <v>0</v>
      </c>
      <c r="J63" s="389">
        <v>0</v>
      </c>
      <c r="K63" s="389">
        <v>0</v>
      </c>
      <c r="L63" s="389">
        <v>1957</v>
      </c>
      <c r="M63" s="389">
        <v>3210</v>
      </c>
      <c r="N63" s="389">
        <v>0</v>
      </c>
      <c r="O63" s="389">
        <v>0</v>
      </c>
      <c r="P63" s="389">
        <v>0</v>
      </c>
      <c r="Q63" s="389">
        <v>0</v>
      </c>
      <c r="R63" s="389">
        <v>0</v>
      </c>
      <c r="S63" s="389">
        <v>1910</v>
      </c>
      <c r="T63" s="389">
        <v>502</v>
      </c>
      <c r="U63" s="386">
        <v>20116</v>
      </c>
      <c r="V63" s="390">
        <f t="shared" si="2"/>
        <v>0</v>
      </c>
      <c r="W63" s="386">
        <v>757</v>
      </c>
      <c r="X63" s="386">
        <v>500</v>
      </c>
      <c r="Y63" s="386">
        <f t="shared" si="3"/>
        <v>0</v>
      </c>
      <c r="Z63" s="386">
        <f t="shared" si="3"/>
        <v>0</v>
      </c>
      <c r="AA63" s="386">
        <v>11280</v>
      </c>
      <c r="AB63" s="390">
        <f t="shared" si="4"/>
        <v>0</v>
      </c>
      <c r="AC63" s="386">
        <v>0</v>
      </c>
      <c r="AD63" s="390">
        <f t="shared" si="5"/>
        <v>0</v>
      </c>
      <c r="AE63" s="386">
        <v>0</v>
      </c>
      <c r="AF63" s="386">
        <v>0</v>
      </c>
      <c r="AG63" s="386">
        <v>0</v>
      </c>
      <c r="AH63" s="386">
        <v>0</v>
      </c>
      <c r="AI63" s="386">
        <v>1957</v>
      </c>
      <c r="AJ63" s="386">
        <v>3210</v>
      </c>
      <c r="AK63" s="386">
        <v>0</v>
      </c>
      <c r="AL63" s="386">
        <v>0</v>
      </c>
      <c r="AM63" s="386">
        <v>0</v>
      </c>
      <c r="AN63" s="386">
        <v>0</v>
      </c>
      <c r="AO63" s="386">
        <v>0</v>
      </c>
      <c r="AP63" s="386">
        <v>1910</v>
      </c>
      <c r="AQ63" s="386">
        <v>502</v>
      </c>
      <c r="AR63" s="386">
        <f t="shared" si="8"/>
        <v>0</v>
      </c>
      <c r="AS63" s="386">
        <f t="shared" si="8"/>
        <v>0</v>
      </c>
      <c r="AT63" s="386">
        <f t="shared" si="8"/>
        <v>0</v>
      </c>
      <c r="AU63" s="386">
        <f t="shared" si="8"/>
        <v>0</v>
      </c>
      <c r="AV63" s="386">
        <f t="shared" si="8"/>
        <v>0</v>
      </c>
      <c r="AW63" s="386">
        <f t="shared" si="8"/>
        <v>0</v>
      </c>
      <c r="AX63" s="386">
        <f t="shared" si="7"/>
        <v>0</v>
      </c>
      <c r="AY63" s="386">
        <f t="shared" si="7"/>
        <v>0</v>
      </c>
      <c r="AZ63" s="386">
        <f t="shared" si="7"/>
        <v>0</v>
      </c>
      <c r="BA63" s="386">
        <f t="shared" si="7"/>
        <v>0</v>
      </c>
      <c r="BB63" s="386">
        <f t="shared" si="7"/>
        <v>0</v>
      </c>
      <c r="BC63" s="386">
        <f t="shared" si="7"/>
        <v>0</v>
      </c>
      <c r="BD63" s="386">
        <f t="shared" si="7"/>
        <v>0</v>
      </c>
    </row>
    <row r="64" spans="1:56" x14ac:dyDescent="0.25">
      <c r="A64" s="388">
        <v>48</v>
      </c>
      <c r="B64" s="352" t="s">
        <v>45</v>
      </c>
      <c r="C64" s="389">
        <f t="shared" si="1"/>
        <v>287540</v>
      </c>
      <c r="D64" s="389">
        <v>4720</v>
      </c>
      <c r="E64" s="389">
        <v>2647</v>
      </c>
      <c r="F64" s="389">
        <v>70093</v>
      </c>
      <c r="G64" s="389">
        <v>0</v>
      </c>
      <c r="H64" s="389">
        <v>2652</v>
      </c>
      <c r="I64" s="389">
        <v>0</v>
      </c>
      <c r="J64" s="389">
        <v>1025</v>
      </c>
      <c r="K64" s="389">
        <v>439</v>
      </c>
      <c r="L64" s="389">
        <v>24826</v>
      </c>
      <c r="M64" s="389">
        <v>88648</v>
      </c>
      <c r="N64" s="389">
        <v>239</v>
      </c>
      <c r="O64" s="389">
        <v>0</v>
      </c>
      <c r="P64" s="389">
        <v>0</v>
      </c>
      <c r="Q64" s="389">
        <v>14000</v>
      </c>
      <c r="R64" s="389">
        <v>0</v>
      </c>
      <c r="S64" s="389">
        <v>15618</v>
      </c>
      <c r="T64" s="389">
        <v>62633</v>
      </c>
      <c r="U64" s="386">
        <v>287540</v>
      </c>
      <c r="V64" s="390">
        <f t="shared" si="2"/>
        <v>0</v>
      </c>
      <c r="W64" s="386">
        <v>4720</v>
      </c>
      <c r="X64" s="386">
        <v>2647</v>
      </c>
      <c r="Y64" s="386">
        <f t="shared" si="3"/>
        <v>0</v>
      </c>
      <c r="Z64" s="386">
        <f t="shared" si="3"/>
        <v>0</v>
      </c>
      <c r="AA64" s="386">
        <v>70093</v>
      </c>
      <c r="AB64" s="390">
        <f t="shared" si="4"/>
        <v>0</v>
      </c>
      <c r="AC64" s="386">
        <v>0</v>
      </c>
      <c r="AD64" s="390">
        <f t="shared" si="5"/>
        <v>0</v>
      </c>
      <c r="AE64" s="386">
        <v>2652</v>
      </c>
      <c r="AF64" s="386">
        <v>0</v>
      </c>
      <c r="AG64" s="386">
        <v>1025</v>
      </c>
      <c r="AH64" s="386">
        <v>439</v>
      </c>
      <c r="AI64" s="386">
        <v>24826</v>
      </c>
      <c r="AJ64" s="386">
        <v>88648</v>
      </c>
      <c r="AK64" s="386">
        <v>239</v>
      </c>
      <c r="AL64" s="386">
        <v>0</v>
      </c>
      <c r="AM64" s="386">
        <v>0</v>
      </c>
      <c r="AN64" s="386">
        <v>14000</v>
      </c>
      <c r="AO64" s="386">
        <v>0</v>
      </c>
      <c r="AP64" s="386">
        <v>15618</v>
      </c>
      <c r="AQ64" s="386">
        <v>62633</v>
      </c>
      <c r="AR64" s="386">
        <f t="shared" si="8"/>
        <v>0</v>
      </c>
      <c r="AS64" s="386">
        <f t="shared" si="8"/>
        <v>0</v>
      </c>
      <c r="AT64" s="386">
        <f t="shared" si="8"/>
        <v>0</v>
      </c>
      <c r="AU64" s="386">
        <f t="shared" si="8"/>
        <v>0</v>
      </c>
      <c r="AV64" s="386">
        <f t="shared" si="8"/>
        <v>0</v>
      </c>
      <c r="AW64" s="386">
        <f t="shared" si="8"/>
        <v>0</v>
      </c>
      <c r="AX64" s="386">
        <f t="shared" si="7"/>
        <v>0</v>
      </c>
      <c r="AY64" s="386">
        <f t="shared" si="7"/>
        <v>0</v>
      </c>
      <c r="AZ64" s="386">
        <f t="shared" si="7"/>
        <v>0</v>
      </c>
      <c r="BA64" s="386">
        <f t="shared" si="7"/>
        <v>0</v>
      </c>
      <c r="BB64" s="386">
        <f t="shared" si="7"/>
        <v>0</v>
      </c>
      <c r="BC64" s="386">
        <f t="shared" si="7"/>
        <v>0</v>
      </c>
      <c r="BD64" s="386">
        <f t="shared" si="7"/>
        <v>0</v>
      </c>
    </row>
    <row r="65" spans="1:56" x14ac:dyDescent="0.25">
      <c r="A65" s="388">
        <v>49</v>
      </c>
      <c r="B65" s="358" t="s">
        <v>9</v>
      </c>
      <c r="C65" s="389">
        <f t="shared" si="1"/>
        <v>200670</v>
      </c>
      <c r="D65" s="389">
        <v>3415</v>
      </c>
      <c r="E65" s="389">
        <v>5205</v>
      </c>
      <c r="F65" s="389">
        <v>50083</v>
      </c>
      <c r="G65" s="389">
        <v>0</v>
      </c>
      <c r="H65" s="389">
        <v>0</v>
      </c>
      <c r="I65" s="389">
        <v>0</v>
      </c>
      <c r="J65" s="389">
        <v>1025</v>
      </c>
      <c r="K65" s="389">
        <v>439</v>
      </c>
      <c r="L65" s="389">
        <v>3383</v>
      </c>
      <c r="M65" s="389">
        <v>55323</v>
      </c>
      <c r="N65" s="389">
        <v>0</v>
      </c>
      <c r="O65" s="389">
        <v>0</v>
      </c>
      <c r="P65" s="389">
        <v>7950</v>
      </c>
      <c r="Q65" s="389">
        <v>35449</v>
      </c>
      <c r="R65" s="389">
        <v>0</v>
      </c>
      <c r="S65" s="389">
        <v>1558</v>
      </c>
      <c r="T65" s="389">
        <v>36840</v>
      </c>
      <c r="U65" s="386">
        <v>200670</v>
      </c>
      <c r="V65" s="390">
        <f t="shared" si="2"/>
        <v>0</v>
      </c>
      <c r="W65" s="386">
        <v>3415</v>
      </c>
      <c r="X65" s="386">
        <v>5205</v>
      </c>
      <c r="Y65" s="386">
        <f t="shared" si="3"/>
        <v>0</v>
      </c>
      <c r="Z65" s="386">
        <f t="shared" si="3"/>
        <v>0</v>
      </c>
      <c r="AA65" s="386">
        <v>50083</v>
      </c>
      <c r="AB65" s="390">
        <f t="shared" si="4"/>
        <v>0</v>
      </c>
      <c r="AC65" s="386">
        <v>0</v>
      </c>
      <c r="AD65" s="390">
        <f t="shared" si="5"/>
        <v>0</v>
      </c>
      <c r="AE65" s="386">
        <v>0</v>
      </c>
      <c r="AF65" s="386">
        <v>0</v>
      </c>
      <c r="AG65" s="386">
        <v>1025</v>
      </c>
      <c r="AH65" s="386">
        <v>439</v>
      </c>
      <c r="AI65" s="386">
        <v>3383</v>
      </c>
      <c r="AJ65" s="386">
        <v>55323</v>
      </c>
      <c r="AK65" s="386">
        <v>0</v>
      </c>
      <c r="AL65" s="386">
        <v>0</v>
      </c>
      <c r="AM65" s="386">
        <v>7950</v>
      </c>
      <c r="AN65" s="386">
        <v>35449</v>
      </c>
      <c r="AO65" s="386">
        <v>0</v>
      </c>
      <c r="AP65" s="386">
        <v>1558</v>
      </c>
      <c r="AQ65" s="386">
        <v>36840</v>
      </c>
      <c r="AR65" s="386">
        <f t="shared" si="8"/>
        <v>0</v>
      </c>
      <c r="AS65" s="386">
        <f t="shared" si="8"/>
        <v>0</v>
      </c>
      <c r="AT65" s="386">
        <f t="shared" si="8"/>
        <v>0</v>
      </c>
      <c r="AU65" s="386">
        <f t="shared" si="8"/>
        <v>0</v>
      </c>
      <c r="AV65" s="386">
        <f t="shared" si="8"/>
        <v>0</v>
      </c>
      <c r="AW65" s="386">
        <f t="shared" si="8"/>
        <v>0</v>
      </c>
      <c r="AX65" s="386">
        <f t="shared" si="7"/>
        <v>0</v>
      </c>
      <c r="AY65" s="386">
        <f t="shared" si="7"/>
        <v>0</v>
      </c>
      <c r="AZ65" s="386">
        <f t="shared" si="7"/>
        <v>0</v>
      </c>
      <c r="BA65" s="386">
        <f t="shared" si="7"/>
        <v>0</v>
      </c>
      <c r="BB65" s="386">
        <f t="shared" si="7"/>
        <v>0</v>
      </c>
      <c r="BC65" s="386">
        <f t="shared" si="7"/>
        <v>0</v>
      </c>
      <c r="BD65" s="386">
        <f t="shared" si="7"/>
        <v>0</v>
      </c>
    </row>
    <row r="66" spans="1:56" x14ac:dyDescent="0.25">
      <c r="A66" s="388">
        <v>50</v>
      </c>
      <c r="B66" s="352" t="s">
        <v>70</v>
      </c>
      <c r="C66" s="389">
        <f t="shared" si="1"/>
        <v>250971</v>
      </c>
      <c r="D66" s="389">
        <v>3893</v>
      </c>
      <c r="E66" s="389">
        <v>8047</v>
      </c>
      <c r="F66" s="389">
        <v>97942</v>
      </c>
      <c r="G66" s="389">
        <v>0</v>
      </c>
      <c r="H66" s="389">
        <v>19289</v>
      </c>
      <c r="I66" s="389">
        <v>0</v>
      </c>
      <c r="J66" s="389">
        <v>1025</v>
      </c>
      <c r="K66" s="389">
        <v>439</v>
      </c>
      <c r="L66" s="389">
        <v>6478</v>
      </c>
      <c r="M66" s="389">
        <v>60725</v>
      </c>
      <c r="N66" s="389">
        <v>0</v>
      </c>
      <c r="O66" s="389">
        <v>0</v>
      </c>
      <c r="P66" s="389">
        <v>8676</v>
      </c>
      <c r="Q66" s="389">
        <v>220</v>
      </c>
      <c r="R66" s="389">
        <v>0</v>
      </c>
      <c r="S66" s="389">
        <v>13131</v>
      </c>
      <c r="T66" s="389">
        <v>31106</v>
      </c>
      <c r="U66" s="386">
        <v>250971</v>
      </c>
      <c r="V66" s="390">
        <f t="shared" si="2"/>
        <v>0</v>
      </c>
      <c r="W66" s="386">
        <v>3893</v>
      </c>
      <c r="X66" s="386">
        <v>8047</v>
      </c>
      <c r="Y66" s="386">
        <f t="shared" si="3"/>
        <v>0</v>
      </c>
      <c r="Z66" s="386">
        <f t="shared" si="3"/>
        <v>0</v>
      </c>
      <c r="AA66" s="386">
        <v>97942</v>
      </c>
      <c r="AB66" s="390">
        <f t="shared" si="4"/>
        <v>0</v>
      </c>
      <c r="AC66" s="386">
        <v>0</v>
      </c>
      <c r="AD66" s="390">
        <f t="shared" si="5"/>
        <v>0</v>
      </c>
      <c r="AE66" s="386">
        <v>19289</v>
      </c>
      <c r="AF66" s="386">
        <v>0</v>
      </c>
      <c r="AG66" s="386">
        <v>1025</v>
      </c>
      <c r="AH66" s="386">
        <v>439</v>
      </c>
      <c r="AI66" s="386">
        <v>6478</v>
      </c>
      <c r="AJ66" s="386">
        <v>60725</v>
      </c>
      <c r="AK66" s="386">
        <v>0</v>
      </c>
      <c r="AL66" s="386">
        <v>0</v>
      </c>
      <c r="AM66" s="386">
        <v>8676</v>
      </c>
      <c r="AN66" s="386">
        <v>220</v>
      </c>
      <c r="AO66" s="386">
        <v>0</v>
      </c>
      <c r="AP66" s="386">
        <v>13131</v>
      </c>
      <c r="AQ66" s="386">
        <v>31106</v>
      </c>
      <c r="AR66" s="386">
        <f t="shared" si="8"/>
        <v>0</v>
      </c>
      <c r="AS66" s="386">
        <f t="shared" si="8"/>
        <v>0</v>
      </c>
      <c r="AT66" s="386">
        <f t="shared" si="8"/>
        <v>0</v>
      </c>
      <c r="AU66" s="386">
        <f t="shared" si="8"/>
        <v>0</v>
      </c>
      <c r="AV66" s="386">
        <f t="shared" si="8"/>
        <v>0</v>
      </c>
      <c r="AW66" s="386">
        <f t="shared" si="8"/>
        <v>0</v>
      </c>
      <c r="AX66" s="386">
        <f t="shared" si="7"/>
        <v>0</v>
      </c>
      <c r="AY66" s="386">
        <f t="shared" si="7"/>
        <v>0</v>
      </c>
      <c r="AZ66" s="386">
        <f t="shared" si="7"/>
        <v>0</v>
      </c>
      <c r="BA66" s="386">
        <f t="shared" si="7"/>
        <v>0</v>
      </c>
      <c r="BB66" s="386">
        <f t="shared" si="7"/>
        <v>0</v>
      </c>
      <c r="BC66" s="386">
        <f t="shared" si="7"/>
        <v>0</v>
      </c>
      <c r="BD66" s="386">
        <f t="shared" si="7"/>
        <v>0</v>
      </c>
    </row>
    <row r="67" spans="1:56" ht="25.5" x14ac:dyDescent="0.25">
      <c r="A67" s="388">
        <v>51</v>
      </c>
      <c r="B67" s="352" t="s">
        <v>454</v>
      </c>
      <c r="C67" s="389">
        <f t="shared" si="1"/>
        <v>2203</v>
      </c>
      <c r="D67" s="389">
        <v>0</v>
      </c>
      <c r="E67" s="389">
        <v>0</v>
      </c>
      <c r="F67" s="389">
        <v>0</v>
      </c>
      <c r="G67" s="389">
        <v>0</v>
      </c>
      <c r="H67" s="389">
        <v>0</v>
      </c>
      <c r="I67" s="389">
        <v>289</v>
      </c>
      <c r="J67" s="389">
        <v>0</v>
      </c>
      <c r="K67" s="389">
        <v>0</v>
      </c>
      <c r="L67" s="389">
        <v>0</v>
      </c>
      <c r="M67" s="389">
        <v>0</v>
      </c>
      <c r="N67" s="389">
        <v>0</v>
      </c>
      <c r="O67" s="389">
        <v>1914</v>
      </c>
      <c r="P67" s="389">
        <v>0</v>
      </c>
      <c r="Q67" s="389">
        <v>0</v>
      </c>
      <c r="R67" s="389">
        <v>0</v>
      </c>
      <c r="S67" s="389">
        <v>0</v>
      </c>
      <c r="T67" s="389">
        <v>0</v>
      </c>
      <c r="U67" s="386">
        <v>2203</v>
      </c>
      <c r="V67" s="390">
        <f t="shared" si="2"/>
        <v>0</v>
      </c>
      <c r="W67" s="386">
        <v>0</v>
      </c>
      <c r="X67" s="386">
        <v>0</v>
      </c>
      <c r="Y67" s="386">
        <f t="shared" si="3"/>
        <v>0</v>
      </c>
      <c r="Z67" s="386">
        <f t="shared" si="3"/>
        <v>0</v>
      </c>
      <c r="AA67" s="386">
        <v>0</v>
      </c>
      <c r="AB67" s="390">
        <f t="shared" si="4"/>
        <v>0</v>
      </c>
      <c r="AC67" s="386">
        <v>0</v>
      </c>
      <c r="AD67" s="390">
        <f t="shared" si="5"/>
        <v>0</v>
      </c>
      <c r="AE67" s="386">
        <v>0</v>
      </c>
      <c r="AF67" s="386">
        <v>289</v>
      </c>
      <c r="AG67" s="386">
        <v>0</v>
      </c>
      <c r="AH67" s="386">
        <v>0</v>
      </c>
      <c r="AI67" s="386">
        <v>0</v>
      </c>
      <c r="AJ67" s="386">
        <v>0</v>
      </c>
      <c r="AK67" s="386">
        <v>0</v>
      </c>
      <c r="AL67" s="386">
        <v>1914</v>
      </c>
      <c r="AM67" s="386">
        <v>0</v>
      </c>
      <c r="AN67" s="386">
        <v>0</v>
      </c>
      <c r="AO67" s="386">
        <v>0</v>
      </c>
      <c r="AP67" s="386">
        <v>0</v>
      </c>
      <c r="AQ67" s="386">
        <v>0</v>
      </c>
      <c r="AR67" s="386">
        <f t="shared" si="8"/>
        <v>0</v>
      </c>
      <c r="AS67" s="386">
        <f t="shared" si="8"/>
        <v>0</v>
      </c>
      <c r="AT67" s="386">
        <f t="shared" si="8"/>
        <v>0</v>
      </c>
      <c r="AU67" s="386">
        <f t="shared" si="8"/>
        <v>0</v>
      </c>
      <c r="AV67" s="386">
        <f t="shared" si="8"/>
        <v>0</v>
      </c>
      <c r="AW67" s="386">
        <f t="shared" si="8"/>
        <v>0</v>
      </c>
      <c r="AX67" s="386">
        <f t="shared" si="7"/>
        <v>0</v>
      </c>
      <c r="AY67" s="386">
        <f t="shared" si="7"/>
        <v>0</v>
      </c>
      <c r="AZ67" s="386">
        <f t="shared" si="7"/>
        <v>0</v>
      </c>
      <c r="BA67" s="386">
        <f t="shared" si="7"/>
        <v>0</v>
      </c>
      <c r="BB67" s="386">
        <f t="shared" si="7"/>
        <v>0</v>
      </c>
      <c r="BC67" s="386">
        <f t="shared" si="7"/>
        <v>0</v>
      </c>
      <c r="BD67" s="386">
        <f t="shared" si="7"/>
        <v>0</v>
      </c>
    </row>
    <row r="68" spans="1:56" x14ac:dyDescent="0.25">
      <c r="A68" s="388">
        <v>52</v>
      </c>
      <c r="B68" s="358" t="s">
        <v>20</v>
      </c>
      <c r="C68" s="389">
        <f t="shared" si="1"/>
        <v>81558</v>
      </c>
      <c r="D68" s="389">
        <v>1374</v>
      </c>
      <c r="E68" s="389">
        <v>2717</v>
      </c>
      <c r="F68" s="389">
        <v>14725</v>
      </c>
      <c r="G68" s="389">
        <v>0</v>
      </c>
      <c r="H68" s="389">
        <v>0</v>
      </c>
      <c r="I68" s="389">
        <v>0</v>
      </c>
      <c r="J68" s="389">
        <v>1025</v>
      </c>
      <c r="K68" s="389">
        <v>439</v>
      </c>
      <c r="L68" s="389">
        <v>6643</v>
      </c>
      <c r="M68" s="389">
        <v>30648</v>
      </c>
      <c r="N68" s="389">
        <v>0</v>
      </c>
      <c r="O68" s="389">
        <v>0</v>
      </c>
      <c r="P68" s="389">
        <v>800</v>
      </c>
      <c r="Q68" s="389">
        <v>6102</v>
      </c>
      <c r="R68" s="389">
        <v>0</v>
      </c>
      <c r="S68" s="389">
        <v>1471</v>
      </c>
      <c r="T68" s="389">
        <v>15614</v>
      </c>
      <c r="U68" s="386">
        <v>81558</v>
      </c>
      <c r="V68" s="390">
        <f t="shared" si="2"/>
        <v>0</v>
      </c>
      <c r="W68" s="386">
        <v>1374</v>
      </c>
      <c r="X68" s="386">
        <v>2717</v>
      </c>
      <c r="Y68" s="386">
        <f t="shared" si="3"/>
        <v>0</v>
      </c>
      <c r="Z68" s="386">
        <f t="shared" si="3"/>
        <v>0</v>
      </c>
      <c r="AA68" s="386">
        <v>14725</v>
      </c>
      <c r="AB68" s="390">
        <f t="shared" si="4"/>
        <v>0</v>
      </c>
      <c r="AC68" s="386">
        <v>0</v>
      </c>
      <c r="AD68" s="390">
        <f t="shared" si="5"/>
        <v>0</v>
      </c>
      <c r="AE68" s="386">
        <v>0</v>
      </c>
      <c r="AF68" s="386">
        <v>0</v>
      </c>
      <c r="AG68" s="386">
        <v>1025</v>
      </c>
      <c r="AH68" s="386">
        <v>439</v>
      </c>
      <c r="AI68" s="386">
        <v>6643</v>
      </c>
      <c r="AJ68" s="386">
        <v>30648</v>
      </c>
      <c r="AK68" s="386">
        <v>0</v>
      </c>
      <c r="AL68" s="386">
        <v>0</v>
      </c>
      <c r="AM68" s="386">
        <v>800</v>
      </c>
      <c r="AN68" s="386">
        <v>6102</v>
      </c>
      <c r="AO68" s="386">
        <v>0</v>
      </c>
      <c r="AP68" s="386">
        <v>1471</v>
      </c>
      <c r="AQ68" s="386">
        <v>15614</v>
      </c>
      <c r="AR68" s="386">
        <f t="shared" si="8"/>
        <v>0</v>
      </c>
      <c r="AS68" s="386">
        <f t="shared" si="8"/>
        <v>0</v>
      </c>
      <c r="AT68" s="386">
        <f t="shared" si="8"/>
        <v>0</v>
      </c>
      <c r="AU68" s="386">
        <f t="shared" si="8"/>
        <v>0</v>
      </c>
      <c r="AV68" s="386">
        <f t="shared" si="8"/>
        <v>0</v>
      </c>
      <c r="AW68" s="386">
        <f t="shared" si="8"/>
        <v>0</v>
      </c>
      <c r="AX68" s="386">
        <f t="shared" si="7"/>
        <v>0</v>
      </c>
      <c r="AY68" s="386">
        <f t="shared" si="7"/>
        <v>0</v>
      </c>
      <c r="AZ68" s="386">
        <f t="shared" si="7"/>
        <v>0</v>
      </c>
      <c r="BA68" s="386">
        <f t="shared" si="7"/>
        <v>0</v>
      </c>
      <c r="BB68" s="386">
        <f t="shared" si="7"/>
        <v>0</v>
      </c>
      <c r="BC68" s="386">
        <f t="shared" si="7"/>
        <v>0</v>
      </c>
      <c r="BD68" s="386">
        <f t="shared" si="7"/>
        <v>0</v>
      </c>
    </row>
    <row r="69" spans="1:56" x14ac:dyDescent="0.25">
      <c r="A69" s="388">
        <v>53</v>
      </c>
      <c r="B69" s="352" t="s">
        <v>7</v>
      </c>
      <c r="C69" s="389">
        <f t="shared" si="1"/>
        <v>58775</v>
      </c>
      <c r="D69" s="389">
        <v>1007</v>
      </c>
      <c r="E69" s="389">
        <v>2015</v>
      </c>
      <c r="F69" s="389">
        <v>19781</v>
      </c>
      <c r="G69" s="389">
        <v>0</v>
      </c>
      <c r="H69" s="389">
        <v>0</v>
      </c>
      <c r="I69" s="389">
        <v>0</v>
      </c>
      <c r="J69" s="389">
        <v>0</v>
      </c>
      <c r="K69" s="389">
        <v>0</v>
      </c>
      <c r="L69" s="389">
        <v>2724</v>
      </c>
      <c r="M69" s="389">
        <v>20545</v>
      </c>
      <c r="N69" s="389">
        <v>0</v>
      </c>
      <c r="O69" s="389">
        <v>0</v>
      </c>
      <c r="P69" s="389">
        <v>0</v>
      </c>
      <c r="Q69" s="389">
        <v>4506</v>
      </c>
      <c r="R69" s="389">
        <v>0</v>
      </c>
      <c r="S69" s="389">
        <v>2806</v>
      </c>
      <c r="T69" s="389">
        <v>5391</v>
      </c>
      <c r="U69" s="386">
        <v>58775</v>
      </c>
      <c r="V69" s="390">
        <f t="shared" si="2"/>
        <v>0</v>
      </c>
      <c r="W69" s="386">
        <v>1007</v>
      </c>
      <c r="X69" s="386">
        <v>2015</v>
      </c>
      <c r="Y69" s="386">
        <f t="shared" si="3"/>
        <v>0</v>
      </c>
      <c r="Z69" s="386">
        <f t="shared" si="3"/>
        <v>0</v>
      </c>
      <c r="AA69" s="386">
        <v>19781</v>
      </c>
      <c r="AB69" s="390">
        <f t="shared" si="4"/>
        <v>0</v>
      </c>
      <c r="AC69" s="386">
        <v>0</v>
      </c>
      <c r="AD69" s="390">
        <f t="shared" si="5"/>
        <v>0</v>
      </c>
      <c r="AE69" s="386">
        <v>0</v>
      </c>
      <c r="AF69" s="386">
        <v>0</v>
      </c>
      <c r="AG69" s="386">
        <v>0</v>
      </c>
      <c r="AH69" s="386">
        <v>0</v>
      </c>
      <c r="AI69" s="386">
        <v>2724</v>
      </c>
      <c r="AJ69" s="386">
        <v>20545</v>
      </c>
      <c r="AK69" s="386">
        <v>0</v>
      </c>
      <c r="AL69" s="386">
        <v>0</v>
      </c>
      <c r="AM69" s="386">
        <v>0</v>
      </c>
      <c r="AN69" s="386">
        <v>4506</v>
      </c>
      <c r="AO69" s="386">
        <v>0</v>
      </c>
      <c r="AP69" s="386">
        <v>2806</v>
      </c>
      <c r="AQ69" s="386">
        <v>5391</v>
      </c>
      <c r="AR69" s="386">
        <f t="shared" si="8"/>
        <v>0</v>
      </c>
      <c r="AS69" s="386">
        <f t="shared" si="8"/>
        <v>0</v>
      </c>
      <c r="AT69" s="386">
        <f t="shared" si="8"/>
        <v>0</v>
      </c>
      <c r="AU69" s="386">
        <f t="shared" si="8"/>
        <v>0</v>
      </c>
      <c r="AV69" s="386">
        <f t="shared" si="8"/>
        <v>0</v>
      </c>
      <c r="AW69" s="386">
        <f t="shared" si="8"/>
        <v>0</v>
      </c>
      <c r="AX69" s="386">
        <f t="shared" si="7"/>
        <v>0</v>
      </c>
      <c r="AY69" s="386">
        <f t="shared" si="7"/>
        <v>0</v>
      </c>
      <c r="AZ69" s="386">
        <f t="shared" si="7"/>
        <v>0</v>
      </c>
      <c r="BA69" s="386">
        <f t="shared" si="7"/>
        <v>0</v>
      </c>
      <c r="BB69" s="386">
        <f t="shared" si="7"/>
        <v>0</v>
      </c>
      <c r="BC69" s="386">
        <f t="shared" si="7"/>
        <v>0</v>
      </c>
      <c r="BD69" s="386">
        <f t="shared" si="7"/>
        <v>0</v>
      </c>
    </row>
    <row r="70" spans="1:56" x14ac:dyDescent="0.25">
      <c r="A70" s="388">
        <v>54</v>
      </c>
      <c r="B70" s="358" t="s">
        <v>12</v>
      </c>
      <c r="C70" s="389">
        <f t="shared" si="1"/>
        <v>45149</v>
      </c>
      <c r="D70" s="389">
        <v>778</v>
      </c>
      <c r="E70" s="389">
        <v>2924</v>
      </c>
      <c r="F70" s="389">
        <v>18722</v>
      </c>
      <c r="G70" s="389">
        <v>0</v>
      </c>
      <c r="H70" s="389">
        <v>0</v>
      </c>
      <c r="I70" s="389">
        <v>0</v>
      </c>
      <c r="J70" s="389">
        <v>0</v>
      </c>
      <c r="K70" s="389">
        <v>0</v>
      </c>
      <c r="L70" s="389">
        <v>2327</v>
      </c>
      <c r="M70" s="389">
        <v>11410</v>
      </c>
      <c r="N70" s="389">
        <v>0</v>
      </c>
      <c r="O70" s="389">
        <v>0</v>
      </c>
      <c r="P70" s="389">
        <v>0</v>
      </c>
      <c r="Q70" s="389">
        <v>4241</v>
      </c>
      <c r="R70" s="389">
        <v>0</v>
      </c>
      <c r="S70" s="389">
        <v>902</v>
      </c>
      <c r="T70" s="389">
        <v>3845</v>
      </c>
      <c r="U70" s="386">
        <v>45149</v>
      </c>
      <c r="V70" s="390">
        <f t="shared" si="2"/>
        <v>0</v>
      </c>
      <c r="W70" s="386">
        <v>778</v>
      </c>
      <c r="X70" s="386">
        <v>2924</v>
      </c>
      <c r="Y70" s="386">
        <f t="shared" si="3"/>
        <v>0</v>
      </c>
      <c r="Z70" s="386">
        <f t="shared" si="3"/>
        <v>0</v>
      </c>
      <c r="AA70" s="386">
        <v>18722</v>
      </c>
      <c r="AB70" s="390">
        <f t="shared" si="4"/>
        <v>0</v>
      </c>
      <c r="AC70" s="386">
        <v>0</v>
      </c>
      <c r="AD70" s="390">
        <f t="shared" si="5"/>
        <v>0</v>
      </c>
      <c r="AE70" s="386">
        <v>0</v>
      </c>
      <c r="AF70" s="386">
        <v>0</v>
      </c>
      <c r="AG70" s="386">
        <v>0</v>
      </c>
      <c r="AH70" s="386">
        <v>0</v>
      </c>
      <c r="AI70" s="386">
        <v>2327</v>
      </c>
      <c r="AJ70" s="386">
        <v>11410</v>
      </c>
      <c r="AK70" s="386">
        <v>0</v>
      </c>
      <c r="AL70" s="386">
        <v>0</v>
      </c>
      <c r="AM70" s="386">
        <v>0</v>
      </c>
      <c r="AN70" s="386">
        <v>4241</v>
      </c>
      <c r="AO70" s="386">
        <v>0</v>
      </c>
      <c r="AP70" s="386">
        <v>902</v>
      </c>
      <c r="AQ70" s="386">
        <v>3845</v>
      </c>
      <c r="AR70" s="386">
        <f t="shared" si="8"/>
        <v>0</v>
      </c>
      <c r="AS70" s="386">
        <f t="shared" si="8"/>
        <v>0</v>
      </c>
      <c r="AT70" s="386">
        <f t="shared" si="8"/>
        <v>0</v>
      </c>
      <c r="AU70" s="386">
        <f t="shared" si="8"/>
        <v>0</v>
      </c>
      <c r="AV70" s="386">
        <f t="shared" si="8"/>
        <v>0</v>
      </c>
      <c r="AW70" s="386">
        <f t="shared" si="8"/>
        <v>0</v>
      </c>
      <c r="AX70" s="386">
        <f t="shared" si="7"/>
        <v>0</v>
      </c>
      <c r="AY70" s="386">
        <f t="shared" si="7"/>
        <v>0</v>
      </c>
      <c r="AZ70" s="386">
        <f t="shared" si="7"/>
        <v>0</v>
      </c>
      <c r="BA70" s="386">
        <f t="shared" si="7"/>
        <v>0</v>
      </c>
      <c r="BB70" s="386">
        <f t="shared" si="7"/>
        <v>0</v>
      </c>
      <c r="BC70" s="386">
        <f t="shared" si="7"/>
        <v>0</v>
      </c>
      <c r="BD70" s="386">
        <f t="shared" si="7"/>
        <v>0</v>
      </c>
    </row>
    <row r="71" spans="1:56" x14ac:dyDescent="0.25">
      <c r="A71" s="388">
        <v>55</v>
      </c>
      <c r="B71" s="352" t="s">
        <v>27</v>
      </c>
      <c r="C71" s="389">
        <f t="shared" si="1"/>
        <v>68427</v>
      </c>
      <c r="D71" s="389">
        <v>1183</v>
      </c>
      <c r="E71" s="389">
        <v>850</v>
      </c>
      <c r="F71" s="389">
        <v>30796</v>
      </c>
      <c r="G71" s="389">
        <v>0</v>
      </c>
      <c r="H71" s="389">
        <v>0</v>
      </c>
      <c r="I71" s="389">
        <v>0</v>
      </c>
      <c r="J71" s="389">
        <v>0</v>
      </c>
      <c r="K71" s="389">
        <v>0</v>
      </c>
      <c r="L71" s="389">
        <v>5889</v>
      </c>
      <c r="M71" s="389">
        <v>9130</v>
      </c>
      <c r="N71" s="389">
        <v>0</v>
      </c>
      <c r="O71" s="389">
        <v>0</v>
      </c>
      <c r="P71" s="389">
        <v>2388</v>
      </c>
      <c r="Q71" s="389">
        <v>5998</v>
      </c>
      <c r="R71" s="389">
        <v>0</v>
      </c>
      <c r="S71" s="389">
        <v>3117</v>
      </c>
      <c r="T71" s="389">
        <v>9076</v>
      </c>
      <c r="U71" s="386">
        <v>68427</v>
      </c>
      <c r="V71" s="390">
        <f t="shared" si="2"/>
        <v>0</v>
      </c>
      <c r="W71" s="386">
        <v>1183</v>
      </c>
      <c r="X71" s="386">
        <v>850</v>
      </c>
      <c r="Y71" s="386">
        <f t="shared" si="3"/>
        <v>0</v>
      </c>
      <c r="Z71" s="386">
        <f t="shared" si="3"/>
        <v>0</v>
      </c>
      <c r="AA71" s="386">
        <v>30796</v>
      </c>
      <c r="AB71" s="390">
        <f t="shared" si="4"/>
        <v>0</v>
      </c>
      <c r="AC71" s="386">
        <v>0</v>
      </c>
      <c r="AD71" s="390">
        <f t="shared" si="5"/>
        <v>0</v>
      </c>
      <c r="AE71" s="386">
        <v>0</v>
      </c>
      <c r="AF71" s="386">
        <v>0</v>
      </c>
      <c r="AG71" s="386">
        <v>0</v>
      </c>
      <c r="AH71" s="386">
        <v>0</v>
      </c>
      <c r="AI71" s="386">
        <v>5889</v>
      </c>
      <c r="AJ71" s="386">
        <v>9130</v>
      </c>
      <c r="AK71" s="386">
        <v>0</v>
      </c>
      <c r="AL71" s="386">
        <v>0</v>
      </c>
      <c r="AM71" s="386">
        <v>2388</v>
      </c>
      <c r="AN71" s="386">
        <v>5998</v>
      </c>
      <c r="AO71" s="386">
        <v>0</v>
      </c>
      <c r="AP71" s="386">
        <v>3117</v>
      </c>
      <c r="AQ71" s="386">
        <v>9076</v>
      </c>
      <c r="AR71" s="386">
        <f t="shared" si="8"/>
        <v>0</v>
      </c>
      <c r="AS71" s="386">
        <f t="shared" si="8"/>
        <v>0</v>
      </c>
      <c r="AT71" s="386">
        <f t="shared" si="8"/>
        <v>0</v>
      </c>
      <c r="AU71" s="386">
        <f t="shared" si="8"/>
        <v>0</v>
      </c>
      <c r="AV71" s="386">
        <f t="shared" si="8"/>
        <v>0</v>
      </c>
      <c r="AW71" s="386">
        <f t="shared" si="8"/>
        <v>0</v>
      </c>
      <c r="AX71" s="386">
        <f t="shared" si="7"/>
        <v>0</v>
      </c>
      <c r="AY71" s="386">
        <f t="shared" si="7"/>
        <v>0</v>
      </c>
      <c r="AZ71" s="386">
        <f t="shared" si="7"/>
        <v>0</v>
      </c>
      <c r="BA71" s="386">
        <f t="shared" si="7"/>
        <v>0</v>
      </c>
      <c r="BB71" s="386">
        <f t="shared" si="7"/>
        <v>0</v>
      </c>
      <c r="BC71" s="386">
        <f t="shared" si="7"/>
        <v>0</v>
      </c>
      <c r="BD71" s="386">
        <f t="shared" si="7"/>
        <v>0</v>
      </c>
    </row>
    <row r="72" spans="1:56" x14ac:dyDescent="0.25">
      <c r="A72" s="388">
        <v>56</v>
      </c>
      <c r="B72" s="352" t="s">
        <v>457</v>
      </c>
      <c r="C72" s="389">
        <f t="shared" si="1"/>
        <v>44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44</v>
      </c>
      <c r="J72" s="389">
        <v>0</v>
      </c>
      <c r="K72" s="389">
        <v>0</v>
      </c>
      <c r="L72" s="389">
        <v>0</v>
      </c>
      <c r="M72" s="389">
        <v>0</v>
      </c>
      <c r="N72" s="389">
        <v>0</v>
      </c>
      <c r="O72" s="389">
        <v>0</v>
      </c>
      <c r="P72" s="389">
        <v>0</v>
      </c>
      <c r="Q72" s="389">
        <v>0</v>
      </c>
      <c r="R72" s="389">
        <v>0</v>
      </c>
      <c r="S72" s="389">
        <v>0</v>
      </c>
      <c r="T72" s="389">
        <v>0</v>
      </c>
      <c r="U72" s="386">
        <v>44</v>
      </c>
      <c r="V72" s="390">
        <f t="shared" si="2"/>
        <v>0</v>
      </c>
      <c r="W72" s="386">
        <v>0</v>
      </c>
      <c r="X72" s="386">
        <v>0</v>
      </c>
      <c r="Y72" s="386">
        <f t="shared" si="3"/>
        <v>0</v>
      </c>
      <c r="Z72" s="386">
        <f t="shared" si="3"/>
        <v>0</v>
      </c>
      <c r="AA72" s="386">
        <v>0</v>
      </c>
      <c r="AB72" s="390">
        <f t="shared" si="4"/>
        <v>0</v>
      </c>
      <c r="AC72" s="386">
        <v>0</v>
      </c>
      <c r="AD72" s="390">
        <f t="shared" si="5"/>
        <v>0</v>
      </c>
      <c r="AE72" s="386">
        <v>0</v>
      </c>
      <c r="AF72" s="386">
        <v>44</v>
      </c>
      <c r="AG72" s="386">
        <v>0</v>
      </c>
      <c r="AH72" s="386">
        <v>0</v>
      </c>
      <c r="AI72" s="386">
        <v>0</v>
      </c>
      <c r="AJ72" s="386">
        <v>0</v>
      </c>
      <c r="AK72" s="386">
        <v>0</v>
      </c>
      <c r="AL72" s="386">
        <v>0</v>
      </c>
      <c r="AM72" s="386">
        <v>0</v>
      </c>
      <c r="AN72" s="386">
        <v>0</v>
      </c>
      <c r="AO72" s="386">
        <v>0</v>
      </c>
      <c r="AP72" s="386">
        <v>0</v>
      </c>
      <c r="AQ72" s="386">
        <v>0</v>
      </c>
      <c r="AR72" s="386">
        <f t="shared" si="8"/>
        <v>0</v>
      </c>
      <c r="AS72" s="386">
        <f t="shared" si="8"/>
        <v>0</v>
      </c>
      <c r="AT72" s="386">
        <f t="shared" si="8"/>
        <v>0</v>
      </c>
      <c r="AU72" s="386">
        <f t="shared" si="8"/>
        <v>0</v>
      </c>
      <c r="AV72" s="386">
        <f t="shared" si="8"/>
        <v>0</v>
      </c>
      <c r="AW72" s="386">
        <f t="shared" si="8"/>
        <v>0</v>
      </c>
      <c r="AX72" s="386">
        <f t="shared" si="7"/>
        <v>0</v>
      </c>
      <c r="AY72" s="386">
        <f t="shared" si="7"/>
        <v>0</v>
      </c>
      <c r="AZ72" s="386">
        <f t="shared" si="7"/>
        <v>0</v>
      </c>
      <c r="BA72" s="386">
        <f t="shared" si="7"/>
        <v>0</v>
      </c>
      <c r="BB72" s="386">
        <f t="shared" si="7"/>
        <v>0</v>
      </c>
      <c r="BC72" s="386">
        <f t="shared" si="7"/>
        <v>0</v>
      </c>
      <c r="BD72" s="386">
        <f t="shared" si="7"/>
        <v>0</v>
      </c>
    </row>
    <row r="73" spans="1:56" x14ac:dyDescent="0.25">
      <c r="A73" s="388">
        <v>57</v>
      </c>
      <c r="B73" s="358" t="s">
        <v>23</v>
      </c>
      <c r="C73" s="389">
        <f t="shared" si="1"/>
        <v>28865</v>
      </c>
      <c r="D73" s="389">
        <v>514</v>
      </c>
      <c r="E73" s="389">
        <v>861</v>
      </c>
      <c r="F73" s="389">
        <v>12212</v>
      </c>
      <c r="G73" s="389">
        <v>0</v>
      </c>
      <c r="H73" s="389">
        <v>0</v>
      </c>
      <c r="I73" s="389">
        <v>0</v>
      </c>
      <c r="J73" s="389">
        <v>0</v>
      </c>
      <c r="K73" s="389">
        <v>0</v>
      </c>
      <c r="L73" s="389">
        <v>2251</v>
      </c>
      <c r="M73" s="389">
        <v>5513</v>
      </c>
      <c r="N73" s="389">
        <v>0</v>
      </c>
      <c r="O73" s="389">
        <v>0</v>
      </c>
      <c r="P73" s="389">
        <v>200</v>
      </c>
      <c r="Q73" s="389">
        <v>2808</v>
      </c>
      <c r="R73" s="389">
        <v>0</v>
      </c>
      <c r="S73" s="389">
        <v>306</v>
      </c>
      <c r="T73" s="389">
        <v>4200</v>
      </c>
      <c r="U73" s="386">
        <v>28865</v>
      </c>
      <c r="V73" s="390">
        <f t="shared" si="2"/>
        <v>0</v>
      </c>
      <c r="W73" s="386">
        <v>514</v>
      </c>
      <c r="X73" s="386">
        <v>861</v>
      </c>
      <c r="Y73" s="386">
        <f t="shared" si="3"/>
        <v>0</v>
      </c>
      <c r="Z73" s="386">
        <f t="shared" si="3"/>
        <v>0</v>
      </c>
      <c r="AA73" s="386">
        <v>12212</v>
      </c>
      <c r="AB73" s="390">
        <f t="shared" si="4"/>
        <v>0</v>
      </c>
      <c r="AC73" s="386">
        <v>0</v>
      </c>
      <c r="AD73" s="390">
        <f t="shared" si="5"/>
        <v>0</v>
      </c>
      <c r="AE73" s="386">
        <v>0</v>
      </c>
      <c r="AF73" s="386">
        <v>0</v>
      </c>
      <c r="AG73" s="386">
        <v>0</v>
      </c>
      <c r="AH73" s="386">
        <v>0</v>
      </c>
      <c r="AI73" s="386">
        <v>2251</v>
      </c>
      <c r="AJ73" s="386">
        <v>5513</v>
      </c>
      <c r="AK73" s="386">
        <v>0</v>
      </c>
      <c r="AL73" s="386">
        <v>0</v>
      </c>
      <c r="AM73" s="386">
        <v>200</v>
      </c>
      <c r="AN73" s="386">
        <v>2808</v>
      </c>
      <c r="AO73" s="386">
        <v>0</v>
      </c>
      <c r="AP73" s="386">
        <v>306</v>
      </c>
      <c r="AQ73" s="386">
        <v>4200</v>
      </c>
      <c r="AR73" s="386">
        <f t="shared" si="8"/>
        <v>0</v>
      </c>
      <c r="AS73" s="386">
        <f t="shared" si="8"/>
        <v>0</v>
      </c>
      <c r="AT73" s="386">
        <f t="shared" si="8"/>
        <v>0</v>
      </c>
      <c r="AU73" s="386">
        <f t="shared" si="8"/>
        <v>0</v>
      </c>
      <c r="AV73" s="386">
        <f t="shared" si="8"/>
        <v>0</v>
      </c>
      <c r="AW73" s="386">
        <f t="shared" si="8"/>
        <v>0</v>
      </c>
      <c r="AX73" s="386">
        <f t="shared" si="7"/>
        <v>0</v>
      </c>
      <c r="AY73" s="386">
        <f t="shared" si="7"/>
        <v>0</v>
      </c>
      <c r="AZ73" s="386">
        <f t="shared" si="7"/>
        <v>0</v>
      </c>
      <c r="BA73" s="386">
        <f t="shared" si="7"/>
        <v>0</v>
      </c>
      <c r="BB73" s="386">
        <f t="shared" si="7"/>
        <v>0</v>
      </c>
      <c r="BC73" s="386">
        <f t="shared" si="7"/>
        <v>0</v>
      </c>
      <c r="BD73" s="386">
        <f t="shared" si="7"/>
        <v>0</v>
      </c>
    </row>
    <row r="74" spans="1:56" x14ac:dyDescent="0.25">
      <c r="A74" s="388">
        <v>58</v>
      </c>
      <c r="B74" s="358" t="s">
        <v>40</v>
      </c>
      <c r="C74" s="389">
        <f t="shared" si="1"/>
        <v>57518</v>
      </c>
      <c r="D74" s="389">
        <v>975</v>
      </c>
      <c r="E74" s="389">
        <v>780</v>
      </c>
      <c r="F74" s="389">
        <v>17489</v>
      </c>
      <c r="G74" s="389">
        <v>0</v>
      </c>
      <c r="H74" s="389">
        <v>0</v>
      </c>
      <c r="I74" s="389">
        <v>0</v>
      </c>
      <c r="J74" s="389">
        <v>1025</v>
      </c>
      <c r="K74" s="389">
        <v>439</v>
      </c>
      <c r="L74" s="389">
        <v>1131</v>
      </c>
      <c r="M74" s="389">
        <v>12279</v>
      </c>
      <c r="N74" s="389">
        <v>0</v>
      </c>
      <c r="O74" s="389">
        <v>0</v>
      </c>
      <c r="P74" s="389">
        <v>6354</v>
      </c>
      <c r="Q74" s="389">
        <v>5239</v>
      </c>
      <c r="R74" s="389">
        <v>0</v>
      </c>
      <c r="S74" s="389">
        <v>442</v>
      </c>
      <c r="T74" s="389">
        <v>11365</v>
      </c>
      <c r="U74" s="386">
        <v>57518</v>
      </c>
      <c r="V74" s="390">
        <f t="shared" si="2"/>
        <v>0</v>
      </c>
      <c r="W74" s="386">
        <v>975</v>
      </c>
      <c r="X74" s="386">
        <v>780</v>
      </c>
      <c r="Y74" s="386">
        <f t="shared" si="3"/>
        <v>0</v>
      </c>
      <c r="Z74" s="386">
        <f t="shared" si="3"/>
        <v>0</v>
      </c>
      <c r="AA74" s="386">
        <v>17489</v>
      </c>
      <c r="AB74" s="390">
        <f t="shared" si="4"/>
        <v>0</v>
      </c>
      <c r="AC74" s="386">
        <v>0</v>
      </c>
      <c r="AD74" s="390">
        <f t="shared" si="5"/>
        <v>0</v>
      </c>
      <c r="AE74" s="386">
        <v>0</v>
      </c>
      <c r="AF74" s="386">
        <v>0</v>
      </c>
      <c r="AG74" s="386">
        <v>1025</v>
      </c>
      <c r="AH74" s="386">
        <v>439</v>
      </c>
      <c r="AI74" s="386">
        <v>1131</v>
      </c>
      <c r="AJ74" s="386">
        <v>12279</v>
      </c>
      <c r="AK74" s="386">
        <v>0</v>
      </c>
      <c r="AL74" s="386">
        <v>0</v>
      </c>
      <c r="AM74" s="386">
        <v>6354</v>
      </c>
      <c r="AN74" s="386">
        <v>5239</v>
      </c>
      <c r="AO74" s="386">
        <v>0</v>
      </c>
      <c r="AP74" s="386">
        <v>442</v>
      </c>
      <c r="AQ74" s="386">
        <v>11365</v>
      </c>
      <c r="AR74" s="386">
        <f t="shared" si="8"/>
        <v>0</v>
      </c>
      <c r="AS74" s="386">
        <f t="shared" si="8"/>
        <v>0</v>
      </c>
      <c r="AT74" s="386">
        <f t="shared" si="8"/>
        <v>0</v>
      </c>
      <c r="AU74" s="386">
        <f t="shared" si="8"/>
        <v>0</v>
      </c>
      <c r="AV74" s="386">
        <f t="shared" si="8"/>
        <v>0</v>
      </c>
      <c r="AW74" s="386">
        <f t="shared" si="8"/>
        <v>0</v>
      </c>
      <c r="AX74" s="386">
        <f t="shared" si="7"/>
        <v>0</v>
      </c>
      <c r="AY74" s="386">
        <f t="shared" si="7"/>
        <v>0</v>
      </c>
      <c r="AZ74" s="386">
        <f t="shared" si="7"/>
        <v>0</v>
      </c>
      <c r="BA74" s="386">
        <f t="shared" si="7"/>
        <v>0</v>
      </c>
      <c r="BB74" s="386">
        <f t="shared" si="7"/>
        <v>0</v>
      </c>
      <c r="BC74" s="386">
        <f t="shared" si="7"/>
        <v>0</v>
      </c>
      <c r="BD74" s="386">
        <f t="shared" si="7"/>
        <v>0</v>
      </c>
    </row>
    <row r="75" spans="1:56" x14ac:dyDescent="0.25">
      <c r="A75" s="388">
        <v>59</v>
      </c>
      <c r="B75" s="358" t="s">
        <v>2</v>
      </c>
      <c r="C75" s="389">
        <f t="shared" si="1"/>
        <v>84038</v>
      </c>
      <c r="D75" s="389">
        <v>1437</v>
      </c>
      <c r="E75" s="389">
        <v>5128</v>
      </c>
      <c r="F75" s="389">
        <v>31445</v>
      </c>
      <c r="G75" s="389">
        <v>0</v>
      </c>
      <c r="H75" s="389">
        <v>0</v>
      </c>
      <c r="I75" s="389">
        <v>0</v>
      </c>
      <c r="J75" s="389">
        <v>0</v>
      </c>
      <c r="K75" s="389">
        <v>0</v>
      </c>
      <c r="L75" s="389">
        <v>4406</v>
      </c>
      <c r="M75" s="389">
        <v>24854</v>
      </c>
      <c r="N75" s="389">
        <v>0</v>
      </c>
      <c r="O75" s="389">
        <v>0</v>
      </c>
      <c r="P75" s="389">
        <v>600</v>
      </c>
      <c r="Q75" s="389">
        <v>6559</v>
      </c>
      <c r="R75" s="389">
        <v>0</v>
      </c>
      <c r="S75" s="389">
        <v>242</v>
      </c>
      <c r="T75" s="389">
        <v>9367</v>
      </c>
      <c r="U75" s="386">
        <v>84038</v>
      </c>
      <c r="V75" s="390">
        <f t="shared" ref="V75:V138" si="9">U75-C75</f>
        <v>0</v>
      </c>
      <c r="W75" s="386">
        <v>1437</v>
      </c>
      <c r="X75" s="386">
        <v>5128</v>
      </c>
      <c r="Y75" s="386">
        <f t="shared" ref="Y75:Z138" si="10">W75-D75</f>
        <v>0</v>
      </c>
      <c r="Z75" s="386">
        <f t="shared" si="10"/>
        <v>0</v>
      </c>
      <c r="AA75" s="386">
        <v>31445</v>
      </c>
      <c r="AB75" s="390">
        <f t="shared" ref="AB75:AB138" si="11">AA75-F75</f>
        <v>0</v>
      </c>
      <c r="AC75" s="386">
        <v>0</v>
      </c>
      <c r="AD75" s="390">
        <f t="shared" ref="AD75:AD138" si="12">AC75-G75</f>
        <v>0</v>
      </c>
      <c r="AE75" s="386">
        <v>0</v>
      </c>
      <c r="AF75" s="386">
        <v>0</v>
      </c>
      <c r="AG75" s="386">
        <v>0</v>
      </c>
      <c r="AH75" s="386">
        <v>0</v>
      </c>
      <c r="AI75" s="386">
        <v>4406</v>
      </c>
      <c r="AJ75" s="386">
        <v>24854</v>
      </c>
      <c r="AK75" s="386">
        <v>0</v>
      </c>
      <c r="AL75" s="386">
        <v>0</v>
      </c>
      <c r="AM75" s="386">
        <v>600</v>
      </c>
      <c r="AN75" s="386">
        <v>6559</v>
      </c>
      <c r="AO75" s="386">
        <v>0</v>
      </c>
      <c r="AP75" s="386">
        <v>242</v>
      </c>
      <c r="AQ75" s="386">
        <v>9367</v>
      </c>
      <c r="AR75" s="386">
        <f t="shared" si="8"/>
        <v>0</v>
      </c>
      <c r="AS75" s="386">
        <f t="shared" si="8"/>
        <v>0</v>
      </c>
      <c r="AT75" s="386">
        <f t="shared" si="8"/>
        <v>0</v>
      </c>
      <c r="AU75" s="386">
        <f t="shared" si="8"/>
        <v>0</v>
      </c>
      <c r="AV75" s="386">
        <f t="shared" si="8"/>
        <v>0</v>
      </c>
      <c r="AW75" s="386">
        <f t="shared" si="8"/>
        <v>0</v>
      </c>
      <c r="AX75" s="386">
        <f t="shared" si="7"/>
        <v>0</v>
      </c>
      <c r="AY75" s="386">
        <f t="shared" si="7"/>
        <v>0</v>
      </c>
      <c r="AZ75" s="386">
        <f t="shared" si="7"/>
        <v>0</v>
      </c>
      <c r="BA75" s="386">
        <f t="shared" si="7"/>
        <v>0</v>
      </c>
      <c r="BB75" s="386">
        <f t="shared" si="7"/>
        <v>0</v>
      </c>
      <c r="BC75" s="386">
        <f t="shared" si="7"/>
        <v>0</v>
      </c>
      <c r="BD75" s="386">
        <f t="shared" si="7"/>
        <v>0</v>
      </c>
    </row>
    <row r="76" spans="1:56" x14ac:dyDescent="0.25">
      <c r="A76" s="388">
        <v>60</v>
      </c>
      <c r="B76" s="352" t="s">
        <v>50</v>
      </c>
      <c r="C76" s="389">
        <f t="shared" si="1"/>
        <v>45743</v>
      </c>
      <c r="D76" s="389">
        <v>788</v>
      </c>
      <c r="E76" s="389">
        <v>605</v>
      </c>
      <c r="F76" s="389">
        <v>10718</v>
      </c>
      <c r="G76" s="389">
        <v>0</v>
      </c>
      <c r="H76" s="389">
        <v>0</v>
      </c>
      <c r="I76" s="389">
        <v>0</v>
      </c>
      <c r="J76" s="389">
        <v>0</v>
      </c>
      <c r="K76" s="389">
        <v>0</v>
      </c>
      <c r="L76" s="389">
        <v>2853</v>
      </c>
      <c r="M76" s="389">
        <v>12883</v>
      </c>
      <c r="N76" s="389">
        <v>0</v>
      </c>
      <c r="O76" s="389">
        <v>0</v>
      </c>
      <c r="P76" s="389">
        <v>3278</v>
      </c>
      <c r="Q76" s="389">
        <v>3444</v>
      </c>
      <c r="R76" s="389">
        <v>0</v>
      </c>
      <c r="S76" s="389">
        <v>1821</v>
      </c>
      <c r="T76" s="389">
        <v>9353</v>
      </c>
      <c r="U76" s="386">
        <v>45743</v>
      </c>
      <c r="V76" s="390">
        <f t="shared" si="9"/>
        <v>0</v>
      </c>
      <c r="W76" s="386">
        <v>788</v>
      </c>
      <c r="X76" s="386">
        <v>605</v>
      </c>
      <c r="Y76" s="386">
        <f t="shared" si="10"/>
        <v>0</v>
      </c>
      <c r="Z76" s="386">
        <f t="shared" si="10"/>
        <v>0</v>
      </c>
      <c r="AA76" s="386">
        <v>10718</v>
      </c>
      <c r="AB76" s="390">
        <f t="shared" si="11"/>
        <v>0</v>
      </c>
      <c r="AC76" s="386">
        <v>0</v>
      </c>
      <c r="AD76" s="390">
        <f t="shared" si="12"/>
        <v>0</v>
      </c>
      <c r="AE76" s="386">
        <v>0</v>
      </c>
      <c r="AF76" s="386">
        <v>0</v>
      </c>
      <c r="AG76" s="386">
        <v>0</v>
      </c>
      <c r="AH76" s="386">
        <v>0</v>
      </c>
      <c r="AI76" s="386">
        <v>2853</v>
      </c>
      <c r="AJ76" s="386">
        <v>12883</v>
      </c>
      <c r="AK76" s="386">
        <v>0</v>
      </c>
      <c r="AL76" s="386">
        <v>0</v>
      </c>
      <c r="AM76" s="386">
        <v>3278</v>
      </c>
      <c r="AN76" s="386">
        <v>3444</v>
      </c>
      <c r="AO76" s="386">
        <v>0</v>
      </c>
      <c r="AP76" s="386">
        <v>1821</v>
      </c>
      <c r="AQ76" s="386">
        <v>9353</v>
      </c>
      <c r="AR76" s="386">
        <f t="shared" si="8"/>
        <v>0</v>
      </c>
      <c r="AS76" s="386">
        <f t="shared" si="8"/>
        <v>0</v>
      </c>
      <c r="AT76" s="386">
        <f t="shared" si="8"/>
        <v>0</v>
      </c>
      <c r="AU76" s="386">
        <f t="shared" si="8"/>
        <v>0</v>
      </c>
      <c r="AV76" s="386">
        <f t="shared" si="8"/>
        <v>0</v>
      </c>
      <c r="AW76" s="386">
        <f t="shared" si="8"/>
        <v>0</v>
      </c>
      <c r="AX76" s="386">
        <f t="shared" si="7"/>
        <v>0</v>
      </c>
      <c r="AY76" s="386">
        <f t="shared" si="7"/>
        <v>0</v>
      </c>
      <c r="AZ76" s="386">
        <f t="shared" si="7"/>
        <v>0</v>
      </c>
      <c r="BA76" s="386">
        <f t="shared" si="7"/>
        <v>0</v>
      </c>
      <c r="BB76" s="386">
        <f t="shared" si="7"/>
        <v>0</v>
      </c>
      <c r="BC76" s="386">
        <f t="shared" si="7"/>
        <v>0</v>
      </c>
      <c r="BD76" s="386">
        <f t="shared" si="7"/>
        <v>0</v>
      </c>
    </row>
    <row r="77" spans="1:56" ht="25.5" x14ac:dyDescent="0.25">
      <c r="A77" s="388">
        <v>61</v>
      </c>
      <c r="B77" s="358" t="s">
        <v>455</v>
      </c>
      <c r="C77" s="389">
        <f t="shared" ref="C77:C141" si="13">D77+E77+F77+G77+H77+I77+J77+K77+L77+M77+N77+P77+Q77+R77+S77+T77+O77</f>
        <v>55</v>
      </c>
      <c r="D77" s="389">
        <v>0</v>
      </c>
      <c r="E77" s="389">
        <v>0</v>
      </c>
      <c r="F77" s="389">
        <v>0</v>
      </c>
      <c r="G77" s="389">
        <v>0</v>
      </c>
      <c r="H77" s="389">
        <v>0</v>
      </c>
      <c r="I77" s="389">
        <v>55</v>
      </c>
      <c r="J77" s="389">
        <v>0</v>
      </c>
      <c r="K77" s="389">
        <v>0</v>
      </c>
      <c r="L77" s="389">
        <v>0</v>
      </c>
      <c r="M77" s="389">
        <v>0</v>
      </c>
      <c r="N77" s="389">
        <v>0</v>
      </c>
      <c r="O77" s="389">
        <v>0</v>
      </c>
      <c r="P77" s="389">
        <v>0</v>
      </c>
      <c r="Q77" s="389">
        <v>0</v>
      </c>
      <c r="R77" s="389">
        <v>0</v>
      </c>
      <c r="S77" s="389">
        <v>0</v>
      </c>
      <c r="T77" s="389">
        <v>0</v>
      </c>
      <c r="U77" s="386">
        <v>55</v>
      </c>
      <c r="V77" s="390">
        <f t="shared" si="9"/>
        <v>0</v>
      </c>
      <c r="W77" s="386">
        <v>0</v>
      </c>
      <c r="X77" s="386">
        <v>0</v>
      </c>
      <c r="Y77" s="386">
        <f t="shared" si="10"/>
        <v>0</v>
      </c>
      <c r="Z77" s="386">
        <f t="shared" si="10"/>
        <v>0</v>
      </c>
      <c r="AA77" s="386">
        <v>0</v>
      </c>
      <c r="AB77" s="390">
        <f t="shared" si="11"/>
        <v>0</v>
      </c>
      <c r="AC77" s="386">
        <v>0</v>
      </c>
      <c r="AD77" s="390">
        <f t="shared" si="12"/>
        <v>0</v>
      </c>
      <c r="AE77" s="386">
        <v>0</v>
      </c>
      <c r="AF77" s="386">
        <v>55</v>
      </c>
      <c r="AG77" s="386">
        <v>0</v>
      </c>
      <c r="AH77" s="386">
        <v>0</v>
      </c>
      <c r="AI77" s="386">
        <v>0</v>
      </c>
      <c r="AJ77" s="386">
        <v>0</v>
      </c>
      <c r="AK77" s="386">
        <v>0</v>
      </c>
      <c r="AL77" s="386">
        <v>0</v>
      </c>
      <c r="AM77" s="386">
        <v>0</v>
      </c>
      <c r="AN77" s="386">
        <v>0</v>
      </c>
      <c r="AO77" s="386">
        <v>0</v>
      </c>
      <c r="AP77" s="386">
        <v>0</v>
      </c>
      <c r="AQ77" s="386">
        <v>0</v>
      </c>
      <c r="AR77" s="386">
        <f t="shared" si="8"/>
        <v>0</v>
      </c>
      <c r="AS77" s="386">
        <f t="shared" si="8"/>
        <v>0</v>
      </c>
      <c r="AT77" s="386">
        <f t="shared" si="8"/>
        <v>0</v>
      </c>
      <c r="AU77" s="386">
        <f t="shared" si="8"/>
        <v>0</v>
      </c>
      <c r="AV77" s="386">
        <f t="shared" si="8"/>
        <v>0</v>
      </c>
      <c r="AW77" s="386">
        <f t="shared" si="8"/>
        <v>0</v>
      </c>
      <c r="AX77" s="386">
        <f t="shared" si="7"/>
        <v>0</v>
      </c>
      <c r="AY77" s="386">
        <f t="shared" si="7"/>
        <v>0</v>
      </c>
      <c r="AZ77" s="386">
        <f t="shared" si="7"/>
        <v>0</v>
      </c>
      <c r="BA77" s="386">
        <f t="shared" si="7"/>
        <v>0</v>
      </c>
      <c r="BB77" s="386">
        <f t="shared" si="7"/>
        <v>0</v>
      </c>
      <c r="BC77" s="386">
        <f t="shared" si="7"/>
        <v>0</v>
      </c>
      <c r="BD77" s="386">
        <f t="shared" si="7"/>
        <v>0</v>
      </c>
    </row>
    <row r="78" spans="1:56" x14ac:dyDescent="0.25">
      <c r="A78" s="388">
        <v>62</v>
      </c>
      <c r="B78" s="358" t="s">
        <v>456</v>
      </c>
      <c r="C78" s="389">
        <f t="shared" si="13"/>
        <v>25</v>
      </c>
      <c r="D78" s="389">
        <v>0</v>
      </c>
      <c r="E78" s="389">
        <v>0</v>
      </c>
      <c r="F78" s="389">
        <v>0</v>
      </c>
      <c r="G78" s="389">
        <v>0</v>
      </c>
      <c r="H78" s="389">
        <v>0</v>
      </c>
      <c r="I78" s="389">
        <v>25</v>
      </c>
      <c r="J78" s="389">
        <v>0</v>
      </c>
      <c r="K78" s="389">
        <v>0</v>
      </c>
      <c r="L78" s="389">
        <v>0</v>
      </c>
      <c r="M78" s="389">
        <v>0</v>
      </c>
      <c r="N78" s="389">
        <v>0</v>
      </c>
      <c r="O78" s="389">
        <v>0</v>
      </c>
      <c r="P78" s="389">
        <v>0</v>
      </c>
      <c r="Q78" s="389">
        <v>0</v>
      </c>
      <c r="R78" s="389">
        <v>0</v>
      </c>
      <c r="S78" s="389">
        <v>0</v>
      </c>
      <c r="T78" s="389">
        <v>0</v>
      </c>
      <c r="U78" s="386">
        <v>25</v>
      </c>
      <c r="V78" s="390">
        <f t="shared" si="9"/>
        <v>0</v>
      </c>
      <c r="W78" s="386">
        <v>0</v>
      </c>
      <c r="X78" s="386">
        <v>0</v>
      </c>
      <c r="Y78" s="386">
        <f t="shared" si="10"/>
        <v>0</v>
      </c>
      <c r="Z78" s="386">
        <f t="shared" si="10"/>
        <v>0</v>
      </c>
      <c r="AA78" s="386">
        <v>0</v>
      </c>
      <c r="AB78" s="390">
        <f t="shared" si="11"/>
        <v>0</v>
      </c>
      <c r="AC78" s="386">
        <v>0</v>
      </c>
      <c r="AD78" s="390">
        <f t="shared" si="12"/>
        <v>0</v>
      </c>
      <c r="AE78" s="386">
        <v>0</v>
      </c>
      <c r="AF78" s="386">
        <v>25</v>
      </c>
      <c r="AG78" s="386">
        <v>0</v>
      </c>
      <c r="AH78" s="386">
        <v>0</v>
      </c>
      <c r="AI78" s="386">
        <v>0</v>
      </c>
      <c r="AJ78" s="386">
        <v>0</v>
      </c>
      <c r="AK78" s="386">
        <v>0</v>
      </c>
      <c r="AL78" s="386">
        <v>0</v>
      </c>
      <c r="AM78" s="386">
        <v>0</v>
      </c>
      <c r="AN78" s="386">
        <v>0</v>
      </c>
      <c r="AO78" s="386">
        <v>0</v>
      </c>
      <c r="AP78" s="386">
        <v>0</v>
      </c>
      <c r="AQ78" s="386">
        <v>0</v>
      </c>
      <c r="AR78" s="386">
        <f t="shared" si="8"/>
        <v>0</v>
      </c>
      <c r="AS78" s="386">
        <f t="shared" si="8"/>
        <v>0</v>
      </c>
      <c r="AT78" s="386">
        <f t="shared" si="8"/>
        <v>0</v>
      </c>
      <c r="AU78" s="386">
        <f t="shared" si="8"/>
        <v>0</v>
      </c>
      <c r="AV78" s="386">
        <f t="shared" si="8"/>
        <v>0</v>
      </c>
      <c r="AW78" s="386">
        <f t="shared" si="8"/>
        <v>0</v>
      </c>
      <c r="AX78" s="386">
        <f t="shared" si="7"/>
        <v>0</v>
      </c>
      <c r="AY78" s="386">
        <f t="shared" si="7"/>
        <v>0</v>
      </c>
      <c r="AZ78" s="386">
        <f t="shared" si="7"/>
        <v>0</v>
      </c>
      <c r="BA78" s="386">
        <f t="shared" si="7"/>
        <v>0</v>
      </c>
      <c r="BB78" s="386">
        <f t="shared" si="7"/>
        <v>0</v>
      </c>
      <c r="BC78" s="386">
        <f t="shared" si="7"/>
        <v>0</v>
      </c>
      <c r="BD78" s="386">
        <f t="shared" si="7"/>
        <v>0</v>
      </c>
    </row>
    <row r="79" spans="1:56" ht="25.5" x14ac:dyDescent="0.25">
      <c r="A79" s="388">
        <v>63</v>
      </c>
      <c r="B79" s="358" t="s">
        <v>459</v>
      </c>
      <c r="C79" s="389">
        <f t="shared" si="13"/>
        <v>22</v>
      </c>
      <c r="D79" s="389">
        <v>0</v>
      </c>
      <c r="E79" s="389">
        <v>0</v>
      </c>
      <c r="F79" s="389">
        <v>0</v>
      </c>
      <c r="G79" s="389">
        <v>0</v>
      </c>
      <c r="H79" s="389">
        <v>0</v>
      </c>
      <c r="I79" s="389">
        <v>22</v>
      </c>
      <c r="J79" s="389">
        <v>0</v>
      </c>
      <c r="K79" s="389">
        <v>0</v>
      </c>
      <c r="L79" s="389">
        <v>0</v>
      </c>
      <c r="M79" s="389">
        <v>0</v>
      </c>
      <c r="N79" s="389">
        <v>0</v>
      </c>
      <c r="O79" s="389">
        <v>0</v>
      </c>
      <c r="P79" s="389">
        <v>0</v>
      </c>
      <c r="Q79" s="389">
        <v>0</v>
      </c>
      <c r="R79" s="389">
        <v>0</v>
      </c>
      <c r="S79" s="389">
        <v>0</v>
      </c>
      <c r="T79" s="389">
        <v>0</v>
      </c>
      <c r="U79" s="386">
        <v>22</v>
      </c>
      <c r="V79" s="390">
        <f t="shared" si="9"/>
        <v>0</v>
      </c>
      <c r="W79" s="386">
        <v>0</v>
      </c>
      <c r="X79" s="386">
        <v>0</v>
      </c>
      <c r="Y79" s="386">
        <f t="shared" si="10"/>
        <v>0</v>
      </c>
      <c r="Z79" s="386">
        <f t="shared" si="10"/>
        <v>0</v>
      </c>
      <c r="AA79" s="386">
        <v>0</v>
      </c>
      <c r="AB79" s="390">
        <f t="shared" si="11"/>
        <v>0</v>
      </c>
      <c r="AC79" s="386">
        <v>0</v>
      </c>
      <c r="AD79" s="390">
        <f t="shared" si="12"/>
        <v>0</v>
      </c>
      <c r="AE79" s="386">
        <v>0</v>
      </c>
      <c r="AF79" s="386">
        <v>22</v>
      </c>
      <c r="AG79" s="386">
        <v>0</v>
      </c>
      <c r="AH79" s="386">
        <v>0</v>
      </c>
      <c r="AI79" s="386">
        <v>0</v>
      </c>
      <c r="AJ79" s="386">
        <v>0</v>
      </c>
      <c r="AK79" s="386">
        <v>0</v>
      </c>
      <c r="AL79" s="386">
        <v>0</v>
      </c>
      <c r="AM79" s="386">
        <v>0</v>
      </c>
      <c r="AN79" s="386">
        <v>0</v>
      </c>
      <c r="AO79" s="386">
        <v>0</v>
      </c>
      <c r="AP79" s="386">
        <v>0</v>
      </c>
      <c r="AQ79" s="386">
        <v>0</v>
      </c>
      <c r="AR79" s="386">
        <f t="shared" si="8"/>
        <v>0</v>
      </c>
      <c r="AS79" s="386">
        <f t="shared" si="8"/>
        <v>0</v>
      </c>
      <c r="AT79" s="386">
        <f t="shared" si="8"/>
        <v>0</v>
      </c>
      <c r="AU79" s="386">
        <f t="shared" si="8"/>
        <v>0</v>
      </c>
      <c r="AV79" s="386">
        <f t="shared" si="8"/>
        <v>0</v>
      </c>
      <c r="AW79" s="386">
        <f t="shared" si="8"/>
        <v>0</v>
      </c>
      <c r="AX79" s="386">
        <f t="shared" si="7"/>
        <v>0</v>
      </c>
      <c r="AY79" s="386">
        <f t="shared" si="7"/>
        <v>0</v>
      </c>
      <c r="AZ79" s="386">
        <f t="shared" si="7"/>
        <v>0</v>
      </c>
      <c r="BA79" s="386">
        <f t="shared" si="7"/>
        <v>0</v>
      </c>
      <c r="BB79" s="386">
        <f t="shared" si="7"/>
        <v>0</v>
      </c>
      <c r="BC79" s="386">
        <f t="shared" si="7"/>
        <v>0</v>
      </c>
      <c r="BD79" s="386">
        <f t="shared" si="7"/>
        <v>0</v>
      </c>
    </row>
    <row r="80" spans="1:56" ht="25.5" x14ac:dyDescent="0.25">
      <c r="A80" s="388">
        <v>64</v>
      </c>
      <c r="B80" s="83" t="s">
        <v>461</v>
      </c>
      <c r="C80" s="389">
        <f t="shared" si="13"/>
        <v>195871</v>
      </c>
      <c r="D80" s="389">
        <v>0</v>
      </c>
      <c r="E80" s="389">
        <v>2174</v>
      </c>
      <c r="F80" s="389">
        <v>23636</v>
      </c>
      <c r="G80" s="389">
        <v>0</v>
      </c>
      <c r="H80" s="389">
        <v>0</v>
      </c>
      <c r="I80" s="389">
        <v>0</v>
      </c>
      <c r="J80" s="389">
        <v>0</v>
      </c>
      <c r="K80" s="389">
        <v>0</v>
      </c>
      <c r="L80" s="389">
        <v>3917</v>
      </c>
      <c r="M80" s="389">
        <v>48286</v>
      </c>
      <c r="N80" s="389">
        <v>111</v>
      </c>
      <c r="O80" s="389">
        <v>0</v>
      </c>
      <c r="P80" s="389">
        <v>0</v>
      </c>
      <c r="Q80" s="389">
        <v>0</v>
      </c>
      <c r="R80" s="389">
        <v>0</v>
      </c>
      <c r="S80" s="389">
        <v>1103</v>
      </c>
      <c r="T80" s="389">
        <v>116644</v>
      </c>
      <c r="U80" s="386">
        <v>195871</v>
      </c>
      <c r="V80" s="390">
        <f t="shared" si="9"/>
        <v>0</v>
      </c>
      <c r="W80" s="386">
        <v>0</v>
      </c>
      <c r="X80" s="386">
        <v>2174</v>
      </c>
      <c r="Y80" s="386">
        <f t="shared" si="10"/>
        <v>0</v>
      </c>
      <c r="Z80" s="386">
        <f t="shared" si="10"/>
        <v>0</v>
      </c>
      <c r="AA80" s="386">
        <v>23636</v>
      </c>
      <c r="AB80" s="390">
        <f t="shared" si="11"/>
        <v>0</v>
      </c>
      <c r="AC80" s="386">
        <v>0</v>
      </c>
      <c r="AD80" s="390">
        <f t="shared" si="12"/>
        <v>0</v>
      </c>
      <c r="AE80" s="386">
        <v>0</v>
      </c>
      <c r="AF80" s="386">
        <v>0</v>
      </c>
      <c r="AG80" s="386">
        <v>0</v>
      </c>
      <c r="AH80" s="386">
        <v>0</v>
      </c>
      <c r="AI80" s="386">
        <v>3917</v>
      </c>
      <c r="AJ80" s="386">
        <v>48286</v>
      </c>
      <c r="AK80" s="386">
        <v>111</v>
      </c>
      <c r="AL80" s="386">
        <v>0</v>
      </c>
      <c r="AM80" s="386">
        <v>0</v>
      </c>
      <c r="AN80" s="386">
        <v>0</v>
      </c>
      <c r="AO80" s="386">
        <v>0</v>
      </c>
      <c r="AP80" s="386">
        <v>1103</v>
      </c>
      <c r="AQ80" s="386">
        <v>116644</v>
      </c>
      <c r="AR80" s="386">
        <f t="shared" si="8"/>
        <v>0</v>
      </c>
      <c r="AS80" s="386">
        <f t="shared" si="8"/>
        <v>0</v>
      </c>
      <c r="AT80" s="386">
        <f t="shared" si="8"/>
        <v>0</v>
      </c>
      <c r="AU80" s="386">
        <f t="shared" si="8"/>
        <v>0</v>
      </c>
      <c r="AV80" s="386">
        <f t="shared" si="8"/>
        <v>0</v>
      </c>
      <c r="AW80" s="386">
        <f t="shared" si="8"/>
        <v>0</v>
      </c>
      <c r="AX80" s="386">
        <f t="shared" si="7"/>
        <v>0</v>
      </c>
      <c r="AY80" s="386">
        <f t="shared" si="7"/>
        <v>0</v>
      </c>
      <c r="AZ80" s="386">
        <f t="shared" si="7"/>
        <v>0</v>
      </c>
      <c r="BA80" s="386">
        <f t="shared" ref="BA80:BD143" si="14">AN80-Q80</f>
        <v>0</v>
      </c>
      <c r="BB80" s="386">
        <f t="shared" si="14"/>
        <v>0</v>
      </c>
      <c r="BC80" s="386">
        <f t="shared" si="14"/>
        <v>0</v>
      </c>
      <c r="BD80" s="386">
        <f t="shared" si="14"/>
        <v>0</v>
      </c>
    </row>
    <row r="81" spans="1:56" ht="25.5" x14ac:dyDescent="0.25">
      <c r="A81" s="388">
        <v>65</v>
      </c>
      <c r="B81" s="83" t="s">
        <v>462</v>
      </c>
      <c r="C81" s="389">
        <f t="shared" si="13"/>
        <v>169216</v>
      </c>
      <c r="D81" s="389">
        <v>0</v>
      </c>
      <c r="E81" s="389">
        <v>1520</v>
      </c>
      <c r="F81" s="389">
        <v>20920</v>
      </c>
      <c r="G81" s="389">
        <v>0</v>
      </c>
      <c r="H81" s="389">
        <v>0</v>
      </c>
      <c r="I81" s="389">
        <v>0</v>
      </c>
      <c r="J81" s="389">
        <v>0</v>
      </c>
      <c r="K81" s="389">
        <v>0</v>
      </c>
      <c r="L81" s="389">
        <v>2055</v>
      </c>
      <c r="M81" s="389">
        <v>53385</v>
      </c>
      <c r="N81" s="389">
        <v>0</v>
      </c>
      <c r="O81" s="389">
        <v>0</v>
      </c>
      <c r="P81" s="389">
        <v>0</v>
      </c>
      <c r="Q81" s="389">
        <v>0</v>
      </c>
      <c r="R81" s="389">
        <v>0</v>
      </c>
      <c r="S81" s="389">
        <v>408</v>
      </c>
      <c r="T81" s="389">
        <v>90928</v>
      </c>
      <c r="U81" s="386">
        <v>169216</v>
      </c>
      <c r="V81" s="390">
        <f t="shared" si="9"/>
        <v>0</v>
      </c>
      <c r="W81" s="386">
        <v>0</v>
      </c>
      <c r="X81" s="386">
        <v>1520</v>
      </c>
      <c r="Y81" s="386">
        <f t="shared" si="10"/>
        <v>0</v>
      </c>
      <c r="Z81" s="386">
        <f t="shared" si="10"/>
        <v>0</v>
      </c>
      <c r="AA81" s="386">
        <v>20920</v>
      </c>
      <c r="AB81" s="390">
        <f t="shared" si="11"/>
        <v>0</v>
      </c>
      <c r="AC81" s="386">
        <v>0</v>
      </c>
      <c r="AD81" s="390">
        <f t="shared" si="12"/>
        <v>0</v>
      </c>
      <c r="AE81" s="386">
        <v>0</v>
      </c>
      <c r="AF81" s="386">
        <v>0</v>
      </c>
      <c r="AG81" s="386">
        <v>0</v>
      </c>
      <c r="AH81" s="386">
        <v>0</v>
      </c>
      <c r="AI81" s="386">
        <v>2055</v>
      </c>
      <c r="AJ81" s="386">
        <v>53385</v>
      </c>
      <c r="AK81" s="386">
        <v>0</v>
      </c>
      <c r="AL81" s="386">
        <v>0</v>
      </c>
      <c r="AM81" s="386">
        <v>0</v>
      </c>
      <c r="AN81" s="386">
        <v>0</v>
      </c>
      <c r="AO81" s="386">
        <v>0</v>
      </c>
      <c r="AP81" s="386">
        <v>408</v>
      </c>
      <c r="AQ81" s="386">
        <v>90928</v>
      </c>
      <c r="AR81" s="386">
        <f t="shared" si="8"/>
        <v>0</v>
      </c>
      <c r="AS81" s="386">
        <f t="shared" si="8"/>
        <v>0</v>
      </c>
      <c r="AT81" s="386">
        <f t="shared" si="8"/>
        <v>0</v>
      </c>
      <c r="AU81" s="386">
        <f t="shared" si="8"/>
        <v>0</v>
      </c>
      <c r="AV81" s="386">
        <f t="shared" si="8"/>
        <v>0</v>
      </c>
      <c r="AW81" s="386">
        <f t="shared" si="8"/>
        <v>0</v>
      </c>
      <c r="AX81" s="386">
        <f t="shared" si="8"/>
        <v>0</v>
      </c>
      <c r="AY81" s="386">
        <f t="shared" si="8"/>
        <v>0</v>
      </c>
      <c r="AZ81" s="386">
        <f t="shared" si="8"/>
        <v>0</v>
      </c>
      <c r="BA81" s="386">
        <f t="shared" si="14"/>
        <v>0</v>
      </c>
      <c r="BB81" s="386">
        <f t="shared" si="14"/>
        <v>0</v>
      </c>
      <c r="BC81" s="386">
        <f t="shared" si="14"/>
        <v>0</v>
      </c>
      <c r="BD81" s="386">
        <f t="shared" si="14"/>
        <v>0</v>
      </c>
    </row>
    <row r="82" spans="1:56" ht="25.5" x14ac:dyDescent="0.25">
      <c r="A82" s="388">
        <v>66</v>
      </c>
      <c r="B82" s="83" t="s">
        <v>463</v>
      </c>
      <c r="C82" s="389">
        <f t="shared" si="13"/>
        <v>233874</v>
      </c>
      <c r="D82" s="389">
        <v>0</v>
      </c>
      <c r="E82" s="389">
        <v>2631</v>
      </c>
      <c r="F82" s="389">
        <v>27369</v>
      </c>
      <c r="G82" s="389">
        <v>0</v>
      </c>
      <c r="H82" s="389">
        <v>0</v>
      </c>
      <c r="I82" s="389">
        <v>0</v>
      </c>
      <c r="J82" s="389">
        <v>0</v>
      </c>
      <c r="K82" s="389">
        <v>0</v>
      </c>
      <c r="L82" s="389">
        <v>3052</v>
      </c>
      <c r="M82" s="389">
        <v>64080</v>
      </c>
      <c r="N82" s="389">
        <v>0</v>
      </c>
      <c r="O82" s="389">
        <v>0</v>
      </c>
      <c r="P82" s="389">
        <v>0</v>
      </c>
      <c r="Q82" s="389">
        <v>0</v>
      </c>
      <c r="R82" s="389">
        <v>0</v>
      </c>
      <c r="S82" s="389">
        <v>1764</v>
      </c>
      <c r="T82" s="389">
        <v>134978</v>
      </c>
      <c r="U82" s="386">
        <v>233874</v>
      </c>
      <c r="V82" s="390">
        <f t="shared" si="9"/>
        <v>0</v>
      </c>
      <c r="W82" s="386">
        <v>0</v>
      </c>
      <c r="X82" s="386">
        <v>2631</v>
      </c>
      <c r="Y82" s="386">
        <f t="shared" si="10"/>
        <v>0</v>
      </c>
      <c r="Z82" s="386">
        <f t="shared" si="10"/>
        <v>0</v>
      </c>
      <c r="AA82" s="386">
        <v>27369</v>
      </c>
      <c r="AB82" s="390">
        <f t="shared" si="11"/>
        <v>0</v>
      </c>
      <c r="AC82" s="386">
        <v>0</v>
      </c>
      <c r="AD82" s="390">
        <f t="shared" si="12"/>
        <v>0</v>
      </c>
      <c r="AE82" s="386">
        <v>0</v>
      </c>
      <c r="AF82" s="386">
        <v>0</v>
      </c>
      <c r="AG82" s="386">
        <v>0</v>
      </c>
      <c r="AH82" s="386">
        <v>0</v>
      </c>
      <c r="AI82" s="386">
        <v>3052</v>
      </c>
      <c r="AJ82" s="386">
        <v>64080</v>
      </c>
      <c r="AK82" s="386">
        <v>0</v>
      </c>
      <c r="AL82" s="386">
        <v>0</v>
      </c>
      <c r="AM82" s="386">
        <v>0</v>
      </c>
      <c r="AN82" s="386">
        <v>0</v>
      </c>
      <c r="AO82" s="386">
        <v>0</v>
      </c>
      <c r="AP82" s="386">
        <v>1764</v>
      </c>
      <c r="AQ82" s="386">
        <v>134978</v>
      </c>
      <c r="AR82" s="386">
        <f t="shared" si="8"/>
        <v>0</v>
      </c>
      <c r="AS82" s="386">
        <f t="shared" si="8"/>
        <v>0</v>
      </c>
      <c r="AT82" s="386">
        <f t="shared" si="8"/>
        <v>0</v>
      </c>
      <c r="AU82" s="386">
        <f t="shared" si="8"/>
        <v>0</v>
      </c>
      <c r="AV82" s="386">
        <f t="shared" si="8"/>
        <v>0</v>
      </c>
      <c r="AW82" s="386">
        <f t="shared" si="8"/>
        <v>0</v>
      </c>
      <c r="AX82" s="386">
        <f t="shared" si="8"/>
        <v>0</v>
      </c>
      <c r="AY82" s="386">
        <f t="shared" si="8"/>
        <v>0</v>
      </c>
      <c r="AZ82" s="386">
        <f t="shared" si="8"/>
        <v>0</v>
      </c>
      <c r="BA82" s="386">
        <f t="shared" si="14"/>
        <v>0</v>
      </c>
      <c r="BB82" s="386">
        <f t="shared" si="14"/>
        <v>0</v>
      </c>
      <c r="BC82" s="386">
        <f t="shared" si="14"/>
        <v>0</v>
      </c>
      <c r="BD82" s="386">
        <f t="shared" si="14"/>
        <v>0</v>
      </c>
    </row>
    <row r="83" spans="1:56" ht="25.5" x14ac:dyDescent="0.25">
      <c r="A83" s="388">
        <v>67</v>
      </c>
      <c r="B83" s="83" t="s">
        <v>464</v>
      </c>
      <c r="C83" s="389">
        <f t="shared" si="13"/>
        <v>291759</v>
      </c>
      <c r="D83" s="389">
        <v>0</v>
      </c>
      <c r="E83" s="389">
        <v>2057</v>
      </c>
      <c r="F83" s="389">
        <v>30443</v>
      </c>
      <c r="G83" s="389">
        <v>0</v>
      </c>
      <c r="H83" s="389">
        <v>8310</v>
      </c>
      <c r="I83" s="389">
        <v>0</v>
      </c>
      <c r="J83" s="389">
        <v>0</v>
      </c>
      <c r="K83" s="389">
        <v>0</v>
      </c>
      <c r="L83" s="389">
        <v>2168</v>
      </c>
      <c r="M83" s="389">
        <v>66588</v>
      </c>
      <c r="N83" s="389">
        <v>0</v>
      </c>
      <c r="O83" s="389">
        <v>0</v>
      </c>
      <c r="P83" s="389">
        <v>0</v>
      </c>
      <c r="Q83" s="389">
        <v>0</v>
      </c>
      <c r="R83" s="389">
        <v>0</v>
      </c>
      <c r="S83" s="389">
        <v>6344</v>
      </c>
      <c r="T83" s="389">
        <v>175849</v>
      </c>
      <c r="U83" s="386">
        <v>291759</v>
      </c>
      <c r="V83" s="390">
        <f t="shared" si="9"/>
        <v>0</v>
      </c>
      <c r="W83" s="386">
        <v>0</v>
      </c>
      <c r="X83" s="386">
        <v>2057</v>
      </c>
      <c r="Y83" s="386">
        <f t="shared" si="10"/>
        <v>0</v>
      </c>
      <c r="Z83" s="386">
        <f t="shared" si="10"/>
        <v>0</v>
      </c>
      <c r="AA83" s="386">
        <v>30443</v>
      </c>
      <c r="AB83" s="390">
        <f t="shared" si="11"/>
        <v>0</v>
      </c>
      <c r="AC83" s="386">
        <v>0</v>
      </c>
      <c r="AD83" s="390">
        <f t="shared" si="12"/>
        <v>0</v>
      </c>
      <c r="AE83" s="386">
        <v>8310</v>
      </c>
      <c r="AF83" s="386">
        <v>0</v>
      </c>
      <c r="AG83" s="386">
        <v>0</v>
      </c>
      <c r="AH83" s="386">
        <v>0</v>
      </c>
      <c r="AI83" s="386">
        <v>2168</v>
      </c>
      <c r="AJ83" s="386">
        <v>66588</v>
      </c>
      <c r="AK83" s="386">
        <v>0</v>
      </c>
      <c r="AL83" s="386">
        <v>0</v>
      </c>
      <c r="AM83" s="386">
        <v>0</v>
      </c>
      <c r="AN83" s="386">
        <v>0</v>
      </c>
      <c r="AO83" s="386">
        <v>0</v>
      </c>
      <c r="AP83" s="386">
        <v>6344</v>
      </c>
      <c r="AQ83" s="386">
        <v>175849</v>
      </c>
      <c r="AR83" s="386">
        <f t="shared" si="8"/>
        <v>0</v>
      </c>
      <c r="AS83" s="386">
        <f t="shared" si="8"/>
        <v>0</v>
      </c>
      <c r="AT83" s="386">
        <f t="shared" si="8"/>
        <v>0</v>
      </c>
      <c r="AU83" s="386">
        <f t="shared" si="8"/>
        <v>0</v>
      </c>
      <c r="AV83" s="386">
        <f t="shared" si="8"/>
        <v>0</v>
      </c>
      <c r="AW83" s="386">
        <f t="shared" si="8"/>
        <v>0</v>
      </c>
      <c r="AX83" s="386">
        <f t="shared" si="8"/>
        <v>0</v>
      </c>
      <c r="AY83" s="386">
        <f t="shared" si="8"/>
        <v>0</v>
      </c>
      <c r="AZ83" s="386">
        <f t="shared" si="8"/>
        <v>0</v>
      </c>
      <c r="BA83" s="386">
        <f t="shared" si="14"/>
        <v>0</v>
      </c>
      <c r="BB83" s="386">
        <f t="shared" si="14"/>
        <v>0</v>
      </c>
      <c r="BC83" s="386">
        <f t="shared" si="14"/>
        <v>0</v>
      </c>
      <c r="BD83" s="386">
        <f t="shared" si="14"/>
        <v>0</v>
      </c>
    </row>
    <row r="84" spans="1:56" ht="25.5" x14ac:dyDescent="0.25">
      <c r="A84" s="388">
        <v>68</v>
      </c>
      <c r="B84" s="83" t="s">
        <v>465</v>
      </c>
      <c r="C84" s="389">
        <f t="shared" si="13"/>
        <v>105540</v>
      </c>
      <c r="D84" s="389">
        <v>0</v>
      </c>
      <c r="E84" s="389">
        <v>140</v>
      </c>
      <c r="F84" s="389">
        <v>19169</v>
      </c>
      <c r="G84" s="389">
        <v>0</v>
      </c>
      <c r="H84" s="389">
        <v>0</v>
      </c>
      <c r="I84" s="389">
        <v>0</v>
      </c>
      <c r="J84" s="389">
        <v>0</v>
      </c>
      <c r="K84" s="389">
        <v>0</v>
      </c>
      <c r="L84" s="389">
        <v>3137</v>
      </c>
      <c r="M84" s="389">
        <v>33960</v>
      </c>
      <c r="N84" s="389">
        <v>0</v>
      </c>
      <c r="O84" s="389">
        <v>0</v>
      </c>
      <c r="P84" s="389">
        <v>0</v>
      </c>
      <c r="Q84" s="389">
        <v>0</v>
      </c>
      <c r="R84" s="389">
        <v>0</v>
      </c>
      <c r="S84" s="389">
        <v>1611</v>
      </c>
      <c r="T84" s="389">
        <v>47523</v>
      </c>
      <c r="U84" s="386">
        <v>105540</v>
      </c>
      <c r="V84" s="390">
        <f t="shared" si="9"/>
        <v>0</v>
      </c>
      <c r="W84" s="386">
        <v>0</v>
      </c>
      <c r="X84" s="386">
        <v>140</v>
      </c>
      <c r="Y84" s="386">
        <f t="shared" si="10"/>
        <v>0</v>
      </c>
      <c r="Z84" s="386">
        <f t="shared" si="10"/>
        <v>0</v>
      </c>
      <c r="AA84" s="386">
        <v>19169</v>
      </c>
      <c r="AB84" s="390">
        <f t="shared" si="11"/>
        <v>0</v>
      </c>
      <c r="AC84" s="386">
        <v>0</v>
      </c>
      <c r="AD84" s="390">
        <f t="shared" si="12"/>
        <v>0</v>
      </c>
      <c r="AE84" s="386">
        <v>0</v>
      </c>
      <c r="AF84" s="386">
        <v>0</v>
      </c>
      <c r="AG84" s="386">
        <v>0</v>
      </c>
      <c r="AH84" s="386">
        <v>0</v>
      </c>
      <c r="AI84" s="386">
        <v>3137</v>
      </c>
      <c r="AJ84" s="386">
        <v>33960</v>
      </c>
      <c r="AK84" s="386">
        <v>0</v>
      </c>
      <c r="AL84" s="386">
        <v>0</v>
      </c>
      <c r="AM84" s="386">
        <v>0</v>
      </c>
      <c r="AN84" s="386">
        <v>0</v>
      </c>
      <c r="AO84" s="386">
        <v>0</v>
      </c>
      <c r="AP84" s="386">
        <v>1611</v>
      </c>
      <c r="AQ84" s="386">
        <v>47523</v>
      </c>
      <c r="AR84" s="386">
        <f t="shared" si="8"/>
        <v>0</v>
      </c>
      <c r="AS84" s="386">
        <f t="shared" si="8"/>
        <v>0</v>
      </c>
      <c r="AT84" s="386">
        <f t="shared" si="8"/>
        <v>0</v>
      </c>
      <c r="AU84" s="386">
        <f t="shared" si="8"/>
        <v>0</v>
      </c>
      <c r="AV84" s="386">
        <f t="shared" si="8"/>
        <v>0</v>
      </c>
      <c r="AW84" s="386">
        <f t="shared" si="8"/>
        <v>0</v>
      </c>
      <c r="AX84" s="386">
        <f t="shared" si="8"/>
        <v>0</v>
      </c>
      <c r="AY84" s="386">
        <f t="shared" si="8"/>
        <v>0</v>
      </c>
      <c r="AZ84" s="386">
        <f t="shared" si="8"/>
        <v>0</v>
      </c>
      <c r="BA84" s="386">
        <f t="shared" si="14"/>
        <v>0</v>
      </c>
      <c r="BB84" s="386">
        <f t="shared" si="14"/>
        <v>0</v>
      </c>
      <c r="BC84" s="386">
        <f t="shared" si="14"/>
        <v>0</v>
      </c>
      <c r="BD84" s="386">
        <f t="shared" si="14"/>
        <v>0</v>
      </c>
    </row>
    <row r="85" spans="1:56" ht="25.5" x14ac:dyDescent="0.25">
      <c r="A85" s="388">
        <v>69</v>
      </c>
      <c r="B85" s="83" t="s">
        <v>466</v>
      </c>
      <c r="C85" s="389">
        <f t="shared" si="13"/>
        <v>29476</v>
      </c>
      <c r="D85" s="389">
        <v>0</v>
      </c>
      <c r="E85" s="389">
        <v>0</v>
      </c>
      <c r="F85" s="389">
        <v>0</v>
      </c>
      <c r="G85" s="389">
        <v>0</v>
      </c>
      <c r="H85" s="389">
        <v>0</v>
      </c>
      <c r="I85" s="389">
        <v>22468</v>
      </c>
      <c r="J85" s="389">
        <v>0</v>
      </c>
      <c r="K85" s="389">
        <v>0</v>
      </c>
      <c r="L85" s="389">
        <v>0</v>
      </c>
      <c r="M85" s="389">
        <v>0</v>
      </c>
      <c r="N85" s="389">
        <v>0</v>
      </c>
      <c r="O85" s="389">
        <v>7000</v>
      </c>
      <c r="P85" s="389">
        <v>0</v>
      </c>
      <c r="Q85" s="389">
        <v>0</v>
      </c>
      <c r="R85" s="389">
        <v>8</v>
      </c>
      <c r="S85" s="389">
        <v>0</v>
      </c>
      <c r="T85" s="389">
        <v>0</v>
      </c>
      <c r="U85" s="386">
        <v>29476</v>
      </c>
      <c r="V85" s="390">
        <f t="shared" si="9"/>
        <v>0</v>
      </c>
      <c r="W85" s="386">
        <v>0</v>
      </c>
      <c r="X85" s="386">
        <v>0</v>
      </c>
      <c r="Y85" s="386">
        <f t="shared" si="10"/>
        <v>0</v>
      </c>
      <c r="Z85" s="386">
        <f t="shared" si="10"/>
        <v>0</v>
      </c>
      <c r="AA85" s="386">
        <v>0</v>
      </c>
      <c r="AB85" s="390">
        <f t="shared" si="11"/>
        <v>0</v>
      </c>
      <c r="AC85" s="386">
        <v>0</v>
      </c>
      <c r="AD85" s="390">
        <f t="shared" si="12"/>
        <v>0</v>
      </c>
      <c r="AE85" s="386">
        <v>0</v>
      </c>
      <c r="AF85" s="386">
        <v>22468</v>
      </c>
      <c r="AG85" s="386">
        <v>0</v>
      </c>
      <c r="AH85" s="386">
        <v>0</v>
      </c>
      <c r="AI85" s="386">
        <v>0</v>
      </c>
      <c r="AJ85" s="386">
        <v>0</v>
      </c>
      <c r="AK85" s="386">
        <v>0</v>
      </c>
      <c r="AL85" s="386">
        <v>7000</v>
      </c>
      <c r="AM85" s="386">
        <v>0</v>
      </c>
      <c r="AN85" s="386">
        <v>0</v>
      </c>
      <c r="AO85" s="386">
        <v>8</v>
      </c>
      <c r="AP85" s="386">
        <v>0</v>
      </c>
      <c r="AQ85" s="386">
        <v>0</v>
      </c>
      <c r="AR85" s="386">
        <f t="shared" si="8"/>
        <v>0</v>
      </c>
      <c r="AS85" s="386">
        <f t="shared" si="8"/>
        <v>0</v>
      </c>
      <c r="AT85" s="386">
        <f t="shared" si="8"/>
        <v>0</v>
      </c>
      <c r="AU85" s="386">
        <f t="shared" ref="AU85:AZ127" si="15">AH85-K85</f>
        <v>0</v>
      </c>
      <c r="AV85" s="386">
        <f t="shared" si="15"/>
        <v>0</v>
      </c>
      <c r="AW85" s="386">
        <f t="shared" si="15"/>
        <v>0</v>
      </c>
      <c r="AX85" s="386">
        <f t="shared" si="15"/>
        <v>0</v>
      </c>
      <c r="AY85" s="386">
        <f t="shared" si="15"/>
        <v>0</v>
      </c>
      <c r="AZ85" s="386">
        <f t="shared" si="15"/>
        <v>0</v>
      </c>
      <c r="BA85" s="386">
        <f t="shared" si="14"/>
        <v>0</v>
      </c>
      <c r="BB85" s="386">
        <f t="shared" si="14"/>
        <v>0</v>
      </c>
      <c r="BC85" s="386">
        <f t="shared" si="14"/>
        <v>0</v>
      </c>
      <c r="BD85" s="386">
        <f t="shared" si="14"/>
        <v>0</v>
      </c>
    </row>
    <row r="86" spans="1:56" ht="25.5" x14ac:dyDescent="0.25">
      <c r="A86" s="388">
        <v>70</v>
      </c>
      <c r="B86" s="83" t="s">
        <v>467</v>
      </c>
      <c r="C86" s="389">
        <f t="shared" si="13"/>
        <v>31433</v>
      </c>
      <c r="D86" s="389">
        <v>0</v>
      </c>
      <c r="E86" s="389">
        <v>0</v>
      </c>
      <c r="F86" s="389">
        <v>0</v>
      </c>
      <c r="G86" s="389">
        <v>0</v>
      </c>
      <c r="H86" s="389">
        <v>0</v>
      </c>
      <c r="I86" s="389">
        <v>11100</v>
      </c>
      <c r="J86" s="389">
        <v>0</v>
      </c>
      <c r="K86" s="389">
        <v>0</v>
      </c>
      <c r="L86" s="389">
        <v>0</v>
      </c>
      <c r="M86" s="389">
        <v>0</v>
      </c>
      <c r="N86" s="389">
        <v>0</v>
      </c>
      <c r="O86" s="389">
        <v>20269</v>
      </c>
      <c r="P86" s="389">
        <v>0</v>
      </c>
      <c r="Q86" s="389">
        <v>0</v>
      </c>
      <c r="R86" s="389">
        <v>64</v>
      </c>
      <c r="S86" s="389">
        <v>0</v>
      </c>
      <c r="T86" s="389">
        <v>0</v>
      </c>
      <c r="U86" s="386">
        <v>31433</v>
      </c>
      <c r="V86" s="390">
        <f t="shared" si="9"/>
        <v>0</v>
      </c>
      <c r="W86" s="386">
        <v>0</v>
      </c>
      <c r="X86" s="386">
        <v>0</v>
      </c>
      <c r="Y86" s="386">
        <f t="shared" si="10"/>
        <v>0</v>
      </c>
      <c r="Z86" s="386">
        <f t="shared" si="10"/>
        <v>0</v>
      </c>
      <c r="AA86" s="386">
        <v>0</v>
      </c>
      <c r="AB86" s="390">
        <f t="shared" si="11"/>
        <v>0</v>
      </c>
      <c r="AC86" s="386">
        <v>0</v>
      </c>
      <c r="AD86" s="390">
        <f t="shared" si="12"/>
        <v>0</v>
      </c>
      <c r="AE86" s="386">
        <v>0</v>
      </c>
      <c r="AF86" s="386">
        <v>11100</v>
      </c>
      <c r="AG86" s="386">
        <v>0</v>
      </c>
      <c r="AH86" s="386">
        <v>0</v>
      </c>
      <c r="AI86" s="386">
        <v>0</v>
      </c>
      <c r="AJ86" s="386">
        <v>0</v>
      </c>
      <c r="AK86" s="386">
        <v>0</v>
      </c>
      <c r="AL86" s="386">
        <v>20269</v>
      </c>
      <c r="AM86" s="386">
        <v>0</v>
      </c>
      <c r="AN86" s="386">
        <v>0</v>
      </c>
      <c r="AO86" s="386">
        <v>64</v>
      </c>
      <c r="AP86" s="386">
        <v>0</v>
      </c>
      <c r="AQ86" s="386">
        <v>0</v>
      </c>
      <c r="AR86" s="386">
        <f t="shared" ref="AR86:AW149" si="16">AE86-H86</f>
        <v>0</v>
      </c>
      <c r="AS86" s="386">
        <f t="shared" si="16"/>
        <v>0</v>
      </c>
      <c r="AT86" s="386">
        <f t="shared" si="16"/>
        <v>0</v>
      </c>
      <c r="AU86" s="386">
        <f t="shared" si="15"/>
        <v>0</v>
      </c>
      <c r="AV86" s="386">
        <f t="shared" si="15"/>
        <v>0</v>
      </c>
      <c r="AW86" s="386">
        <f t="shared" si="15"/>
        <v>0</v>
      </c>
      <c r="AX86" s="386">
        <f t="shared" si="15"/>
        <v>0</v>
      </c>
      <c r="AY86" s="386">
        <f t="shared" si="15"/>
        <v>0</v>
      </c>
      <c r="AZ86" s="386">
        <f t="shared" si="15"/>
        <v>0</v>
      </c>
      <c r="BA86" s="386">
        <f t="shared" si="14"/>
        <v>0</v>
      </c>
      <c r="BB86" s="386">
        <f t="shared" si="14"/>
        <v>0</v>
      </c>
      <c r="BC86" s="386">
        <f t="shared" si="14"/>
        <v>0</v>
      </c>
      <c r="BD86" s="386">
        <f t="shared" si="14"/>
        <v>0</v>
      </c>
    </row>
    <row r="87" spans="1:56" x14ac:dyDescent="0.25">
      <c r="A87" s="388">
        <v>71</v>
      </c>
      <c r="B87" s="83" t="s">
        <v>468</v>
      </c>
      <c r="C87" s="389">
        <f t="shared" si="13"/>
        <v>80354</v>
      </c>
      <c r="D87" s="389">
        <v>3306</v>
      </c>
      <c r="E87" s="389">
        <v>2728</v>
      </c>
      <c r="F87" s="389">
        <v>38068</v>
      </c>
      <c r="G87" s="389">
        <v>0</v>
      </c>
      <c r="H87" s="389">
        <v>0</v>
      </c>
      <c r="I87" s="389">
        <v>0</v>
      </c>
      <c r="J87" s="389">
        <v>1025</v>
      </c>
      <c r="K87" s="389">
        <v>439</v>
      </c>
      <c r="L87" s="389">
        <v>1055</v>
      </c>
      <c r="M87" s="389">
        <v>20656</v>
      </c>
      <c r="N87" s="389">
        <v>0</v>
      </c>
      <c r="O87" s="389">
        <v>0</v>
      </c>
      <c r="P87" s="389">
        <v>0</v>
      </c>
      <c r="Q87" s="389">
        <v>454</v>
      </c>
      <c r="R87" s="389">
        <v>0</v>
      </c>
      <c r="S87" s="389">
        <v>378</v>
      </c>
      <c r="T87" s="389">
        <v>12245</v>
      </c>
      <c r="U87" s="386">
        <v>80354</v>
      </c>
      <c r="V87" s="390">
        <f t="shared" si="9"/>
        <v>0</v>
      </c>
      <c r="W87" s="386">
        <v>3306</v>
      </c>
      <c r="X87" s="386">
        <v>2728</v>
      </c>
      <c r="Y87" s="386">
        <f t="shared" si="10"/>
        <v>0</v>
      </c>
      <c r="Z87" s="386">
        <f t="shared" si="10"/>
        <v>0</v>
      </c>
      <c r="AA87" s="386">
        <v>38068</v>
      </c>
      <c r="AB87" s="390">
        <f t="shared" si="11"/>
        <v>0</v>
      </c>
      <c r="AC87" s="386">
        <v>0</v>
      </c>
      <c r="AD87" s="390">
        <f t="shared" si="12"/>
        <v>0</v>
      </c>
      <c r="AE87" s="386">
        <v>0</v>
      </c>
      <c r="AF87" s="386">
        <v>0</v>
      </c>
      <c r="AG87" s="386">
        <v>1025</v>
      </c>
      <c r="AH87" s="386">
        <v>439</v>
      </c>
      <c r="AI87" s="386">
        <v>1055</v>
      </c>
      <c r="AJ87" s="386">
        <v>20656</v>
      </c>
      <c r="AK87" s="386">
        <v>0</v>
      </c>
      <c r="AL87" s="386">
        <v>0</v>
      </c>
      <c r="AM87" s="386">
        <v>0</v>
      </c>
      <c r="AN87" s="386">
        <v>454</v>
      </c>
      <c r="AO87" s="386">
        <v>0</v>
      </c>
      <c r="AP87" s="386">
        <v>378</v>
      </c>
      <c r="AQ87" s="386">
        <v>12245</v>
      </c>
      <c r="AR87" s="386">
        <f t="shared" si="16"/>
        <v>0</v>
      </c>
      <c r="AS87" s="386">
        <f t="shared" si="16"/>
        <v>0</v>
      </c>
      <c r="AT87" s="386">
        <f t="shared" si="16"/>
        <v>0</v>
      </c>
      <c r="AU87" s="386">
        <f t="shared" si="15"/>
        <v>0</v>
      </c>
      <c r="AV87" s="386">
        <f t="shared" si="15"/>
        <v>0</v>
      </c>
      <c r="AW87" s="386">
        <f t="shared" si="15"/>
        <v>0</v>
      </c>
      <c r="AX87" s="386">
        <f t="shared" si="15"/>
        <v>0</v>
      </c>
      <c r="AY87" s="386">
        <f t="shared" si="15"/>
        <v>0</v>
      </c>
      <c r="AZ87" s="386">
        <f t="shared" si="15"/>
        <v>0</v>
      </c>
      <c r="BA87" s="386">
        <f t="shared" si="14"/>
        <v>0</v>
      </c>
      <c r="BB87" s="386">
        <f t="shared" si="14"/>
        <v>0</v>
      </c>
      <c r="BC87" s="386">
        <f t="shared" si="14"/>
        <v>0</v>
      </c>
      <c r="BD87" s="386">
        <f t="shared" si="14"/>
        <v>0</v>
      </c>
    </row>
    <row r="88" spans="1:56" x14ac:dyDescent="0.25">
      <c r="A88" s="388">
        <v>72</v>
      </c>
      <c r="B88" s="83" t="s">
        <v>469</v>
      </c>
      <c r="C88" s="389">
        <f t="shared" si="13"/>
        <v>56138</v>
      </c>
      <c r="D88" s="389">
        <v>2137</v>
      </c>
      <c r="E88" s="389">
        <v>1437</v>
      </c>
      <c r="F88" s="389">
        <v>19693</v>
      </c>
      <c r="G88" s="389">
        <v>0</v>
      </c>
      <c r="H88" s="389">
        <v>9428</v>
      </c>
      <c r="I88" s="389">
        <v>0</v>
      </c>
      <c r="J88" s="389">
        <v>0</v>
      </c>
      <c r="K88" s="389">
        <v>0</v>
      </c>
      <c r="L88" s="389">
        <v>1560</v>
      </c>
      <c r="M88" s="389">
        <v>13853</v>
      </c>
      <c r="N88" s="389">
        <v>0</v>
      </c>
      <c r="O88" s="389">
        <v>0</v>
      </c>
      <c r="P88" s="389">
        <v>0</v>
      </c>
      <c r="Q88" s="389">
        <v>0</v>
      </c>
      <c r="R88" s="389">
        <v>0</v>
      </c>
      <c r="S88" s="389">
        <v>705</v>
      </c>
      <c r="T88" s="389">
        <v>7325</v>
      </c>
      <c r="U88" s="386">
        <v>56138</v>
      </c>
      <c r="V88" s="390">
        <f t="shared" si="9"/>
        <v>0</v>
      </c>
      <c r="W88" s="386">
        <v>2137</v>
      </c>
      <c r="X88" s="386">
        <v>1437</v>
      </c>
      <c r="Y88" s="386">
        <f t="shared" si="10"/>
        <v>0</v>
      </c>
      <c r="Z88" s="386">
        <f t="shared" si="10"/>
        <v>0</v>
      </c>
      <c r="AA88" s="386">
        <v>19693</v>
      </c>
      <c r="AB88" s="390">
        <f t="shared" si="11"/>
        <v>0</v>
      </c>
      <c r="AC88" s="386">
        <v>0</v>
      </c>
      <c r="AD88" s="390">
        <f t="shared" si="12"/>
        <v>0</v>
      </c>
      <c r="AE88" s="386">
        <v>9428</v>
      </c>
      <c r="AF88" s="386">
        <v>0</v>
      </c>
      <c r="AG88" s="386">
        <v>0</v>
      </c>
      <c r="AH88" s="386">
        <v>0</v>
      </c>
      <c r="AI88" s="386">
        <v>1560</v>
      </c>
      <c r="AJ88" s="386">
        <v>13853</v>
      </c>
      <c r="AK88" s="386">
        <v>0</v>
      </c>
      <c r="AL88" s="386">
        <v>0</v>
      </c>
      <c r="AM88" s="386">
        <v>0</v>
      </c>
      <c r="AN88" s="386">
        <v>0</v>
      </c>
      <c r="AO88" s="386">
        <v>0</v>
      </c>
      <c r="AP88" s="386">
        <v>705</v>
      </c>
      <c r="AQ88" s="386">
        <v>7325</v>
      </c>
      <c r="AR88" s="386">
        <f t="shared" si="16"/>
        <v>0</v>
      </c>
      <c r="AS88" s="386">
        <f t="shared" si="16"/>
        <v>0</v>
      </c>
      <c r="AT88" s="386">
        <f t="shared" si="16"/>
        <v>0</v>
      </c>
      <c r="AU88" s="386">
        <f t="shared" si="15"/>
        <v>0</v>
      </c>
      <c r="AV88" s="386">
        <f t="shared" si="15"/>
        <v>0</v>
      </c>
      <c r="AW88" s="386">
        <f t="shared" si="15"/>
        <v>0</v>
      </c>
      <c r="AX88" s="386">
        <f t="shared" si="15"/>
        <v>0</v>
      </c>
      <c r="AY88" s="386">
        <f t="shared" si="15"/>
        <v>0</v>
      </c>
      <c r="AZ88" s="386">
        <f t="shared" si="15"/>
        <v>0</v>
      </c>
      <c r="BA88" s="386">
        <f t="shared" si="14"/>
        <v>0</v>
      </c>
      <c r="BB88" s="386">
        <f t="shared" si="14"/>
        <v>0</v>
      </c>
      <c r="BC88" s="386">
        <f t="shared" si="14"/>
        <v>0</v>
      </c>
      <c r="BD88" s="386">
        <f t="shared" si="14"/>
        <v>0</v>
      </c>
    </row>
    <row r="89" spans="1:56" x14ac:dyDescent="0.25">
      <c r="A89" s="388">
        <v>73</v>
      </c>
      <c r="B89" s="83" t="s">
        <v>470</v>
      </c>
      <c r="C89" s="389">
        <f t="shared" si="13"/>
        <v>46233</v>
      </c>
      <c r="D89" s="389">
        <v>2058</v>
      </c>
      <c r="E89" s="389">
        <v>2165</v>
      </c>
      <c r="F89" s="389">
        <v>26666</v>
      </c>
      <c r="G89" s="389">
        <v>0</v>
      </c>
      <c r="H89" s="389">
        <v>0</v>
      </c>
      <c r="I89" s="389">
        <v>0</v>
      </c>
      <c r="J89" s="389">
        <v>0</v>
      </c>
      <c r="K89" s="389">
        <v>0</v>
      </c>
      <c r="L89" s="389">
        <v>6986</v>
      </c>
      <c r="M89" s="389">
        <v>1214</v>
      </c>
      <c r="N89" s="389">
        <v>0</v>
      </c>
      <c r="O89" s="389">
        <v>0</v>
      </c>
      <c r="P89" s="389">
        <v>220</v>
      </c>
      <c r="Q89" s="389">
        <v>0</v>
      </c>
      <c r="R89" s="389">
        <v>0</v>
      </c>
      <c r="S89" s="389">
        <v>2237</v>
      </c>
      <c r="T89" s="389">
        <v>4687</v>
      </c>
      <c r="U89" s="386">
        <v>46233</v>
      </c>
      <c r="V89" s="390">
        <f t="shared" si="9"/>
        <v>0</v>
      </c>
      <c r="W89" s="386">
        <v>2058</v>
      </c>
      <c r="X89" s="386">
        <v>2165</v>
      </c>
      <c r="Y89" s="386">
        <f t="shared" si="10"/>
        <v>0</v>
      </c>
      <c r="Z89" s="386">
        <f t="shared" si="10"/>
        <v>0</v>
      </c>
      <c r="AA89" s="386">
        <v>26666</v>
      </c>
      <c r="AB89" s="390">
        <f t="shared" si="11"/>
        <v>0</v>
      </c>
      <c r="AC89" s="386">
        <v>0</v>
      </c>
      <c r="AD89" s="390">
        <f t="shared" si="12"/>
        <v>0</v>
      </c>
      <c r="AE89" s="386">
        <v>0</v>
      </c>
      <c r="AF89" s="386">
        <v>0</v>
      </c>
      <c r="AG89" s="386">
        <v>0</v>
      </c>
      <c r="AH89" s="386">
        <v>0</v>
      </c>
      <c r="AI89" s="386">
        <v>6986</v>
      </c>
      <c r="AJ89" s="386">
        <v>1214</v>
      </c>
      <c r="AK89" s="386">
        <v>0</v>
      </c>
      <c r="AL89" s="386">
        <v>0</v>
      </c>
      <c r="AM89" s="386">
        <v>220</v>
      </c>
      <c r="AN89" s="386">
        <v>0</v>
      </c>
      <c r="AO89" s="386">
        <v>0</v>
      </c>
      <c r="AP89" s="386">
        <v>2237</v>
      </c>
      <c r="AQ89" s="386">
        <v>4687</v>
      </c>
      <c r="AR89" s="386">
        <f t="shared" si="16"/>
        <v>0</v>
      </c>
      <c r="AS89" s="386">
        <f t="shared" si="16"/>
        <v>0</v>
      </c>
      <c r="AT89" s="386">
        <f t="shared" si="16"/>
        <v>0</v>
      </c>
      <c r="AU89" s="386">
        <f t="shared" si="15"/>
        <v>0</v>
      </c>
      <c r="AV89" s="386">
        <f t="shared" si="15"/>
        <v>0</v>
      </c>
      <c r="AW89" s="386">
        <f t="shared" si="15"/>
        <v>0</v>
      </c>
      <c r="AX89" s="386">
        <f t="shared" si="15"/>
        <v>0</v>
      </c>
      <c r="AY89" s="386">
        <f t="shared" si="15"/>
        <v>0</v>
      </c>
      <c r="AZ89" s="386">
        <f t="shared" si="15"/>
        <v>0</v>
      </c>
      <c r="BA89" s="386">
        <f t="shared" si="14"/>
        <v>0</v>
      </c>
      <c r="BB89" s="386">
        <f t="shared" si="14"/>
        <v>0</v>
      </c>
      <c r="BC89" s="386">
        <f t="shared" si="14"/>
        <v>0</v>
      </c>
      <c r="BD89" s="386">
        <f t="shared" si="14"/>
        <v>0</v>
      </c>
    </row>
    <row r="90" spans="1:56" x14ac:dyDescent="0.25">
      <c r="A90" s="388">
        <v>74</v>
      </c>
      <c r="B90" s="83" t="s">
        <v>471</v>
      </c>
      <c r="C90" s="389">
        <f t="shared" si="13"/>
        <v>47678</v>
      </c>
      <c r="D90" s="389">
        <v>1554</v>
      </c>
      <c r="E90" s="389">
        <v>1438</v>
      </c>
      <c r="F90" s="389">
        <v>17119</v>
      </c>
      <c r="G90" s="389">
        <v>0</v>
      </c>
      <c r="H90" s="389">
        <v>13986</v>
      </c>
      <c r="I90" s="389">
        <v>0</v>
      </c>
      <c r="J90" s="389">
        <v>0</v>
      </c>
      <c r="K90" s="389">
        <v>0</v>
      </c>
      <c r="L90" s="389">
        <v>2756</v>
      </c>
      <c r="M90" s="389">
        <v>5071</v>
      </c>
      <c r="N90" s="389">
        <v>0</v>
      </c>
      <c r="O90" s="389">
        <v>0</v>
      </c>
      <c r="P90" s="389">
        <v>0</v>
      </c>
      <c r="Q90" s="389">
        <v>0</v>
      </c>
      <c r="R90" s="389">
        <v>0</v>
      </c>
      <c r="S90" s="389">
        <v>0</v>
      </c>
      <c r="T90" s="389">
        <v>5754</v>
      </c>
      <c r="U90" s="386">
        <v>47678</v>
      </c>
      <c r="V90" s="390">
        <f t="shared" si="9"/>
        <v>0</v>
      </c>
      <c r="W90" s="386">
        <v>1554</v>
      </c>
      <c r="X90" s="386">
        <v>1438</v>
      </c>
      <c r="Y90" s="386">
        <f t="shared" si="10"/>
        <v>0</v>
      </c>
      <c r="Z90" s="386">
        <f t="shared" si="10"/>
        <v>0</v>
      </c>
      <c r="AA90" s="386">
        <v>17119</v>
      </c>
      <c r="AB90" s="390">
        <f t="shared" si="11"/>
        <v>0</v>
      </c>
      <c r="AC90" s="386">
        <v>0</v>
      </c>
      <c r="AD90" s="390">
        <f t="shared" si="12"/>
        <v>0</v>
      </c>
      <c r="AE90" s="386">
        <v>13986</v>
      </c>
      <c r="AF90" s="386">
        <v>0</v>
      </c>
      <c r="AG90" s="386">
        <v>0</v>
      </c>
      <c r="AH90" s="386">
        <v>0</v>
      </c>
      <c r="AI90" s="386">
        <v>2756</v>
      </c>
      <c r="AJ90" s="386">
        <v>5071</v>
      </c>
      <c r="AK90" s="386">
        <v>0</v>
      </c>
      <c r="AL90" s="386">
        <v>0</v>
      </c>
      <c r="AM90" s="386">
        <v>0</v>
      </c>
      <c r="AN90" s="386">
        <v>0</v>
      </c>
      <c r="AO90" s="386">
        <v>0</v>
      </c>
      <c r="AP90" s="386">
        <v>0</v>
      </c>
      <c r="AQ90" s="386">
        <v>5754</v>
      </c>
      <c r="AR90" s="386">
        <f t="shared" si="16"/>
        <v>0</v>
      </c>
      <c r="AS90" s="386">
        <f t="shared" si="16"/>
        <v>0</v>
      </c>
      <c r="AT90" s="386">
        <f t="shared" si="16"/>
        <v>0</v>
      </c>
      <c r="AU90" s="386">
        <f t="shared" si="15"/>
        <v>0</v>
      </c>
      <c r="AV90" s="386">
        <f t="shared" si="15"/>
        <v>0</v>
      </c>
      <c r="AW90" s="386">
        <f t="shared" si="15"/>
        <v>0</v>
      </c>
      <c r="AX90" s="386">
        <f t="shared" si="15"/>
        <v>0</v>
      </c>
      <c r="AY90" s="386">
        <f t="shared" si="15"/>
        <v>0</v>
      </c>
      <c r="AZ90" s="386">
        <f t="shared" si="15"/>
        <v>0</v>
      </c>
      <c r="BA90" s="386">
        <f t="shared" si="14"/>
        <v>0</v>
      </c>
      <c r="BB90" s="386">
        <f t="shared" si="14"/>
        <v>0</v>
      </c>
      <c r="BC90" s="386">
        <f t="shared" si="14"/>
        <v>0</v>
      </c>
      <c r="BD90" s="386">
        <f t="shared" si="14"/>
        <v>0</v>
      </c>
    </row>
    <row r="91" spans="1:56" x14ac:dyDescent="0.25">
      <c r="A91" s="388">
        <v>75</v>
      </c>
      <c r="B91" s="83" t="s">
        <v>472</v>
      </c>
      <c r="C91" s="389">
        <f t="shared" si="13"/>
        <v>115818</v>
      </c>
      <c r="D91" s="389">
        <v>4047</v>
      </c>
      <c r="E91" s="389">
        <v>12988</v>
      </c>
      <c r="F91" s="389">
        <v>30693</v>
      </c>
      <c r="G91" s="389">
        <v>0</v>
      </c>
      <c r="H91" s="389">
        <v>0</v>
      </c>
      <c r="I91" s="389">
        <v>0</v>
      </c>
      <c r="J91" s="389">
        <v>1025</v>
      </c>
      <c r="K91" s="389">
        <v>439</v>
      </c>
      <c r="L91" s="389">
        <v>14609</v>
      </c>
      <c r="M91" s="389">
        <v>33111</v>
      </c>
      <c r="N91" s="389">
        <v>0</v>
      </c>
      <c r="O91" s="389">
        <v>0</v>
      </c>
      <c r="P91" s="389">
        <v>0</v>
      </c>
      <c r="Q91" s="389">
        <v>0</v>
      </c>
      <c r="R91" s="389">
        <v>0</v>
      </c>
      <c r="S91" s="389">
        <v>5937</v>
      </c>
      <c r="T91" s="389">
        <v>12969</v>
      </c>
      <c r="U91" s="386">
        <v>115818</v>
      </c>
      <c r="V91" s="390">
        <f t="shared" si="9"/>
        <v>0</v>
      </c>
      <c r="W91" s="386">
        <v>4047</v>
      </c>
      <c r="X91" s="386">
        <v>12988</v>
      </c>
      <c r="Y91" s="386">
        <f t="shared" si="10"/>
        <v>0</v>
      </c>
      <c r="Z91" s="386">
        <f t="shared" si="10"/>
        <v>0</v>
      </c>
      <c r="AA91" s="386">
        <v>30693</v>
      </c>
      <c r="AB91" s="390">
        <f t="shared" si="11"/>
        <v>0</v>
      </c>
      <c r="AC91" s="386">
        <v>0</v>
      </c>
      <c r="AD91" s="390">
        <f t="shared" si="12"/>
        <v>0</v>
      </c>
      <c r="AE91" s="386">
        <v>0</v>
      </c>
      <c r="AF91" s="386">
        <v>0</v>
      </c>
      <c r="AG91" s="386">
        <v>1025</v>
      </c>
      <c r="AH91" s="386">
        <v>439</v>
      </c>
      <c r="AI91" s="386">
        <v>14609</v>
      </c>
      <c r="AJ91" s="386">
        <v>33111</v>
      </c>
      <c r="AK91" s="386">
        <v>0</v>
      </c>
      <c r="AL91" s="386">
        <v>0</v>
      </c>
      <c r="AM91" s="386">
        <v>0</v>
      </c>
      <c r="AN91" s="386">
        <v>0</v>
      </c>
      <c r="AO91" s="386">
        <v>0</v>
      </c>
      <c r="AP91" s="386">
        <v>5937</v>
      </c>
      <c r="AQ91" s="386">
        <v>12969</v>
      </c>
      <c r="AR91" s="386">
        <f t="shared" si="16"/>
        <v>0</v>
      </c>
      <c r="AS91" s="386">
        <f t="shared" si="16"/>
        <v>0</v>
      </c>
      <c r="AT91" s="386">
        <f t="shared" si="16"/>
        <v>0</v>
      </c>
      <c r="AU91" s="386">
        <f t="shared" si="15"/>
        <v>0</v>
      </c>
      <c r="AV91" s="386">
        <f t="shared" si="15"/>
        <v>0</v>
      </c>
      <c r="AW91" s="386">
        <f t="shared" si="15"/>
        <v>0</v>
      </c>
      <c r="AX91" s="386">
        <f t="shared" si="15"/>
        <v>0</v>
      </c>
      <c r="AY91" s="386">
        <f t="shared" si="15"/>
        <v>0</v>
      </c>
      <c r="AZ91" s="386">
        <f t="shared" si="15"/>
        <v>0</v>
      </c>
      <c r="BA91" s="386">
        <f t="shared" si="14"/>
        <v>0</v>
      </c>
      <c r="BB91" s="386">
        <f t="shared" si="14"/>
        <v>0</v>
      </c>
      <c r="BC91" s="386">
        <f t="shared" si="14"/>
        <v>0</v>
      </c>
      <c r="BD91" s="386">
        <f t="shared" si="14"/>
        <v>0</v>
      </c>
    </row>
    <row r="92" spans="1:56" x14ac:dyDescent="0.25">
      <c r="A92" s="388">
        <v>76</v>
      </c>
      <c r="B92" s="83" t="s">
        <v>473</v>
      </c>
      <c r="C92" s="389">
        <f t="shared" si="13"/>
        <v>58856</v>
      </c>
      <c r="D92" s="389">
        <v>2062</v>
      </c>
      <c r="E92" s="389">
        <v>4777</v>
      </c>
      <c r="F92" s="389">
        <v>12243</v>
      </c>
      <c r="G92" s="389">
        <v>0</v>
      </c>
      <c r="H92" s="389">
        <v>0</v>
      </c>
      <c r="I92" s="389">
        <v>0</v>
      </c>
      <c r="J92" s="389">
        <v>1025</v>
      </c>
      <c r="K92" s="389">
        <v>439</v>
      </c>
      <c r="L92" s="389">
        <v>6926</v>
      </c>
      <c r="M92" s="389">
        <v>18414</v>
      </c>
      <c r="N92" s="389">
        <v>0</v>
      </c>
      <c r="O92" s="389">
        <v>0</v>
      </c>
      <c r="P92" s="389">
        <v>0</v>
      </c>
      <c r="Q92" s="389">
        <v>0</v>
      </c>
      <c r="R92" s="389">
        <v>0</v>
      </c>
      <c r="S92" s="389">
        <v>8545</v>
      </c>
      <c r="T92" s="389">
        <v>4425</v>
      </c>
      <c r="U92" s="386">
        <v>58856</v>
      </c>
      <c r="V92" s="390">
        <f t="shared" si="9"/>
        <v>0</v>
      </c>
      <c r="W92" s="386">
        <v>2062</v>
      </c>
      <c r="X92" s="386">
        <v>4777</v>
      </c>
      <c r="Y92" s="386">
        <f t="shared" si="10"/>
        <v>0</v>
      </c>
      <c r="Z92" s="386">
        <f t="shared" si="10"/>
        <v>0</v>
      </c>
      <c r="AA92" s="386">
        <v>12243</v>
      </c>
      <c r="AB92" s="390">
        <f t="shared" si="11"/>
        <v>0</v>
      </c>
      <c r="AC92" s="386">
        <v>0</v>
      </c>
      <c r="AD92" s="390">
        <f t="shared" si="12"/>
        <v>0</v>
      </c>
      <c r="AE92" s="386">
        <v>0</v>
      </c>
      <c r="AF92" s="386">
        <v>0</v>
      </c>
      <c r="AG92" s="386">
        <v>1025</v>
      </c>
      <c r="AH92" s="386">
        <v>439</v>
      </c>
      <c r="AI92" s="386">
        <v>6926</v>
      </c>
      <c r="AJ92" s="386">
        <v>18414</v>
      </c>
      <c r="AK92" s="386">
        <v>0</v>
      </c>
      <c r="AL92" s="386">
        <v>0</v>
      </c>
      <c r="AM92" s="386">
        <v>0</v>
      </c>
      <c r="AN92" s="386">
        <v>0</v>
      </c>
      <c r="AO92" s="386">
        <v>0</v>
      </c>
      <c r="AP92" s="386">
        <v>8545</v>
      </c>
      <c r="AQ92" s="386">
        <v>4425</v>
      </c>
      <c r="AR92" s="386">
        <f t="shared" si="16"/>
        <v>0</v>
      </c>
      <c r="AS92" s="386">
        <f t="shared" si="16"/>
        <v>0</v>
      </c>
      <c r="AT92" s="386">
        <f t="shared" si="16"/>
        <v>0</v>
      </c>
      <c r="AU92" s="386">
        <f t="shared" si="15"/>
        <v>0</v>
      </c>
      <c r="AV92" s="386">
        <f t="shared" si="15"/>
        <v>0</v>
      </c>
      <c r="AW92" s="386">
        <f t="shared" si="15"/>
        <v>0</v>
      </c>
      <c r="AX92" s="386">
        <f t="shared" si="15"/>
        <v>0</v>
      </c>
      <c r="AY92" s="386">
        <f t="shared" si="15"/>
        <v>0</v>
      </c>
      <c r="AZ92" s="386">
        <f t="shared" si="15"/>
        <v>0</v>
      </c>
      <c r="BA92" s="386">
        <f t="shared" si="14"/>
        <v>0</v>
      </c>
      <c r="BB92" s="386">
        <f t="shared" si="14"/>
        <v>0</v>
      </c>
      <c r="BC92" s="386">
        <f t="shared" si="14"/>
        <v>0</v>
      </c>
      <c r="BD92" s="386">
        <f t="shared" si="14"/>
        <v>0</v>
      </c>
    </row>
    <row r="93" spans="1:56" x14ac:dyDescent="0.25">
      <c r="A93" s="388">
        <v>77</v>
      </c>
      <c r="B93" s="83" t="s">
        <v>285</v>
      </c>
      <c r="C93" s="389">
        <f t="shared" si="13"/>
        <v>61738</v>
      </c>
      <c r="D93" s="389">
        <v>2332</v>
      </c>
      <c r="E93" s="389">
        <v>2187</v>
      </c>
      <c r="F93" s="389">
        <v>28134</v>
      </c>
      <c r="G93" s="389">
        <v>0</v>
      </c>
      <c r="H93" s="389">
        <v>9234</v>
      </c>
      <c r="I93" s="389">
        <v>0</v>
      </c>
      <c r="J93" s="389">
        <v>1025</v>
      </c>
      <c r="K93" s="389">
        <v>439</v>
      </c>
      <c r="L93" s="389">
        <v>3270</v>
      </c>
      <c r="M93" s="389">
        <v>8299</v>
      </c>
      <c r="N93" s="389">
        <v>397</v>
      </c>
      <c r="O93" s="389">
        <v>0</v>
      </c>
      <c r="P93" s="389">
        <v>0</v>
      </c>
      <c r="Q93" s="389">
        <v>0</v>
      </c>
      <c r="R93" s="389">
        <v>0</v>
      </c>
      <c r="S93" s="389">
        <v>2485</v>
      </c>
      <c r="T93" s="389">
        <v>3936</v>
      </c>
      <c r="U93" s="386">
        <v>61738</v>
      </c>
      <c r="V93" s="390">
        <f t="shared" si="9"/>
        <v>0</v>
      </c>
      <c r="W93" s="386">
        <v>2332</v>
      </c>
      <c r="X93" s="386">
        <v>2187</v>
      </c>
      <c r="Y93" s="386">
        <f t="shared" si="10"/>
        <v>0</v>
      </c>
      <c r="Z93" s="386">
        <f t="shared" si="10"/>
        <v>0</v>
      </c>
      <c r="AA93" s="386">
        <v>28134</v>
      </c>
      <c r="AB93" s="390">
        <f t="shared" si="11"/>
        <v>0</v>
      </c>
      <c r="AC93" s="386">
        <v>0</v>
      </c>
      <c r="AD93" s="390">
        <f t="shared" si="12"/>
        <v>0</v>
      </c>
      <c r="AE93" s="386">
        <v>9234</v>
      </c>
      <c r="AF93" s="386">
        <v>0</v>
      </c>
      <c r="AG93" s="386">
        <v>1025</v>
      </c>
      <c r="AH93" s="386">
        <v>439</v>
      </c>
      <c r="AI93" s="386">
        <v>3270</v>
      </c>
      <c r="AJ93" s="386">
        <v>8299</v>
      </c>
      <c r="AK93" s="386">
        <v>397</v>
      </c>
      <c r="AL93" s="386">
        <v>0</v>
      </c>
      <c r="AM93" s="386">
        <v>0</v>
      </c>
      <c r="AN93" s="386">
        <v>0</v>
      </c>
      <c r="AO93" s="386">
        <v>0</v>
      </c>
      <c r="AP93" s="386">
        <v>2485</v>
      </c>
      <c r="AQ93" s="386">
        <v>3936</v>
      </c>
      <c r="AR93" s="386">
        <f t="shared" si="16"/>
        <v>0</v>
      </c>
      <c r="AS93" s="386">
        <f t="shared" si="16"/>
        <v>0</v>
      </c>
      <c r="AT93" s="386">
        <f t="shared" si="16"/>
        <v>0</v>
      </c>
      <c r="AU93" s="386">
        <f t="shared" si="15"/>
        <v>0</v>
      </c>
      <c r="AV93" s="386">
        <f t="shared" si="15"/>
        <v>0</v>
      </c>
      <c r="AW93" s="386">
        <f t="shared" si="15"/>
        <v>0</v>
      </c>
      <c r="AX93" s="386">
        <f t="shared" si="15"/>
        <v>0</v>
      </c>
      <c r="AY93" s="386">
        <f t="shared" si="15"/>
        <v>0</v>
      </c>
      <c r="AZ93" s="386">
        <f t="shared" si="15"/>
        <v>0</v>
      </c>
      <c r="BA93" s="386">
        <f t="shared" si="14"/>
        <v>0</v>
      </c>
      <c r="BB93" s="386">
        <f t="shared" si="14"/>
        <v>0</v>
      </c>
      <c r="BC93" s="386">
        <f t="shared" si="14"/>
        <v>0</v>
      </c>
      <c r="BD93" s="386">
        <f t="shared" si="14"/>
        <v>0</v>
      </c>
    </row>
    <row r="94" spans="1:56" x14ac:dyDescent="0.25">
      <c r="A94" s="388">
        <v>78</v>
      </c>
      <c r="B94" s="83" t="s">
        <v>474</v>
      </c>
      <c r="C94" s="389">
        <f t="shared" si="13"/>
        <v>29738</v>
      </c>
      <c r="D94" s="389">
        <v>1388</v>
      </c>
      <c r="E94" s="389">
        <v>1587</v>
      </c>
      <c r="F94" s="389">
        <v>16029</v>
      </c>
      <c r="G94" s="389">
        <v>0</v>
      </c>
      <c r="H94" s="389">
        <v>0</v>
      </c>
      <c r="I94" s="389">
        <v>0</v>
      </c>
      <c r="J94" s="389">
        <v>0</v>
      </c>
      <c r="K94" s="389">
        <v>0</v>
      </c>
      <c r="L94" s="389">
        <v>1144</v>
      </c>
      <c r="M94" s="389">
        <v>4854</v>
      </c>
      <c r="N94" s="389">
        <v>0</v>
      </c>
      <c r="O94" s="389">
        <v>0</v>
      </c>
      <c r="P94" s="389">
        <v>0</v>
      </c>
      <c r="Q94" s="389">
        <v>0</v>
      </c>
      <c r="R94" s="389">
        <v>0</v>
      </c>
      <c r="S94" s="389">
        <v>1480</v>
      </c>
      <c r="T94" s="389">
        <v>3256</v>
      </c>
      <c r="U94" s="386">
        <v>29738</v>
      </c>
      <c r="V94" s="390">
        <f t="shared" si="9"/>
        <v>0</v>
      </c>
      <c r="W94" s="386">
        <v>1388</v>
      </c>
      <c r="X94" s="386">
        <v>1587</v>
      </c>
      <c r="Y94" s="386">
        <f t="shared" si="10"/>
        <v>0</v>
      </c>
      <c r="Z94" s="386">
        <f t="shared" si="10"/>
        <v>0</v>
      </c>
      <c r="AA94" s="386">
        <v>16029</v>
      </c>
      <c r="AB94" s="390">
        <f t="shared" si="11"/>
        <v>0</v>
      </c>
      <c r="AC94" s="386">
        <v>0</v>
      </c>
      <c r="AD94" s="390">
        <f t="shared" si="12"/>
        <v>0</v>
      </c>
      <c r="AE94" s="386">
        <v>0</v>
      </c>
      <c r="AF94" s="386">
        <v>0</v>
      </c>
      <c r="AG94" s="386">
        <v>0</v>
      </c>
      <c r="AH94" s="386">
        <v>0</v>
      </c>
      <c r="AI94" s="386">
        <v>1144</v>
      </c>
      <c r="AJ94" s="386">
        <v>4854</v>
      </c>
      <c r="AK94" s="386">
        <v>0</v>
      </c>
      <c r="AL94" s="386">
        <v>0</v>
      </c>
      <c r="AM94" s="386">
        <v>0</v>
      </c>
      <c r="AN94" s="386">
        <v>0</v>
      </c>
      <c r="AO94" s="386">
        <v>0</v>
      </c>
      <c r="AP94" s="386">
        <v>1480</v>
      </c>
      <c r="AQ94" s="386">
        <v>3256</v>
      </c>
      <c r="AR94" s="386">
        <f t="shared" si="16"/>
        <v>0</v>
      </c>
      <c r="AS94" s="386">
        <f t="shared" si="16"/>
        <v>0</v>
      </c>
      <c r="AT94" s="386">
        <f t="shared" si="16"/>
        <v>0</v>
      </c>
      <c r="AU94" s="386">
        <f t="shared" si="15"/>
        <v>0</v>
      </c>
      <c r="AV94" s="386">
        <f t="shared" si="15"/>
        <v>0</v>
      </c>
      <c r="AW94" s="386">
        <f t="shared" si="15"/>
        <v>0</v>
      </c>
      <c r="AX94" s="386">
        <f t="shared" si="15"/>
        <v>0</v>
      </c>
      <c r="AY94" s="386">
        <f t="shared" si="15"/>
        <v>0</v>
      </c>
      <c r="AZ94" s="386">
        <f t="shared" si="15"/>
        <v>0</v>
      </c>
      <c r="BA94" s="386">
        <f t="shared" si="14"/>
        <v>0</v>
      </c>
      <c r="BB94" s="386">
        <f t="shared" si="14"/>
        <v>0</v>
      </c>
      <c r="BC94" s="386">
        <f t="shared" si="14"/>
        <v>0</v>
      </c>
      <c r="BD94" s="386">
        <f t="shared" si="14"/>
        <v>0</v>
      </c>
    </row>
    <row r="95" spans="1:56" x14ac:dyDescent="0.25">
      <c r="A95" s="388">
        <v>79</v>
      </c>
      <c r="B95" s="83" t="s">
        <v>312</v>
      </c>
      <c r="C95" s="389">
        <f t="shared" si="13"/>
        <v>118124</v>
      </c>
      <c r="D95" s="389">
        <v>3950</v>
      </c>
      <c r="E95" s="389">
        <v>7268</v>
      </c>
      <c r="F95" s="389">
        <v>42565</v>
      </c>
      <c r="G95" s="389">
        <v>0</v>
      </c>
      <c r="H95" s="389">
        <v>0</v>
      </c>
      <c r="I95" s="389">
        <v>0</v>
      </c>
      <c r="J95" s="389">
        <v>1025</v>
      </c>
      <c r="K95" s="389">
        <v>439</v>
      </c>
      <c r="L95" s="389">
        <v>14421</v>
      </c>
      <c r="M95" s="389">
        <v>33597</v>
      </c>
      <c r="N95" s="389">
        <v>0</v>
      </c>
      <c r="O95" s="389">
        <v>0</v>
      </c>
      <c r="P95" s="389">
        <v>0</v>
      </c>
      <c r="Q95" s="389">
        <v>0</v>
      </c>
      <c r="R95" s="389">
        <v>0</v>
      </c>
      <c r="S95" s="389">
        <v>6045</v>
      </c>
      <c r="T95" s="389">
        <v>8814</v>
      </c>
      <c r="U95" s="386">
        <v>118124</v>
      </c>
      <c r="V95" s="390">
        <f t="shared" si="9"/>
        <v>0</v>
      </c>
      <c r="W95" s="386">
        <v>3950</v>
      </c>
      <c r="X95" s="386">
        <v>7268</v>
      </c>
      <c r="Y95" s="386">
        <f t="shared" si="10"/>
        <v>0</v>
      </c>
      <c r="Z95" s="386">
        <f t="shared" si="10"/>
        <v>0</v>
      </c>
      <c r="AA95" s="386">
        <v>42565</v>
      </c>
      <c r="AB95" s="390">
        <f t="shared" si="11"/>
        <v>0</v>
      </c>
      <c r="AC95" s="386">
        <v>0</v>
      </c>
      <c r="AD95" s="390">
        <f t="shared" si="12"/>
        <v>0</v>
      </c>
      <c r="AE95" s="386">
        <v>0</v>
      </c>
      <c r="AF95" s="386">
        <v>0</v>
      </c>
      <c r="AG95" s="386">
        <v>1025</v>
      </c>
      <c r="AH95" s="386">
        <v>439</v>
      </c>
      <c r="AI95" s="386">
        <v>14421</v>
      </c>
      <c r="AJ95" s="386">
        <v>33597</v>
      </c>
      <c r="AK95" s="386">
        <v>0</v>
      </c>
      <c r="AL95" s="386">
        <v>0</v>
      </c>
      <c r="AM95" s="386">
        <v>0</v>
      </c>
      <c r="AN95" s="386">
        <v>0</v>
      </c>
      <c r="AO95" s="386">
        <v>0</v>
      </c>
      <c r="AP95" s="386">
        <v>6045</v>
      </c>
      <c r="AQ95" s="386">
        <v>8814</v>
      </c>
      <c r="AR95" s="386">
        <f t="shared" si="16"/>
        <v>0</v>
      </c>
      <c r="AS95" s="386">
        <f t="shared" si="16"/>
        <v>0</v>
      </c>
      <c r="AT95" s="386">
        <f t="shared" si="16"/>
        <v>0</v>
      </c>
      <c r="AU95" s="386">
        <f t="shared" si="15"/>
        <v>0</v>
      </c>
      <c r="AV95" s="386">
        <f t="shared" si="15"/>
        <v>0</v>
      </c>
      <c r="AW95" s="386">
        <f t="shared" si="15"/>
        <v>0</v>
      </c>
      <c r="AX95" s="386">
        <f t="shared" si="15"/>
        <v>0</v>
      </c>
      <c r="AY95" s="386">
        <f t="shared" si="15"/>
        <v>0</v>
      </c>
      <c r="AZ95" s="386">
        <f t="shared" si="15"/>
        <v>0</v>
      </c>
      <c r="BA95" s="386">
        <f t="shared" si="14"/>
        <v>0</v>
      </c>
      <c r="BB95" s="386">
        <f t="shared" si="14"/>
        <v>0</v>
      </c>
      <c r="BC95" s="386">
        <f t="shared" si="14"/>
        <v>0</v>
      </c>
      <c r="BD95" s="386">
        <f t="shared" si="14"/>
        <v>0</v>
      </c>
    </row>
    <row r="96" spans="1:56" x14ac:dyDescent="0.25">
      <c r="A96" s="388">
        <v>80</v>
      </c>
      <c r="B96" s="83" t="s">
        <v>475</v>
      </c>
      <c r="C96" s="389">
        <f t="shared" si="13"/>
        <v>39483</v>
      </c>
      <c r="D96" s="389">
        <v>1821</v>
      </c>
      <c r="E96" s="389">
        <v>943</v>
      </c>
      <c r="F96" s="389">
        <v>19215</v>
      </c>
      <c r="G96" s="389">
        <v>0</v>
      </c>
      <c r="H96" s="389">
        <v>0</v>
      </c>
      <c r="I96" s="389">
        <v>0</v>
      </c>
      <c r="J96" s="389">
        <v>0</v>
      </c>
      <c r="K96" s="389">
        <v>0</v>
      </c>
      <c r="L96" s="389">
        <v>4993</v>
      </c>
      <c r="M96" s="389">
        <v>7052</v>
      </c>
      <c r="N96" s="389">
        <v>0</v>
      </c>
      <c r="O96" s="389">
        <v>0</v>
      </c>
      <c r="P96" s="389">
        <v>0</v>
      </c>
      <c r="Q96" s="389">
        <v>0</v>
      </c>
      <c r="R96" s="389">
        <v>0</v>
      </c>
      <c r="S96" s="389">
        <v>650</v>
      </c>
      <c r="T96" s="389">
        <v>4809</v>
      </c>
      <c r="U96" s="386">
        <v>39483</v>
      </c>
      <c r="V96" s="390">
        <f t="shared" si="9"/>
        <v>0</v>
      </c>
      <c r="W96" s="386">
        <v>1821</v>
      </c>
      <c r="X96" s="386">
        <v>943</v>
      </c>
      <c r="Y96" s="386">
        <f t="shared" si="10"/>
        <v>0</v>
      </c>
      <c r="Z96" s="386">
        <f t="shared" si="10"/>
        <v>0</v>
      </c>
      <c r="AA96" s="386">
        <v>19215</v>
      </c>
      <c r="AB96" s="390">
        <f t="shared" si="11"/>
        <v>0</v>
      </c>
      <c r="AC96" s="386">
        <v>0</v>
      </c>
      <c r="AD96" s="390">
        <f t="shared" si="12"/>
        <v>0</v>
      </c>
      <c r="AE96" s="386">
        <v>0</v>
      </c>
      <c r="AF96" s="386">
        <v>0</v>
      </c>
      <c r="AG96" s="386">
        <v>0</v>
      </c>
      <c r="AH96" s="386">
        <v>0</v>
      </c>
      <c r="AI96" s="386">
        <v>4993</v>
      </c>
      <c r="AJ96" s="386">
        <v>7052</v>
      </c>
      <c r="AK96" s="386">
        <v>0</v>
      </c>
      <c r="AL96" s="386">
        <v>0</v>
      </c>
      <c r="AM96" s="386">
        <v>0</v>
      </c>
      <c r="AN96" s="386">
        <v>0</v>
      </c>
      <c r="AO96" s="386">
        <v>0</v>
      </c>
      <c r="AP96" s="386">
        <v>650</v>
      </c>
      <c r="AQ96" s="386">
        <v>4809</v>
      </c>
      <c r="AR96" s="386">
        <f t="shared" si="16"/>
        <v>0</v>
      </c>
      <c r="AS96" s="386">
        <f t="shared" si="16"/>
        <v>0</v>
      </c>
      <c r="AT96" s="386">
        <f t="shared" si="16"/>
        <v>0</v>
      </c>
      <c r="AU96" s="386">
        <f t="shared" si="15"/>
        <v>0</v>
      </c>
      <c r="AV96" s="386">
        <f t="shared" si="15"/>
        <v>0</v>
      </c>
      <c r="AW96" s="386">
        <f t="shared" si="15"/>
        <v>0</v>
      </c>
      <c r="AX96" s="386">
        <f t="shared" si="15"/>
        <v>0</v>
      </c>
      <c r="AY96" s="386">
        <f t="shared" si="15"/>
        <v>0</v>
      </c>
      <c r="AZ96" s="386">
        <f t="shared" si="15"/>
        <v>0</v>
      </c>
      <c r="BA96" s="386">
        <f t="shared" si="14"/>
        <v>0</v>
      </c>
      <c r="BB96" s="386">
        <f t="shared" si="14"/>
        <v>0</v>
      </c>
      <c r="BC96" s="386">
        <f t="shared" si="14"/>
        <v>0</v>
      </c>
      <c r="BD96" s="386">
        <f t="shared" si="14"/>
        <v>0</v>
      </c>
    </row>
    <row r="97" spans="1:56" x14ac:dyDescent="0.25">
      <c r="A97" s="388">
        <v>81</v>
      </c>
      <c r="B97" s="83" t="s">
        <v>476</v>
      </c>
      <c r="C97" s="389">
        <f t="shared" si="13"/>
        <v>38679</v>
      </c>
      <c r="D97" s="389">
        <v>1770</v>
      </c>
      <c r="E97" s="389">
        <v>2341</v>
      </c>
      <c r="F97" s="389">
        <v>15159</v>
      </c>
      <c r="G97" s="389">
        <v>0</v>
      </c>
      <c r="H97" s="389">
        <v>0</v>
      </c>
      <c r="I97" s="389">
        <v>0</v>
      </c>
      <c r="J97" s="389">
        <v>0</v>
      </c>
      <c r="K97" s="389">
        <v>0</v>
      </c>
      <c r="L97" s="389">
        <v>4031</v>
      </c>
      <c r="M97" s="389">
        <v>9237</v>
      </c>
      <c r="N97" s="389">
        <v>0</v>
      </c>
      <c r="O97" s="389">
        <v>0</v>
      </c>
      <c r="P97" s="389">
        <v>0</v>
      </c>
      <c r="Q97" s="389">
        <v>0</v>
      </c>
      <c r="R97" s="389">
        <v>0</v>
      </c>
      <c r="S97" s="389">
        <v>2337</v>
      </c>
      <c r="T97" s="389">
        <v>3804</v>
      </c>
      <c r="U97" s="386">
        <v>38679</v>
      </c>
      <c r="V97" s="390">
        <f t="shared" si="9"/>
        <v>0</v>
      </c>
      <c r="W97" s="386">
        <v>1770</v>
      </c>
      <c r="X97" s="386">
        <v>2341</v>
      </c>
      <c r="Y97" s="386">
        <f t="shared" si="10"/>
        <v>0</v>
      </c>
      <c r="Z97" s="386">
        <f t="shared" si="10"/>
        <v>0</v>
      </c>
      <c r="AA97" s="386">
        <v>15159</v>
      </c>
      <c r="AB97" s="390">
        <f t="shared" si="11"/>
        <v>0</v>
      </c>
      <c r="AC97" s="386">
        <v>0</v>
      </c>
      <c r="AD97" s="390">
        <f t="shared" si="12"/>
        <v>0</v>
      </c>
      <c r="AE97" s="386">
        <v>0</v>
      </c>
      <c r="AF97" s="386">
        <v>0</v>
      </c>
      <c r="AG97" s="386">
        <v>0</v>
      </c>
      <c r="AH97" s="386">
        <v>0</v>
      </c>
      <c r="AI97" s="386">
        <v>4031</v>
      </c>
      <c r="AJ97" s="386">
        <v>9237</v>
      </c>
      <c r="AK97" s="386">
        <v>0</v>
      </c>
      <c r="AL97" s="386">
        <v>0</v>
      </c>
      <c r="AM97" s="386">
        <v>0</v>
      </c>
      <c r="AN97" s="386">
        <v>0</v>
      </c>
      <c r="AO97" s="386">
        <v>0</v>
      </c>
      <c r="AP97" s="386">
        <v>2337</v>
      </c>
      <c r="AQ97" s="386">
        <v>3804</v>
      </c>
      <c r="AR97" s="386">
        <f t="shared" si="16"/>
        <v>0</v>
      </c>
      <c r="AS97" s="386">
        <f t="shared" si="16"/>
        <v>0</v>
      </c>
      <c r="AT97" s="386">
        <f t="shared" si="16"/>
        <v>0</v>
      </c>
      <c r="AU97" s="386">
        <f t="shared" si="15"/>
        <v>0</v>
      </c>
      <c r="AV97" s="386">
        <f t="shared" si="15"/>
        <v>0</v>
      </c>
      <c r="AW97" s="386">
        <f t="shared" si="15"/>
        <v>0</v>
      </c>
      <c r="AX97" s="386">
        <f t="shared" si="15"/>
        <v>0</v>
      </c>
      <c r="AY97" s="386">
        <f t="shared" si="15"/>
        <v>0</v>
      </c>
      <c r="AZ97" s="386">
        <f t="shared" si="15"/>
        <v>0</v>
      </c>
      <c r="BA97" s="386">
        <f t="shared" si="14"/>
        <v>0</v>
      </c>
      <c r="BB97" s="386">
        <f t="shared" si="14"/>
        <v>0</v>
      </c>
      <c r="BC97" s="386">
        <f t="shared" si="14"/>
        <v>0</v>
      </c>
      <c r="BD97" s="386">
        <f t="shared" si="14"/>
        <v>0</v>
      </c>
    </row>
    <row r="98" spans="1:56" ht="25.5" x14ac:dyDescent="0.25">
      <c r="A98" s="388">
        <v>82</v>
      </c>
      <c r="B98" s="83" t="s">
        <v>477</v>
      </c>
      <c r="C98" s="389">
        <f t="shared" si="13"/>
        <v>3111</v>
      </c>
      <c r="D98" s="389">
        <v>0</v>
      </c>
      <c r="E98" s="389">
        <v>0</v>
      </c>
      <c r="F98" s="389">
        <v>0</v>
      </c>
      <c r="G98" s="389">
        <v>0</v>
      </c>
      <c r="H98" s="389">
        <v>0</v>
      </c>
      <c r="I98" s="389">
        <v>2398</v>
      </c>
      <c r="J98" s="389">
        <v>0</v>
      </c>
      <c r="K98" s="389">
        <v>0</v>
      </c>
      <c r="L98" s="389">
        <v>0</v>
      </c>
      <c r="M98" s="389">
        <v>0</v>
      </c>
      <c r="N98" s="389">
        <v>0</v>
      </c>
      <c r="O98" s="389">
        <v>319</v>
      </c>
      <c r="P98" s="389">
        <v>0</v>
      </c>
      <c r="Q98" s="389">
        <v>0</v>
      </c>
      <c r="R98" s="389">
        <v>394</v>
      </c>
      <c r="S98" s="389">
        <v>0</v>
      </c>
      <c r="T98" s="389">
        <v>0</v>
      </c>
      <c r="U98" s="386">
        <v>3111</v>
      </c>
      <c r="V98" s="390">
        <f t="shared" si="9"/>
        <v>0</v>
      </c>
      <c r="W98" s="386">
        <v>0</v>
      </c>
      <c r="X98" s="386">
        <v>0</v>
      </c>
      <c r="Y98" s="386">
        <f t="shared" si="10"/>
        <v>0</v>
      </c>
      <c r="Z98" s="386">
        <f t="shared" si="10"/>
        <v>0</v>
      </c>
      <c r="AA98" s="386">
        <v>0</v>
      </c>
      <c r="AB98" s="390">
        <f t="shared" si="11"/>
        <v>0</v>
      </c>
      <c r="AC98" s="386">
        <v>0</v>
      </c>
      <c r="AD98" s="390">
        <f t="shared" si="12"/>
        <v>0</v>
      </c>
      <c r="AE98" s="386">
        <v>0</v>
      </c>
      <c r="AF98" s="386">
        <v>2398</v>
      </c>
      <c r="AG98" s="386">
        <v>0</v>
      </c>
      <c r="AH98" s="386">
        <v>0</v>
      </c>
      <c r="AI98" s="386">
        <v>0</v>
      </c>
      <c r="AJ98" s="386">
        <v>0</v>
      </c>
      <c r="AK98" s="386">
        <v>0</v>
      </c>
      <c r="AL98" s="386">
        <v>319</v>
      </c>
      <c r="AM98" s="386">
        <v>0</v>
      </c>
      <c r="AN98" s="386">
        <v>0</v>
      </c>
      <c r="AO98" s="386">
        <v>394</v>
      </c>
      <c r="AP98" s="386">
        <v>0</v>
      </c>
      <c r="AQ98" s="386">
        <v>0</v>
      </c>
      <c r="AR98" s="386">
        <f t="shared" si="16"/>
        <v>0</v>
      </c>
      <c r="AS98" s="386">
        <f t="shared" si="16"/>
        <v>0</v>
      </c>
      <c r="AT98" s="386">
        <f t="shared" si="16"/>
        <v>0</v>
      </c>
      <c r="AU98" s="386">
        <f t="shared" si="15"/>
        <v>0</v>
      </c>
      <c r="AV98" s="386">
        <f t="shared" si="15"/>
        <v>0</v>
      </c>
      <c r="AW98" s="386">
        <f t="shared" si="15"/>
        <v>0</v>
      </c>
      <c r="AX98" s="386">
        <f t="shared" si="15"/>
        <v>0</v>
      </c>
      <c r="AY98" s="386">
        <f t="shared" si="15"/>
        <v>0</v>
      </c>
      <c r="AZ98" s="386">
        <f t="shared" si="15"/>
        <v>0</v>
      </c>
      <c r="BA98" s="386">
        <f t="shared" si="14"/>
        <v>0</v>
      </c>
      <c r="BB98" s="386">
        <f t="shared" si="14"/>
        <v>0</v>
      </c>
      <c r="BC98" s="386">
        <f t="shared" si="14"/>
        <v>0</v>
      </c>
      <c r="BD98" s="386">
        <f t="shared" si="14"/>
        <v>0</v>
      </c>
    </row>
    <row r="99" spans="1:56" ht="25.5" x14ac:dyDescent="0.25">
      <c r="A99" s="388">
        <v>83</v>
      </c>
      <c r="B99" s="83" t="s">
        <v>478</v>
      </c>
      <c r="C99" s="389">
        <f t="shared" si="13"/>
        <v>3578</v>
      </c>
      <c r="D99" s="389">
        <v>0</v>
      </c>
      <c r="E99" s="389">
        <v>0</v>
      </c>
      <c r="F99" s="389">
        <v>0</v>
      </c>
      <c r="G99" s="389">
        <v>0</v>
      </c>
      <c r="H99" s="389">
        <v>0</v>
      </c>
      <c r="I99" s="389">
        <v>3478</v>
      </c>
      <c r="J99" s="389">
        <v>0</v>
      </c>
      <c r="K99" s="389">
        <v>0</v>
      </c>
      <c r="L99" s="389">
        <v>0</v>
      </c>
      <c r="M99" s="389">
        <v>0</v>
      </c>
      <c r="N99" s="389">
        <v>0</v>
      </c>
      <c r="O99" s="389">
        <v>0</v>
      </c>
      <c r="P99" s="389">
        <v>0</v>
      </c>
      <c r="Q99" s="389">
        <v>0</v>
      </c>
      <c r="R99" s="389">
        <v>100</v>
      </c>
      <c r="S99" s="389">
        <v>0</v>
      </c>
      <c r="T99" s="389">
        <v>0</v>
      </c>
      <c r="U99" s="386">
        <v>3578</v>
      </c>
      <c r="V99" s="390">
        <f t="shared" si="9"/>
        <v>0</v>
      </c>
      <c r="W99" s="386">
        <v>0</v>
      </c>
      <c r="X99" s="386">
        <v>0</v>
      </c>
      <c r="Y99" s="386">
        <f t="shared" si="10"/>
        <v>0</v>
      </c>
      <c r="Z99" s="386">
        <f t="shared" si="10"/>
        <v>0</v>
      </c>
      <c r="AA99" s="386">
        <v>0</v>
      </c>
      <c r="AB99" s="390">
        <f t="shared" si="11"/>
        <v>0</v>
      </c>
      <c r="AC99" s="386">
        <v>0</v>
      </c>
      <c r="AD99" s="390">
        <f t="shared" si="12"/>
        <v>0</v>
      </c>
      <c r="AE99" s="386">
        <v>0</v>
      </c>
      <c r="AF99" s="386">
        <v>3478</v>
      </c>
      <c r="AG99" s="386">
        <v>0</v>
      </c>
      <c r="AH99" s="386">
        <v>0</v>
      </c>
      <c r="AI99" s="386">
        <v>0</v>
      </c>
      <c r="AJ99" s="386">
        <v>0</v>
      </c>
      <c r="AK99" s="386">
        <v>0</v>
      </c>
      <c r="AL99" s="386">
        <v>0</v>
      </c>
      <c r="AM99" s="386">
        <v>0</v>
      </c>
      <c r="AN99" s="386">
        <v>0</v>
      </c>
      <c r="AO99" s="386">
        <v>100</v>
      </c>
      <c r="AP99" s="386">
        <v>0</v>
      </c>
      <c r="AQ99" s="386">
        <v>0</v>
      </c>
      <c r="AR99" s="386">
        <f t="shared" si="16"/>
        <v>0</v>
      </c>
      <c r="AS99" s="386">
        <f t="shared" si="16"/>
        <v>0</v>
      </c>
      <c r="AT99" s="386">
        <f t="shared" si="16"/>
        <v>0</v>
      </c>
      <c r="AU99" s="386">
        <f t="shared" si="15"/>
        <v>0</v>
      </c>
      <c r="AV99" s="386">
        <f t="shared" si="15"/>
        <v>0</v>
      </c>
      <c r="AW99" s="386">
        <f t="shared" si="15"/>
        <v>0</v>
      </c>
      <c r="AX99" s="386">
        <f t="shared" si="15"/>
        <v>0</v>
      </c>
      <c r="AY99" s="386">
        <f t="shared" si="15"/>
        <v>0</v>
      </c>
      <c r="AZ99" s="386">
        <f t="shared" si="15"/>
        <v>0</v>
      </c>
      <c r="BA99" s="386">
        <f t="shared" si="14"/>
        <v>0</v>
      </c>
      <c r="BB99" s="386">
        <f t="shared" si="14"/>
        <v>0</v>
      </c>
      <c r="BC99" s="386">
        <f t="shared" si="14"/>
        <v>0</v>
      </c>
      <c r="BD99" s="386">
        <f t="shared" si="14"/>
        <v>0</v>
      </c>
    </row>
    <row r="100" spans="1:56" ht="25.5" x14ac:dyDescent="0.25">
      <c r="A100" s="388">
        <v>84</v>
      </c>
      <c r="B100" s="83" t="s">
        <v>479</v>
      </c>
      <c r="C100" s="389">
        <f t="shared" si="13"/>
        <v>4126</v>
      </c>
      <c r="D100" s="389">
        <v>0</v>
      </c>
      <c r="E100" s="389">
        <v>0</v>
      </c>
      <c r="F100" s="389">
        <v>0</v>
      </c>
      <c r="G100" s="389">
        <v>0</v>
      </c>
      <c r="H100" s="389">
        <v>0</v>
      </c>
      <c r="I100" s="389">
        <v>3883</v>
      </c>
      <c r="J100" s="389">
        <v>0</v>
      </c>
      <c r="K100" s="389">
        <v>0</v>
      </c>
      <c r="L100" s="389">
        <v>0</v>
      </c>
      <c r="M100" s="389">
        <v>0</v>
      </c>
      <c r="N100" s="389">
        <v>0</v>
      </c>
      <c r="O100" s="389">
        <v>143</v>
      </c>
      <c r="P100" s="389">
        <v>0</v>
      </c>
      <c r="Q100" s="389">
        <v>0</v>
      </c>
      <c r="R100" s="389">
        <v>100</v>
      </c>
      <c r="S100" s="389">
        <v>0</v>
      </c>
      <c r="T100" s="389">
        <v>0</v>
      </c>
      <c r="U100" s="386">
        <v>4126</v>
      </c>
      <c r="V100" s="390">
        <f t="shared" si="9"/>
        <v>0</v>
      </c>
      <c r="W100" s="386">
        <v>0</v>
      </c>
      <c r="X100" s="386">
        <v>0</v>
      </c>
      <c r="Y100" s="386">
        <f t="shared" si="10"/>
        <v>0</v>
      </c>
      <c r="Z100" s="386">
        <f t="shared" si="10"/>
        <v>0</v>
      </c>
      <c r="AA100" s="386">
        <v>0</v>
      </c>
      <c r="AB100" s="390">
        <f t="shared" si="11"/>
        <v>0</v>
      </c>
      <c r="AC100" s="386">
        <v>0</v>
      </c>
      <c r="AD100" s="390">
        <f t="shared" si="12"/>
        <v>0</v>
      </c>
      <c r="AE100" s="386">
        <v>0</v>
      </c>
      <c r="AF100" s="386">
        <v>3883</v>
      </c>
      <c r="AG100" s="386">
        <v>0</v>
      </c>
      <c r="AH100" s="386">
        <v>0</v>
      </c>
      <c r="AI100" s="386">
        <v>0</v>
      </c>
      <c r="AJ100" s="386">
        <v>0</v>
      </c>
      <c r="AK100" s="386">
        <v>0</v>
      </c>
      <c r="AL100" s="386">
        <v>143</v>
      </c>
      <c r="AM100" s="386">
        <v>0</v>
      </c>
      <c r="AN100" s="386">
        <v>0</v>
      </c>
      <c r="AO100" s="386">
        <v>100</v>
      </c>
      <c r="AP100" s="386">
        <v>0</v>
      </c>
      <c r="AQ100" s="386">
        <v>0</v>
      </c>
      <c r="AR100" s="386">
        <f t="shared" si="16"/>
        <v>0</v>
      </c>
      <c r="AS100" s="386">
        <f t="shared" si="16"/>
        <v>0</v>
      </c>
      <c r="AT100" s="386">
        <f t="shared" si="16"/>
        <v>0</v>
      </c>
      <c r="AU100" s="386">
        <f t="shared" si="15"/>
        <v>0</v>
      </c>
      <c r="AV100" s="386">
        <f t="shared" si="15"/>
        <v>0</v>
      </c>
      <c r="AW100" s="386">
        <f t="shared" si="15"/>
        <v>0</v>
      </c>
      <c r="AX100" s="386">
        <f t="shared" si="15"/>
        <v>0</v>
      </c>
      <c r="AY100" s="386">
        <f t="shared" si="15"/>
        <v>0</v>
      </c>
      <c r="AZ100" s="386">
        <f t="shared" si="15"/>
        <v>0</v>
      </c>
      <c r="BA100" s="386">
        <f t="shared" si="14"/>
        <v>0</v>
      </c>
      <c r="BB100" s="386">
        <f t="shared" si="14"/>
        <v>0</v>
      </c>
      <c r="BC100" s="386">
        <f t="shared" si="14"/>
        <v>0</v>
      </c>
      <c r="BD100" s="386">
        <f t="shared" si="14"/>
        <v>0</v>
      </c>
    </row>
    <row r="101" spans="1:56" ht="25.5" x14ac:dyDescent="0.25">
      <c r="A101" s="388">
        <v>85</v>
      </c>
      <c r="B101" s="83" t="s">
        <v>480</v>
      </c>
      <c r="C101" s="389">
        <f t="shared" si="13"/>
        <v>3480</v>
      </c>
      <c r="D101" s="389">
        <v>0</v>
      </c>
      <c r="E101" s="389">
        <v>0</v>
      </c>
      <c r="F101" s="389">
        <v>0</v>
      </c>
      <c r="G101" s="389">
        <v>0</v>
      </c>
      <c r="H101" s="389">
        <v>0</v>
      </c>
      <c r="I101" s="389">
        <v>3040</v>
      </c>
      <c r="J101" s="389">
        <v>0</v>
      </c>
      <c r="K101" s="389">
        <v>0</v>
      </c>
      <c r="L101" s="389">
        <v>0</v>
      </c>
      <c r="M101" s="389">
        <v>0</v>
      </c>
      <c r="N101" s="389">
        <v>0</v>
      </c>
      <c r="O101" s="389">
        <v>150</v>
      </c>
      <c r="P101" s="389">
        <v>0</v>
      </c>
      <c r="Q101" s="389">
        <v>0</v>
      </c>
      <c r="R101" s="389">
        <v>290</v>
      </c>
      <c r="S101" s="389">
        <v>0</v>
      </c>
      <c r="T101" s="389">
        <v>0</v>
      </c>
      <c r="U101" s="386">
        <v>3480</v>
      </c>
      <c r="V101" s="390">
        <f t="shared" si="9"/>
        <v>0</v>
      </c>
      <c r="W101" s="386">
        <v>0</v>
      </c>
      <c r="X101" s="386">
        <v>0</v>
      </c>
      <c r="Y101" s="386">
        <f t="shared" si="10"/>
        <v>0</v>
      </c>
      <c r="Z101" s="386">
        <f t="shared" si="10"/>
        <v>0</v>
      </c>
      <c r="AA101" s="386">
        <v>0</v>
      </c>
      <c r="AB101" s="390">
        <f t="shared" si="11"/>
        <v>0</v>
      </c>
      <c r="AC101" s="386">
        <v>0</v>
      </c>
      <c r="AD101" s="390">
        <f t="shared" si="12"/>
        <v>0</v>
      </c>
      <c r="AE101" s="386">
        <v>0</v>
      </c>
      <c r="AF101" s="386">
        <v>3040</v>
      </c>
      <c r="AG101" s="386">
        <v>0</v>
      </c>
      <c r="AH101" s="386">
        <v>0</v>
      </c>
      <c r="AI101" s="386">
        <v>0</v>
      </c>
      <c r="AJ101" s="386">
        <v>0</v>
      </c>
      <c r="AK101" s="386">
        <v>0</v>
      </c>
      <c r="AL101" s="386">
        <v>150</v>
      </c>
      <c r="AM101" s="386">
        <v>0</v>
      </c>
      <c r="AN101" s="386">
        <v>0</v>
      </c>
      <c r="AO101" s="386">
        <v>290</v>
      </c>
      <c r="AP101" s="386">
        <v>0</v>
      </c>
      <c r="AQ101" s="386">
        <v>0</v>
      </c>
      <c r="AR101" s="386">
        <f t="shared" si="16"/>
        <v>0</v>
      </c>
      <c r="AS101" s="386">
        <f t="shared" si="16"/>
        <v>0</v>
      </c>
      <c r="AT101" s="386">
        <f t="shared" si="16"/>
        <v>0</v>
      </c>
      <c r="AU101" s="386">
        <f t="shared" si="15"/>
        <v>0</v>
      </c>
      <c r="AV101" s="386">
        <f t="shared" si="15"/>
        <v>0</v>
      </c>
      <c r="AW101" s="386">
        <f t="shared" si="15"/>
        <v>0</v>
      </c>
      <c r="AX101" s="386">
        <f t="shared" si="15"/>
        <v>0</v>
      </c>
      <c r="AY101" s="386">
        <f t="shared" si="15"/>
        <v>0</v>
      </c>
      <c r="AZ101" s="386">
        <f t="shared" si="15"/>
        <v>0</v>
      </c>
      <c r="BA101" s="386">
        <f t="shared" si="14"/>
        <v>0</v>
      </c>
      <c r="BB101" s="386">
        <f t="shared" si="14"/>
        <v>0</v>
      </c>
      <c r="BC101" s="386">
        <f t="shared" si="14"/>
        <v>0</v>
      </c>
      <c r="BD101" s="386">
        <f t="shared" si="14"/>
        <v>0</v>
      </c>
    </row>
    <row r="102" spans="1:56" ht="25.5" x14ac:dyDescent="0.25">
      <c r="A102" s="388">
        <v>86</v>
      </c>
      <c r="B102" s="83" t="s">
        <v>481</v>
      </c>
      <c r="C102" s="389">
        <f t="shared" si="13"/>
        <v>13472</v>
      </c>
      <c r="D102" s="389">
        <v>0</v>
      </c>
      <c r="E102" s="389">
        <v>0</v>
      </c>
      <c r="F102" s="389">
        <v>0</v>
      </c>
      <c r="G102" s="389">
        <v>0</v>
      </c>
      <c r="H102" s="389">
        <v>0</v>
      </c>
      <c r="I102" s="389">
        <v>6425</v>
      </c>
      <c r="J102" s="389">
        <v>0</v>
      </c>
      <c r="K102" s="389">
        <v>0</v>
      </c>
      <c r="L102" s="389">
        <v>0</v>
      </c>
      <c r="M102" s="389">
        <v>0</v>
      </c>
      <c r="N102" s="389">
        <v>0</v>
      </c>
      <c r="O102" s="389">
        <v>6627</v>
      </c>
      <c r="P102" s="389">
        <v>0</v>
      </c>
      <c r="Q102" s="389">
        <v>0</v>
      </c>
      <c r="R102" s="389">
        <v>420</v>
      </c>
      <c r="S102" s="389">
        <v>0</v>
      </c>
      <c r="T102" s="389">
        <v>0</v>
      </c>
      <c r="U102" s="386">
        <v>13472</v>
      </c>
      <c r="V102" s="390">
        <f t="shared" si="9"/>
        <v>0</v>
      </c>
      <c r="W102" s="386">
        <v>0</v>
      </c>
      <c r="X102" s="386">
        <v>0</v>
      </c>
      <c r="Y102" s="386">
        <f t="shared" si="10"/>
        <v>0</v>
      </c>
      <c r="Z102" s="386">
        <f t="shared" si="10"/>
        <v>0</v>
      </c>
      <c r="AA102" s="386">
        <v>0</v>
      </c>
      <c r="AB102" s="390">
        <f t="shared" si="11"/>
        <v>0</v>
      </c>
      <c r="AC102" s="386">
        <v>0</v>
      </c>
      <c r="AD102" s="390">
        <f t="shared" si="12"/>
        <v>0</v>
      </c>
      <c r="AE102" s="386">
        <v>0</v>
      </c>
      <c r="AF102" s="386">
        <v>6425</v>
      </c>
      <c r="AG102" s="386">
        <v>0</v>
      </c>
      <c r="AH102" s="386">
        <v>0</v>
      </c>
      <c r="AI102" s="386">
        <v>0</v>
      </c>
      <c r="AJ102" s="386">
        <v>0</v>
      </c>
      <c r="AK102" s="386">
        <v>0</v>
      </c>
      <c r="AL102" s="386">
        <v>6627</v>
      </c>
      <c r="AM102" s="386">
        <v>0</v>
      </c>
      <c r="AN102" s="386">
        <v>0</v>
      </c>
      <c r="AO102" s="386">
        <v>420</v>
      </c>
      <c r="AP102" s="386">
        <v>0</v>
      </c>
      <c r="AQ102" s="386">
        <v>0</v>
      </c>
      <c r="AR102" s="386">
        <f t="shared" si="16"/>
        <v>0</v>
      </c>
      <c r="AS102" s="386">
        <f t="shared" si="16"/>
        <v>0</v>
      </c>
      <c r="AT102" s="386">
        <f t="shared" si="16"/>
        <v>0</v>
      </c>
      <c r="AU102" s="386">
        <f t="shared" si="15"/>
        <v>0</v>
      </c>
      <c r="AV102" s="386">
        <f t="shared" si="15"/>
        <v>0</v>
      </c>
      <c r="AW102" s="386">
        <f t="shared" si="15"/>
        <v>0</v>
      </c>
      <c r="AX102" s="386">
        <f t="shared" si="15"/>
        <v>0</v>
      </c>
      <c r="AY102" s="386">
        <f t="shared" si="15"/>
        <v>0</v>
      </c>
      <c r="AZ102" s="386">
        <f t="shared" si="15"/>
        <v>0</v>
      </c>
      <c r="BA102" s="386">
        <f t="shared" si="14"/>
        <v>0</v>
      </c>
      <c r="BB102" s="386">
        <f t="shared" si="14"/>
        <v>0</v>
      </c>
      <c r="BC102" s="386">
        <f t="shared" si="14"/>
        <v>0</v>
      </c>
      <c r="BD102" s="386">
        <f t="shared" si="14"/>
        <v>0</v>
      </c>
    </row>
    <row r="103" spans="1:56" ht="25.5" x14ac:dyDescent="0.25">
      <c r="A103" s="388">
        <v>87</v>
      </c>
      <c r="B103" s="83" t="s">
        <v>695</v>
      </c>
      <c r="C103" s="389">
        <f t="shared" si="13"/>
        <v>3172</v>
      </c>
      <c r="D103" s="389">
        <v>0</v>
      </c>
      <c r="E103" s="389">
        <v>0</v>
      </c>
      <c r="F103" s="389">
        <v>0</v>
      </c>
      <c r="G103" s="389">
        <v>0</v>
      </c>
      <c r="H103" s="389">
        <v>0</v>
      </c>
      <c r="I103" s="389">
        <v>2782</v>
      </c>
      <c r="J103" s="389">
        <v>0</v>
      </c>
      <c r="K103" s="389">
        <v>0</v>
      </c>
      <c r="L103" s="389">
        <v>0</v>
      </c>
      <c r="M103" s="389">
        <v>0</v>
      </c>
      <c r="N103" s="389">
        <v>0</v>
      </c>
      <c r="O103" s="389">
        <v>240</v>
      </c>
      <c r="P103" s="389">
        <v>0</v>
      </c>
      <c r="Q103" s="389">
        <v>0</v>
      </c>
      <c r="R103" s="389">
        <v>150</v>
      </c>
      <c r="S103" s="389">
        <v>0</v>
      </c>
      <c r="T103" s="389">
        <v>0</v>
      </c>
      <c r="U103" s="386">
        <v>3172</v>
      </c>
      <c r="V103" s="390">
        <f t="shared" si="9"/>
        <v>0</v>
      </c>
      <c r="W103" s="386">
        <v>0</v>
      </c>
      <c r="X103" s="386">
        <v>0</v>
      </c>
      <c r="Y103" s="386">
        <f t="shared" si="10"/>
        <v>0</v>
      </c>
      <c r="Z103" s="386">
        <f t="shared" si="10"/>
        <v>0</v>
      </c>
      <c r="AA103" s="386">
        <v>0</v>
      </c>
      <c r="AB103" s="390">
        <f t="shared" si="11"/>
        <v>0</v>
      </c>
      <c r="AC103" s="386">
        <v>0</v>
      </c>
      <c r="AD103" s="390">
        <f t="shared" si="12"/>
        <v>0</v>
      </c>
      <c r="AE103" s="386">
        <v>0</v>
      </c>
      <c r="AF103" s="386">
        <v>2782</v>
      </c>
      <c r="AG103" s="386">
        <v>0</v>
      </c>
      <c r="AH103" s="386">
        <v>0</v>
      </c>
      <c r="AI103" s="386">
        <v>0</v>
      </c>
      <c r="AJ103" s="386">
        <v>0</v>
      </c>
      <c r="AK103" s="386">
        <v>0</v>
      </c>
      <c r="AL103" s="386">
        <v>240</v>
      </c>
      <c r="AM103" s="386">
        <v>0</v>
      </c>
      <c r="AN103" s="386">
        <v>0</v>
      </c>
      <c r="AO103" s="386">
        <v>150</v>
      </c>
      <c r="AP103" s="386">
        <v>0</v>
      </c>
      <c r="AQ103" s="386">
        <v>0</v>
      </c>
      <c r="AR103" s="386">
        <f t="shared" si="16"/>
        <v>0</v>
      </c>
      <c r="AS103" s="386">
        <f t="shared" si="16"/>
        <v>0</v>
      </c>
      <c r="AT103" s="386">
        <f t="shared" si="16"/>
        <v>0</v>
      </c>
      <c r="AU103" s="386">
        <f t="shared" si="15"/>
        <v>0</v>
      </c>
      <c r="AV103" s="386">
        <f t="shared" si="15"/>
        <v>0</v>
      </c>
      <c r="AW103" s="386">
        <f t="shared" si="15"/>
        <v>0</v>
      </c>
      <c r="AX103" s="386">
        <f t="shared" si="15"/>
        <v>0</v>
      </c>
      <c r="AY103" s="386">
        <f t="shared" si="15"/>
        <v>0</v>
      </c>
      <c r="AZ103" s="386">
        <f t="shared" si="15"/>
        <v>0</v>
      </c>
      <c r="BA103" s="386">
        <f t="shared" si="14"/>
        <v>0</v>
      </c>
      <c r="BB103" s="386">
        <f t="shared" si="14"/>
        <v>0</v>
      </c>
      <c r="BC103" s="386">
        <f t="shared" si="14"/>
        <v>0</v>
      </c>
      <c r="BD103" s="386">
        <f t="shared" si="14"/>
        <v>0</v>
      </c>
    </row>
    <row r="104" spans="1:56" ht="25.5" x14ac:dyDescent="0.25">
      <c r="A104" s="388">
        <v>88</v>
      </c>
      <c r="B104" s="83" t="s">
        <v>696</v>
      </c>
      <c r="C104" s="389">
        <f t="shared" si="13"/>
        <v>2676</v>
      </c>
      <c r="D104" s="389">
        <v>0</v>
      </c>
      <c r="E104" s="389">
        <v>0</v>
      </c>
      <c r="F104" s="389">
        <v>0</v>
      </c>
      <c r="G104" s="389">
        <v>0</v>
      </c>
      <c r="H104" s="389">
        <v>0</v>
      </c>
      <c r="I104" s="389">
        <v>2675</v>
      </c>
      <c r="J104" s="389">
        <v>0</v>
      </c>
      <c r="K104" s="389">
        <v>0</v>
      </c>
      <c r="L104" s="389">
        <v>0</v>
      </c>
      <c r="M104" s="389">
        <v>0</v>
      </c>
      <c r="N104" s="389">
        <v>0</v>
      </c>
      <c r="O104" s="389">
        <v>0</v>
      </c>
      <c r="P104" s="389">
        <v>0</v>
      </c>
      <c r="Q104" s="389">
        <v>0</v>
      </c>
      <c r="R104" s="389">
        <v>1</v>
      </c>
      <c r="S104" s="389">
        <v>0</v>
      </c>
      <c r="T104" s="389">
        <v>0</v>
      </c>
      <c r="U104" s="386">
        <v>2676</v>
      </c>
      <c r="V104" s="390">
        <f t="shared" si="9"/>
        <v>0</v>
      </c>
      <c r="W104" s="386">
        <v>0</v>
      </c>
      <c r="X104" s="386">
        <v>0</v>
      </c>
      <c r="Y104" s="386">
        <f t="shared" si="10"/>
        <v>0</v>
      </c>
      <c r="Z104" s="386">
        <f t="shared" si="10"/>
        <v>0</v>
      </c>
      <c r="AA104" s="386">
        <v>0</v>
      </c>
      <c r="AB104" s="390">
        <f t="shared" si="11"/>
        <v>0</v>
      </c>
      <c r="AC104" s="386">
        <v>0</v>
      </c>
      <c r="AD104" s="390">
        <f t="shared" si="12"/>
        <v>0</v>
      </c>
      <c r="AE104" s="386">
        <v>0</v>
      </c>
      <c r="AF104" s="386">
        <v>2675</v>
      </c>
      <c r="AG104" s="386">
        <v>0</v>
      </c>
      <c r="AH104" s="386">
        <v>0</v>
      </c>
      <c r="AI104" s="386">
        <v>0</v>
      </c>
      <c r="AJ104" s="386">
        <v>0</v>
      </c>
      <c r="AK104" s="386">
        <v>0</v>
      </c>
      <c r="AL104" s="386">
        <v>0</v>
      </c>
      <c r="AM104" s="386">
        <v>0</v>
      </c>
      <c r="AN104" s="386">
        <v>0</v>
      </c>
      <c r="AO104" s="386">
        <v>1</v>
      </c>
      <c r="AP104" s="386">
        <v>0</v>
      </c>
      <c r="AQ104" s="386">
        <v>0</v>
      </c>
      <c r="AR104" s="386">
        <f t="shared" si="16"/>
        <v>0</v>
      </c>
      <c r="AS104" s="386">
        <f t="shared" si="16"/>
        <v>0</v>
      </c>
      <c r="AT104" s="386">
        <f t="shared" si="16"/>
        <v>0</v>
      </c>
      <c r="AU104" s="386">
        <f t="shared" si="15"/>
        <v>0</v>
      </c>
      <c r="AV104" s="386">
        <f t="shared" si="15"/>
        <v>0</v>
      </c>
      <c r="AW104" s="386">
        <f t="shared" si="15"/>
        <v>0</v>
      </c>
      <c r="AX104" s="386">
        <f t="shared" si="15"/>
        <v>0</v>
      </c>
      <c r="AY104" s="386">
        <f t="shared" si="15"/>
        <v>0</v>
      </c>
      <c r="AZ104" s="386">
        <f t="shared" si="15"/>
        <v>0</v>
      </c>
      <c r="BA104" s="386">
        <f t="shared" si="14"/>
        <v>0</v>
      </c>
      <c r="BB104" s="386">
        <f t="shared" si="14"/>
        <v>0</v>
      </c>
      <c r="BC104" s="386">
        <f t="shared" si="14"/>
        <v>0</v>
      </c>
      <c r="BD104" s="386">
        <f t="shared" si="14"/>
        <v>0</v>
      </c>
    </row>
    <row r="105" spans="1:56" x14ac:dyDescent="0.25">
      <c r="A105" s="388">
        <v>89</v>
      </c>
      <c r="B105" s="83" t="s">
        <v>484</v>
      </c>
      <c r="C105" s="389">
        <f t="shared" si="13"/>
        <v>181509</v>
      </c>
      <c r="D105" s="389">
        <v>2372</v>
      </c>
      <c r="E105" s="389">
        <v>5841</v>
      </c>
      <c r="F105" s="389">
        <v>32191</v>
      </c>
      <c r="G105" s="389">
        <v>0</v>
      </c>
      <c r="H105" s="389">
        <v>7128</v>
      </c>
      <c r="I105" s="389">
        <v>0</v>
      </c>
      <c r="J105" s="389">
        <v>0</v>
      </c>
      <c r="K105" s="389">
        <v>0</v>
      </c>
      <c r="L105" s="389">
        <v>2594</v>
      </c>
      <c r="M105" s="389">
        <v>46269</v>
      </c>
      <c r="N105" s="389">
        <v>0</v>
      </c>
      <c r="O105" s="389">
        <v>0</v>
      </c>
      <c r="P105" s="389">
        <v>5500</v>
      </c>
      <c r="Q105" s="389">
        <v>2300</v>
      </c>
      <c r="R105" s="389">
        <v>0</v>
      </c>
      <c r="S105" s="389">
        <v>1441</v>
      </c>
      <c r="T105" s="389">
        <v>75873</v>
      </c>
      <c r="U105" s="386">
        <v>181509</v>
      </c>
      <c r="V105" s="390">
        <f t="shared" si="9"/>
        <v>0</v>
      </c>
      <c r="W105" s="386">
        <v>2372</v>
      </c>
      <c r="X105" s="386">
        <v>5841</v>
      </c>
      <c r="Y105" s="386">
        <f t="shared" si="10"/>
        <v>0</v>
      </c>
      <c r="Z105" s="386">
        <f t="shared" si="10"/>
        <v>0</v>
      </c>
      <c r="AA105" s="386">
        <v>32191</v>
      </c>
      <c r="AB105" s="390">
        <f t="shared" si="11"/>
        <v>0</v>
      </c>
      <c r="AC105" s="386">
        <v>0</v>
      </c>
      <c r="AD105" s="390">
        <f t="shared" si="12"/>
        <v>0</v>
      </c>
      <c r="AE105" s="386">
        <v>7128</v>
      </c>
      <c r="AF105" s="386">
        <v>0</v>
      </c>
      <c r="AG105" s="386">
        <v>0</v>
      </c>
      <c r="AH105" s="386">
        <v>0</v>
      </c>
      <c r="AI105" s="386">
        <v>2594</v>
      </c>
      <c r="AJ105" s="386">
        <v>46269</v>
      </c>
      <c r="AK105" s="386">
        <v>0</v>
      </c>
      <c r="AL105" s="386">
        <v>0</v>
      </c>
      <c r="AM105" s="386">
        <v>5500</v>
      </c>
      <c r="AN105" s="386">
        <v>2300</v>
      </c>
      <c r="AO105" s="386">
        <v>0</v>
      </c>
      <c r="AP105" s="386">
        <v>1441</v>
      </c>
      <c r="AQ105" s="386">
        <v>75873</v>
      </c>
      <c r="AR105" s="386">
        <f t="shared" si="16"/>
        <v>0</v>
      </c>
      <c r="AS105" s="386">
        <f t="shared" si="16"/>
        <v>0</v>
      </c>
      <c r="AT105" s="386">
        <f t="shared" si="16"/>
        <v>0</v>
      </c>
      <c r="AU105" s="386">
        <f t="shared" si="15"/>
        <v>0</v>
      </c>
      <c r="AV105" s="386">
        <f t="shared" si="15"/>
        <v>0</v>
      </c>
      <c r="AW105" s="386">
        <f t="shared" si="15"/>
        <v>0</v>
      </c>
      <c r="AX105" s="386">
        <f t="shared" si="15"/>
        <v>0</v>
      </c>
      <c r="AY105" s="386">
        <f t="shared" si="15"/>
        <v>0</v>
      </c>
      <c r="AZ105" s="386">
        <f t="shared" si="15"/>
        <v>0</v>
      </c>
      <c r="BA105" s="386">
        <f t="shared" si="14"/>
        <v>0</v>
      </c>
      <c r="BB105" s="386">
        <f t="shared" si="14"/>
        <v>0</v>
      </c>
      <c r="BC105" s="386">
        <f t="shared" si="14"/>
        <v>0</v>
      </c>
      <c r="BD105" s="386">
        <f t="shared" si="14"/>
        <v>0</v>
      </c>
    </row>
    <row r="106" spans="1:56" x14ac:dyDescent="0.25">
      <c r="A106" s="388">
        <v>90</v>
      </c>
      <c r="B106" s="83" t="s">
        <v>60</v>
      </c>
      <c r="C106" s="389">
        <f t="shared" si="13"/>
        <v>77211</v>
      </c>
      <c r="D106" s="389">
        <v>2283</v>
      </c>
      <c r="E106" s="389">
        <v>7824</v>
      </c>
      <c r="F106" s="389">
        <v>18351</v>
      </c>
      <c r="G106" s="389">
        <v>0</v>
      </c>
      <c r="H106" s="389">
        <v>0</v>
      </c>
      <c r="I106" s="389">
        <v>0</v>
      </c>
      <c r="J106" s="389">
        <v>1025</v>
      </c>
      <c r="K106" s="389">
        <v>439</v>
      </c>
      <c r="L106" s="389">
        <v>11942</v>
      </c>
      <c r="M106" s="389">
        <v>24642</v>
      </c>
      <c r="N106" s="389">
        <v>658</v>
      </c>
      <c r="O106" s="389">
        <v>0</v>
      </c>
      <c r="P106" s="389">
        <v>0</v>
      </c>
      <c r="Q106" s="389">
        <v>0</v>
      </c>
      <c r="R106" s="389">
        <v>0</v>
      </c>
      <c r="S106" s="389">
        <v>1578</v>
      </c>
      <c r="T106" s="389">
        <v>8469</v>
      </c>
      <c r="U106" s="386">
        <v>77211</v>
      </c>
      <c r="V106" s="390">
        <f t="shared" si="9"/>
        <v>0</v>
      </c>
      <c r="W106" s="386">
        <v>2283</v>
      </c>
      <c r="X106" s="386">
        <v>7824</v>
      </c>
      <c r="Y106" s="386">
        <f t="shared" si="10"/>
        <v>0</v>
      </c>
      <c r="Z106" s="386">
        <f t="shared" si="10"/>
        <v>0</v>
      </c>
      <c r="AA106" s="386">
        <v>18351</v>
      </c>
      <c r="AB106" s="390">
        <f t="shared" si="11"/>
        <v>0</v>
      </c>
      <c r="AC106" s="386">
        <v>0</v>
      </c>
      <c r="AD106" s="390">
        <f t="shared" si="12"/>
        <v>0</v>
      </c>
      <c r="AE106" s="386">
        <v>0</v>
      </c>
      <c r="AF106" s="386">
        <v>0</v>
      </c>
      <c r="AG106" s="386">
        <v>1025</v>
      </c>
      <c r="AH106" s="386">
        <v>439</v>
      </c>
      <c r="AI106" s="386">
        <v>11942</v>
      </c>
      <c r="AJ106" s="386">
        <v>24642</v>
      </c>
      <c r="AK106" s="386">
        <v>658</v>
      </c>
      <c r="AL106" s="386">
        <v>0</v>
      </c>
      <c r="AM106" s="386">
        <v>0</v>
      </c>
      <c r="AN106" s="386">
        <v>0</v>
      </c>
      <c r="AO106" s="386">
        <v>0</v>
      </c>
      <c r="AP106" s="386">
        <v>1578</v>
      </c>
      <c r="AQ106" s="386">
        <v>8469</v>
      </c>
      <c r="AR106" s="386">
        <f t="shared" si="16"/>
        <v>0</v>
      </c>
      <c r="AS106" s="386">
        <f t="shared" si="16"/>
        <v>0</v>
      </c>
      <c r="AT106" s="386">
        <f t="shared" si="16"/>
        <v>0</v>
      </c>
      <c r="AU106" s="386">
        <f t="shared" si="15"/>
        <v>0</v>
      </c>
      <c r="AV106" s="386">
        <f t="shared" si="15"/>
        <v>0</v>
      </c>
      <c r="AW106" s="386">
        <f t="shared" si="15"/>
        <v>0</v>
      </c>
      <c r="AX106" s="386">
        <f t="shared" si="15"/>
        <v>0</v>
      </c>
      <c r="AY106" s="386">
        <f t="shared" si="15"/>
        <v>0</v>
      </c>
      <c r="AZ106" s="386">
        <f t="shared" si="15"/>
        <v>0</v>
      </c>
      <c r="BA106" s="386">
        <f t="shared" si="14"/>
        <v>0</v>
      </c>
      <c r="BB106" s="386">
        <f t="shared" si="14"/>
        <v>0</v>
      </c>
      <c r="BC106" s="386">
        <f t="shared" si="14"/>
        <v>0</v>
      </c>
      <c r="BD106" s="386">
        <f t="shared" si="14"/>
        <v>0</v>
      </c>
    </row>
    <row r="107" spans="1:56" x14ac:dyDescent="0.25">
      <c r="A107" s="388">
        <v>91</v>
      </c>
      <c r="B107" s="83" t="s">
        <v>56</v>
      </c>
      <c r="C107" s="389">
        <f t="shared" si="13"/>
        <v>59911</v>
      </c>
      <c r="D107" s="389">
        <v>1983</v>
      </c>
      <c r="E107" s="389">
        <v>2845</v>
      </c>
      <c r="F107" s="389">
        <v>28238</v>
      </c>
      <c r="G107" s="389">
        <v>0</v>
      </c>
      <c r="H107" s="389">
        <v>0</v>
      </c>
      <c r="I107" s="389">
        <v>0</v>
      </c>
      <c r="J107" s="389">
        <v>0</v>
      </c>
      <c r="K107" s="389">
        <v>0</v>
      </c>
      <c r="L107" s="389">
        <v>4777</v>
      </c>
      <c r="M107" s="389">
        <v>6036</v>
      </c>
      <c r="N107" s="389">
        <v>66</v>
      </c>
      <c r="O107" s="389">
        <v>0</v>
      </c>
      <c r="P107" s="389">
        <v>1500</v>
      </c>
      <c r="Q107" s="389">
        <v>1500</v>
      </c>
      <c r="R107" s="389">
        <v>0</v>
      </c>
      <c r="S107" s="389">
        <v>3729</v>
      </c>
      <c r="T107" s="389">
        <v>9237</v>
      </c>
      <c r="U107" s="386">
        <v>59911</v>
      </c>
      <c r="V107" s="390">
        <f t="shared" si="9"/>
        <v>0</v>
      </c>
      <c r="W107" s="386">
        <v>1983</v>
      </c>
      <c r="X107" s="386">
        <v>2845</v>
      </c>
      <c r="Y107" s="386">
        <f t="shared" si="10"/>
        <v>0</v>
      </c>
      <c r="Z107" s="386">
        <f t="shared" si="10"/>
        <v>0</v>
      </c>
      <c r="AA107" s="386">
        <v>28238</v>
      </c>
      <c r="AB107" s="390">
        <f t="shared" si="11"/>
        <v>0</v>
      </c>
      <c r="AC107" s="386">
        <v>0</v>
      </c>
      <c r="AD107" s="390">
        <f t="shared" si="12"/>
        <v>0</v>
      </c>
      <c r="AE107" s="386">
        <v>0</v>
      </c>
      <c r="AF107" s="386">
        <v>0</v>
      </c>
      <c r="AG107" s="386">
        <v>0</v>
      </c>
      <c r="AH107" s="386">
        <v>0</v>
      </c>
      <c r="AI107" s="386">
        <v>4777</v>
      </c>
      <c r="AJ107" s="386">
        <v>6036</v>
      </c>
      <c r="AK107" s="386">
        <v>66</v>
      </c>
      <c r="AL107" s="386">
        <v>0</v>
      </c>
      <c r="AM107" s="386">
        <v>1500</v>
      </c>
      <c r="AN107" s="386">
        <v>1500</v>
      </c>
      <c r="AO107" s="386">
        <v>0</v>
      </c>
      <c r="AP107" s="386">
        <v>3729</v>
      </c>
      <c r="AQ107" s="386">
        <v>9237</v>
      </c>
      <c r="AR107" s="386">
        <f t="shared" si="16"/>
        <v>0</v>
      </c>
      <c r="AS107" s="386">
        <f t="shared" si="16"/>
        <v>0</v>
      </c>
      <c r="AT107" s="386">
        <f t="shared" si="16"/>
        <v>0</v>
      </c>
      <c r="AU107" s="386">
        <f t="shared" si="15"/>
        <v>0</v>
      </c>
      <c r="AV107" s="386">
        <f t="shared" si="15"/>
        <v>0</v>
      </c>
      <c r="AW107" s="386">
        <f t="shared" si="15"/>
        <v>0</v>
      </c>
      <c r="AX107" s="386">
        <f t="shared" si="15"/>
        <v>0</v>
      </c>
      <c r="AY107" s="386">
        <f t="shared" si="15"/>
        <v>0</v>
      </c>
      <c r="AZ107" s="386">
        <f t="shared" si="15"/>
        <v>0</v>
      </c>
      <c r="BA107" s="386">
        <f t="shared" si="14"/>
        <v>0</v>
      </c>
      <c r="BB107" s="386">
        <f t="shared" si="14"/>
        <v>0</v>
      </c>
      <c r="BC107" s="386">
        <f t="shared" si="14"/>
        <v>0</v>
      </c>
      <c r="BD107" s="386">
        <f t="shared" si="14"/>
        <v>0</v>
      </c>
    </row>
    <row r="108" spans="1:56" x14ac:dyDescent="0.25">
      <c r="A108" s="388">
        <v>92</v>
      </c>
      <c r="B108" s="83" t="s">
        <v>55</v>
      </c>
      <c r="C108" s="389">
        <f t="shared" si="13"/>
        <v>32802</v>
      </c>
      <c r="D108" s="389">
        <v>1136</v>
      </c>
      <c r="E108" s="389">
        <v>1470</v>
      </c>
      <c r="F108" s="389">
        <v>10074</v>
      </c>
      <c r="G108" s="389">
        <v>0</v>
      </c>
      <c r="H108" s="389">
        <v>0</v>
      </c>
      <c r="I108" s="389">
        <v>0</v>
      </c>
      <c r="J108" s="389">
        <v>0</v>
      </c>
      <c r="K108" s="389">
        <v>0</v>
      </c>
      <c r="L108" s="389">
        <v>4530</v>
      </c>
      <c r="M108" s="389">
        <v>7480</v>
      </c>
      <c r="N108" s="389">
        <v>0</v>
      </c>
      <c r="O108" s="389">
        <v>0</v>
      </c>
      <c r="P108" s="389">
        <v>2450</v>
      </c>
      <c r="Q108" s="389">
        <v>0</v>
      </c>
      <c r="R108" s="389">
        <v>0</v>
      </c>
      <c r="S108" s="389">
        <v>1490</v>
      </c>
      <c r="T108" s="389">
        <v>4172</v>
      </c>
      <c r="U108" s="386">
        <v>32802</v>
      </c>
      <c r="V108" s="390">
        <f t="shared" si="9"/>
        <v>0</v>
      </c>
      <c r="W108" s="386">
        <v>1136</v>
      </c>
      <c r="X108" s="386">
        <v>1470</v>
      </c>
      <c r="Y108" s="386">
        <f t="shared" si="10"/>
        <v>0</v>
      </c>
      <c r="Z108" s="386">
        <f t="shared" si="10"/>
        <v>0</v>
      </c>
      <c r="AA108" s="386">
        <v>10074</v>
      </c>
      <c r="AB108" s="390">
        <f t="shared" si="11"/>
        <v>0</v>
      </c>
      <c r="AC108" s="386">
        <v>0</v>
      </c>
      <c r="AD108" s="390">
        <f t="shared" si="12"/>
        <v>0</v>
      </c>
      <c r="AE108" s="386">
        <v>0</v>
      </c>
      <c r="AF108" s="386">
        <v>0</v>
      </c>
      <c r="AG108" s="386">
        <v>0</v>
      </c>
      <c r="AH108" s="386">
        <v>0</v>
      </c>
      <c r="AI108" s="386">
        <v>4530</v>
      </c>
      <c r="AJ108" s="386">
        <v>7480</v>
      </c>
      <c r="AK108" s="386">
        <v>0</v>
      </c>
      <c r="AL108" s="386">
        <v>0</v>
      </c>
      <c r="AM108" s="386">
        <v>2450</v>
      </c>
      <c r="AN108" s="386">
        <v>0</v>
      </c>
      <c r="AO108" s="386">
        <v>0</v>
      </c>
      <c r="AP108" s="386">
        <v>1490</v>
      </c>
      <c r="AQ108" s="386">
        <v>4172</v>
      </c>
      <c r="AR108" s="386">
        <f t="shared" si="16"/>
        <v>0</v>
      </c>
      <c r="AS108" s="386">
        <f t="shared" si="16"/>
        <v>0</v>
      </c>
      <c r="AT108" s="386">
        <f t="shared" si="16"/>
        <v>0</v>
      </c>
      <c r="AU108" s="386">
        <f t="shared" si="15"/>
        <v>0</v>
      </c>
      <c r="AV108" s="386">
        <f t="shared" si="15"/>
        <v>0</v>
      </c>
      <c r="AW108" s="386">
        <f t="shared" si="15"/>
        <v>0</v>
      </c>
      <c r="AX108" s="386">
        <f t="shared" si="15"/>
        <v>0</v>
      </c>
      <c r="AY108" s="386">
        <f t="shared" si="15"/>
        <v>0</v>
      </c>
      <c r="AZ108" s="386">
        <f t="shared" si="15"/>
        <v>0</v>
      </c>
      <c r="BA108" s="386">
        <f t="shared" si="14"/>
        <v>0</v>
      </c>
      <c r="BB108" s="386">
        <f t="shared" si="14"/>
        <v>0</v>
      </c>
      <c r="BC108" s="386">
        <f t="shared" si="14"/>
        <v>0</v>
      </c>
      <c r="BD108" s="386">
        <f t="shared" si="14"/>
        <v>0</v>
      </c>
    </row>
    <row r="109" spans="1:56" x14ac:dyDescent="0.25">
      <c r="A109" s="388">
        <v>93</v>
      </c>
      <c r="B109" s="83" t="s">
        <v>57</v>
      </c>
      <c r="C109" s="389">
        <f t="shared" si="13"/>
        <v>21432</v>
      </c>
      <c r="D109" s="389">
        <v>527</v>
      </c>
      <c r="E109" s="389">
        <v>291</v>
      </c>
      <c r="F109" s="389">
        <v>5281</v>
      </c>
      <c r="G109" s="389">
        <v>0</v>
      </c>
      <c r="H109" s="389">
        <v>8357</v>
      </c>
      <c r="I109" s="389">
        <v>0</v>
      </c>
      <c r="J109" s="389">
        <v>1025</v>
      </c>
      <c r="K109" s="389">
        <v>439</v>
      </c>
      <c r="L109" s="389">
        <v>106</v>
      </c>
      <c r="M109" s="389">
        <v>2677</v>
      </c>
      <c r="N109" s="389">
        <v>0</v>
      </c>
      <c r="O109" s="389">
        <v>0</v>
      </c>
      <c r="P109" s="389">
        <v>0</v>
      </c>
      <c r="Q109" s="389">
        <v>0</v>
      </c>
      <c r="R109" s="389">
        <v>0</v>
      </c>
      <c r="S109" s="389">
        <v>103</v>
      </c>
      <c r="T109" s="389">
        <v>2626</v>
      </c>
      <c r="U109" s="386">
        <v>21432</v>
      </c>
      <c r="V109" s="390">
        <f t="shared" si="9"/>
        <v>0</v>
      </c>
      <c r="W109" s="386">
        <v>527</v>
      </c>
      <c r="X109" s="386">
        <v>291</v>
      </c>
      <c r="Y109" s="386">
        <f t="shared" si="10"/>
        <v>0</v>
      </c>
      <c r="Z109" s="386">
        <f t="shared" si="10"/>
        <v>0</v>
      </c>
      <c r="AA109" s="386">
        <v>5281</v>
      </c>
      <c r="AB109" s="390">
        <f t="shared" si="11"/>
        <v>0</v>
      </c>
      <c r="AC109" s="386">
        <v>0</v>
      </c>
      <c r="AD109" s="390">
        <f t="shared" si="12"/>
        <v>0</v>
      </c>
      <c r="AE109" s="386">
        <v>8357</v>
      </c>
      <c r="AF109" s="386">
        <v>0</v>
      </c>
      <c r="AG109" s="386">
        <v>1025</v>
      </c>
      <c r="AH109" s="386">
        <v>439</v>
      </c>
      <c r="AI109" s="386">
        <v>106</v>
      </c>
      <c r="AJ109" s="386">
        <v>2677</v>
      </c>
      <c r="AK109" s="386">
        <v>0</v>
      </c>
      <c r="AL109" s="386">
        <v>0</v>
      </c>
      <c r="AM109" s="386">
        <v>0</v>
      </c>
      <c r="AN109" s="386">
        <v>0</v>
      </c>
      <c r="AO109" s="386">
        <v>0</v>
      </c>
      <c r="AP109" s="386">
        <v>103</v>
      </c>
      <c r="AQ109" s="386">
        <v>2626</v>
      </c>
      <c r="AR109" s="386">
        <f t="shared" si="16"/>
        <v>0</v>
      </c>
      <c r="AS109" s="386">
        <f t="shared" si="16"/>
        <v>0</v>
      </c>
      <c r="AT109" s="386">
        <f t="shared" si="16"/>
        <v>0</v>
      </c>
      <c r="AU109" s="386">
        <f t="shared" si="15"/>
        <v>0</v>
      </c>
      <c r="AV109" s="386">
        <f t="shared" si="15"/>
        <v>0</v>
      </c>
      <c r="AW109" s="386">
        <f t="shared" si="15"/>
        <v>0</v>
      </c>
      <c r="AX109" s="386">
        <f t="shared" si="15"/>
        <v>0</v>
      </c>
      <c r="AY109" s="386">
        <f t="shared" si="15"/>
        <v>0</v>
      </c>
      <c r="AZ109" s="386">
        <f t="shared" si="15"/>
        <v>0</v>
      </c>
      <c r="BA109" s="386">
        <f t="shared" si="14"/>
        <v>0</v>
      </c>
      <c r="BB109" s="386">
        <f t="shared" si="14"/>
        <v>0</v>
      </c>
      <c r="BC109" s="386">
        <f t="shared" si="14"/>
        <v>0</v>
      </c>
      <c r="BD109" s="386">
        <f t="shared" si="14"/>
        <v>0</v>
      </c>
    </row>
    <row r="110" spans="1:56" x14ac:dyDescent="0.25">
      <c r="A110" s="388">
        <v>94</v>
      </c>
      <c r="B110" s="83" t="s">
        <v>58</v>
      </c>
      <c r="C110" s="389">
        <f t="shared" si="13"/>
        <v>2993</v>
      </c>
      <c r="D110" s="389">
        <v>71</v>
      </c>
      <c r="E110" s="389">
        <v>92</v>
      </c>
      <c r="F110" s="389">
        <v>838</v>
      </c>
      <c r="G110" s="389">
        <v>0</v>
      </c>
      <c r="H110" s="389">
        <v>0</v>
      </c>
      <c r="I110" s="389">
        <v>0</v>
      </c>
      <c r="J110" s="389">
        <v>0</v>
      </c>
      <c r="K110" s="389">
        <v>0</v>
      </c>
      <c r="L110" s="389">
        <v>232</v>
      </c>
      <c r="M110" s="389">
        <v>443</v>
      </c>
      <c r="N110" s="389">
        <v>0</v>
      </c>
      <c r="O110" s="389">
        <v>0</v>
      </c>
      <c r="P110" s="389">
        <v>0</v>
      </c>
      <c r="Q110" s="389">
        <v>704</v>
      </c>
      <c r="R110" s="389">
        <v>0</v>
      </c>
      <c r="S110" s="389">
        <v>204</v>
      </c>
      <c r="T110" s="389">
        <v>409</v>
      </c>
      <c r="U110" s="386">
        <v>2993</v>
      </c>
      <c r="V110" s="390">
        <f t="shared" si="9"/>
        <v>0</v>
      </c>
      <c r="W110" s="386">
        <v>71</v>
      </c>
      <c r="X110" s="386">
        <v>92</v>
      </c>
      <c r="Y110" s="386">
        <f t="shared" si="10"/>
        <v>0</v>
      </c>
      <c r="Z110" s="386">
        <f t="shared" si="10"/>
        <v>0</v>
      </c>
      <c r="AA110" s="386">
        <v>838</v>
      </c>
      <c r="AB110" s="390">
        <f t="shared" si="11"/>
        <v>0</v>
      </c>
      <c r="AC110" s="386">
        <v>0</v>
      </c>
      <c r="AD110" s="390">
        <f t="shared" si="12"/>
        <v>0</v>
      </c>
      <c r="AE110" s="386">
        <v>0</v>
      </c>
      <c r="AF110" s="386">
        <v>0</v>
      </c>
      <c r="AG110" s="386">
        <v>0</v>
      </c>
      <c r="AH110" s="386">
        <v>0</v>
      </c>
      <c r="AI110" s="386">
        <v>232</v>
      </c>
      <c r="AJ110" s="386">
        <v>443</v>
      </c>
      <c r="AK110" s="386">
        <v>0</v>
      </c>
      <c r="AL110" s="386">
        <v>0</v>
      </c>
      <c r="AM110" s="386">
        <v>0</v>
      </c>
      <c r="AN110" s="386">
        <v>704</v>
      </c>
      <c r="AO110" s="386">
        <v>0</v>
      </c>
      <c r="AP110" s="386">
        <v>204</v>
      </c>
      <c r="AQ110" s="386">
        <v>409</v>
      </c>
      <c r="AR110" s="386">
        <f t="shared" si="16"/>
        <v>0</v>
      </c>
      <c r="AS110" s="386">
        <f t="shared" si="16"/>
        <v>0</v>
      </c>
      <c r="AT110" s="386">
        <f t="shared" si="16"/>
        <v>0</v>
      </c>
      <c r="AU110" s="386">
        <f t="shared" si="15"/>
        <v>0</v>
      </c>
      <c r="AV110" s="386">
        <f t="shared" si="15"/>
        <v>0</v>
      </c>
      <c r="AW110" s="386">
        <f t="shared" si="15"/>
        <v>0</v>
      </c>
      <c r="AX110" s="386">
        <f t="shared" si="15"/>
        <v>0</v>
      </c>
      <c r="AY110" s="386">
        <f t="shared" si="15"/>
        <v>0</v>
      </c>
      <c r="AZ110" s="386">
        <f t="shared" si="15"/>
        <v>0</v>
      </c>
      <c r="BA110" s="386">
        <f t="shared" si="14"/>
        <v>0</v>
      </c>
      <c r="BB110" s="386">
        <f t="shared" si="14"/>
        <v>0</v>
      </c>
      <c r="BC110" s="386">
        <f t="shared" si="14"/>
        <v>0</v>
      </c>
      <c r="BD110" s="386">
        <f t="shared" si="14"/>
        <v>0</v>
      </c>
    </row>
    <row r="111" spans="1:56" ht="51" x14ac:dyDescent="0.25">
      <c r="A111" s="608">
        <v>95</v>
      </c>
      <c r="B111" s="369" t="s">
        <v>248</v>
      </c>
      <c r="C111" s="389">
        <f t="shared" si="13"/>
        <v>24045</v>
      </c>
      <c r="D111" s="389">
        <v>878</v>
      </c>
      <c r="E111" s="389">
        <v>1773</v>
      </c>
      <c r="F111" s="389">
        <v>4392</v>
      </c>
      <c r="G111" s="389">
        <v>0</v>
      </c>
      <c r="H111" s="389">
        <v>0</v>
      </c>
      <c r="I111" s="389">
        <v>0</v>
      </c>
      <c r="J111" s="389">
        <v>0</v>
      </c>
      <c r="K111" s="389">
        <v>0</v>
      </c>
      <c r="L111" s="389">
        <v>3551</v>
      </c>
      <c r="M111" s="389">
        <v>4293</v>
      </c>
      <c r="N111" s="389">
        <v>0</v>
      </c>
      <c r="O111" s="389">
        <v>0</v>
      </c>
      <c r="P111" s="389">
        <v>0</v>
      </c>
      <c r="Q111" s="389">
        <v>3520</v>
      </c>
      <c r="R111" s="389">
        <v>0</v>
      </c>
      <c r="S111" s="389">
        <v>2662</v>
      </c>
      <c r="T111" s="389">
        <v>2976</v>
      </c>
      <c r="U111" s="386">
        <v>24045</v>
      </c>
      <c r="V111" s="390">
        <f t="shared" si="9"/>
        <v>0</v>
      </c>
      <c r="W111" s="386">
        <v>878</v>
      </c>
      <c r="X111" s="386">
        <v>1773</v>
      </c>
      <c r="Y111" s="386">
        <f t="shared" si="10"/>
        <v>0</v>
      </c>
      <c r="Z111" s="386">
        <f t="shared" si="10"/>
        <v>0</v>
      </c>
      <c r="AA111" s="386">
        <v>4392</v>
      </c>
      <c r="AB111" s="390">
        <f t="shared" si="11"/>
        <v>0</v>
      </c>
      <c r="AC111" s="386">
        <v>0</v>
      </c>
      <c r="AD111" s="390">
        <f t="shared" si="12"/>
        <v>0</v>
      </c>
      <c r="AE111" s="386">
        <v>0</v>
      </c>
      <c r="AF111" s="386">
        <v>0</v>
      </c>
      <c r="AG111" s="386">
        <v>0</v>
      </c>
      <c r="AH111" s="386">
        <v>0</v>
      </c>
      <c r="AI111" s="386">
        <v>3551</v>
      </c>
      <c r="AJ111" s="386">
        <v>4293</v>
      </c>
      <c r="AK111" s="386">
        <v>0</v>
      </c>
      <c r="AL111" s="386">
        <v>0</v>
      </c>
      <c r="AM111" s="386">
        <v>0</v>
      </c>
      <c r="AN111" s="386">
        <v>3520</v>
      </c>
      <c r="AO111" s="386">
        <v>0</v>
      </c>
      <c r="AP111" s="386">
        <v>2662</v>
      </c>
      <c r="AQ111" s="386">
        <v>2976</v>
      </c>
      <c r="AR111" s="386">
        <f t="shared" si="16"/>
        <v>0</v>
      </c>
      <c r="AS111" s="386">
        <f t="shared" si="16"/>
        <v>0</v>
      </c>
      <c r="AT111" s="386">
        <f t="shared" si="16"/>
        <v>0</v>
      </c>
      <c r="AU111" s="386">
        <f t="shared" si="15"/>
        <v>0</v>
      </c>
      <c r="AV111" s="386">
        <f t="shared" si="15"/>
        <v>0</v>
      </c>
      <c r="AW111" s="386">
        <f t="shared" si="15"/>
        <v>0</v>
      </c>
      <c r="AX111" s="386">
        <f t="shared" si="15"/>
        <v>0</v>
      </c>
      <c r="AY111" s="386">
        <f t="shared" si="15"/>
        <v>0</v>
      </c>
      <c r="AZ111" s="386">
        <f t="shared" si="15"/>
        <v>0</v>
      </c>
      <c r="BA111" s="386">
        <f t="shared" si="14"/>
        <v>0</v>
      </c>
      <c r="BB111" s="386">
        <f t="shared" si="14"/>
        <v>0</v>
      </c>
      <c r="BC111" s="386">
        <f t="shared" si="14"/>
        <v>0</v>
      </c>
      <c r="BD111" s="386">
        <f t="shared" si="14"/>
        <v>0</v>
      </c>
    </row>
    <row r="112" spans="1:56" x14ac:dyDescent="0.25">
      <c r="A112" s="609"/>
      <c r="B112" s="83" t="s">
        <v>59</v>
      </c>
      <c r="C112" s="389">
        <f t="shared" si="13"/>
        <v>188584</v>
      </c>
      <c r="D112" s="389">
        <v>6007</v>
      </c>
      <c r="E112" s="389">
        <v>20782</v>
      </c>
      <c r="F112" s="389">
        <v>57288</v>
      </c>
      <c r="G112" s="389">
        <v>0</v>
      </c>
      <c r="H112" s="389">
        <v>0</v>
      </c>
      <c r="I112" s="389">
        <v>0</v>
      </c>
      <c r="J112" s="389">
        <v>3075</v>
      </c>
      <c r="K112" s="389">
        <v>1317</v>
      </c>
      <c r="L112" s="389">
        <v>18890</v>
      </c>
      <c r="M112" s="389">
        <v>50467</v>
      </c>
      <c r="N112" s="389">
        <f>1748+2200</f>
        <v>3948</v>
      </c>
      <c r="O112" s="389">
        <v>0</v>
      </c>
      <c r="P112" s="389">
        <v>500</v>
      </c>
      <c r="Q112" s="389">
        <v>0</v>
      </c>
      <c r="R112" s="389">
        <v>0</v>
      </c>
      <c r="S112" s="389">
        <v>8345</v>
      </c>
      <c r="T112" s="389">
        <v>17965</v>
      </c>
      <c r="U112" s="386">
        <v>186384</v>
      </c>
      <c r="V112" s="390">
        <f t="shared" si="9"/>
        <v>-2200</v>
      </c>
      <c r="W112" s="386">
        <v>6007</v>
      </c>
      <c r="X112" s="386">
        <v>20782</v>
      </c>
      <c r="Y112" s="386">
        <f t="shared" si="10"/>
        <v>0</v>
      </c>
      <c r="Z112" s="386">
        <f t="shared" si="10"/>
        <v>0</v>
      </c>
      <c r="AA112" s="386">
        <v>57288</v>
      </c>
      <c r="AB112" s="390">
        <f t="shared" si="11"/>
        <v>0</v>
      </c>
      <c r="AC112" s="386">
        <v>0</v>
      </c>
      <c r="AD112" s="390">
        <f t="shared" si="12"/>
        <v>0</v>
      </c>
      <c r="AE112" s="386">
        <v>0</v>
      </c>
      <c r="AF112" s="386">
        <v>0</v>
      </c>
      <c r="AG112" s="386">
        <v>3075</v>
      </c>
      <c r="AH112" s="386">
        <v>1317</v>
      </c>
      <c r="AI112" s="386">
        <v>18890</v>
      </c>
      <c r="AJ112" s="386">
        <v>50467</v>
      </c>
      <c r="AK112" s="386">
        <v>1748</v>
      </c>
      <c r="AL112" s="386">
        <v>0</v>
      </c>
      <c r="AM112" s="386">
        <v>500</v>
      </c>
      <c r="AN112" s="386">
        <v>0</v>
      </c>
      <c r="AO112" s="386">
        <v>0</v>
      </c>
      <c r="AP112" s="386">
        <v>8345</v>
      </c>
      <c r="AQ112" s="386">
        <v>17965</v>
      </c>
      <c r="AR112" s="386">
        <f t="shared" si="16"/>
        <v>0</v>
      </c>
      <c r="AS112" s="386">
        <f t="shared" si="16"/>
        <v>0</v>
      </c>
      <c r="AT112" s="386">
        <f t="shared" si="16"/>
        <v>0</v>
      </c>
      <c r="AU112" s="386">
        <f t="shared" si="15"/>
        <v>0</v>
      </c>
      <c r="AV112" s="386">
        <f t="shared" si="15"/>
        <v>0</v>
      </c>
      <c r="AW112" s="386">
        <f t="shared" si="15"/>
        <v>0</v>
      </c>
      <c r="AX112" s="386">
        <f t="shared" si="15"/>
        <v>-2200</v>
      </c>
      <c r="AY112" s="386">
        <f t="shared" si="15"/>
        <v>0</v>
      </c>
      <c r="AZ112" s="386">
        <f t="shared" si="15"/>
        <v>0</v>
      </c>
      <c r="BA112" s="386">
        <f t="shared" si="14"/>
        <v>0</v>
      </c>
      <c r="BB112" s="386">
        <f t="shared" si="14"/>
        <v>0</v>
      </c>
      <c r="BC112" s="386">
        <f t="shared" si="14"/>
        <v>0</v>
      </c>
      <c r="BD112" s="386">
        <f t="shared" si="14"/>
        <v>0</v>
      </c>
    </row>
    <row r="113" spans="1:56" x14ac:dyDescent="0.25">
      <c r="A113" s="388">
        <v>96</v>
      </c>
      <c r="B113" s="83" t="s">
        <v>61</v>
      </c>
      <c r="C113" s="389">
        <f t="shared" si="13"/>
        <v>174209</v>
      </c>
      <c r="D113" s="389">
        <v>0</v>
      </c>
      <c r="E113" s="389">
        <v>933</v>
      </c>
      <c r="F113" s="389">
        <v>21396</v>
      </c>
      <c r="G113" s="389">
        <v>0</v>
      </c>
      <c r="H113" s="389">
        <v>5304</v>
      </c>
      <c r="I113" s="389">
        <v>0</v>
      </c>
      <c r="J113" s="389">
        <v>0</v>
      </c>
      <c r="K113" s="389">
        <v>0</v>
      </c>
      <c r="L113" s="389">
        <v>1018</v>
      </c>
      <c r="M113" s="389">
        <v>29523</v>
      </c>
      <c r="N113" s="389">
        <v>0</v>
      </c>
      <c r="O113" s="389">
        <v>0</v>
      </c>
      <c r="P113" s="389">
        <v>0</v>
      </c>
      <c r="Q113" s="389">
        <v>0</v>
      </c>
      <c r="R113" s="389">
        <v>0</v>
      </c>
      <c r="S113" s="389">
        <v>1881</v>
      </c>
      <c r="T113" s="389">
        <v>114154</v>
      </c>
      <c r="U113" s="386">
        <v>174209</v>
      </c>
      <c r="V113" s="390">
        <f t="shared" si="9"/>
        <v>0</v>
      </c>
      <c r="W113" s="386">
        <v>0</v>
      </c>
      <c r="X113" s="386">
        <v>933</v>
      </c>
      <c r="Y113" s="386">
        <f t="shared" si="10"/>
        <v>0</v>
      </c>
      <c r="Z113" s="386">
        <f t="shared" si="10"/>
        <v>0</v>
      </c>
      <c r="AA113" s="386">
        <v>21396</v>
      </c>
      <c r="AB113" s="390">
        <f t="shared" si="11"/>
        <v>0</v>
      </c>
      <c r="AC113" s="386">
        <v>0</v>
      </c>
      <c r="AD113" s="390">
        <f t="shared" si="12"/>
        <v>0</v>
      </c>
      <c r="AE113" s="386">
        <v>5304</v>
      </c>
      <c r="AF113" s="386">
        <v>0</v>
      </c>
      <c r="AG113" s="386">
        <v>0</v>
      </c>
      <c r="AH113" s="386">
        <v>0</v>
      </c>
      <c r="AI113" s="386">
        <v>1018</v>
      </c>
      <c r="AJ113" s="386">
        <v>29523</v>
      </c>
      <c r="AK113" s="386">
        <v>0</v>
      </c>
      <c r="AL113" s="386">
        <v>0</v>
      </c>
      <c r="AM113" s="386">
        <v>0</v>
      </c>
      <c r="AN113" s="386">
        <v>0</v>
      </c>
      <c r="AO113" s="386">
        <v>0</v>
      </c>
      <c r="AP113" s="386">
        <v>1881</v>
      </c>
      <c r="AQ113" s="386">
        <v>114154</v>
      </c>
      <c r="AR113" s="386">
        <f t="shared" si="16"/>
        <v>0</v>
      </c>
      <c r="AS113" s="386">
        <f t="shared" si="16"/>
        <v>0</v>
      </c>
      <c r="AT113" s="386">
        <f t="shared" si="16"/>
        <v>0</v>
      </c>
      <c r="AU113" s="386">
        <f t="shared" si="15"/>
        <v>0</v>
      </c>
      <c r="AV113" s="386">
        <f t="shared" si="15"/>
        <v>0</v>
      </c>
      <c r="AW113" s="386">
        <f t="shared" si="15"/>
        <v>0</v>
      </c>
      <c r="AX113" s="386">
        <f t="shared" si="15"/>
        <v>0</v>
      </c>
      <c r="AY113" s="386">
        <f t="shared" si="15"/>
        <v>0</v>
      </c>
      <c r="AZ113" s="386">
        <f t="shared" si="15"/>
        <v>0</v>
      </c>
      <c r="BA113" s="386">
        <f t="shared" si="14"/>
        <v>0</v>
      </c>
      <c r="BB113" s="386">
        <f t="shared" si="14"/>
        <v>0</v>
      </c>
      <c r="BC113" s="386">
        <f t="shared" si="14"/>
        <v>0</v>
      </c>
      <c r="BD113" s="386">
        <f t="shared" si="14"/>
        <v>0</v>
      </c>
    </row>
    <row r="114" spans="1:56" x14ac:dyDescent="0.25">
      <c r="A114" s="388">
        <v>97</v>
      </c>
      <c r="B114" s="83" t="s">
        <v>116</v>
      </c>
      <c r="C114" s="389">
        <f t="shared" si="13"/>
        <v>75129</v>
      </c>
      <c r="D114" s="389">
        <v>2247</v>
      </c>
      <c r="E114" s="389">
        <v>9688</v>
      </c>
      <c r="F114" s="389">
        <v>18063</v>
      </c>
      <c r="G114" s="389">
        <v>0</v>
      </c>
      <c r="H114" s="389">
        <v>9827</v>
      </c>
      <c r="I114" s="389">
        <v>0</v>
      </c>
      <c r="J114" s="389">
        <v>0</v>
      </c>
      <c r="K114" s="389">
        <v>0</v>
      </c>
      <c r="L114" s="389">
        <v>5128</v>
      </c>
      <c r="M114" s="389">
        <v>13523</v>
      </c>
      <c r="N114" s="389">
        <v>3000</v>
      </c>
      <c r="O114" s="389">
        <v>0</v>
      </c>
      <c r="P114" s="389">
        <v>0</v>
      </c>
      <c r="Q114" s="389">
        <v>351</v>
      </c>
      <c r="R114" s="389">
        <v>0</v>
      </c>
      <c r="S114" s="389">
        <v>3958</v>
      </c>
      <c r="T114" s="389">
        <v>9344</v>
      </c>
      <c r="U114" s="386">
        <v>75129</v>
      </c>
      <c r="V114" s="390">
        <f t="shared" si="9"/>
        <v>0</v>
      </c>
      <c r="W114" s="386">
        <v>2247</v>
      </c>
      <c r="X114" s="386">
        <v>9688</v>
      </c>
      <c r="Y114" s="386">
        <f t="shared" si="10"/>
        <v>0</v>
      </c>
      <c r="Z114" s="386">
        <f t="shared" si="10"/>
        <v>0</v>
      </c>
      <c r="AA114" s="386">
        <v>18063</v>
      </c>
      <c r="AB114" s="390">
        <f t="shared" si="11"/>
        <v>0</v>
      </c>
      <c r="AC114" s="386">
        <v>0</v>
      </c>
      <c r="AD114" s="390">
        <f t="shared" si="12"/>
        <v>0</v>
      </c>
      <c r="AE114" s="386">
        <v>9827</v>
      </c>
      <c r="AF114" s="386">
        <v>0</v>
      </c>
      <c r="AG114" s="386">
        <v>0</v>
      </c>
      <c r="AH114" s="386">
        <v>0</v>
      </c>
      <c r="AI114" s="386">
        <v>5128</v>
      </c>
      <c r="AJ114" s="386">
        <v>13523</v>
      </c>
      <c r="AK114" s="386">
        <v>3000</v>
      </c>
      <c r="AL114" s="386">
        <v>0</v>
      </c>
      <c r="AM114" s="386">
        <v>0</v>
      </c>
      <c r="AN114" s="386">
        <v>351</v>
      </c>
      <c r="AO114" s="386">
        <v>0</v>
      </c>
      <c r="AP114" s="386">
        <v>3958</v>
      </c>
      <c r="AQ114" s="386">
        <v>9344</v>
      </c>
      <c r="AR114" s="386">
        <f t="shared" si="16"/>
        <v>0</v>
      </c>
      <c r="AS114" s="386">
        <f t="shared" si="16"/>
        <v>0</v>
      </c>
      <c r="AT114" s="386">
        <f t="shared" si="16"/>
        <v>0</v>
      </c>
      <c r="AU114" s="386">
        <f t="shared" si="15"/>
        <v>0</v>
      </c>
      <c r="AV114" s="386">
        <f t="shared" si="15"/>
        <v>0</v>
      </c>
      <c r="AW114" s="386">
        <f t="shared" si="15"/>
        <v>0</v>
      </c>
      <c r="AX114" s="386">
        <f t="shared" si="15"/>
        <v>0</v>
      </c>
      <c r="AY114" s="386">
        <f t="shared" si="15"/>
        <v>0</v>
      </c>
      <c r="AZ114" s="386">
        <f t="shared" si="15"/>
        <v>0</v>
      </c>
      <c r="BA114" s="386">
        <f t="shared" si="14"/>
        <v>0</v>
      </c>
      <c r="BB114" s="386">
        <f t="shared" si="14"/>
        <v>0</v>
      </c>
      <c r="BC114" s="386">
        <f t="shared" si="14"/>
        <v>0</v>
      </c>
      <c r="BD114" s="386">
        <f t="shared" si="14"/>
        <v>0</v>
      </c>
    </row>
    <row r="115" spans="1:56" x14ac:dyDescent="0.25">
      <c r="A115" s="388">
        <v>98</v>
      </c>
      <c r="B115" s="83" t="s">
        <v>71</v>
      </c>
      <c r="C115" s="389">
        <f t="shared" si="13"/>
        <v>45026</v>
      </c>
      <c r="D115" s="389">
        <v>0</v>
      </c>
      <c r="E115" s="389">
        <v>0</v>
      </c>
      <c r="F115" s="389">
        <v>0</v>
      </c>
      <c r="G115" s="389">
        <v>26184</v>
      </c>
      <c r="H115" s="389">
        <v>0</v>
      </c>
      <c r="I115" s="389">
        <v>8842</v>
      </c>
      <c r="J115" s="389">
        <v>0</v>
      </c>
      <c r="K115" s="389">
        <v>0</v>
      </c>
      <c r="L115" s="389">
        <v>0</v>
      </c>
      <c r="M115" s="389">
        <v>0</v>
      </c>
      <c r="N115" s="389">
        <v>0</v>
      </c>
      <c r="O115" s="389">
        <v>0</v>
      </c>
      <c r="P115" s="389">
        <v>0</v>
      </c>
      <c r="Q115" s="389">
        <v>0</v>
      </c>
      <c r="R115" s="389">
        <v>10000</v>
      </c>
      <c r="S115" s="389">
        <v>0</v>
      </c>
      <c r="T115" s="389">
        <v>0</v>
      </c>
      <c r="U115" s="386">
        <v>45026</v>
      </c>
      <c r="V115" s="390">
        <f t="shared" si="9"/>
        <v>0</v>
      </c>
      <c r="W115" s="386">
        <v>0</v>
      </c>
      <c r="X115" s="386">
        <v>0</v>
      </c>
      <c r="Y115" s="386">
        <f t="shared" si="10"/>
        <v>0</v>
      </c>
      <c r="Z115" s="386">
        <f t="shared" si="10"/>
        <v>0</v>
      </c>
      <c r="AA115" s="386">
        <v>0</v>
      </c>
      <c r="AB115" s="390">
        <f t="shared" si="11"/>
        <v>0</v>
      </c>
      <c r="AC115" s="386">
        <v>26184</v>
      </c>
      <c r="AD115" s="390">
        <f t="shared" si="12"/>
        <v>0</v>
      </c>
      <c r="AE115" s="386">
        <v>0</v>
      </c>
      <c r="AF115" s="386">
        <v>8842</v>
      </c>
      <c r="AG115" s="386">
        <v>0</v>
      </c>
      <c r="AH115" s="386">
        <v>0</v>
      </c>
      <c r="AI115" s="386">
        <v>0</v>
      </c>
      <c r="AJ115" s="386">
        <v>0</v>
      </c>
      <c r="AK115" s="386">
        <v>0</v>
      </c>
      <c r="AL115" s="386">
        <v>0</v>
      </c>
      <c r="AM115" s="386">
        <v>0</v>
      </c>
      <c r="AN115" s="386">
        <v>0</v>
      </c>
      <c r="AO115" s="386">
        <v>10000</v>
      </c>
      <c r="AP115" s="386">
        <v>0</v>
      </c>
      <c r="AQ115" s="386">
        <v>0</v>
      </c>
      <c r="AR115" s="386">
        <f t="shared" si="16"/>
        <v>0</v>
      </c>
      <c r="AS115" s="386">
        <f t="shared" si="16"/>
        <v>0</v>
      </c>
      <c r="AT115" s="386">
        <f t="shared" si="16"/>
        <v>0</v>
      </c>
      <c r="AU115" s="386">
        <f t="shared" si="15"/>
        <v>0</v>
      </c>
      <c r="AV115" s="386">
        <f t="shared" si="15"/>
        <v>0</v>
      </c>
      <c r="AW115" s="386">
        <f t="shared" si="15"/>
        <v>0</v>
      </c>
      <c r="AX115" s="386">
        <f t="shared" si="15"/>
        <v>0</v>
      </c>
      <c r="AY115" s="386">
        <f t="shared" si="15"/>
        <v>0</v>
      </c>
      <c r="AZ115" s="386">
        <f t="shared" si="15"/>
        <v>0</v>
      </c>
      <c r="BA115" s="386">
        <f t="shared" si="14"/>
        <v>0</v>
      </c>
      <c r="BB115" s="386">
        <f t="shared" si="14"/>
        <v>0</v>
      </c>
      <c r="BC115" s="386">
        <f t="shared" si="14"/>
        <v>0</v>
      </c>
      <c r="BD115" s="386">
        <f t="shared" si="14"/>
        <v>0</v>
      </c>
    </row>
    <row r="116" spans="1:56" x14ac:dyDescent="0.25">
      <c r="A116" s="608">
        <v>99</v>
      </c>
      <c r="B116" s="83" t="s">
        <v>62</v>
      </c>
      <c r="C116" s="389">
        <f t="shared" si="13"/>
        <v>25334</v>
      </c>
      <c r="D116" s="389">
        <v>362</v>
      </c>
      <c r="E116" s="389">
        <v>50</v>
      </c>
      <c r="F116" s="389">
        <v>4650</v>
      </c>
      <c r="G116" s="389">
        <v>0</v>
      </c>
      <c r="H116" s="389">
        <v>0</v>
      </c>
      <c r="I116" s="389">
        <v>0</v>
      </c>
      <c r="J116" s="389">
        <v>0</v>
      </c>
      <c r="K116" s="389">
        <v>0</v>
      </c>
      <c r="L116" s="389">
        <v>750</v>
      </c>
      <c r="M116" s="389">
        <v>5193</v>
      </c>
      <c r="N116" s="389">
        <f>7077+3200</f>
        <v>10277</v>
      </c>
      <c r="O116" s="389">
        <v>0</v>
      </c>
      <c r="P116" s="389">
        <v>0</v>
      </c>
      <c r="Q116" s="389">
        <v>0</v>
      </c>
      <c r="R116" s="389">
        <v>0</v>
      </c>
      <c r="S116" s="389">
        <v>0</v>
      </c>
      <c r="T116" s="389">
        <v>4052</v>
      </c>
      <c r="U116" s="386">
        <v>22134</v>
      </c>
      <c r="V116" s="390">
        <f t="shared" si="9"/>
        <v>-3200</v>
      </c>
      <c r="W116" s="386">
        <v>362</v>
      </c>
      <c r="X116" s="386">
        <v>50</v>
      </c>
      <c r="Y116" s="386">
        <f t="shared" si="10"/>
        <v>0</v>
      </c>
      <c r="Z116" s="386">
        <f t="shared" si="10"/>
        <v>0</v>
      </c>
      <c r="AA116" s="386">
        <v>4650</v>
      </c>
      <c r="AB116" s="390">
        <f t="shared" si="11"/>
        <v>0</v>
      </c>
      <c r="AC116" s="386">
        <v>0</v>
      </c>
      <c r="AD116" s="390">
        <f t="shared" si="12"/>
        <v>0</v>
      </c>
      <c r="AE116" s="386">
        <v>0</v>
      </c>
      <c r="AF116" s="386">
        <v>0</v>
      </c>
      <c r="AG116" s="386">
        <v>0</v>
      </c>
      <c r="AH116" s="386">
        <v>0</v>
      </c>
      <c r="AI116" s="386">
        <v>750</v>
      </c>
      <c r="AJ116" s="386">
        <v>5193</v>
      </c>
      <c r="AK116" s="386">
        <v>7077</v>
      </c>
      <c r="AL116" s="386">
        <v>0</v>
      </c>
      <c r="AM116" s="386">
        <v>0</v>
      </c>
      <c r="AN116" s="386">
        <v>0</v>
      </c>
      <c r="AO116" s="386">
        <v>0</v>
      </c>
      <c r="AP116" s="386">
        <v>0</v>
      </c>
      <c r="AQ116" s="386">
        <v>4052</v>
      </c>
      <c r="AR116" s="386">
        <f t="shared" si="16"/>
        <v>0</v>
      </c>
      <c r="AS116" s="386">
        <f t="shared" si="16"/>
        <v>0</v>
      </c>
      <c r="AT116" s="386">
        <f t="shared" si="16"/>
        <v>0</v>
      </c>
      <c r="AU116" s="386">
        <f t="shared" si="15"/>
        <v>0</v>
      </c>
      <c r="AV116" s="386">
        <f t="shared" si="15"/>
        <v>0</v>
      </c>
      <c r="AW116" s="386">
        <f t="shared" si="15"/>
        <v>0</v>
      </c>
      <c r="AX116" s="386">
        <f t="shared" si="15"/>
        <v>-3200</v>
      </c>
      <c r="AY116" s="386">
        <f t="shared" si="15"/>
        <v>0</v>
      </c>
      <c r="AZ116" s="386">
        <f t="shared" si="15"/>
        <v>0</v>
      </c>
      <c r="BA116" s="386">
        <f t="shared" si="14"/>
        <v>0</v>
      </c>
      <c r="BB116" s="386">
        <f t="shared" si="14"/>
        <v>0</v>
      </c>
      <c r="BC116" s="386">
        <f t="shared" si="14"/>
        <v>0</v>
      </c>
      <c r="BD116" s="386">
        <f t="shared" si="14"/>
        <v>0</v>
      </c>
    </row>
    <row r="117" spans="1:56" ht="25.5" x14ac:dyDescent="0.25">
      <c r="A117" s="609"/>
      <c r="B117" s="83" t="s">
        <v>485</v>
      </c>
      <c r="C117" s="389">
        <f t="shared" si="13"/>
        <v>3600</v>
      </c>
      <c r="D117" s="389">
        <v>0</v>
      </c>
      <c r="E117" s="389">
        <v>0</v>
      </c>
      <c r="F117" s="389">
        <v>0</v>
      </c>
      <c r="G117" s="389">
        <v>0</v>
      </c>
      <c r="H117" s="389">
        <v>0</v>
      </c>
      <c r="I117" s="389">
        <v>3600</v>
      </c>
      <c r="J117" s="389">
        <v>0</v>
      </c>
      <c r="K117" s="389">
        <v>0</v>
      </c>
      <c r="L117" s="389">
        <v>0</v>
      </c>
      <c r="M117" s="389">
        <v>0</v>
      </c>
      <c r="N117" s="389">
        <v>0</v>
      </c>
      <c r="O117" s="389">
        <v>0</v>
      </c>
      <c r="P117" s="389">
        <v>0</v>
      </c>
      <c r="Q117" s="389">
        <v>0</v>
      </c>
      <c r="R117" s="389">
        <v>0</v>
      </c>
      <c r="S117" s="389">
        <v>0</v>
      </c>
      <c r="T117" s="389">
        <v>0</v>
      </c>
      <c r="U117" s="386">
        <v>3600</v>
      </c>
      <c r="V117" s="390">
        <f t="shared" si="9"/>
        <v>0</v>
      </c>
      <c r="W117" s="386">
        <v>0</v>
      </c>
      <c r="X117" s="386">
        <v>0</v>
      </c>
      <c r="Y117" s="386">
        <f t="shared" si="10"/>
        <v>0</v>
      </c>
      <c r="Z117" s="386">
        <f t="shared" si="10"/>
        <v>0</v>
      </c>
      <c r="AA117" s="386">
        <v>0</v>
      </c>
      <c r="AB117" s="390">
        <f t="shared" si="11"/>
        <v>0</v>
      </c>
      <c r="AC117" s="386">
        <v>0</v>
      </c>
      <c r="AD117" s="390">
        <f t="shared" si="12"/>
        <v>0</v>
      </c>
      <c r="AE117" s="386">
        <v>0</v>
      </c>
      <c r="AF117" s="386">
        <v>3600</v>
      </c>
      <c r="AG117" s="386">
        <v>0</v>
      </c>
      <c r="AH117" s="386">
        <v>0</v>
      </c>
      <c r="AI117" s="386">
        <v>0</v>
      </c>
      <c r="AJ117" s="386">
        <v>0</v>
      </c>
      <c r="AK117" s="386">
        <v>0</v>
      </c>
      <c r="AL117" s="386">
        <v>0</v>
      </c>
      <c r="AM117" s="386">
        <v>0</v>
      </c>
      <c r="AN117" s="386">
        <v>0</v>
      </c>
      <c r="AO117" s="386">
        <v>0</v>
      </c>
      <c r="AP117" s="386">
        <v>0</v>
      </c>
      <c r="AQ117" s="386">
        <v>0</v>
      </c>
      <c r="AR117" s="386">
        <f t="shared" si="16"/>
        <v>0</v>
      </c>
      <c r="AS117" s="386">
        <f t="shared" si="16"/>
        <v>0</v>
      </c>
      <c r="AT117" s="386">
        <f t="shared" si="16"/>
        <v>0</v>
      </c>
      <c r="AU117" s="386">
        <f t="shared" si="15"/>
        <v>0</v>
      </c>
      <c r="AV117" s="386">
        <f t="shared" si="15"/>
        <v>0</v>
      </c>
      <c r="AW117" s="386">
        <f t="shared" si="15"/>
        <v>0</v>
      </c>
      <c r="AX117" s="386">
        <f t="shared" si="15"/>
        <v>0</v>
      </c>
      <c r="AY117" s="386">
        <f t="shared" si="15"/>
        <v>0</v>
      </c>
      <c r="AZ117" s="386">
        <f t="shared" si="15"/>
        <v>0</v>
      </c>
      <c r="BA117" s="386">
        <f t="shared" si="14"/>
        <v>0</v>
      </c>
      <c r="BB117" s="386">
        <f t="shared" si="14"/>
        <v>0</v>
      </c>
      <c r="BC117" s="386">
        <f t="shared" si="14"/>
        <v>0</v>
      </c>
      <c r="BD117" s="386">
        <f t="shared" si="14"/>
        <v>0</v>
      </c>
    </row>
    <row r="118" spans="1:56" ht="25.5" x14ac:dyDescent="0.25">
      <c r="A118" s="388">
        <v>100</v>
      </c>
      <c r="B118" s="83" t="s">
        <v>72</v>
      </c>
      <c r="C118" s="389">
        <f t="shared" si="13"/>
        <v>8400</v>
      </c>
      <c r="D118" s="389">
        <v>0</v>
      </c>
      <c r="E118" s="389">
        <v>0</v>
      </c>
      <c r="F118" s="389">
        <v>0</v>
      </c>
      <c r="G118" s="389">
        <v>0</v>
      </c>
      <c r="H118" s="389">
        <v>0</v>
      </c>
      <c r="I118" s="389">
        <v>7400</v>
      </c>
      <c r="J118" s="389">
        <v>0</v>
      </c>
      <c r="K118" s="389">
        <v>0</v>
      </c>
      <c r="L118" s="389">
        <v>0</v>
      </c>
      <c r="M118" s="389">
        <v>0</v>
      </c>
      <c r="N118" s="389">
        <v>0</v>
      </c>
      <c r="O118" s="389">
        <v>0</v>
      </c>
      <c r="P118" s="389">
        <v>0</v>
      </c>
      <c r="Q118" s="389">
        <v>0</v>
      </c>
      <c r="R118" s="389">
        <v>1000</v>
      </c>
      <c r="S118" s="389">
        <v>0</v>
      </c>
      <c r="T118" s="389">
        <v>0</v>
      </c>
      <c r="U118" s="386">
        <v>8400</v>
      </c>
      <c r="V118" s="390">
        <f t="shared" si="9"/>
        <v>0</v>
      </c>
      <c r="W118" s="386">
        <v>0</v>
      </c>
      <c r="X118" s="386">
        <v>0</v>
      </c>
      <c r="Y118" s="386">
        <f t="shared" si="10"/>
        <v>0</v>
      </c>
      <c r="Z118" s="386">
        <f t="shared" si="10"/>
        <v>0</v>
      </c>
      <c r="AA118" s="386">
        <v>0</v>
      </c>
      <c r="AB118" s="390">
        <f t="shared" si="11"/>
        <v>0</v>
      </c>
      <c r="AC118" s="386">
        <v>0</v>
      </c>
      <c r="AD118" s="390">
        <f t="shared" si="12"/>
        <v>0</v>
      </c>
      <c r="AE118" s="386">
        <v>0</v>
      </c>
      <c r="AF118" s="386">
        <v>7400</v>
      </c>
      <c r="AG118" s="386">
        <v>0</v>
      </c>
      <c r="AH118" s="386">
        <v>0</v>
      </c>
      <c r="AI118" s="386">
        <v>0</v>
      </c>
      <c r="AJ118" s="386">
        <v>0</v>
      </c>
      <c r="AK118" s="386">
        <v>0</v>
      </c>
      <c r="AL118" s="386">
        <v>0</v>
      </c>
      <c r="AM118" s="386">
        <v>0</v>
      </c>
      <c r="AN118" s="386">
        <v>0</v>
      </c>
      <c r="AO118" s="386">
        <v>1000</v>
      </c>
      <c r="AP118" s="386">
        <v>0</v>
      </c>
      <c r="AQ118" s="386">
        <v>0</v>
      </c>
      <c r="AR118" s="386">
        <f t="shared" si="16"/>
        <v>0</v>
      </c>
      <c r="AS118" s="386">
        <f t="shared" si="16"/>
        <v>0</v>
      </c>
      <c r="AT118" s="386">
        <f t="shared" si="16"/>
        <v>0</v>
      </c>
      <c r="AU118" s="386">
        <f t="shared" si="15"/>
        <v>0</v>
      </c>
      <c r="AV118" s="386">
        <f t="shared" si="15"/>
        <v>0</v>
      </c>
      <c r="AW118" s="386">
        <f t="shared" si="15"/>
        <v>0</v>
      </c>
      <c r="AX118" s="386">
        <f t="shared" si="15"/>
        <v>0</v>
      </c>
      <c r="AY118" s="386">
        <f t="shared" si="15"/>
        <v>0</v>
      </c>
      <c r="AZ118" s="386">
        <f t="shared" si="15"/>
        <v>0</v>
      </c>
      <c r="BA118" s="386">
        <f t="shared" si="14"/>
        <v>0</v>
      </c>
      <c r="BB118" s="386">
        <f t="shared" si="14"/>
        <v>0</v>
      </c>
      <c r="BC118" s="386">
        <f t="shared" si="14"/>
        <v>0</v>
      </c>
      <c r="BD118" s="386">
        <f t="shared" si="14"/>
        <v>0</v>
      </c>
    </row>
    <row r="119" spans="1:56" x14ac:dyDescent="0.25">
      <c r="A119" s="388">
        <v>101</v>
      </c>
      <c r="B119" s="358" t="s">
        <v>486</v>
      </c>
      <c r="C119" s="389">
        <f t="shared" si="13"/>
        <v>6644</v>
      </c>
      <c r="D119" s="389">
        <v>317</v>
      </c>
      <c r="E119" s="389">
        <v>0</v>
      </c>
      <c r="F119" s="389">
        <v>3030</v>
      </c>
      <c r="G119" s="389">
        <v>0</v>
      </c>
      <c r="H119" s="389">
        <v>0</v>
      </c>
      <c r="I119" s="389">
        <v>0</v>
      </c>
      <c r="J119" s="389">
        <v>0</v>
      </c>
      <c r="K119" s="389">
        <v>0</v>
      </c>
      <c r="L119" s="389">
        <v>615</v>
      </c>
      <c r="M119" s="389">
        <v>1797</v>
      </c>
      <c r="N119" s="389">
        <v>0</v>
      </c>
      <c r="O119" s="389">
        <v>0</v>
      </c>
      <c r="P119" s="389">
        <v>0</v>
      </c>
      <c r="Q119" s="389">
        <v>0</v>
      </c>
      <c r="R119" s="389">
        <v>0</v>
      </c>
      <c r="S119" s="389">
        <v>585</v>
      </c>
      <c r="T119" s="389">
        <v>300</v>
      </c>
      <c r="U119" s="386">
        <v>6644</v>
      </c>
      <c r="V119" s="390">
        <f t="shared" si="9"/>
        <v>0</v>
      </c>
      <c r="W119" s="386">
        <v>317</v>
      </c>
      <c r="X119" s="386">
        <v>0</v>
      </c>
      <c r="Y119" s="386">
        <f t="shared" si="10"/>
        <v>0</v>
      </c>
      <c r="Z119" s="386">
        <f t="shared" si="10"/>
        <v>0</v>
      </c>
      <c r="AA119" s="386">
        <v>3030</v>
      </c>
      <c r="AB119" s="390">
        <f t="shared" si="11"/>
        <v>0</v>
      </c>
      <c r="AC119" s="386">
        <v>0</v>
      </c>
      <c r="AD119" s="390">
        <f t="shared" si="12"/>
        <v>0</v>
      </c>
      <c r="AE119" s="386">
        <v>0</v>
      </c>
      <c r="AF119" s="386">
        <v>0</v>
      </c>
      <c r="AG119" s="386">
        <v>0</v>
      </c>
      <c r="AH119" s="386">
        <v>0</v>
      </c>
      <c r="AI119" s="386">
        <v>615</v>
      </c>
      <c r="AJ119" s="386">
        <v>1797</v>
      </c>
      <c r="AK119" s="386">
        <v>0</v>
      </c>
      <c r="AL119" s="386">
        <v>0</v>
      </c>
      <c r="AM119" s="386">
        <v>0</v>
      </c>
      <c r="AN119" s="386">
        <v>0</v>
      </c>
      <c r="AO119" s="386">
        <v>0</v>
      </c>
      <c r="AP119" s="386">
        <v>585</v>
      </c>
      <c r="AQ119" s="386">
        <v>300</v>
      </c>
      <c r="AR119" s="386">
        <f t="shared" si="16"/>
        <v>0</v>
      </c>
      <c r="AS119" s="386">
        <f t="shared" si="16"/>
        <v>0</v>
      </c>
      <c r="AT119" s="386">
        <f t="shared" si="16"/>
        <v>0</v>
      </c>
      <c r="AU119" s="386">
        <f t="shared" si="15"/>
        <v>0</v>
      </c>
      <c r="AV119" s="386">
        <f t="shared" si="15"/>
        <v>0</v>
      </c>
      <c r="AW119" s="386">
        <f t="shared" si="15"/>
        <v>0</v>
      </c>
      <c r="AX119" s="386">
        <f t="shared" si="15"/>
        <v>0</v>
      </c>
      <c r="AY119" s="386">
        <f t="shared" si="15"/>
        <v>0</v>
      </c>
      <c r="AZ119" s="386">
        <f t="shared" si="15"/>
        <v>0</v>
      </c>
      <c r="BA119" s="386">
        <f t="shared" si="14"/>
        <v>0</v>
      </c>
      <c r="BB119" s="386">
        <f t="shared" si="14"/>
        <v>0</v>
      </c>
      <c r="BC119" s="386">
        <f t="shared" si="14"/>
        <v>0</v>
      </c>
      <c r="BD119" s="386">
        <f t="shared" si="14"/>
        <v>0</v>
      </c>
    </row>
    <row r="120" spans="1:56" x14ac:dyDescent="0.25">
      <c r="A120" s="388">
        <v>102</v>
      </c>
      <c r="B120" s="352" t="s">
        <v>3</v>
      </c>
      <c r="C120" s="389">
        <f t="shared" si="13"/>
        <v>37677</v>
      </c>
      <c r="D120" s="389">
        <v>637</v>
      </c>
      <c r="E120" s="389">
        <v>1400</v>
      </c>
      <c r="F120" s="389">
        <v>20273</v>
      </c>
      <c r="G120" s="389">
        <v>0</v>
      </c>
      <c r="H120" s="389">
        <v>0</v>
      </c>
      <c r="I120" s="389">
        <v>0</v>
      </c>
      <c r="J120" s="389">
        <v>0</v>
      </c>
      <c r="K120" s="389">
        <v>0</v>
      </c>
      <c r="L120" s="389">
        <v>2780</v>
      </c>
      <c r="M120" s="389">
        <v>4228</v>
      </c>
      <c r="N120" s="389">
        <v>0</v>
      </c>
      <c r="O120" s="389">
        <v>0</v>
      </c>
      <c r="P120" s="389">
        <v>1150</v>
      </c>
      <c r="Q120" s="389">
        <v>4913</v>
      </c>
      <c r="R120" s="389">
        <v>0</v>
      </c>
      <c r="S120" s="389">
        <v>1067</v>
      </c>
      <c r="T120" s="389">
        <v>1229</v>
      </c>
      <c r="U120" s="386">
        <v>37677</v>
      </c>
      <c r="V120" s="390">
        <f t="shared" si="9"/>
        <v>0</v>
      </c>
      <c r="W120" s="386">
        <v>637</v>
      </c>
      <c r="X120" s="386">
        <v>1400</v>
      </c>
      <c r="Y120" s="386">
        <f t="shared" si="10"/>
        <v>0</v>
      </c>
      <c r="Z120" s="386">
        <f t="shared" si="10"/>
        <v>0</v>
      </c>
      <c r="AA120" s="386">
        <v>20273</v>
      </c>
      <c r="AB120" s="390">
        <f t="shared" si="11"/>
        <v>0</v>
      </c>
      <c r="AC120" s="386">
        <v>0</v>
      </c>
      <c r="AD120" s="390">
        <f t="shared" si="12"/>
        <v>0</v>
      </c>
      <c r="AE120" s="386">
        <v>0</v>
      </c>
      <c r="AF120" s="386">
        <v>0</v>
      </c>
      <c r="AG120" s="386">
        <v>0</v>
      </c>
      <c r="AH120" s="386">
        <v>0</v>
      </c>
      <c r="AI120" s="386">
        <v>2780</v>
      </c>
      <c r="AJ120" s="386">
        <v>4228</v>
      </c>
      <c r="AK120" s="386">
        <v>0</v>
      </c>
      <c r="AL120" s="386">
        <v>0</v>
      </c>
      <c r="AM120" s="386">
        <v>1150</v>
      </c>
      <c r="AN120" s="386">
        <v>4913</v>
      </c>
      <c r="AO120" s="386">
        <v>0</v>
      </c>
      <c r="AP120" s="386">
        <v>1067</v>
      </c>
      <c r="AQ120" s="386">
        <v>1229</v>
      </c>
      <c r="AR120" s="386">
        <f t="shared" si="16"/>
        <v>0</v>
      </c>
      <c r="AS120" s="386">
        <f t="shared" si="16"/>
        <v>0</v>
      </c>
      <c r="AT120" s="386">
        <f t="shared" si="16"/>
        <v>0</v>
      </c>
      <c r="AU120" s="386">
        <f t="shared" si="15"/>
        <v>0</v>
      </c>
      <c r="AV120" s="386">
        <f t="shared" si="15"/>
        <v>0</v>
      </c>
      <c r="AW120" s="386">
        <f t="shared" si="15"/>
        <v>0</v>
      </c>
      <c r="AX120" s="386">
        <f t="shared" si="15"/>
        <v>0</v>
      </c>
      <c r="AY120" s="386">
        <f t="shared" si="15"/>
        <v>0</v>
      </c>
      <c r="AZ120" s="386">
        <f t="shared" si="15"/>
        <v>0</v>
      </c>
      <c r="BA120" s="386">
        <f t="shared" si="14"/>
        <v>0</v>
      </c>
      <c r="BB120" s="386">
        <f t="shared" si="14"/>
        <v>0</v>
      </c>
      <c r="BC120" s="386">
        <f t="shared" si="14"/>
        <v>0</v>
      </c>
      <c r="BD120" s="386">
        <f t="shared" si="14"/>
        <v>0</v>
      </c>
    </row>
    <row r="121" spans="1:56" x14ac:dyDescent="0.25">
      <c r="A121" s="388">
        <v>103</v>
      </c>
      <c r="B121" s="358" t="s">
        <v>10</v>
      </c>
      <c r="C121" s="389">
        <f t="shared" si="13"/>
        <v>38971</v>
      </c>
      <c r="D121" s="389">
        <v>650</v>
      </c>
      <c r="E121" s="389">
        <v>0</v>
      </c>
      <c r="F121" s="389">
        <v>5046</v>
      </c>
      <c r="G121" s="389">
        <v>0</v>
      </c>
      <c r="H121" s="389">
        <v>0</v>
      </c>
      <c r="I121" s="389">
        <v>0</v>
      </c>
      <c r="J121" s="389">
        <v>0</v>
      </c>
      <c r="K121" s="389">
        <v>0</v>
      </c>
      <c r="L121" s="389">
        <v>1425</v>
      </c>
      <c r="M121" s="389">
        <v>14483</v>
      </c>
      <c r="N121" s="389">
        <v>0</v>
      </c>
      <c r="O121" s="389">
        <v>0</v>
      </c>
      <c r="P121" s="389">
        <v>550</v>
      </c>
      <c r="Q121" s="389">
        <v>3629</v>
      </c>
      <c r="R121" s="389">
        <v>0</v>
      </c>
      <c r="S121" s="389">
        <v>939</v>
      </c>
      <c r="T121" s="389">
        <v>12249</v>
      </c>
      <c r="U121" s="386">
        <v>38971</v>
      </c>
      <c r="V121" s="390">
        <f t="shared" si="9"/>
        <v>0</v>
      </c>
      <c r="W121" s="386">
        <v>650</v>
      </c>
      <c r="X121" s="386">
        <v>0</v>
      </c>
      <c r="Y121" s="386">
        <f t="shared" si="10"/>
        <v>0</v>
      </c>
      <c r="Z121" s="386">
        <f t="shared" si="10"/>
        <v>0</v>
      </c>
      <c r="AA121" s="386">
        <v>5046</v>
      </c>
      <c r="AB121" s="390">
        <f t="shared" si="11"/>
        <v>0</v>
      </c>
      <c r="AC121" s="386">
        <v>0</v>
      </c>
      <c r="AD121" s="390">
        <f t="shared" si="12"/>
        <v>0</v>
      </c>
      <c r="AE121" s="386">
        <v>0</v>
      </c>
      <c r="AF121" s="386">
        <v>0</v>
      </c>
      <c r="AG121" s="386">
        <v>0</v>
      </c>
      <c r="AH121" s="386">
        <v>0</v>
      </c>
      <c r="AI121" s="386">
        <v>1425</v>
      </c>
      <c r="AJ121" s="386">
        <v>14483</v>
      </c>
      <c r="AK121" s="386">
        <v>0</v>
      </c>
      <c r="AL121" s="386">
        <v>0</v>
      </c>
      <c r="AM121" s="386">
        <v>550</v>
      </c>
      <c r="AN121" s="386">
        <v>3629</v>
      </c>
      <c r="AO121" s="386">
        <v>0</v>
      </c>
      <c r="AP121" s="386">
        <v>939</v>
      </c>
      <c r="AQ121" s="386">
        <v>12249</v>
      </c>
      <c r="AR121" s="386">
        <f t="shared" si="16"/>
        <v>0</v>
      </c>
      <c r="AS121" s="386">
        <f t="shared" si="16"/>
        <v>0</v>
      </c>
      <c r="AT121" s="386">
        <f t="shared" si="16"/>
        <v>0</v>
      </c>
      <c r="AU121" s="386">
        <f t="shared" si="15"/>
        <v>0</v>
      </c>
      <c r="AV121" s="386">
        <f t="shared" si="15"/>
        <v>0</v>
      </c>
      <c r="AW121" s="386">
        <f t="shared" si="15"/>
        <v>0</v>
      </c>
      <c r="AX121" s="386">
        <f t="shared" si="15"/>
        <v>0</v>
      </c>
      <c r="AY121" s="386">
        <f t="shared" si="15"/>
        <v>0</v>
      </c>
      <c r="AZ121" s="386">
        <f t="shared" si="15"/>
        <v>0</v>
      </c>
      <c r="BA121" s="386">
        <f t="shared" si="14"/>
        <v>0</v>
      </c>
      <c r="BB121" s="386">
        <f t="shared" si="14"/>
        <v>0</v>
      </c>
      <c r="BC121" s="386">
        <f t="shared" si="14"/>
        <v>0</v>
      </c>
      <c r="BD121" s="386">
        <f t="shared" si="14"/>
        <v>0</v>
      </c>
    </row>
    <row r="122" spans="1:56" x14ac:dyDescent="0.25">
      <c r="A122" s="388">
        <v>104</v>
      </c>
      <c r="B122" s="352" t="s">
        <v>15</v>
      </c>
      <c r="C122" s="389">
        <f t="shared" si="13"/>
        <v>105045</v>
      </c>
      <c r="D122" s="389">
        <v>1719</v>
      </c>
      <c r="E122" s="389">
        <v>903</v>
      </c>
      <c r="F122" s="389">
        <v>11063</v>
      </c>
      <c r="G122" s="389">
        <v>0</v>
      </c>
      <c r="H122" s="389">
        <v>0</v>
      </c>
      <c r="I122" s="389">
        <v>0</v>
      </c>
      <c r="J122" s="389">
        <v>0</v>
      </c>
      <c r="K122" s="389">
        <v>0</v>
      </c>
      <c r="L122" s="389">
        <v>7066</v>
      </c>
      <c r="M122" s="389">
        <v>43243</v>
      </c>
      <c r="N122" s="389">
        <v>0</v>
      </c>
      <c r="O122" s="389">
        <v>0</v>
      </c>
      <c r="P122" s="389">
        <v>1117</v>
      </c>
      <c r="Q122" s="389">
        <v>1758</v>
      </c>
      <c r="R122" s="389">
        <v>0</v>
      </c>
      <c r="S122" s="389">
        <v>5407</v>
      </c>
      <c r="T122" s="389">
        <v>32769</v>
      </c>
      <c r="U122" s="386">
        <v>105045</v>
      </c>
      <c r="V122" s="390">
        <f t="shared" si="9"/>
        <v>0</v>
      </c>
      <c r="W122" s="386">
        <v>1719</v>
      </c>
      <c r="X122" s="386">
        <v>903</v>
      </c>
      <c r="Y122" s="386">
        <f t="shared" si="10"/>
        <v>0</v>
      </c>
      <c r="Z122" s="386">
        <f t="shared" si="10"/>
        <v>0</v>
      </c>
      <c r="AA122" s="386">
        <v>11063</v>
      </c>
      <c r="AB122" s="390">
        <f t="shared" si="11"/>
        <v>0</v>
      </c>
      <c r="AC122" s="386">
        <v>0</v>
      </c>
      <c r="AD122" s="390">
        <f t="shared" si="12"/>
        <v>0</v>
      </c>
      <c r="AE122" s="386">
        <v>0</v>
      </c>
      <c r="AF122" s="386">
        <v>0</v>
      </c>
      <c r="AG122" s="386">
        <v>0</v>
      </c>
      <c r="AH122" s="386">
        <v>0</v>
      </c>
      <c r="AI122" s="386">
        <v>7066</v>
      </c>
      <c r="AJ122" s="386">
        <v>43243</v>
      </c>
      <c r="AK122" s="386">
        <v>0</v>
      </c>
      <c r="AL122" s="386">
        <v>0</v>
      </c>
      <c r="AM122" s="386">
        <v>1117</v>
      </c>
      <c r="AN122" s="386">
        <v>1758</v>
      </c>
      <c r="AO122" s="386">
        <v>0</v>
      </c>
      <c r="AP122" s="386">
        <v>5407</v>
      </c>
      <c r="AQ122" s="386">
        <v>32769</v>
      </c>
      <c r="AR122" s="386">
        <f t="shared" si="16"/>
        <v>0</v>
      </c>
      <c r="AS122" s="386">
        <f t="shared" si="16"/>
        <v>0</v>
      </c>
      <c r="AT122" s="386">
        <f t="shared" si="16"/>
        <v>0</v>
      </c>
      <c r="AU122" s="386">
        <f t="shared" si="15"/>
        <v>0</v>
      </c>
      <c r="AV122" s="386">
        <f t="shared" si="15"/>
        <v>0</v>
      </c>
      <c r="AW122" s="386">
        <f t="shared" si="15"/>
        <v>0</v>
      </c>
      <c r="AX122" s="386">
        <f t="shared" si="15"/>
        <v>0</v>
      </c>
      <c r="AY122" s="386">
        <f t="shared" si="15"/>
        <v>0</v>
      </c>
      <c r="AZ122" s="386">
        <f t="shared" si="15"/>
        <v>0</v>
      </c>
      <c r="BA122" s="386">
        <f t="shared" si="14"/>
        <v>0</v>
      </c>
      <c r="BB122" s="386">
        <f t="shared" si="14"/>
        <v>0</v>
      </c>
      <c r="BC122" s="386">
        <f t="shared" si="14"/>
        <v>0</v>
      </c>
      <c r="BD122" s="386">
        <f t="shared" si="14"/>
        <v>0</v>
      </c>
    </row>
    <row r="123" spans="1:56" x14ac:dyDescent="0.25">
      <c r="A123" s="388">
        <v>105</v>
      </c>
      <c r="B123" s="358" t="s">
        <v>38</v>
      </c>
      <c r="C123" s="389">
        <f t="shared" si="13"/>
        <v>47375</v>
      </c>
      <c r="D123" s="389">
        <v>794</v>
      </c>
      <c r="E123" s="389">
        <v>961</v>
      </c>
      <c r="F123" s="389">
        <v>5333</v>
      </c>
      <c r="G123" s="389">
        <v>0</v>
      </c>
      <c r="H123" s="389">
        <v>0</v>
      </c>
      <c r="I123" s="389">
        <v>0</v>
      </c>
      <c r="J123" s="389">
        <v>0</v>
      </c>
      <c r="K123" s="389">
        <v>0</v>
      </c>
      <c r="L123" s="389">
        <v>2829</v>
      </c>
      <c r="M123" s="389">
        <v>17327</v>
      </c>
      <c r="N123" s="389">
        <v>0</v>
      </c>
      <c r="O123" s="389">
        <v>0</v>
      </c>
      <c r="P123" s="389">
        <v>132</v>
      </c>
      <c r="Q123" s="389">
        <v>4388</v>
      </c>
      <c r="R123" s="389">
        <v>0</v>
      </c>
      <c r="S123" s="389">
        <v>2009</v>
      </c>
      <c r="T123" s="389">
        <v>13602</v>
      </c>
      <c r="U123" s="386">
        <v>47375</v>
      </c>
      <c r="V123" s="390">
        <f t="shared" si="9"/>
        <v>0</v>
      </c>
      <c r="W123" s="386">
        <v>794</v>
      </c>
      <c r="X123" s="386">
        <v>961</v>
      </c>
      <c r="Y123" s="386">
        <f t="shared" si="10"/>
        <v>0</v>
      </c>
      <c r="Z123" s="386">
        <f t="shared" si="10"/>
        <v>0</v>
      </c>
      <c r="AA123" s="386">
        <v>5333</v>
      </c>
      <c r="AB123" s="390">
        <f t="shared" si="11"/>
        <v>0</v>
      </c>
      <c r="AC123" s="386">
        <v>0</v>
      </c>
      <c r="AD123" s="390">
        <f t="shared" si="12"/>
        <v>0</v>
      </c>
      <c r="AE123" s="386">
        <v>0</v>
      </c>
      <c r="AF123" s="386">
        <v>0</v>
      </c>
      <c r="AG123" s="386">
        <v>0</v>
      </c>
      <c r="AH123" s="386">
        <v>0</v>
      </c>
      <c r="AI123" s="386">
        <v>2829</v>
      </c>
      <c r="AJ123" s="386">
        <v>17327</v>
      </c>
      <c r="AK123" s="386">
        <v>0</v>
      </c>
      <c r="AL123" s="386">
        <v>0</v>
      </c>
      <c r="AM123" s="386">
        <v>132</v>
      </c>
      <c r="AN123" s="386">
        <v>4388</v>
      </c>
      <c r="AO123" s="386">
        <v>0</v>
      </c>
      <c r="AP123" s="386">
        <v>2009</v>
      </c>
      <c r="AQ123" s="386">
        <v>13602</v>
      </c>
      <c r="AR123" s="386">
        <f t="shared" si="16"/>
        <v>0</v>
      </c>
      <c r="AS123" s="386">
        <f t="shared" si="16"/>
        <v>0</v>
      </c>
      <c r="AT123" s="386">
        <f t="shared" si="16"/>
        <v>0</v>
      </c>
      <c r="AU123" s="386">
        <f t="shared" si="15"/>
        <v>0</v>
      </c>
      <c r="AV123" s="386">
        <f t="shared" si="15"/>
        <v>0</v>
      </c>
      <c r="AW123" s="386">
        <f t="shared" si="15"/>
        <v>0</v>
      </c>
      <c r="AX123" s="386">
        <f t="shared" si="15"/>
        <v>0</v>
      </c>
      <c r="AY123" s="386">
        <f t="shared" si="15"/>
        <v>0</v>
      </c>
      <c r="AZ123" s="386">
        <f t="shared" si="15"/>
        <v>0</v>
      </c>
      <c r="BA123" s="386">
        <f t="shared" si="14"/>
        <v>0</v>
      </c>
      <c r="BB123" s="386">
        <f t="shared" si="14"/>
        <v>0</v>
      </c>
      <c r="BC123" s="386">
        <f t="shared" si="14"/>
        <v>0</v>
      </c>
      <c r="BD123" s="386">
        <f t="shared" si="14"/>
        <v>0</v>
      </c>
    </row>
    <row r="124" spans="1:56" x14ac:dyDescent="0.25">
      <c r="A124" s="388">
        <v>106</v>
      </c>
      <c r="B124" s="358" t="s">
        <v>16</v>
      </c>
      <c r="C124" s="389">
        <f t="shared" si="13"/>
        <v>59698</v>
      </c>
      <c r="D124" s="389">
        <v>1024</v>
      </c>
      <c r="E124" s="389">
        <v>3891</v>
      </c>
      <c r="F124" s="389">
        <v>16599</v>
      </c>
      <c r="G124" s="389">
        <v>0</v>
      </c>
      <c r="H124" s="389">
        <v>0</v>
      </c>
      <c r="I124" s="389">
        <v>0</v>
      </c>
      <c r="J124" s="389">
        <v>1025</v>
      </c>
      <c r="K124" s="389">
        <v>439</v>
      </c>
      <c r="L124" s="389">
        <v>3322</v>
      </c>
      <c r="M124" s="389">
        <v>14403</v>
      </c>
      <c r="N124" s="389">
        <v>0</v>
      </c>
      <c r="O124" s="389">
        <v>0</v>
      </c>
      <c r="P124" s="389">
        <v>502</v>
      </c>
      <c r="Q124" s="389">
        <v>6050</v>
      </c>
      <c r="R124" s="389">
        <v>0</v>
      </c>
      <c r="S124" s="389">
        <v>3146</v>
      </c>
      <c r="T124" s="389">
        <v>9297</v>
      </c>
      <c r="U124" s="386">
        <v>59698</v>
      </c>
      <c r="V124" s="390">
        <f t="shared" si="9"/>
        <v>0</v>
      </c>
      <c r="W124" s="386">
        <v>1024</v>
      </c>
      <c r="X124" s="386">
        <v>3891</v>
      </c>
      <c r="Y124" s="386">
        <f t="shared" si="10"/>
        <v>0</v>
      </c>
      <c r="Z124" s="386">
        <f t="shared" si="10"/>
        <v>0</v>
      </c>
      <c r="AA124" s="386">
        <v>16599</v>
      </c>
      <c r="AB124" s="390">
        <f t="shared" si="11"/>
        <v>0</v>
      </c>
      <c r="AC124" s="386">
        <v>0</v>
      </c>
      <c r="AD124" s="390">
        <f t="shared" si="12"/>
        <v>0</v>
      </c>
      <c r="AE124" s="386">
        <v>0</v>
      </c>
      <c r="AF124" s="386">
        <v>0</v>
      </c>
      <c r="AG124" s="386">
        <v>1025</v>
      </c>
      <c r="AH124" s="386">
        <v>439</v>
      </c>
      <c r="AI124" s="386">
        <v>3322</v>
      </c>
      <c r="AJ124" s="386">
        <v>14403</v>
      </c>
      <c r="AK124" s="386">
        <v>0</v>
      </c>
      <c r="AL124" s="386">
        <v>0</v>
      </c>
      <c r="AM124" s="386">
        <v>502</v>
      </c>
      <c r="AN124" s="386">
        <v>6050</v>
      </c>
      <c r="AO124" s="386">
        <v>0</v>
      </c>
      <c r="AP124" s="386">
        <v>3146</v>
      </c>
      <c r="AQ124" s="386">
        <v>9297</v>
      </c>
      <c r="AR124" s="386">
        <f t="shared" si="16"/>
        <v>0</v>
      </c>
      <c r="AS124" s="386">
        <f t="shared" si="16"/>
        <v>0</v>
      </c>
      <c r="AT124" s="386">
        <f t="shared" si="16"/>
        <v>0</v>
      </c>
      <c r="AU124" s="386">
        <f t="shared" si="15"/>
        <v>0</v>
      </c>
      <c r="AV124" s="386">
        <f t="shared" si="15"/>
        <v>0</v>
      </c>
      <c r="AW124" s="386">
        <f t="shared" si="15"/>
        <v>0</v>
      </c>
      <c r="AX124" s="386">
        <f t="shared" si="15"/>
        <v>0</v>
      </c>
      <c r="AY124" s="386">
        <f t="shared" si="15"/>
        <v>0</v>
      </c>
      <c r="AZ124" s="386">
        <f t="shared" si="15"/>
        <v>0</v>
      </c>
      <c r="BA124" s="386">
        <f t="shared" si="14"/>
        <v>0</v>
      </c>
      <c r="BB124" s="386">
        <f t="shared" si="14"/>
        <v>0</v>
      </c>
      <c r="BC124" s="386">
        <f t="shared" si="14"/>
        <v>0</v>
      </c>
      <c r="BD124" s="386">
        <f t="shared" si="14"/>
        <v>0</v>
      </c>
    </row>
    <row r="125" spans="1:56" ht="25.5" x14ac:dyDescent="0.25">
      <c r="A125" s="388">
        <v>107</v>
      </c>
      <c r="B125" s="358" t="s">
        <v>488</v>
      </c>
      <c r="C125" s="389">
        <f t="shared" si="13"/>
        <v>28</v>
      </c>
      <c r="D125" s="389">
        <v>0</v>
      </c>
      <c r="E125" s="389">
        <v>0</v>
      </c>
      <c r="F125" s="389">
        <v>0</v>
      </c>
      <c r="G125" s="389">
        <v>0</v>
      </c>
      <c r="H125" s="389">
        <v>0</v>
      </c>
      <c r="I125" s="389">
        <v>28</v>
      </c>
      <c r="J125" s="389">
        <v>0</v>
      </c>
      <c r="K125" s="389">
        <v>0</v>
      </c>
      <c r="L125" s="389">
        <v>0</v>
      </c>
      <c r="M125" s="389">
        <v>0</v>
      </c>
      <c r="N125" s="389">
        <v>0</v>
      </c>
      <c r="O125" s="389">
        <v>0</v>
      </c>
      <c r="P125" s="389">
        <v>0</v>
      </c>
      <c r="Q125" s="389">
        <v>0</v>
      </c>
      <c r="R125" s="389">
        <v>0</v>
      </c>
      <c r="S125" s="389">
        <v>0</v>
      </c>
      <c r="T125" s="389">
        <v>0</v>
      </c>
      <c r="U125" s="386">
        <v>28</v>
      </c>
      <c r="V125" s="390">
        <f t="shared" si="9"/>
        <v>0</v>
      </c>
      <c r="W125" s="386">
        <v>0</v>
      </c>
      <c r="X125" s="386">
        <v>0</v>
      </c>
      <c r="Y125" s="386">
        <f t="shared" si="10"/>
        <v>0</v>
      </c>
      <c r="Z125" s="386">
        <f t="shared" si="10"/>
        <v>0</v>
      </c>
      <c r="AA125" s="386">
        <v>0</v>
      </c>
      <c r="AB125" s="390">
        <f t="shared" si="11"/>
        <v>0</v>
      </c>
      <c r="AC125" s="386">
        <v>0</v>
      </c>
      <c r="AD125" s="390">
        <f t="shared" si="12"/>
        <v>0</v>
      </c>
      <c r="AE125" s="386">
        <v>0</v>
      </c>
      <c r="AF125" s="386">
        <v>28</v>
      </c>
      <c r="AG125" s="386">
        <v>0</v>
      </c>
      <c r="AH125" s="386">
        <v>0</v>
      </c>
      <c r="AI125" s="386">
        <v>0</v>
      </c>
      <c r="AJ125" s="386">
        <v>0</v>
      </c>
      <c r="AK125" s="386">
        <v>0</v>
      </c>
      <c r="AL125" s="386">
        <v>0</v>
      </c>
      <c r="AM125" s="386">
        <v>0</v>
      </c>
      <c r="AN125" s="386">
        <v>0</v>
      </c>
      <c r="AO125" s="386">
        <v>0</v>
      </c>
      <c r="AP125" s="386">
        <v>0</v>
      </c>
      <c r="AQ125" s="386">
        <v>0</v>
      </c>
      <c r="AR125" s="386">
        <f t="shared" si="16"/>
        <v>0</v>
      </c>
      <c r="AS125" s="386">
        <f t="shared" si="16"/>
        <v>0</v>
      </c>
      <c r="AT125" s="386">
        <f t="shared" si="16"/>
        <v>0</v>
      </c>
      <c r="AU125" s="386">
        <f t="shared" si="15"/>
        <v>0</v>
      </c>
      <c r="AV125" s="386">
        <f t="shared" si="15"/>
        <v>0</v>
      </c>
      <c r="AW125" s="386">
        <f t="shared" si="15"/>
        <v>0</v>
      </c>
      <c r="AX125" s="386">
        <f t="shared" si="15"/>
        <v>0</v>
      </c>
      <c r="AY125" s="386">
        <f t="shared" si="15"/>
        <v>0</v>
      </c>
      <c r="AZ125" s="386">
        <f t="shared" si="15"/>
        <v>0</v>
      </c>
      <c r="BA125" s="386">
        <f t="shared" si="14"/>
        <v>0</v>
      </c>
      <c r="BB125" s="386">
        <f t="shared" si="14"/>
        <v>0</v>
      </c>
      <c r="BC125" s="386">
        <f t="shared" si="14"/>
        <v>0</v>
      </c>
      <c r="BD125" s="386">
        <f t="shared" si="14"/>
        <v>0</v>
      </c>
    </row>
    <row r="126" spans="1:56" x14ac:dyDescent="0.25">
      <c r="A126" s="388">
        <v>108</v>
      </c>
      <c r="B126" s="352" t="s">
        <v>26</v>
      </c>
      <c r="C126" s="389">
        <f t="shared" si="13"/>
        <v>111645</v>
      </c>
      <c r="D126" s="389">
        <v>1809</v>
      </c>
      <c r="E126" s="389">
        <v>1898</v>
      </c>
      <c r="F126" s="389">
        <v>34271</v>
      </c>
      <c r="G126" s="389">
        <v>0</v>
      </c>
      <c r="H126" s="389">
        <v>0</v>
      </c>
      <c r="I126" s="389">
        <v>0</v>
      </c>
      <c r="J126" s="389">
        <v>0</v>
      </c>
      <c r="K126" s="389">
        <v>0</v>
      </c>
      <c r="L126" s="389">
        <v>2914</v>
      </c>
      <c r="M126" s="389">
        <v>34799</v>
      </c>
      <c r="N126" s="389">
        <v>0</v>
      </c>
      <c r="O126" s="389">
        <v>0</v>
      </c>
      <c r="P126" s="389">
        <v>2249</v>
      </c>
      <c r="Q126" s="389">
        <v>4000</v>
      </c>
      <c r="R126" s="389">
        <v>0</v>
      </c>
      <c r="S126" s="389">
        <v>2584</v>
      </c>
      <c r="T126" s="389">
        <v>27121</v>
      </c>
      <c r="U126" s="386">
        <v>111645</v>
      </c>
      <c r="V126" s="390">
        <f t="shared" si="9"/>
        <v>0</v>
      </c>
      <c r="W126" s="386">
        <v>1809</v>
      </c>
      <c r="X126" s="386">
        <v>1898</v>
      </c>
      <c r="Y126" s="386">
        <f t="shared" si="10"/>
        <v>0</v>
      </c>
      <c r="Z126" s="386">
        <f t="shared" si="10"/>
        <v>0</v>
      </c>
      <c r="AA126" s="386">
        <v>34271</v>
      </c>
      <c r="AB126" s="390">
        <f t="shared" si="11"/>
        <v>0</v>
      </c>
      <c r="AC126" s="386">
        <v>0</v>
      </c>
      <c r="AD126" s="390">
        <f t="shared" si="12"/>
        <v>0</v>
      </c>
      <c r="AE126" s="386">
        <v>0</v>
      </c>
      <c r="AF126" s="386">
        <v>0</v>
      </c>
      <c r="AG126" s="386">
        <v>0</v>
      </c>
      <c r="AH126" s="386">
        <v>0</v>
      </c>
      <c r="AI126" s="386">
        <v>2914</v>
      </c>
      <c r="AJ126" s="386">
        <v>34799</v>
      </c>
      <c r="AK126" s="386">
        <v>0</v>
      </c>
      <c r="AL126" s="386">
        <v>0</v>
      </c>
      <c r="AM126" s="386">
        <v>2249</v>
      </c>
      <c r="AN126" s="386">
        <v>4000</v>
      </c>
      <c r="AO126" s="386">
        <v>0</v>
      </c>
      <c r="AP126" s="386">
        <v>2584</v>
      </c>
      <c r="AQ126" s="386">
        <v>27121</v>
      </c>
      <c r="AR126" s="386">
        <f t="shared" si="16"/>
        <v>0</v>
      </c>
      <c r="AS126" s="386">
        <f t="shared" si="16"/>
        <v>0</v>
      </c>
      <c r="AT126" s="386">
        <f t="shared" si="16"/>
        <v>0</v>
      </c>
      <c r="AU126" s="386">
        <f t="shared" si="15"/>
        <v>0</v>
      </c>
      <c r="AV126" s="386">
        <f t="shared" si="15"/>
        <v>0</v>
      </c>
      <c r="AW126" s="386">
        <f t="shared" si="15"/>
        <v>0</v>
      </c>
      <c r="AX126" s="386">
        <f t="shared" si="15"/>
        <v>0</v>
      </c>
      <c r="AY126" s="386">
        <f t="shared" si="15"/>
        <v>0</v>
      </c>
      <c r="AZ126" s="386">
        <f t="shared" si="15"/>
        <v>0</v>
      </c>
      <c r="BA126" s="386">
        <f t="shared" si="14"/>
        <v>0</v>
      </c>
      <c r="BB126" s="386">
        <f t="shared" si="14"/>
        <v>0</v>
      </c>
      <c r="BC126" s="386">
        <f t="shared" si="14"/>
        <v>0</v>
      </c>
      <c r="BD126" s="386">
        <f t="shared" si="14"/>
        <v>0</v>
      </c>
    </row>
    <row r="127" spans="1:56" x14ac:dyDescent="0.25">
      <c r="A127" s="388">
        <v>109</v>
      </c>
      <c r="B127" s="352" t="s">
        <v>31</v>
      </c>
      <c r="C127" s="389">
        <f t="shared" si="13"/>
        <v>101666</v>
      </c>
      <c r="D127" s="389">
        <v>1660</v>
      </c>
      <c r="E127" s="389">
        <v>1100</v>
      </c>
      <c r="F127" s="389">
        <v>23035</v>
      </c>
      <c r="G127" s="389">
        <v>0</v>
      </c>
      <c r="H127" s="389">
        <v>0</v>
      </c>
      <c r="I127" s="389">
        <v>0</v>
      </c>
      <c r="J127" s="389">
        <v>0</v>
      </c>
      <c r="K127" s="389">
        <v>0</v>
      </c>
      <c r="L127" s="389">
        <v>5165</v>
      </c>
      <c r="M127" s="389">
        <v>28730</v>
      </c>
      <c r="N127" s="389">
        <v>0</v>
      </c>
      <c r="O127" s="389">
        <v>0</v>
      </c>
      <c r="P127" s="389">
        <v>5200</v>
      </c>
      <c r="Q127" s="389">
        <v>8981</v>
      </c>
      <c r="R127" s="389">
        <v>0</v>
      </c>
      <c r="S127" s="389">
        <v>10598</v>
      </c>
      <c r="T127" s="389">
        <v>17197</v>
      </c>
      <c r="U127" s="386">
        <v>101666</v>
      </c>
      <c r="V127" s="390">
        <f t="shared" si="9"/>
        <v>0</v>
      </c>
      <c r="W127" s="386">
        <v>1660</v>
      </c>
      <c r="X127" s="386">
        <v>1100</v>
      </c>
      <c r="Y127" s="386">
        <f t="shared" si="10"/>
        <v>0</v>
      </c>
      <c r="Z127" s="386">
        <f t="shared" si="10"/>
        <v>0</v>
      </c>
      <c r="AA127" s="386">
        <v>23035</v>
      </c>
      <c r="AB127" s="390">
        <f t="shared" si="11"/>
        <v>0</v>
      </c>
      <c r="AC127" s="386">
        <v>0</v>
      </c>
      <c r="AD127" s="390">
        <f t="shared" si="12"/>
        <v>0</v>
      </c>
      <c r="AE127" s="386">
        <v>0</v>
      </c>
      <c r="AF127" s="386">
        <v>0</v>
      </c>
      <c r="AG127" s="386">
        <v>0</v>
      </c>
      <c r="AH127" s="386">
        <v>0</v>
      </c>
      <c r="AI127" s="386">
        <v>5165</v>
      </c>
      <c r="AJ127" s="386">
        <v>28730</v>
      </c>
      <c r="AK127" s="386">
        <v>0</v>
      </c>
      <c r="AL127" s="386">
        <v>0</v>
      </c>
      <c r="AM127" s="386">
        <v>5200</v>
      </c>
      <c r="AN127" s="386">
        <v>8981</v>
      </c>
      <c r="AO127" s="386">
        <v>0</v>
      </c>
      <c r="AP127" s="386">
        <v>10598</v>
      </c>
      <c r="AQ127" s="386">
        <v>17197</v>
      </c>
      <c r="AR127" s="386">
        <f t="shared" si="16"/>
        <v>0</v>
      </c>
      <c r="AS127" s="386">
        <f t="shared" si="16"/>
        <v>0</v>
      </c>
      <c r="AT127" s="386">
        <f t="shared" si="16"/>
        <v>0</v>
      </c>
      <c r="AU127" s="386">
        <f t="shared" si="15"/>
        <v>0</v>
      </c>
      <c r="AV127" s="386">
        <f t="shared" si="15"/>
        <v>0</v>
      </c>
      <c r="AW127" s="386">
        <f t="shared" si="15"/>
        <v>0</v>
      </c>
      <c r="AX127" s="386">
        <f t="shared" ref="AX127:BC165" si="17">AK127-N127</f>
        <v>0</v>
      </c>
      <c r="AY127" s="386">
        <f t="shared" si="17"/>
        <v>0</v>
      </c>
      <c r="AZ127" s="386">
        <f t="shared" si="17"/>
        <v>0</v>
      </c>
      <c r="BA127" s="386">
        <f t="shared" si="14"/>
        <v>0</v>
      </c>
      <c r="BB127" s="386">
        <f t="shared" si="14"/>
        <v>0</v>
      </c>
      <c r="BC127" s="386">
        <f t="shared" si="14"/>
        <v>0</v>
      </c>
      <c r="BD127" s="386">
        <f t="shared" si="14"/>
        <v>0</v>
      </c>
    </row>
    <row r="128" spans="1:56" x14ac:dyDescent="0.25">
      <c r="A128" s="388">
        <v>110</v>
      </c>
      <c r="B128" s="358" t="s">
        <v>32</v>
      </c>
      <c r="C128" s="389">
        <f t="shared" si="13"/>
        <v>35149</v>
      </c>
      <c r="D128" s="389">
        <v>589</v>
      </c>
      <c r="E128" s="389">
        <v>1527</v>
      </c>
      <c r="F128" s="389">
        <v>12574</v>
      </c>
      <c r="G128" s="389">
        <v>0</v>
      </c>
      <c r="H128" s="389">
        <v>0</v>
      </c>
      <c r="I128" s="389">
        <v>0</v>
      </c>
      <c r="J128" s="389">
        <v>0</v>
      </c>
      <c r="K128" s="389">
        <v>0</v>
      </c>
      <c r="L128" s="389">
        <v>5232</v>
      </c>
      <c r="M128" s="389">
        <v>2261</v>
      </c>
      <c r="N128" s="389">
        <v>0</v>
      </c>
      <c r="O128" s="389">
        <v>0</v>
      </c>
      <c r="P128" s="389">
        <v>0</v>
      </c>
      <c r="Q128" s="389">
        <v>3177</v>
      </c>
      <c r="R128" s="389">
        <v>0</v>
      </c>
      <c r="S128" s="389">
        <v>543</v>
      </c>
      <c r="T128" s="389">
        <v>9246</v>
      </c>
      <c r="U128" s="386">
        <v>35149</v>
      </c>
      <c r="V128" s="390">
        <f t="shared" si="9"/>
        <v>0</v>
      </c>
      <c r="W128" s="386">
        <v>589</v>
      </c>
      <c r="X128" s="386">
        <v>1527</v>
      </c>
      <c r="Y128" s="386">
        <f t="shared" si="10"/>
        <v>0</v>
      </c>
      <c r="Z128" s="386">
        <f t="shared" si="10"/>
        <v>0</v>
      </c>
      <c r="AA128" s="386">
        <v>12574</v>
      </c>
      <c r="AB128" s="390">
        <f t="shared" si="11"/>
        <v>0</v>
      </c>
      <c r="AC128" s="386">
        <v>0</v>
      </c>
      <c r="AD128" s="390">
        <f t="shared" si="12"/>
        <v>0</v>
      </c>
      <c r="AE128" s="386">
        <v>0</v>
      </c>
      <c r="AF128" s="386">
        <v>0</v>
      </c>
      <c r="AG128" s="386">
        <v>0</v>
      </c>
      <c r="AH128" s="386">
        <v>0</v>
      </c>
      <c r="AI128" s="386">
        <v>5232</v>
      </c>
      <c r="AJ128" s="386">
        <v>2261</v>
      </c>
      <c r="AK128" s="386">
        <v>0</v>
      </c>
      <c r="AL128" s="386">
        <v>0</v>
      </c>
      <c r="AM128" s="386">
        <v>0</v>
      </c>
      <c r="AN128" s="386">
        <v>3177</v>
      </c>
      <c r="AO128" s="386">
        <v>0</v>
      </c>
      <c r="AP128" s="386">
        <v>543</v>
      </c>
      <c r="AQ128" s="386">
        <v>9246</v>
      </c>
      <c r="AR128" s="386">
        <f t="shared" si="16"/>
        <v>0</v>
      </c>
      <c r="AS128" s="386">
        <f t="shared" si="16"/>
        <v>0</v>
      </c>
      <c r="AT128" s="386">
        <f t="shared" si="16"/>
        <v>0</v>
      </c>
      <c r="AU128" s="386">
        <f t="shared" si="16"/>
        <v>0</v>
      </c>
      <c r="AV128" s="386">
        <f t="shared" si="16"/>
        <v>0</v>
      </c>
      <c r="AW128" s="386">
        <f t="shared" si="16"/>
        <v>0</v>
      </c>
      <c r="AX128" s="386">
        <f t="shared" si="17"/>
        <v>0</v>
      </c>
      <c r="AY128" s="386">
        <f t="shared" si="17"/>
        <v>0</v>
      </c>
      <c r="AZ128" s="386">
        <f t="shared" si="17"/>
        <v>0</v>
      </c>
      <c r="BA128" s="386">
        <f t="shared" si="14"/>
        <v>0</v>
      </c>
      <c r="BB128" s="386">
        <f t="shared" si="14"/>
        <v>0</v>
      </c>
      <c r="BC128" s="386">
        <f t="shared" si="14"/>
        <v>0</v>
      </c>
      <c r="BD128" s="386">
        <f t="shared" si="14"/>
        <v>0</v>
      </c>
    </row>
    <row r="129" spans="1:56" x14ac:dyDescent="0.25">
      <c r="A129" s="388">
        <v>111</v>
      </c>
      <c r="B129" s="352" t="s">
        <v>35</v>
      </c>
      <c r="C129" s="389">
        <f t="shared" si="13"/>
        <v>55687</v>
      </c>
      <c r="D129" s="389">
        <v>951</v>
      </c>
      <c r="E129" s="389">
        <v>1677</v>
      </c>
      <c r="F129" s="389">
        <v>18805</v>
      </c>
      <c r="G129" s="389">
        <v>0</v>
      </c>
      <c r="H129" s="389">
        <v>0</v>
      </c>
      <c r="I129" s="389">
        <v>0</v>
      </c>
      <c r="J129" s="389">
        <v>0</v>
      </c>
      <c r="K129" s="389">
        <v>0</v>
      </c>
      <c r="L129" s="389">
        <v>2866</v>
      </c>
      <c r="M129" s="389">
        <v>11923</v>
      </c>
      <c r="N129" s="389">
        <v>0</v>
      </c>
      <c r="O129" s="389">
        <v>0</v>
      </c>
      <c r="P129" s="389">
        <v>810</v>
      </c>
      <c r="Q129" s="389">
        <v>4637</v>
      </c>
      <c r="R129" s="389">
        <v>0</v>
      </c>
      <c r="S129" s="389">
        <v>2470</v>
      </c>
      <c r="T129" s="389">
        <v>11548</v>
      </c>
      <c r="U129" s="386">
        <v>55687</v>
      </c>
      <c r="V129" s="390">
        <f t="shared" si="9"/>
        <v>0</v>
      </c>
      <c r="W129" s="386">
        <v>951</v>
      </c>
      <c r="X129" s="386">
        <v>1677</v>
      </c>
      <c r="Y129" s="386">
        <f t="shared" si="10"/>
        <v>0</v>
      </c>
      <c r="Z129" s="386">
        <f t="shared" si="10"/>
        <v>0</v>
      </c>
      <c r="AA129" s="386">
        <v>18805</v>
      </c>
      <c r="AB129" s="390">
        <f t="shared" si="11"/>
        <v>0</v>
      </c>
      <c r="AC129" s="386">
        <v>0</v>
      </c>
      <c r="AD129" s="390">
        <f t="shared" si="12"/>
        <v>0</v>
      </c>
      <c r="AE129" s="386">
        <v>0</v>
      </c>
      <c r="AF129" s="386">
        <v>0</v>
      </c>
      <c r="AG129" s="386">
        <v>0</v>
      </c>
      <c r="AH129" s="386">
        <v>0</v>
      </c>
      <c r="AI129" s="386">
        <v>2866</v>
      </c>
      <c r="AJ129" s="386">
        <v>11923</v>
      </c>
      <c r="AK129" s="386">
        <v>0</v>
      </c>
      <c r="AL129" s="386">
        <v>0</v>
      </c>
      <c r="AM129" s="386">
        <v>810</v>
      </c>
      <c r="AN129" s="386">
        <v>4637</v>
      </c>
      <c r="AO129" s="386">
        <v>0</v>
      </c>
      <c r="AP129" s="386">
        <v>2470</v>
      </c>
      <c r="AQ129" s="386">
        <v>11548</v>
      </c>
      <c r="AR129" s="386">
        <f t="shared" si="16"/>
        <v>0</v>
      </c>
      <c r="AS129" s="386">
        <f t="shared" si="16"/>
        <v>0</v>
      </c>
      <c r="AT129" s="386">
        <f t="shared" si="16"/>
        <v>0</v>
      </c>
      <c r="AU129" s="386">
        <f t="shared" si="16"/>
        <v>0</v>
      </c>
      <c r="AV129" s="386">
        <f t="shared" si="16"/>
        <v>0</v>
      </c>
      <c r="AW129" s="386">
        <f t="shared" si="16"/>
        <v>0</v>
      </c>
      <c r="AX129" s="386">
        <f t="shared" si="17"/>
        <v>0</v>
      </c>
      <c r="AY129" s="386">
        <f t="shared" si="17"/>
        <v>0</v>
      </c>
      <c r="AZ129" s="386">
        <f t="shared" si="17"/>
        <v>0</v>
      </c>
      <c r="BA129" s="386">
        <f t="shared" si="14"/>
        <v>0</v>
      </c>
      <c r="BB129" s="386">
        <f t="shared" si="14"/>
        <v>0</v>
      </c>
      <c r="BC129" s="386">
        <f t="shared" si="14"/>
        <v>0</v>
      </c>
      <c r="BD129" s="386">
        <f t="shared" si="14"/>
        <v>0</v>
      </c>
    </row>
    <row r="130" spans="1:56" x14ac:dyDescent="0.25">
      <c r="A130" s="388">
        <v>112</v>
      </c>
      <c r="B130" s="358" t="s">
        <v>42</v>
      </c>
      <c r="C130" s="389">
        <f t="shared" si="13"/>
        <v>53739</v>
      </c>
      <c r="D130" s="389">
        <v>881</v>
      </c>
      <c r="E130" s="389">
        <v>806</v>
      </c>
      <c r="F130" s="389">
        <v>10942</v>
      </c>
      <c r="G130" s="389">
        <v>0</v>
      </c>
      <c r="H130" s="389">
        <v>0</v>
      </c>
      <c r="I130" s="389">
        <v>0</v>
      </c>
      <c r="J130" s="389">
        <v>0</v>
      </c>
      <c r="K130" s="389">
        <v>0</v>
      </c>
      <c r="L130" s="389">
        <v>7619</v>
      </c>
      <c r="M130" s="389">
        <v>11656</v>
      </c>
      <c r="N130" s="389">
        <v>402</v>
      </c>
      <c r="O130" s="389">
        <v>0</v>
      </c>
      <c r="P130" s="389">
        <v>0</v>
      </c>
      <c r="Q130" s="389">
        <v>4380</v>
      </c>
      <c r="R130" s="389">
        <v>0</v>
      </c>
      <c r="S130" s="389">
        <v>2030</v>
      </c>
      <c r="T130" s="389">
        <v>15023</v>
      </c>
      <c r="U130" s="386">
        <v>53739</v>
      </c>
      <c r="V130" s="390">
        <f t="shared" si="9"/>
        <v>0</v>
      </c>
      <c r="W130" s="386">
        <v>881</v>
      </c>
      <c r="X130" s="386">
        <v>806</v>
      </c>
      <c r="Y130" s="386">
        <f t="shared" si="10"/>
        <v>0</v>
      </c>
      <c r="Z130" s="386">
        <f t="shared" si="10"/>
        <v>0</v>
      </c>
      <c r="AA130" s="386">
        <v>10942</v>
      </c>
      <c r="AB130" s="390">
        <f t="shared" si="11"/>
        <v>0</v>
      </c>
      <c r="AC130" s="386">
        <v>0</v>
      </c>
      <c r="AD130" s="390">
        <f t="shared" si="12"/>
        <v>0</v>
      </c>
      <c r="AE130" s="386">
        <v>0</v>
      </c>
      <c r="AF130" s="386">
        <v>0</v>
      </c>
      <c r="AG130" s="386">
        <v>0</v>
      </c>
      <c r="AH130" s="386">
        <v>0</v>
      </c>
      <c r="AI130" s="386">
        <v>7619</v>
      </c>
      <c r="AJ130" s="386">
        <v>11656</v>
      </c>
      <c r="AK130" s="386">
        <v>402</v>
      </c>
      <c r="AL130" s="386">
        <v>0</v>
      </c>
      <c r="AM130" s="386">
        <v>0</v>
      </c>
      <c r="AN130" s="386">
        <v>4380</v>
      </c>
      <c r="AO130" s="386">
        <v>0</v>
      </c>
      <c r="AP130" s="386">
        <v>2030</v>
      </c>
      <c r="AQ130" s="386">
        <v>15023</v>
      </c>
      <c r="AR130" s="386">
        <f t="shared" si="16"/>
        <v>0</v>
      </c>
      <c r="AS130" s="386">
        <f t="shared" si="16"/>
        <v>0</v>
      </c>
      <c r="AT130" s="386">
        <f t="shared" si="16"/>
        <v>0</v>
      </c>
      <c r="AU130" s="386">
        <f t="shared" si="16"/>
        <v>0</v>
      </c>
      <c r="AV130" s="386">
        <f t="shared" si="16"/>
        <v>0</v>
      </c>
      <c r="AW130" s="386">
        <f t="shared" si="16"/>
        <v>0</v>
      </c>
      <c r="AX130" s="386">
        <f t="shared" si="17"/>
        <v>0</v>
      </c>
      <c r="AY130" s="386">
        <f t="shared" si="17"/>
        <v>0</v>
      </c>
      <c r="AZ130" s="386">
        <f t="shared" si="17"/>
        <v>0</v>
      </c>
      <c r="BA130" s="386">
        <f t="shared" si="14"/>
        <v>0</v>
      </c>
      <c r="BB130" s="386">
        <f t="shared" si="14"/>
        <v>0</v>
      </c>
      <c r="BC130" s="386">
        <f t="shared" si="14"/>
        <v>0</v>
      </c>
      <c r="BD130" s="386">
        <f t="shared" si="14"/>
        <v>0</v>
      </c>
    </row>
    <row r="131" spans="1:56" x14ac:dyDescent="0.25">
      <c r="A131" s="388">
        <v>113</v>
      </c>
      <c r="B131" s="358" t="s">
        <v>21</v>
      </c>
      <c r="C131" s="389">
        <f t="shared" si="13"/>
        <v>68409</v>
      </c>
      <c r="D131" s="389">
        <v>1002</v>
      </c>
      <c r="E131" s="389">
        <v>1122</v>
      </c>
      <c r="F131" s="389">
        <v>14102</v>
      </c>
      <c r="G131" s="389">
        <v>0</v>
      </c>
      <c r="H131" s="389">
        <v>5362</v>
      </c>
      <c r="I131" s="389">
        <v>0</v>
      </c>
      <c r="J131" s="389">
        <v>1025</v>
      </c>
      <c r="K131" s="389">
        <v>439</v>
      </c>
      <c r="L131" s="389">
        <v>6133</v>
      </c>
      <c r="M131" s="389">
        <v>18512</v>
      </c>
      <c r="N131" s="389">
        <v>0</v>
      </c>
      <c r="O131" s="389">
        <v>0</v>
      </c>
      <c r="P131" s="389">
        <v>2320</v>
      </c>
      <c r="Q131" s="389">
        <v>4875</v>
      </c>
      <c r="R131" s="389">
        <v>0</v>
      </c>
      <c r="S131" s="389">
        <v>1148</v>
      </c>
      <c r="T131" s="389">
        <v>12369</v>
      </c>
      <c r="U131" s="386">
        <v>68409</v>
      </c>
      <c r="V131" s="390">
        <f t="shared" si="9"/>
        <v>0</v>
      </c>
      <c r="W131" s="386">
        <v>1002</v>
      </c>
      <c r="X131" s="386">
        <v>1122</v>
      </c>
      <c r="Y131" s="386">
        <f t="shared" si="10"/>
        <v>0</v>
      </c>
      <c r="Z131" s="386">
        <f t="shared" si="10"/>
        <v>0</v>
      </c>
      <c r="AA131" s="386">
        <v>14102</v>
      </c>
      <c r="AB131" s="390">
        <f t="shared" si="11"/>
        <v>0</v>
      </c>
      <c r="AC131" s="386">
        <v>0</v>
      </c>
      <c r="AD131" s="390">
        <f t="shared" si="12"/>
        <v>0</v>
      </c>
      <c r="AE131" s="386">
        <v>5362</v>
      </c>
      <c r="AF131" s="386">
        <v>0</v>
      </c>
      <c r="AG131" s="386">
        <v>1025</v>
      </c>
      <c r="AH131" s="386">
        <v>439</v>
      </c>
      <c r="AI131" s="386">
        <v>6133</v>
      </c>
      <c r="AJ131" s="386">
        <v>18512</v>
      </c>
      <c r="AK131" s="386">
        <v>0</v>
      </c>
      <c r="AL131" s="386">
        <v>0</v>
      </c>
      <c r="AM131" s="386">
        <v>2320</v>
      </c>
      <c r="AN131" s="386">
        <v>4875</v>
      </c>
      <c r="AO131" s="386">
        <v>0</v>
      </c>
      <c r="AP131" s="386">
        <v>1148</v>
      </c>
      <c r="AQ131" s="386">
        <v>12369</v>
      </c>
      <c r="AR131" s="386">
        <f t="shared" si="16"/>
        <v>0</v>
      </c>
      <c r="AS131" s="386">
        <f t="shared" si="16"/>
        <v>0</v>
      </c>
      <c r="AT131" s="386">
        <f t="shared" si="16"/>
        <v>0</v>
      </c>
      <c r="AU131" s="386">
        <f t="shared" si="16"/>
        <v>0</v>
      </c>
      <c r="AV131" s="386">
        <f t="shared" si="16"/>
        <v>0</v>
      </c>
      <c r="AW131" s="386">
        <f t="shared" si="16"/>
        <v>0</v>
      </c>
      <c r="AX131" s="386">
        <f t="shared" si="17"/>
        <v>0</v>
      </c>
      <c r="AY131" s="386">
        <f t="shared" si="17"/>
        <v>0</v>
      </c>
      <c r="AZ131" s="386">
        <f t="shared" si="17"/>
        <v>0</v>
      </c>
      <c r="BA131" s="386">
        <f t="shared" si="14"/>
        <v>0</v>
      </c>
      <c r="BB131" s="386">
        <f t="shared" si="14"/>
        <v>0</v>
      </c>
      <c r="BC131" s="386">
        <f t="shared" si="14"/>
        <v>0</v>
      </c>
      <c r="BD131" s="386">
        <f t="shared" si="14"/>
        <v>0</v>
      </c>
    </row>
    <row r="132" spans="1:56" x14ac:dyDescent="0.25">
      <c r="A132" s="388">
        <v>114</v>
      </c>
      <c r="B132" s="352" t="s">
        <v>41</v>
      </c>
      <c r="C132" s="389">
        <f t="shared" si="13"/>
        <v>40561</v>
      </c>
      <c r="D132" s="389">
        <v>674</v>
      </c>
      <c r="E132" s="389">
        <v>0</v>
      </c>
      <c r="F132" s="389">
        <v>9093</v>
      </c>
      <c r="G132" s="389">
        <v>0</v>
      </c>
      <c r="H132" s="389">
        <v>0</v>
      </c>
      <c r="I132" s="389">
        <v>0</v>
      </c>
      <c r="J132" s="389">
        <v>0</v>
      </c>
      <c r="K132" s="389">
        <v>0</v>
      </c>
      <c r="L132" s="389">
        <v>6383</v>
      </c>
      <c r="M132" s="389">
        <v>9941</v>
      </c>
      <c r="N132" s="389">
        <v>0</v>
      </c>
      <c r="O132" s="389">
        <v>0</v>
      </c>
      <c r="P132" s="389">
        <v>600</v>
      </c>
      <c r="Q132" s="389">
        <v>2875</v>
      </c>
      <c r="R132" s="389">
        <v>0</v>
      </c>
      <c r="S132" s="389">
        <v>3501</v>
      </c>
      <c r="T132" s="389">
        <v>7494</v>
      </c>
      <c r="U132" s="386">
        <v>40561</v>
      </c>
      <c r="V132" s="390">
        <f t="shared" si="9"/>
        <v>0</v>
      </c>
      <c r="W132" s="386">
        <v>674</v>
      </c>
      <c r="X132" s="386">
        <v>0</v>
      </c>
      <c r="Y132" s="386">
        <f t="shared" si="10"/>
        <v>0</v>
      </c>
      <c r="Z132" s="386">
        <f t="shared" si="10"/>
        <v>0</v>
      </c>
      <c r="AA132" s="386">
        <v>9093</v>
      </c>
      <c r="AB132" s="390">
        <f t="shared" si="11"/>
        <v>0</v>
      </c>
      <c r="AC132" s="386">
        <v>0</v>
      </c>
      <c r="AD132" s="390">
        <f t="shared" si="12"/>
        <v>0</v>
      </c>
      <c r="AE132" s="386">
        <v>0</v>
      </c>
      <c r="AF132" s="386">
        <v>0</v>
      </c>
      <c r="AG132" s="386">
        <v>0</v>
      </c>
      <c r="AH132" s="386">
        <v>0</v>
      </c>
      <c r="AI132" s="386">
        <v>6383</v>
      </c>
      <c r="AJ132" s="386">
        <v>9941</v>
      </c>
      <c r="AK132" s="386">
        <v>0</v>
      </c>
      <c r="AL132" s="386">
        <v>0</v>
      </c>
      <c r="AM132" s="386">
        <v>600</v>
      </c>
      <c r="AN132" s="386">
        <v>2875</v>
      </c>
      <c r="AO132" s="386">
        <v>0</v>
      </c>
      <c r="AP132" s="386">
        <v>3501</v>
      </c>
      <c r="AQ132" s="386">
        <v>7494</v>
      </c>
      <c r="AR132" s="386">
        <f t="shared" si="16"/>
        <v>0</v>
      </c>
      <c r="AS132" s="386">
        <f t="shared" si="16"/>
        <v>0</v>
      </c>
      <c r="AT132" s="386">
        <f t="shared" si="16"/>
        <v>0</v>
      </c>
      <c r="AU132" s="386">
        <f t="shared" si="16"/>
        <v>0</v>
      </c>
      <c r="AV132" s="386">
        <f t="shared" si="16"/>
        <v>0</v>
      </c>
      <c r="AW132" s="386">
        <f t="shared" si="16"/>
        <v>0</v>
      </c>
      <c r="AX132" s="386">
        <f t="shared" si="17"/>
        <v>0</v>
      </c>
      <c r="AY132" s="386">
        <f t="shared" si="17"/>
        <v>0</v>
      </c>
      <c r="AZ132" s="386">
        <f t="shared" si="17"/>
        <v>0</v>
      </c>
      <c r="BA132" s="386">
        <f t="shared" si="14"/>
        <v>0</v>
      </c>
      <c r="BB132" s="386">
        <f t="shared" si="14"/>
        <v>0</v>
      </c>
      <c r="BC132" s="386">
        <f t="shared" si="14"/>
        <v>0</v>
      </c>
      <c r="BD132" s="386">
        <f t="shared" si="14"/>
        <v>0</v>
      </c>
    </row>
    <row r="133" spans="1:56" x14ac:dyDescent="0.25">
      <c r="A133" s="388">
        <v>115</v>
      </c>
      <c r="B133" s="358" t="s">
        <v>48</v>
      </c>
      <c r="C133" s="389">
        <f t="shared" si="13"/>
        <v>61412</v>
      </c>
      <c r="D133" s="389">
        <v>1051</v>
      </c>
      <c r="E133" s="389">
        <v>3530</v>
      </c>
      <c r="F133" s="389">
        <v>25617</v>
      </c>
      <c r="G133" s="389">
        <v>0</v>
      </c>
      <c r="H133" s="389">
        <v>0</v>
      </c>
      <c r="I133" s="389">
        <v>0</v>
      </c>
      <c r="J133" s="389">
        <v>0</v>
      </c>
      <c r="K133" s="389">
        <v>0</v>
      </c>
      <c r="L133" s="389">
        <v>4294</v>
      </c>
      <c r="M133" s="389">
        <v>13526</v>
      </c>
      <c r="N133" s="389">
        <v>0</v>
      </c>
      <c r="O133" s="389">
        <v>0</v>
      </c>
      <c r="P133" s="389">
        <v>1460</v>
      </c>
      <c r="Q133" s="389">
        <v>5314</v>
      </c>
      <c r="R133" s="389">
        <v>0</v>
      </c>
      <c r="S133" s="389">
        <v>722</v>
      </c>
      <c r="T133" s="389">
        <v>5898</v>
      </c>
      <c r="U133" s="386">
        <v>61412</v>
      </c>
      <c r="V133" s="390">
        <f t="shared" si="9"/>
        <v>0</v>
      </c>
      <c r="W133" s="386">
        <v>1051</v>
      </c>
      <c r="X133" s="386">
        <v>3530</v>
      </c>
      <c r="Y133" s="386">
        <f t="shared" si="10"/>
        <v>0</v>
      </c>
      <c r="Z133" s="386">
        <f t="shared" si="10"/>
        <v>0</v>
      </c>
      <c r="AA133" s="386">
        <v>25617</v>
      </c>
      <c r="AB133" s="390">
        <f t="shared" si="11"/>
        <v>0</v>
      </c>
      <c r="AC133" s="386">
        <v>0</v>
      </c>
      <c r="AD133" s="390">
        <f t="shared" si="12"/>
        <v>0</v>
      </c>
      <c r="AE133" s="386">
        <v>0</v>
      </c>
      <c r="AF133" s="386">
        <v>0</v>
      </c>
      <c r="AG133" s="386">
        <v>0</v>
      </c>
      <c r="AH133" s="386">
        <v>0</v>
      </c>
      <c r="AI133" s="386">
        <v>4294</v>
      </c>
      <c r="AJ133" s="386">
        <v>13526</v>
      </c>
      <c r="AK133" s="386">
        <v>0</v>
      </c>
      <c r="AL133" s="386">
        <v>0</v>
      </c>
      <c r="AM133" s="386">
        <v>1460</v>
      </c>
      <c r="AN133" s="386">
        <v>5314</v>
      </c>
      <c r="AO133" s="386">
        <v>0</v>
      </c>
      <c r="AP133" s="386">
        <v>722</v>
      </c>
      <c r="AQ133" s="386">
        <v>5898</v>
      </c>
      <c r="AR133" s="386">
        <f t="shared" si="16"/>
        <v>0</v>
      </c>
      <c r="AS133" s="386">
        <f t="shared" si="16"/>
        <v>0</v>
      </c>
      <c r="AT133" s="386">
        <f t="shared" si="16"/>
        <v>0</v>
      </c>
      <c r="AU133" s="386">
        <f t="shared" si="16"/>
        <v>0</v>
      </c>
      <c r="AV133" s="386">
        <f t="shared" si="16"/>
        <v>0</v>
      </c>
      <c r="AW133" s="386">
        <f t="shared" si="16"/>
        <v>0</v>
      </c>
      <c r="AX133" s="386">
        <f t="shared" si="17"/>
        <v>0</v>
      </c>
      <c r="AY133" s="386">
        <f t="shared" si="17"/>
        <v>0</v>
      </c>
      <c r="AZ133" s="386">
        <f t="shared" si="17"/>
        <v>0</v>
      </c>
      <c r="BA133" s="386">
        <f t="shared" si="14"/>
        <v>0</v>
      </c>
      <c r="BB133" s="386">
        <f t="shared" si="14"/>
        <v>0</v>
      </c>
      <c r="BC133" s="386">
        <f t="shared" si="14"/>
        <v>0</v>
      </c>
      <c r="BD133" s="386">
        <f t="shared" si="14"/>
        <v>0</v>
      </c>
    </row>
    <row r="134" spans="1:56" x14ac:dyDescent="0.25">
      <c r="A134" s="388">
        <v>116</v>
      </c>
      <c r="B134" s="358" t="s">
        <v>49</v>
      </c>
      <c r="C134" s="389">
        <f t="shared" si="13"/>
        <v>103059</v>
      </c>
      <c r="D134" s="389">
        <v>1749</v>
      </c>
      <c r="E134" s="389">
        <v>5160</v>
      </c>
      <c r="F134" s="389">
        <v>46598</v>
      </c>
      <c r="G134" s="389">
        <v>0</v>
      </c>
      <c r="H134" s="389">
        <v>0</v>
      </c>
      <c r="I134" s="389">
        <v>0</v>
      </c>
      <c r="J134" s="389">
        <v>0</v>
      </c>
      <c r="K134" s="389">
        <v>0</v>
      </c>
      <c r="L134" s="389">
        <v>5474</v>
      </c>
      <c r="M134" s="389">
        <v>18743</v>
      </c>
      <c r="N134" s="389">
        <v>0</v>
      </c>
      <c r="O134" s="389">
        <v>0</v>
      </c>
      <c r="P134" s="389">
        <v>1272</v>
      </c>
      <c r="Q134" s="389">
        <v>6203</v>
      </c>
      <c r="R134" s="389">
        <v>0</v>
      </c>
      <c r="S134" s="389">
        <v>5266</v>
      </c>
      <c r="T134" s="389">
        <v>12594</v>
      </c>
      <c r="U134" s="386">
        <v>103059</v>
      </c>
      <c r="V134" s="390">
        <f t="shared" si="9"/>
        <v>0</v>
      </c>
      <c r="W134" s="386">
        <v>1749</v>
      </c>
      <c r="X134" s="386">
        <v>5160</v>
      </c>
      <c r="Y134" s="386">
        <f t="shared" si="10"/>
        <v>0</v>
      </c>
      <c r="Z134" s="386">
        <f t="shared" si="10"/>
        <v>0</v>
      </c>
      <c r="AA134" s="386">
        <v>46598</v>
      </c>
      <c r="AB134" s="390">
        <f t="shared" si="11"/>
        <v>0</v>
      </c>
      <c r="AC134" s="386">
        <v>0</v>
      </c>
      <c r="AD134" s="390">
        <f t="shared" si="12"/>
        <v>0</v>
      </c>
      <c r="AE134" s="386">
        <v>0</v>
      </c>
      <c r="AF134" s="386">
        <v>0</v>
      </c>
      <c r="AG134" s="386">
        <v>0</v>
      </c>
      <c r="AH134" s="386">
        <v>0</v>
      </c>
      <c r="AI134" s="386">
        <v>5474</v>
      </c>
      <c r="AJ134" s="386">
        <v>18743</v>
      </c>
      <c r="AK134" s="386">
        <v>0</v>
      </c>
      <c r="AL134" s="386">
        <v>0</v>
      </c>
      <c r="AM134" s="386">
        <v>1272</v>
      </c>
      <c r="AN134" s="386">
        <v>6203</v>
      </c>
      <c r="AO134" s="386">
        <v>0</v>
      </c>
      <c r="AP134" s="386">
        <v>5266</v>
      </c>
      <c r="AQ134" s="386">
        <v>12594</v>
      </c>
      <c r="AR134" s="386">
        <f t="shared" si="16"/>
        <v>0</v>
      </c>
      <c r="AS134" s="386">
        <f t="shared" si="16"/>
        <v>0</v>
      </c>
      <c r="AT134" s="386">
        <f t="shared" si="16"/>
        <v>0</v>
      </c>
      <c r="AU134" s="386">
        <f t="shared" si="16"/>
        <v>0</v>
      </c>
      <c r="AV134" s="386">
        <f t="shared" si="16"/>
        <v>0</v>
      </c>
      <c r="AW134" s="386">
        <f t="shared" si="16"/>
        <v>0</v>
      </c>
      <c r="AX134" s="386">
        <f t="shared" si="17"/>
        <v>0</v>
      </c>
      <c r="AY134" s="386">
        <f t="shared" si="17"/>
        <v>0</v>
      </c>
      <c r="AZ134" s="386">
        <f t="shared" si="17"/>
        <v>0</v>
      </c>
      <c r="BA134" s="386">
        <f t="shared" si="14"/>
        <v>0</v>
      </c>
      <c r="BB134" s="386">
        <f t="shared" si="14"/>
        <v>0</v>
      </c>
      <c r="BC134" s="386">
        <f t="shared" si="14"/>
        <v>0</v>
      </c>
      <c r="BD134" s="386">
        <f t="shared" si="14"/>
        <v>0</v>
      </c>
    </row>
    <row r="135" spans="1:56" x14ac:dyDescent="0.25">
      <c r="A135" s="388">
        <v>117</v>
      </c>
      <c r="B135" s="358" t="s">
        <v>14</v>
      </c>
      <c r="C135" s="389">
        <f t="shared" si="13"/>
        <v>48495</v>
      </c>
      <c r="D135" s="389">
        <v>827</v>
      </c>
      <c r="E135" s="389">
        <v>1178</v>
      </c>
      <c r="F135" s="389">
        <v>10914</v>
      </c>
      <c r="G135" s="389">
        <v>0</v>
      </c>
      <c r="H135" s="389">
        <v>0</v>
      </c>
      <c r="I135" s="389">
        <v>0</v>
      </c>
      <c r="J135" s="389">
        <v>0</v>
      </c>
      <c r="K135" s="389">
        <v>0</v>
      </c>
      <c r="L135" s="389">
        <v>2041</v>
      </c>
      <c r="M135" s="389">
        <v>16134</v>
      </c>
      <c r="N135" s="389">
        <v>0</v>
      </c>
      <c r="O135" s="389">
        <v>0</v>
      </c>
      <c r="P135" s="389">
        <v>1580</v>
      </c>
      <c r="Q135" s="389">
        <v>3610</v>
      </c>
      <c r="R135" s="389">
        <v>0</v>
      </c>
      <c r="S135" s="389">
        <v>1897</v>
      </c>
      <c r="T135" s="389">
        <v>10314</v>
      </c>
      <c r="U135" s="386">
        <v>48495</v>
      </c>
      <c r="V135" s="390">
        <f t="shared" si="9"/>
        <v>0</v>
      </c>
      <c r="W135" s="386">
        <v>827</v>
      </c>
      <c r="X135" s="386">
        <v>1178</v>
      </c>
      <c r="Y135" s="386">
        <f t="shared" si="10"/>
        <v>0</v>
      </c>
      <c r="Z135" s="386">
        <f t="shared" si="10"/>
        <v>0</v>
      </c>
      <c r="AA135" s="386">
        <v>10914</v>
      </c>
      <c r="AB135" s="390">
        <f t="shared" si="11"/>
        <v>0</v>
      </c>
      <c r="AC135" s="386">
        <v>0</v>
      </c>
      <c r="AD135" s="390">
        <f t="shared" si="12"/>
        <v>0</v>
      </c>
      <c r="AE135" s="386">
        <v>0</v>
      </c>
      <c r="AF135" s="386">
        <v>0</v>
      </c>
      <c r="AG135" s="386">
        <v>0</v>
      </c>
      <c r="AH135" s="386">
        <v>0</v>
      </c>
      <c r="AI135" s="386">
        <v>2041</v>
      </c>
      <c r="AJ135" s="386">
        <v>16134</v>
      </c>
      <c r="AK135" s="386">
        <v>0</v>
      </c>
      <c r="AL135" s="386">
        <v>0</v>
      </c>
      <c r="AM135" s="386">
        <v>1580</v>
      </c>
      <c r="AN135" s="386">
        <v>3610</v>
      </c>
      <c r="AO135" s="386">
        <v>0</v>
      </c>
      <c r="AP135" s="386">
        <v>1897</v>
      </c>
      <c r="AQ135" s="386">
        <v>10314</v>
      </c>
      <c r="AR135" s="386">
        <f t="shared" si="16"/>
        <v>0</v>
      </c>
      <c r="AS135" s="386">
        <f t="shared" si="16"/>
        <v>0</v>
      </c>
      <c r="AT135" s="386">
        <f t="shared" si="16"/>
        <v>0</v>
      </c>
      <c r="AU135" s="386">
        <f t="shared" si="16"/>
        <v>0</v>
      </c>
      <c r="AV135" s="386">
        <f t="shared" si="16"/>
        <v>0</v>
      </c>
      <c r="AW135" s="386">
        <f t="shared" si="16"/>
        <v>0</v>
      </c>
      <c r="AX135" s="386">
        <f t="shared" si="17"/>
        <v>0</v>
      </c>
      <c r="AY135" s="386">
        <f t="shared" si="17"/>
        <v>0</v>
      </c>
      <c r="AZ135" s="386">
        <f t="shared" si="17"/>
        <v>0</v>
      </c>
      <c r="BA135" s="386">
        <f t="shared" si="14"/>
        <v>0</v>
      </c>
      <c r="BB135" s="386">
        <f t="shared" si="14"/>
        <v>0</v>
      </c>
      <c r="BC135" s="386">
        <f t="shared" si="14"/>
        <v>0</v>
      </c>
      <c r="BD135" s="386">
        <f t="shared" si="14"/>
        <v>0</v>
      </c>
    </row>
    <row r="136" spans="1:56" x14ac:dyDescent="0.25">
      <c r="A136" s="388">
        <v>118</v>
      </c>
      <c r="B136" s="370" t="s">
        <v>697</v>
      </c>
      <c r="C136" s="389">
        <f t="shared" si="13"/>
        <v>37892</v>
      </c>
      <c r="D136" s="389">
        <v>1025</v>
      </c>
      <c r="E136" s="389">
        <v>1094</v>
      </c>
      <c r="F136" s="389">
        <v>11001</v>
      </c>
      <c r="G136" s="389">
        <v>0</v>
      </c>
      <c r="H136" s="389">
        <v>0</v>
      </c>
      <c r="I136" s="389">
        <v>0</v>
      </c>
      <c r="J136" s="389">
        <v>2051</v>
      </c>
      <c r="K136" s="389">
        <v>877</v>
      </c>
      <c r="L136" s="389">
        <v>3023</v>
      </c>
      <c r="M136" s="389">
        <v>10291</v>
      </c>
      <c r="N136" s="389">
        <v>0</v>
      </c>
      <c r="O136" s="389">
        <v>0</v>
      </c>
      <c r="P136" s="389">
        <v>0</v>
      </c>
      <c r="Q136" s="389">
        <v>100</v>
      </c>
      <c r="R136" s="389">
        <v>0</v>
      </c>
      <c r="S136" s="389">
        <v>526</v>
      </c>
      <c r="T136" s="389">
        <v>7904</v>
      </c>
      <c r="U136" s="386">
        <v>37892</v>
      </c>
      <c r="V136" s="390">
        <f t="shared" si="9"/>
        <v>0</v>
      </c>
      <c r="W136" s="386">
        <v>1025</v>
      </c>
      <c r="X136" s="386">
        <v>1094</v>
      </c>
      <c r="Y136" s="386">
        <f t="shared" si="10"/>
        <v>0</v>
      </c>
      <c r="Z136" s="386">
        <f t="shared" si="10"/>
        <v>0</v>
      </c>
      <c r="AA136" s="386">
        <v>11001</v>
      </c>
      <c r="AB136" s="390">
        <f t="shared" si="11"/>
        <v>0</v>
      </c>
      <c r="AC136" s="386">
        <v>0</v>
      </c>
      <c r="AD136" s="390">
        <f t="shared" si="12"/>
        <v>0</v>
      </c>
      <c r="AE136" s="386">
        <v>0</v>
      </c>
      <c r="AF136" s="386">
        <v>0</v>
      </c>
      <c r="AG136" s="386">
        <v>2051</v>
      </c>
      <c r="AH136" s="386">
        <v>877</v>
      </c>
      <c r="AI136" s="386">
        <v>3023</v>
      </c>
      <c r="AJ136" s="386">
        <v>10291</v>
      </c>
      <c r="AK136" s="386">
        <v>0</v>
      </c>
      <c r="AL136" s="386">
        <v>0</v>
      </c>
      <c r="AM136" s="386">
        <v>0</v>
      </c>
      <c r="AN136" s="386">
        <v>100</v>
      </c>
      <c r="AO136" s="386">
        <v>0</v>
      </c>
      <c r="AP136" s="386">
        <v>526</v>
      </c>
      <c r="AQ136" s="386">
        <v>7904</v>
      </c>
      <c r="AR136" s="386">
        <f t="shared" si="16"/>
        <v>0</v>
      </c>
      <c r="AS136" s="386">
        <f t="shared" si="16"/>
        <v>0</v>
      </c>
      <c r="AT136" s="386">
        <f t="shared" si="16"/>
        <v>0</v>
      </c>
      <c r="AU136" s="386">
        <f t="shared" si="16"/>
        <v>0</v>
      </c>
      <c r="AV136" s="386">
        <f t="shared" si="16"/>
        <v>0</v>
      </c>
      <c r="AW136" s="386">
        <f t="shared" si="16"/>
        <v>0</v>
      </c>
      <c r="AX136" s="386">
        <f t="shared" si="17"/>
        <v>0</v>
      </c>
      <c r="AY136" s="386">
        <f t="shared" si="17"/>
        <v>0</v>
      </c>
      <c r="AZ136" s="386">
        <f t="shared" si="17"/>
        <v>0</v>
      </c>
      <c r="BA136" s="386">
        <f t="shared" si="14"/>
        <v>0</v>
      </c>
      <c r="BB136" s="386">
        <f t="shared" si="14"/>
        <v>0</v>
      </c>
      <c r="BC136" s="386">
        <f t="shared" si="14"/>
        <v>0</v>
      </c>
      <c r="BD136" s="386">
        <f t="shared" si="14"/>
        <v>0</v>
      </c>
    </row>
    <row r="137" spans="1:56" x14ac:dyDescent="0.25">
      <c r="A137" s="388">
        <v>119</v>
      </c>
      <c r="B137" s="83" t="s">
        <v>495</v>
      </c>
      <c r="C137" s="389">
        <f t="shared" si="13"/>
        <v>0</v>
      </c>
      <c r="D137" s="389">
        <v>0</v>
      </c>
      <c r="E137" s="389">
        <v>0</v>
      </c>
      <c r="F137" s="389">
        <v>0</v>
      </c>
      <c r="G137" s="389">
        <v>0</v>
      </c>
      <c r="H137" s="389">
        <v>0</v>
      </c>
      <c r="I137" s="389">
        <v>0</v>
      </c>
      <c r="J137" s="389">
        <v>0</v>
      </c>
      <c r="K137" s="389">
        <v>0</v>
      </c>
      <c r="L137" s="389">
        <v>0</v>
      </c>
      <c r="M137" s="389">
        <v>0</v>
      </c>
      <c r="N137" s="389">
        <v>0</v>
      </c>
      <c r="O137" s="389">
        <v>0</v>
      </c>
      <c r="P137" s="389">
        <v>0</v>
      </c>
      <c r="Q137" s="389">
        <v>0</v>
      </c>
      <c r="R137" s="389">
        <v>0</v>
      </c>
      <c r="S137" s="389">
        <v>0</v>
      </c>
      <c r="T137" s="389">
        <v>0</v>
      </c>
      <c r="U137" s="386">
        <v>0</v>
      </c>
      <c r="V137" s="390">
        <f t="shared" si="9"/>
        <v>0</v>
      </c>
      <c r="W137" s="386">
        <v>0</v>
      </c>
      <c r="X137" s="386">
        <v>0</v>
      </c>
      <c r="Y137" s="386">
        <f t="shared" si="10"/>
        <v>0</v>
      </c>
      <c r="Z137" s="386">
        <f t="shared" si="10"/>
        <v>0</v>
      </c>
      <c r="AA137" s="386">
        <v>0</v>
      </c>
      <c r="AB137" s="390">
        <f t="shared" si="11"/>
        <v>0</v>
      </c>
      <c r="AC137" s="386">
        <v>0</v>
      </c>
      <c r="AD137" s="390">
        <f t="shared" si="12"/>
        <v>0</v>
      </c>
      <c r="AE137" s="386">
        <v>0</v>
      </c>
      <c r="AF137" s="386">
        <v>0</v>
      </c>
      <c r="AG137" s="386">
        <v>0</v>
      </c>
      <c r="AH137" s="386">
        <v>0</v>
      </c>
      <c r="AI137" s="386">
        <v>0</v>
      </c>
      <c r="AJ137" s="386">
        <v>0</v>
      </c>
      <c r="AK137" s="386">
        <v>0</v>
      </c>
      <c r="AL137" s="386">
        <v>0</v>
      </c>
      <c r="AM137" s="386">
        <v>0</v>
      </c>
      <c r="AN137" s="386">
        <v>0</v>
      </c>
      <c r="AO137" s="386">
        <v>0</v>
      </c>
      <c r="AP137" s="386">
        <v>0</v>
      </c>
      <c r="AQ137" s="386">
        <v>0</v>
      </c>
      <c r="AR137" s="386">
        <f t="shared" si="16"/>
        <v>0</v>
      </c>
      <c r="AS137" s="386">
        <f t="shared" si="16"/>
        <v>0</v>
      </c>
      <c r="AT137" s="386">
        <f t="shared" si="16"/>
        <v>0</v>
      </c>
      <c r="AU137" s="386">
        <f t="shared" si="16"/>
        <v>0</v>
      </c>
      <c r="AV137" s="386">
        <f t="shared" si="16"/>
        <v>0</v>
      </c>
      <c r="AW137" s="386">
        <f t="shared" si="16"/>
        <v>0</v>
      </c>
      <c r="AX137" s="386">
        <f t="shared" si="17"/>
        <v>0</v>
      </c>
      <c r="AY137" s="386">
        <f t="shared" si="17"/>
        <v>0</v>
      </c>
      <c r="AZ137" s="386">
        <f t="shared" si="17"/>
        <v>0</v>
      </c>
      <c r="BA137" s="386">
        <f t="shared" si="14"/>
        <v>0</v>
      </c>
      <c r="BB137" s="386">
        <f t="shared" si="14"/>
        <v>0</v>
      </c>
      <c r="BC137" s="386">
        <f t="shared" si="14"/>
        <v>0</v>
      </c>
      <c r="BD137" s="386">
        <f t="shared" si="14"/>
        <v>0</v>
      </c>
    </row>
    <row r="138" spans="1:56" x14ac:dyDescent="0.25">
      <c r="A138" s="388">
        <v>120</v>
      </c>
      <c r="B138" s="352" t="s">
        <v>490</v>
      </c>
      <c r="C138" s="389">
        <f t="shared" si="13"/>
        <v>25</v>
      </c>
      <c r="D138" s="389">
        <v>0</v>
      </c>
      <c r="E138" s="389">
        <v>0</v>
      </c>
      <c r="F138" s="389">
        <v>0</v>
      </c>
      <c r="G138" s="389">
        <v>0</v>
      </c>
      <c r="H138" s="389">
        <v>0</v>
      </c>
      <c r="I138" s="389">
        <v>20</v>
      </c>
      <c r="J138" s="389">
        <v>0</v>
      </c>
      <c r="K138" s="389">
        <v>0</v>
      </c>
      <c r="L138" s="389">
        <v>0</v>
      </c>
      <c r="M138" s="389">
        <v>0</v>
      </c>
      <c r="N138" s="389">
        <v>0</v>
      </c>
      <c r="O138" s="389">
        <v>5</v>
      </c>
      <c r="P138" s="389">
        <v>0</v>
      </c>
      <c r="Q138" s="389">
        <v>0</v>
      </c>
      <c r="R138" s="389">
        <v>0</v>
      </c>
      <c r="S138" s="389">
        <v>0</v>
      </c>
      <c r="T138" s="389">
        <v>0</v>
      </c>
      <c r="U138" s="386">
        <v>25</v>
      </c>
      <c r="V138" s="390">
        <f t="shared" si="9"/>
        <v>0</v>
      </c>
      <c r="W138" s="386">
        <v>0</v>
      </c>
      <c r="X138" s="386">
        <v>0</v>
      </c>
      <c r="Y138" s="386">
        <f t="shared" si="10"/>
        <v>0</v>
      </c>
      <c r="Z138" s="386">
        <f t="shared" si="10"/>
        <v>0</v>
      </c>
      <c r="AA138" s="386">
        <v>0</v>
      </c>
      <c r="AB138" s="390">
        <f t="shared" si="11"/>
        <v>0</v>
      </c>
      <c r="AC138" s="386">
        <v>0</v>
      </c>
      <c r="AD138" s="390">
        <f t="shared" si="12"/>
        <v>0</v>
      </c>
      <c r="AE138" s="386">
        <v>0</v>
      </c>
      <c r="AF138" s="386">
        <v>20</v>
      </c>
      <c r="AG138" s="386">
        <v>0</v>
      </c>
      <c r="AH138" s="386">
        <v>0</v>
      </c>
      <c r="AI138" s="386">
        <v>0</v>
      </c>
      <c r="AJ138" s="386">
        <v>0</v>
      </c>
      <c r="AK138" s="386">
        <v>0</v>
      </c>
      <c r="AL138" s="386">
        <v>5</v>
      </c>
      <c r="AM138" s="386">
        <v>0</v>
      </c>
      <c r="AN138" s="386">
        <v>0</v>
      </c>
      <c r="AO138" s="386">
        <v>0</v>
      </c>
      <c r="AP138" s="386">
        <v>0</v>
      </c>
      <c r="AQ138" s="386">
        <v>0</v>
      </c>
      <c r="AR138" s="386">
        <f t="shared" si="16"/>
        <v>0</v>
      </c>
      <c r="AS138" s="386">
        <f t="shared" si="16"/>
        <v>0</v>
      </c>
      <c r="AT138" s="386">
        <f t="shared" si="16"/>
        <v>0</v>
      </c>
      <c r="AU138" s="386">
        <f t="shared" si="16"/>
        <v>0</v>
      </c>
      <c r="AV138" s="386">
        <f t="shared" si="16"/>
        <v>0</v>
      </c>
      <c r="AW138" s="386">
        <f t="shared" si="16"/>
        <v>0</v>
      </c>
      <c r="AX138" s="386">
        <f t="shared" si="17"/>
        <v>0</v>
      </c>
      <c r="AY138" s="386">
        <f t="shared" si="17"/>
        <v>0</v>
      </c>
      <c r="AZ138" s="386">
        <f t="shared" si="17"/>
        <v>0</v>
      </c>
      <c r="BA138" s="386">
        <f t="shared" si="14"/>
        <v>0</v>
      </c>
      <c r="BB138" s="386">
        <f t="shared" si="14"/>
        <v>0</v>
      </c>
      <c r="BC138" s="386">
        <f t="shared" si="14"/>
        <v>0</v>
      </c>
      <c r="BD138" s="386">
        <f t="shared" si="14"/>
        <v>0</v>
      </c>
    </row>
    <row r="139" spans="1:56" x14ac:dyDescent="0.25">
      <c r="A139" s="388">
        <v>121</v>
      </c>
      <c r="B139" s="358" t="s">
        <v>491</v>
      </c>
      <c r="C139" s="389">
        <f t="shared" si="13"/>
        <v>66</v>
      </c>
      <c r="D139" s="389">
        <v>0</v>
      </c>
      <c r="E139" s="389">
        <v>0</v>
      </c>
      <c r="F139" s="389">
        <v>0</v>
      </c>
      <c r="G139" s="389">
        <v>0</v>
      </c>
      <c r="H139" s="389">
        <v>0</v>
      </c>
      <c r="I139" s="389">
        <v>66</v>
      </c>
      <c r="J139" s="389">
        <v>0</v>
      </c>
      <c r="K139" s="389">
        <v>0</v>
      </c>
      <c r="L139" s="389">
        <v>0</v>
      </c>
      <c r="M139" s="389">
        <v>0</v>
      </c>
      <c r="N139" s="389">
        <v>0</v>
      </c>
      <c r="O139" s="389">
        <v>0</v>
      </c>
      <c r="P139" s="389">
        <v>0</v>
      </c>
      <c r="Q139" s="389">
        <v>0</v>
      </c>
      <c r="R139" s="389">
        <v>0</v>
      </c>
      <c r="S139" s="389">
        <v>0</v>
      </c>
      <c r="T139" s="389">
        <v>0</v>
      </c>
      <c r="U139" s="386">
        <v>66</v>
      </c>
      <c r="V139" s="390">
        <f t="shared" ref="V139:V165" si="18">U139-C139</f>
        <v>0</v>
      </c>
      <c r="W139" s="386">
        <v>0</v>
      </c>
      <c r="X139" s="386">
        <v>0</v>
      </c>
      <c r="Y139" s="386">
        <f t="shared" ref="Y139:Z165" si="19">W139-D139</f>
        <v>0</v>
      </c>
      <c r="Z139" s="386">
        <f t="shared" si="19"/>
        <v>0</v>
      </c>
      <c r="AA139" s="386">
        <v>0</v>
      </c>
      <c r="AB139" s="390">
        <f t="shared" ref="AB139:AB165" si="20">AA139-F139</f>
        <v>0</v>
      </c>
      <c r="AC139" s="386">
        <v>0</v>
      </c>
      <c r="AD139" s="390">
        <f t="shared" ref="AD139:AD165" si="21">AC139-G139</f>
        <v>0</v>
      </c>
      <c r="AE139" s="386">
        <v>0</v>
      </c>
      <c r="AF139" s="386">
        <v>66</v>
      </c>
      <c r="AG139" s="386">
        <v>0</v>
      </c>
      <c r="AH139" s="386">
        <v>0</v>
      </c>
      <c r="AI139" s="386">
        <v>0</v>
      </c>
      <c r="AJ139" s="386">
        <v>0</v>
      </c>
      <c r="AK139" s="386">
        <v>0</v>
      </c>
      <c r="AL139" s="386">
        <v>0</v>
      </c>
      <c r="AM139" s="386">
        <v>0</v>
      </c>
      <c r="AN139" s="386">
        <v>0</v>
      </c>
      <c r="AO139" s="386">
        <v>0</v>
      </c>
      <c r="AP139" s="386">
        <v>0</v>
      </c>
      <c r="AQ139" s="386">
        <v>0</v>
      </c>
      <c r="AR139" s="386">
        <f t="shared" si="16"/>
        <v>0</v>
      </c>
      <c r="AS139" s="386">
        <f t="shared" si="16"/>
        <v>0</v>
      </c>
      <c r="AT139" s="386">
        <f t="shared" si="16"/>
        <v>0</v>
      </c>
      <c r="AU139" s="386">
        <f t="shared" si="16"/>
        <v>0</v>
      </c>
      <c r="AV139" s="386">
        <f t="shared" si="16"/>
        <v>0</v>
      </c>
      <c r="AW139" s="386">
        <f t="shared" si="16"/>
        <v>0</v>
      </c>
      <c r="AX139" s="386">
        <f t="shared" si="17"/>
        <v>0</v>
      </c>
      <c r="AY139" s="386">
        <f t="shared" si="17"/>
        <v>0</v>
      </c>
      <c r="AZ139" s="386">
        <f t="shared" si="17"/>
        <v>0</v>
      </c>
      <c r="BA139" s="386">
        <f t="shared" si="14"/>
        <v>0</v>
      </c>
      <c r="BB139" s="386">
        <f t="shared" si="14"/>
        <v>0</v>
      </c>
      <c r="BC139" s="386">
        <f t="shared" si="14"/>
        <v>0</v>
      </c>
      <c r="BD139" s="386">
        <f t="shared" si="14"/>
        <v>0</v>
      </c>
    </row>
    <row r="140" spans="1:56" x14ac:dyDescent="0.25">
      <c r="A140" s="388">
        <v>122</v>
      </c>
      <c r="B140" s="358" t="s">
        <v>73</v>
      </c>
      <c r="C140" s="389">
        <f t="shared" si="13"/>
        <v>219</v>
      </c>
      <c r="D140" s="389">
        <v>0</v>
      </c>
      <c r="E140" s="389">
        <v>0</v>
      </c>
      <c r="F140" s="389">
        <v>0</v>
      </c>
      <c r="G140" s="389">
        <v>0</v>
      </c>
      <c r="H140" s="389">
        <v>0</v>
      </c>
      <c r="I140" s="389">
        <v>219</v>
      </c>
      <c r="J140" s="389">
        <v>0</v>
      </c>
      <c r="K140" s="389">
        <v>0</v>
      </c>
      <c r="L140" s="389">
        <v>0</v>
      </c>
      <c r="M140" s="389">
        <v>0</v>
      </c>
      <c r="N140" s="389">
        <v>0</v>
      </c>
      <c r="O140" s="389">
        <v>0</v>
      </c>
      <c r="P140" s="389">
        <v>0</v>
      </c>
      <c r="Q140" s="389">
        <v>0</v>
      </c>
      <c r="R140" s="389">
        <v>0</v>
      </c>
      <c r="S140" s="389">
        <v>0</v>
      </c>
      <c r="T140" s="389">
        <v>0</v>
      </c>
      <c r="U140" s="386">
        <v>219</v>
      </c>
      <c r="V140" s="390">
        <f t="shared" si="18"/>
        <v>0</v>
      </c>
      <c r="W140" s="386">
        <v>0</v>
      </c>
      <c r="X140" s="386">
        <v>0</v>
      </c>
      <c r="Y140" s="386">
        <f t="shared" si="19"/>
        <v>0</v>
      </c>
      <c r="Z140" s="386">
        <f t="shared" si="19"/>
        <v>0</v>
      </c>
      <c r="AA140" s="386">
        <v>0</v>
      </c>
      <c r="AB140" s="390">
        <f t="shared" si="20"/>
        <v>0</v>
      </c>
      <c r="AC140" s="386">
        <v>0</v>
      </c>
      <c r="AD140" s="390">
        <f t="shared" si="21"/>
        <v>0</v>
      </c>
      <c r="AE140" s="386">
        <v>0</v>
      </c>
      <c r="AF140" s="386">
        <v>219</v>
      </c>
      <c r="AG140" s="386">
        <v>0</v>
      </c>
      <c r="AH140" s="386">
        <v>0</v>
      </c>
      <c r="AI140" s="386">
        <v>0</v>
      </c>
      <c r="AJ140" s="386">
        <v>0</v>
      </c>
      <c r="AK140" s="386">
        <v>0</v>
      </c>
      <c r="AL140" s="386">
        <v>0</v>
      </c>
      <c r="AM140" s="386">
        <v>0</v>
      </c>
      <c r="AN140" s="386">
        <v>0</v>
      </c>
      <c r="AO140" s="386">
        <v>0</v>
      </c>
      <c r="AP140" s="386">
        <v>0</v>
      </c>
      <c r="AQ140" s="386">
        <v>0</v>
      </c>
      <c r="AR140" s="386">
        <f t="shared" si="16"/>
        <v>0</v>
      </c>
      <c r="AS140" s="386">
        <f t="shared" si="16"/>
        <v>0</v>
      </c>
      <c r="AT140" s="386">
        <f t="shared" si="16"/>
        <v>0</v>
      </c>
      <c r="AU140" s="386">
        <f t="shared" si="16"/>
        <v>0</v>
      </c>
      <c r="AV140" s="386">
        <f t="shared" si="16"/>
        <v>0</v>
      </c>
      <c r="AW140" s="386">
        <f t="shared" si="16"/>
        <v>0</v>
      </c>
      <c r="AX140" s="386">
        <f t="shared" si="17"/>
        <v>0</v>
      </c>
      <c r="AY140" s="386">
        <f t="shared" si="17"/>
        <v>0</v>
      </c>
      <c r="AZ140" s="386">
        <f t="shared" si="17"/>
        <v>0</v>
      </c>
      <c r="BA140" s="386">
        <f t="shared" si="14"/>
        <v>0</v>
      </c>
      <c r="BB140" s="386">
        <f t="shared" si="14"/>
        <v>0</v>
      </c>
      <c r="BC140" s="386">
        <f t="shared" si="14"/>
        <v>0</v>
      </c>
      <c r="BD140" s="386">
        <f t="shared" si="14"/>
        <v>0</v>
      </c>
    </row>
    <row r="141" spans="1:56" ht="25.5" x14ac:dyDescent="0.25">
      <c r="A141" s="388">
        <v>123</v>
      </c>
      <c r="B141" s="358" t="s">
        <v>498</v>
      </c>
      <c r="C141" s="389">
        <f t="shared" si="13"/>
        <v>8</v>
      </c>
      <c r="D141" s="389">
        <v>0</v>
      </c>
      <c r="E141" s="389">
        <v>0</v>
      </c>
      <c r="F141" s="389">
        <v>0</v>
      </c>
      <c r="G141" s="389">
        <v>0</v>
      </c>
      <c r="H141" s="389">
        <v>0</v>
      </c>
      <c r="I141" s="389">
        <v>8</v>
      </c>
      <c r="J141" s="389">
        <v>0</v>
      </c>
      <c r="K141" s="389">
        <v>0</v>
      </c>
      <c r="L141" s="389">
        <v>0</v>
      </c>
      <c r="M141" s="389">
        <v>0</v>
      </c>
      <c r="N141" s="389">
        <v>0</v>
      </c>
      <c r="O141" s="389">
        <v>0</v>
      </c>
      <c r="P141" s="389">
        <v>0</v>
      </c>
      <c r="Q141" s="389">
        <v>0</v>
      </c>
      <c r="R141" s="389">
        <v>0</v>
      </c>
      <c r="S141" s="389">
        <v>0</v>
      </c>
      <c r="T141" s="389">
        <v>0</v>
      </c>
      <c r="U141" s="386">
        <v>8</v>
      </c>
      <c r="V141" s="390">
        <f t="shared" si="18"/>
        <v>0</v>
      </c>
      <c r="W141" s="386">
        <v>0</v>
      </c>
      <c r="X141" s="386">
        <v>0</v>
      </c>
      <c r="Y141" s="386">
        <f t="shared" si="19"/>
        <v>0</v>
      </c>
      <c r="Z141" s="386">
        <f t="shared" si="19"/>
        <v>0</v>
      </c>
      <c r="AA141" s="386">
        <v>0</v>
      </c>
      <c r="AB141" s="390">
        <f t="shared" si="20"/>
        <v>0</v>
      </c>
      <c r="AC141" s="386">
        <v>0</v>
      </c>
      <c r="AD141" s="390">
        <f t="shared" si="21"/>
        <v>0</v>
      </c>
      <c r="AE141" s="386">
        <v>0</v>
      </c>
      <c r="AF141" s="386">
        <v>8</v>
      </c>
      <c r="AG141" s="386">
        <v>0</v>
      </c>
      <c r="AH141" s="386">
        <v>0</v>
      </c>
      <c r="AI141" s="386">
        <v>0</v>
      </c>
      <c r="AJ141" s="386">
        <v>0</v>
      </c>
      <c r="AK141" s="386">
        <v>0</v>
      </c>
      <c r="AL141" s="386">
        <v>0</v>
      </c>
      <c r="AM141" s="386">
        <v>0</v>
      </c>
      <c r="AN141" s="386">
        <v>0</v>
      </c>
      <c r="AO141" s="386">
        <v>0</v>
      </c>
      <c r="AP141" s="386">
        <v>0</v>
      </c>
      <c r="AQ141" s="386">
        <v>0</v>
      </c>
      <c r="AR141" s="386">
        <f t="shared" si="16"/>
        <v>0</v>
      </c>
      <c r="AS141" s="386">
        <f t="shared" si="16"/>
        <v>0</v>
      </c>
      <c r="AT141" s="386">
        <f t="shared" si="16"/>
        <v>0</v>
      </c>
      <c r="AU141" s="386">
        <f t="shared" si="16"/>
        <v>0</v>
      </c>
      <c r="AV141" s="386">
        <f t="shared" si="16"/>
        <v>0</v>
      </c>
      <c r="AW141" s="386">
        <f t="shared" si="16"/>
        <v>0</v>
      </c>
      <c r="AX141" s="386">
        <f t="shared" si="17"/>
        <v>0</v>
      </c>
      <c r="AY141" s="386">
        <f t="shared" si="17"/>
        <v>0</v>
      </c>
      <c r="AZ141" s="386">
        <f t="shared" si="17"/>
        <v>0</v>
      </c>
      <c r="BA141" s="386">
        <f t="shared" si="14"/>
        <v>0</v>
      </c>
      <c r="BB141" s="386">
        <f t="shared" si="14"/>
        <v>0</v>
      </c>
      <c r="BC141" s="386">
        <f t="shared" si="14"/>
        <v>0</v>
      </c>
      <c r="BD141" s="386">
        <f t="shared" si="14"/>
        <v>0</v>
      </c>
    </row>
    <row r="142" spans="1:56" ht="25.5" x14ac:dyDescent="0.25">
      <c r="A142" s="388">
        <v>124</v>
      </c>
      <c r="B142" s="358" t="s">
        <v>499</v>
      </c>
      <c r="C142" s="389">
        <f t="shared" ref="C142:C164" si="22">D142+E142+F142+G142+H142+I142+J142+K142+L142+M142+N142+P142+Q142+R142+S142+T142+O142</f>
        <v>8</v>
      </c>
      <c r="D142" s="389">
        <v>0</v>
      </c>
      <c r="E142" s="389">
        <v>0</v>
      </c>
      <c r="F142" s="389">
        <v>0</v>
      </c>
      <c r="G142" s="389">
        <v>0</v>
      </c>
      <c r="H142" s="389">
        <v>0</v>
      </c>
      <c r="I142" s="389">
        <v>8</v>
      </c>
      <c r="J142" s="389">
        <v>0</v>
      </c>
      <c r="K142" s="389">
        <v>0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6">
        <v>8</v>
      </c>
      <c r="V142" s="390">
        <f t="shared" si="18"/>
        <v>0</v>
      </c>
      <c r="W142" s="386">
        <v>0</v>
      </c>
      <c r="X142" s="386">
        <v>0</v>
      </c>
      <c r="Y142" s="386">
        <f t="shared" si="19"/>
        <v>0</v>
      </c>
      <c r="Z142" s="386">
        <f t="shared" si="19"/>
        <v>0</v>
      </c>
      <c r="AA142" s="386">
        <v>0</v>
      </c>
      <c r="AB142" s="390">
        <f t="shared" si="20"/>
        <v>0</v>
      </c>
      <c r="AC142" s="386">
        <v>0</v>
      </c>
      <c r="AD142" s="390">
        <f t="shared" si="21"/>
        <v>0</v>
      </c>
      <c r="AE142" s="386">
        <v>0</v>
      </c>
      <c r="AF142" s="386">
        <v>8</v>
      </c>
      <c r="AG142" s="386">
        <v>0</v>
      </c>
      <c r="AH142" s="386">
        <v>0</v>
      </c>
      <c r="AI142" s="386">
        <v>0</v>
      </c>
      <c r="AJ142" s="386">
        <v>0</v>
      </c>
      <c r="AK142" s="386">
        <v>0</v>
      </c>
      <c r="AL142" s="386">
        <v>0</v>
      </c>
      <c r="AM142" s="386">
        <v>0</v>
      </c>
      <c r="AN142" s="386">
        <v>0</v>
      </c>
      <c r="AO142" s="386">
        <v>0</v>
      </c>
      <c r="AP142" s="386">
        <v>0</v>
      </c>
      <c r="AQ142" s="386">
        <v>0</v>
      </c>
      <c r="AR142" s="386">
        <f t="shared" si="16"/>
        <v>0</v>
      </c>
      <c r="AS142" s="386">
        <f t="shared" si="16"/>
        <v>0</v>
      </c>
      <c r="AT142" s="386">
        <f t="shared" si="16"/>
        <v>0</v>
      </c>
      <c r="AU142" s="386">
        <f t="shared" si="16"/>
        <v>0</v>
      </c>
      <c r="AV142" s="386">
        <f t="shared" si="16"/>
        <v>0</v>
      </c>
      <c r="AW142" s="386">
        <f t="shared" si="16"/>
        <v>0</v>
      </c>
      <c r="AX142" s="386">
        <f t="shared" si="17"/>
        <v>0</v>
      </c>
      <c r="AY142" s="386">
        <f t="shared" si="17"/>
        <v>0</v>
      </c>
      <c r="AZ142" s="386">
        <f t="shared" si="17"/>
        <v>0</v>
      </c>
      <c r="BA142" s="386">
        <f t="shared" si="14"/>
        <v>0</v>
      </c>
      <c r="BB142" s="386">
        <f t="shared" si="14"/>
        <v>0</v>
      </c>
      <c r="BC142" s="386">
        <f t="shared" si="14"/>
        <v>0</v>
      </c>
      <c r="BD142" s="386">
        <f t="shared" si="14"/>
        <v>0</v>
      </c>
    </row>
    <row r="143" spans="1:56" ht="25.5" x14ac:dyDescent="0.25">
      <c r="A143" s="388">
        <v>125</v>
      </c>
      <c r="B143" s="358" t="s">
        <v>500</v>
      </c>
      <c r="C143" s="389">
        <f t="shared" si="22"/>
        <v>8</v>
      </c>
      <c r="D143" s="389">
        <v>0</v>
      </c>
      <c r="E143" s="389">
        <v>0</v>
      </c>
      <c r="F143" s="389">
        <v>0</v>
      </c>
      <c r="G143" s="389">
        <v>0</v>
      </c>
      <c r="H143" s="389">
        <v>0</v>
      </c>
      <c r="I143" s="389">
        <v>8</v>
      </c>
      <c r="J143" s="389">
        <v>0</v>
      </c>
      <c r="K143" s="389">
        <v>0</v>
      </c>
      <c r="L143" s="389">
        <v>0</v>
      </c>
      <c r="M143" s="389">
        <v>0</v>
      </c>
      <c r="N143" s="389">
        <v>0</v>
      </c>
      <c r="O143" s="389">
        <v>0</v>
      </c>
      <c r="P143" s="389">
        <v>0</v>
      </c>
      <c r="Q143" s="389">
        <v>0</v>
      </c>
      <c r="R143" s="389">
        <v>0</v>
      </c>
      <c r="S143" s="389">
        <v>0</v>
      </c>
      <c r="T143" s="389">
        <v>0</v>
      </c>
      <c r="U143" s="386">
        <v>8</v>
      </c>
      <c r="V143" s="390">
        <f t="shared" si="18"/>
        <v>0</v>
      </c>
      <c r="W143" s="386">
        <v>0</v>
      </c>
      <c r="X143" s="386">
        <v>0</v>
      </c>
      <c r="Y143" s="386">
        <f t="shared" si="19"/>
        <v>0</v>
      </c>
      <c r="Z143" s="386">
        <f t="shared" si="19"/>
        <v>0</v>
      </c>
      <c r="AA143" s="386">
        <v>0</v>
      </c>
      <c r="AB143" s="390">
        <f t="shared" si="20"/>
        <v>0</v>
      </c>
      <c r="AC143" s="386">
        <v>0</v>
      </c>
      <c r="AD143" s="390">
        <f t="shared" si="21"/>
        <v>0</v>
      </c>
      <c r="AE143" s="386">
        <v>0</v>
      </c>
      <c r="AF143" s="386">
        <v>8</v>
      </c>
      <c r="AG143" s="386">
        <v>0</v>
      </c>
      <c r="AH143" s="386">
        <v>0</v>
      </c>
      <c r="AI143" s="386">
        <v>0</v>
      </c>
      <c r="AJ143" s="386">
        <v>0</v>
      </c>
      <c r="AK143" s="386">
        <v>0</v>
      </c>
      <c r="AL143" s="386">
        <v>0</v>
      </c>
      <c r="AM143" s="386">
        <v>0</v>
      </c>
      <c r="AN143" s="386">
        <v>0</v>
      </c>
      <c r="AO143" s="386">
        <v>0</v>
      </c>
      <c r="AP143" s="386">
        <v>0</v>
      </c>
      <c r="AQ143" s="386">
        <v>0</v>
      </c>
      <c r="AR143" s="386">
        <f t="shared" si="16"/>
        <v>0</v>
      </c>
      <c r="AS143" s="386">
        <f t="shared" si="16"/>
        <v>0</v>
      </c>
      <c r="AT143" s="386">
        <f t="shared" si="16"/>
        <v>0</v>
      </c>
      <c r="AU143" s="386">
        <f t="shared" si="16"/>
        <v>0</v>
      </c>
      <c r="AV143" s="386">
        <f t="shared" si="16"/>
        <v>0</v>
      </c>
      <c r="AW143" s="386">
        <f t="shared" si="16"/>
        <v>0</v>
      </c>
      <c r="AX143" s="386">
        <f t="shared" si="17"/>
        <v>0</v>
      </c>
      <c r="AY143" s="386">
        <f t="shared" si="17"/>
        <v>0</v>
      </c>
      <c r="AZ143" s="386">
        <f t="shared" si="17"/>
        <v>0</v>
      </c>
      <c r="BA143" s="386">
        <f t="shared" si="14"/>
        <v>0</v>
      </c>
      <c r="BB143" s="386">
        <f t="shared" si="14"/>
        <v>0</v>
      </c>
      <c r="BC143" s="386">
        <f t="shared" si="14"/>
        <v>0</v>
      </c>
      <c r="BD143" s="386">
        <f t="shared" ref="BD143:BD165" si="23">AQ143-T143</f>
        <v>0</v>
      </c>
    </row>
    <row r="144" spans="1:56" x14ac:dyDescent="0.25">
      <c r="A144" s="388">
        <v>126</v>
      </c>
      <c r="B144" s="358" t="s">
        <v>74</v>
      </c>
      <c r="C144" s="389">
        <f t="shared" si="22"/>
        <v>217195</v>
      </c>
      <c r="D144" s="389">
        <v>0</v>
      </c>
      <c r="E144" s="389">
        <v>0</v>
      </c>
      <c r="F144" s="389">
        <v>0</v>
      </c>
      <c r="G144" s="389">
        <v>0</v>
      </c>
      <c r="H144" s="389">
        <v>0</v>
      </c>
      <c r="I144" s="389">
        <v>0</v>
      </c>
      <c r="J144" s="389">
        <v>0</v>
      </c>
      <c r="K144" s="389">
        <v>0</v>
      </c>
      <c r="L144" s="389">
        <v>0</v>
      </c>
      <c r="M144" s="389">
        <v>0</v>
      </c>
      <c r="N144" s="389">
        <v>217195</v>
      </c>
      <c r="O144" s="389">
        <v>0</v>
      </c>
      <c r="P144" s="389">
        <v>0</v>
      </c>
      <c r="Q144" s="389">
        <v>0</v>
      </c>
      <c r="R144" s="389">
        <v>0</v>
      </c>
      <c r="S144" s="389">
        <v>0</v>
      </c>
      <c r="T144" s="389">
        <v>0</v>
      </c>
      <c r="U144" s="386">
        <v>217195</v>
      </c>
      <c r="V144" s="390">
        <f t="shared" si="18"/>
        <v>0</v>
      </c>
      <c r="W144" s="386">
        <v>0</v>
      </c>
      <c r="X144" s="386">
        <v>0</v>
      </c>
      <c r="Y144" s="386">
        <f t="shared" si="19"/>
        <v>0</v>
      </c>
      <c r="Z144" s="386">
        <f t="shared" si="19"/>
        <v>0</v>
      </c>
      <c r="AA144" s="386">
        <v>0</v>
      </c>
      <c r="AB144" s="390">
        <f t="shared" si="20"/>
        <v>0</v>
      </c>
      <c r="AC144" s="386">
        <v>0</v>
      </c>
      <c r="AD144" s="390">
        <f t="shared" si="21"/>
        <v>0</v>
      </c>
      <c r="AE144" s="386">
        <v>0</v>
      </c>
      <c r="AF144" s="386">
        <v>0</v>
      </c>
      <c r="AG144" s="386">
        <v>0</v>
      </c>
      <c r="AH144" s="386">
        <v>0</v>
      </c>
      <c r="AI144" s="386">
        <v>0</v>
      </c>
      <c r="AJ144" s="386">
        <v>0</v>
      </c>
      <c r="AK144" s="386">
        <v>217195</v>
      </c>
      <c r="AL144" s="386">
        <v>0</v>
      </c>
      <c r="AM144" s="386">
        <v>0</v>
      </c>
      <c r="AN144" s="386">
        <v>0</v>
      </c>
      <c r="AO144" s="386">
        <v>0</v>
      </c>
      <c r="AP144" s="386">
        <v>0</v>
      </c>
      <c r="AQ144" s="386">
        <v>0</v>
      </c>
      <c r="AR144" s="386">
        <f t="shared" si="16"/>
        <v>0</v>
      </c>
      <c r="AS144" s="386">
        <f t="shared" si="16"/>
        <v>0</v>
      </c>
      <c r="AT144" s="386">
        <f t="shared" si="16"/>
        <v>0</v>
      </c>
      <c r="AU144" s="386">
        <f t="shared" si="16"/>
        <v>0</v>
      </c>
      <c r="AV144" s="386">
        <f t="shared" si="16"/>
        <v>0</v>
      </c>
      <c r="AW144" s="386">
        <f t="shared" si="16"/>
        <v>0</v>
      </c>
      <c r="AX144" s="386">
        <f t="shared" si="17"/>
        <v>0</v>
      </c>
      <c r="AY144" s="386">
        <f t="shared" si="17"/>
        <v>0</v>
      </c>
      <c r="AZ144" s="386">
        <f t="shared" si="17"/>
        <v>0</v>
      </c>
      <c r="BA144" s="386">
        <f t="shared" si="17"/>
        <v>0</v>
      </c>
      <c r="BB144" s="386">
        <f t="shared" si="17"/>
        <v>0</v>
      </c>
      <c r="BC144" s="386">
        <f t="shared" si="17"/>
        <v>0</v>
      </c>
      <c r="BD144" s="386">
        <f t="shared" si="23"/>
        <v>0</v>
      </c>
    </row>
    <row r="145" spans="1:56" x14ac:dyDescent="0.25">
      <c r="A145" s="388">
        <v>127</v>
      </c>
      <c r="B145" s="358" t="s">
        <v>79</v>
      </c>
      <c r="C145" s="389">
        <f t="shared" si="22"/>
        <v>130000</v>
      </c>
      <c r="D145" s="389">
        <v>0</v>
      </c>
      <c r="E145" s="389">
        <v>0</v>
      </c>
      <c r="F145" s="389">
        <v>0</v>
      </c>
      <c r="G145" s="389">
        <v>0</v>
      </c>
      <c r="H145" s="389">
        <v>0</v>
      </c>
      <c r="I145" s="389">
        <v>0</v>
      </c>
      <c r="J145" s="389">
        <v>0</v>
      </c>
      <c r="K145" s="389">
        <v>0</v>
      </c>
      <c r="L145" s="389">
        <v>0</v>
      </c>
      <c r="M145" s="389">
        <v>0</v>
      </c>
      <c r="N145" s="389">
        <v>130000</v>
      </c>
      <c r="O145" s="389">
        <v>0</v>
      </c>
      <c r="P145" s="389">
        <v>0</v>
      </c>
      <c r="Q145" s="389">
        <v>0</v>
      </c>
      <c r="R145" s="389">
        <v>0</v>
      </c>
      <c r="S145" s="389">
        <v>0</v>
      </c>
      <c r="T145" s="389">
        <v>0</v>
      </c>
      <c r="U145" s="386">
        <v>130000</v>
      </c>
      <c r="V145" s="390">
        <f t="shared" si="18"/>
        <v>0</v>
      </c>
      <c r="W145" s="386">
        <v>0</v>
      </c>
      <c r="X145" s="386">
        <v>0</v>
      </c>
      <c r="Y145" s="386">
        <f t="shared" si="19"/>
        <v>0</v>
      </c>
      <c r="Z145" s="386">
        <f t="shared" si="19"/>
        <v>0</v>
      </c>
      <c r="AA145" s="386">
        <v>0</v>
      </c>
      <c r="AB145" s="390">
        <f t="shared" si="20"/>
        <v>0</v>
      </c>
      <c r="AC145" s="386">
        <v>0</v>
      </c>
      <c r="AD145" s="390">
        <f t="shared" si="21"/>
        <v>0</v>
      </c>
      <c r="AE145" s="386">
        <v>0</v>
      </c>
      <c r="AF145" s="386">
        <v>0</v>
      </c>
      <c r="AG145" s="386">
        <v>0</v>
      </c>
      <c r="AH145" s="386">
        <v>0</v>
      </c>
      <c r="AI145" s="386">
        <v>0</v>
      </c>
      <c r="AJ145" s="386">
        <v>0</v>
      </c>
      <c r="AK145" s="386">
        <v>130000</v>
      </c>
      <c r="AL145" s="386">
        <v>0</v>
      </c>
      <c r="AM145" s="386">
        <v>0</v>
      </c>
      <c r="AN145" s="386">
        <v>0</v>
      </c>
      <c r="AO145" s="386">
        <v>0</v>
      </c>
      <c r="AP145" s="386">
        <v>0</v>
      </c>
      <c r="AQ145" s="386">
        <v>0</v>
      </c>
      <c r="AR145" s="386">
        <f t="shared" si="16"/>
        <v>0</v>
      </c>
      <c r="AS145" s="386">
        <f t="shared" si="16"/>
        <v>0</v>
      </c>
      <c r="AT145" s="386">
        <f t="shared" si="16"/>
        <v>0</v>
      </c>
      <c r="AU145" s="386">
        <f t="shared" si="16"/>
        <v>0</v>
      </c>
      <c r="AV145" s="386">
        <f t="shared" si="16"/>
        <v>0</v>
      </c>
      <c r="AW145" s="386">
        <f t="shared" si="16"/>
        <v>0</v>
      </c>
      <c r="AX145" s="386">
        <f t="shared" si="17"/>
        <v>0</v>
      </c>
      <c r="AY145" s="386">
        <f t="shared" si="17"/>
        <v>0</v>
      </c>
      <c r="AZ145" s="386">
        <f t="shared" si="17"/>
        <v>0</v>
      </c>
      <c r="BA145" s="386">
        <f t="shared" si="17"/>
        <v>0</v>
      </c>
      <c r="BB145" s="386">
        <f t="shared" si="17"/>
        <v>0</v>
      </c>
      <c r="BC145" s="386">
        <f t="shared" si="17"/>
        <v>0</v>
      </c>
      <c r="BD145" s="386">
        <f t="shared" si="23"/>
        <v>0</v>
      </c>
    </row>
    <row r="146" spans="1:56" x14ac:dyDescent="0.25">
      <c r="A146" s="388">
        <v>128</v>
      </c>
      <c r="B146" s="358" t="s">
        <v>80</v>
      </c>
      <c r="C146" s="389">
        <f t="shared" si="22"/>
        <v>85000</v>
      </c>
      <c r="D146" s="389">
        <v>0</v>
      </c>
      <c r="E146" s="389">
        <v>0</v>
      </c>
      <c r="F146" s="389">
        <v>0</v>
      </c>
      <c r="G146" s="389">
        <v>0</v>
      </c>
      <c r="H146" s="389">
        <v>0</v>
      </c>
      <c r="I146" s="389">
        <v>0</v>
      </c>
      <c r="J146" s="389">
        <v>0</v>
      </c>
      <c r="K146" s="389">
        <v>0</v>
      </c>
      <c r="L146" s="389">
        <v>0</v>
      </c>
      <c r="M146" s="389">
        <v>0</v>
      </c>
      <c r="N146" s="389">
        <v>85000</v>
      </c>
      <c r="O146" s="389">
        <v>0</v>
      </c>
      <c r="P146" s="389">
        <v>0</v>
      </c>
      <c r="Q146" s="389">
        <v>0</v>
      </c>
      <c r="R146" s="389">
        <v>0</v>
      </c>
      <c r="S146" s="389">
        <v>0</v>
      </c>
      <c r="T146" s="389">
        <v>0</v>
      </c>
      <c r="U146" s="386">
        <v>85000</v>
      </c>
      <c r="V146" s="390">
        <f t="shared" si="18"/>
        <v>0</v>
      </c>
      <c r="W146" s="386">
        <v>0</v>
      </c>
      <c r="X146" s="386">
        <v>0</v>
      </c>
      <c r="Y146" s="386">
        <f t="shared" si="19"/>
        <v>0</v>
      </c>
      <c r="Z146" s="386">
        <f t="shared" si="19"/>
        <v>0</v>
      </c>
      <c r="AA146" s="386">
        <v>0</v>
      </c>
      <c r="AB146" s="390">
        <f t="shared" si="20"/>
        <v>0</v>
      </c>
      <c r="AC146" s="386">
        <v>0</v>
      </c>
      <c r="AD146" s="390">
        <f t="shared" si="21"/>
        <v>0</v>
      </c>
      <c r="AE146" s="386">
        <v>0</v>
      </c>
      <c r="AF146" s="386">
        <v>0</v>
      </c>
      <c r="AG146" s="386">
        <v>0</v>
      </c>
      <c r="AH146" s="386">
        <v>0</v>
      </c>
      <c r="AI146" s="386">
        <v>0</v>
      </c>
      <c r="AJ146" s="386">
        <v>0</v>
      </c>
      <c r="AK146" s="386">
        <v>85000</v>
      </c>
      <c r="AL146" s="386">
        <v>0</v>
      </c>
      <c r="AM146" s="386">
        <v>0</v>
      </c>
      <c r="AN146" s="386">
        <v>0</v>
      </c>
      <c r="AO146" s="386">
        <v>0</v>
      </c>
      <c r="AP146" s="386">
        <v>0</v>
      </c>
      <c r="AQ146" s="386">
        <v>0</v>
      </c>
      <c r="AR146" s="386">
        <f t="shared" si="16"/>
        <v>0</v>
      </c>
      <c r="AS146" s="386">
        <f t="shared" si="16"/>
        <v>0</v>
      </c>
      <c r="AT146" s="386">
        <f t="shared" si="16"/>
        <v>0</v>
      </c>
      <c r="AU146" s="386">
        <f t="shared" si="16"/>
        <v>0</v>
      </c>
      <c r="AV146" s="386">
        <f t="shared" si="16"/>
        <v>0</v>
      </c>
      <c r="AW146" s="386">
        <f t="shared" si="16"/>
        <v>0</v>
      </c>
      <c r="AX146" s="386">
        <f t="shared" si="17"/>
        <v>0</v>
      </c>
      <c r="AY146" s="386">
        <f t="shared" si="17"/>
        <v>0</v>
      </c>
      <c r="AZ146" s="386">
        <f t="shared" si="17"/>
        <v>0</v>
      </c>
      <c r="BA146" s="386">
        <f t="shared" si="17"/>
        <v>0</v>
      </c>
      <c r="BB146" s="386">
        <f t="shared" si="17"/>
        <v>0</v>
      </c>
      <c r="BC146" s="386">
        <f t="shared" si="17"/>
        <v>0</v>
      </c>
      <c r="BD146" s="386">
        <f t="shared" si="23"/>
        <v>0</v>
      </c>
    </row>
    <row r="147" spans="1:56" x14ac:dyDescent="0.25">
      <c r="A147" s="388">
        <v>129</v>
      </c>
      <c r="B147" s="358" t="s">
        <v>63</v>
      </c>
      <c r="C147" s="389">
        <f t="shared" si="22"/>
        <v>113400</v>
      </c>
      <c r="D147" s="389">
        <v>0</v>
      </c>
      <c r="E147" s="389">
        <v>0</v>
      </c>
      <c r="F147" s="389">
        <v>0</v>
      </c>
      <c r="G147" s="389">
        <v>0</v>
      </c>
      <c r="H147" s="389">
        <v>0</v>
      </c>
      <c r="I147" s="389">
        <v>0</v>
      </c>
      <c r="J147" s="389">
        <v>0</v>
      </c>
      <c r="K147" s="389">
        <v>0</v>
      </c>
      <c r="L147" s="389">
        <v>0</v>
      </c>
      <c r="M147" s="389">
        <v>0</v>
      </c>
      <c r="N147" s="389">
        <v>113400</v>
      </c>
      <c r="O147" s="389">
        <v>0</v>
      </c>
      <c r="P147" s="389">
        <v>0</v>
      </c>
      <c r="Q147" s="389">
        <v>0</v>
      </c>
      <c r="R147" s="389">
        <v>0</v>
      </c>
      <c r="S147" s="389">
        <v>0</v>
      </c>
      <c r="T147" s="389">
        <v>0</v>
      </c>
      <c r="U147" s="386">
        <v>113400</v>
      </c>
      <c r="V147" s="390">
        <f t="shared" si="18"/>
        <v>0</v>
      </c>
      <c r="W147" s="386">
        <v>0</v>
      </c>
      <c r="X147" s="386">
        <v>0</v>
      </c>
      <c r="Y147" s="386">
        <f t="shared" si="19"/>
        <v>0</v>
      </c>
      <c r="Z147" s="386">
        <f t="shared" si="19"/>
        <v>0</v>
      </c>
      <c r="AA147" s="386">
        <v>0</v>
      </c>
      <c r="AB147" s="390">
        <f t="shared" si="20"/>
        <v>0</v>
      </c>
      <c r="AC147" s="386">
        <v>0</v>
      </c>
      <c r="AD147" s="390">
        <f t="shared" si="21"/>
        <v>0</v>
      </c>
      <c r="AE147" s="386">
        <v>0</v>
      </c>
      <c r="AF147" s="386">
        <v>0</v>
      </c>
      <c r="AG147" s="386">
        <v>0</v>
      </c>
      <c r="AH147" s="386">
        <v>0</v>
      </c>
      <c r="AI147" s="386">
        <v>0</v>
      </c>
      <c r="AJ147" s="386">
        <v>0</v>
      </c>
      <c r="AK147" s="386">
        <v>113400</v>
      </c>
      <c r="AL147" s="386">
        <v>0</v>
      </c>
      <c r="AM147" s="386">
        <v>0</v>
      </c>
      <c r="AN147" s="386">
        <v>0</v>
      </c>
      <c r="AO147" s="386">
        <v>0</v>
      </c>
      <c r="AP147" s="386">
        <v>0</v>
      </c>
      <c r="AQ147" s="386">
        <v>0</v>
      </c>
      <c r="AR147" s="386">
        <f t="shared" si="16"/>
        <v>0</v>
      </c>
      <c r="AS147" s="386">
        <f t="shared" si="16"/>
        <v>0</v>
      </c>
      <c r="AT147" s="386">
        <f t="shared" si="16"/>
        <v>0</v>
      </c>
      <c r="AU147" s="386">
        <f t="shared" si="16"/>
        <v>0</v>
      </c>
      <c r="AV147" s="386">
        <f t="shared" si="16"/>
        <v>0</v>
      </c>
      <c r="AW147" s="386">
        <f t="shared" si="16"/>
        <v>0</v>
      </c>
      <c r="AX147" s="386">
        <f t="shared" si="17"/>
        <v>0</v>
      </c>
      <c r="AY147" s="386">
        <f t="shared" si="17"/>
        <v>0</v>
      </c>
      <c r="AZ147" s="386">
        <f t="shared" si="17"/>
        <v>0</v>
      </c>
      <c r="BA147" s="386">
        <f t="shared" si="17"/>
        <v>0</v>
      </c>
      <c r="BB147" s="386">
        <f t="shared" si="17"/>
        <v>0</v>
      </c>
      <c r="BC147" s="386">
        <f t="shared" si="17"/>
        <v>0</v>
      </c>
      <c r="BD147" s="386">
        <f t="shared" si="23"/>
        <v>0</v>
      </c>
    </row>
    <row r="148" spans="1:56" x14ac:dyDescent="0.25">
      <c r="A148" s="388">
        <v>130</v>
      </c>
      <c r="B148" s="358" t="s">
        <v>75</v>
      </c>
      <c r="C148" s="389">
        <f t="shared" si="22"/>
        <v>8000</v>
      </c>
      <c r="D148" s="389">
        <v>0</v>
      </c>
      <c r="E148" s="389">
        <v>0</v>
      </c>
      <c r="F148" s="389">
        <v>0</v>
      </c>
      <c r="G148" s="389">
        <v>0</v>
      </c>
      <c r="H148" s="389">
        <v>0</v>
      </c>
      <c r="I148" s="389">
        <v>0</v>
      </c>
      <c r="J148" s="389">
        <v>0</v>
      </c>
      <c r="K148" s="389">
        <v>0</v>
      </c>
      <c r="L148" s="389">
        <v>0</v>
      </c>
      <c r="M148" s="389">
        <v>0</v>
      </c>
      <c r="N148" s="389">
        <v>8000</v>
      </c>
      <c r="O148" s="389">
        <v>0</v>
      </c>
      <c r="P148" s="389">
        <v>0</v>
      </c>
      <c r="Q148" s="389">
        <v>0</v>
      </c>
      <c r="R148" s="389">
        <v>0</v>
      </c>
      <c r="S148" s="389">
        <v>0</v>
      </c>
      <c r="T148" s="389">
        <v>0</v>
      </c>
      <c r="U148" s="386">
        <v>8000</v>
      </c>
      <c r="V148" s="390">
        <f t="shared" si="18"/>
        <v>0</v>
      </c>
      <c r="W148" s="386">
        <v>0</v>
      </c>
      <c r="X148" s="386">
        <v>0</v>
      </c>
      <c r="Y148" s="386">
        <f t="shared" si="19"/>
        <v>0</v>
      </c>
      <c r="Z148" s="386">
        <f t="shared" si="19"/>
        <v>0</v>
      </c>
      <c r="AA148" s="386">
        <v>0</v>
      </c>
      <c r="AB148" s="390">
        <f t="shared" si="20"/>
        <v>0</v>
      </c>
      <c r="AC148" s="386">
        <v>0</v>
      </c>
      <c r="AD148" s="390">
        <f t="shared" si="21"/>
        <v>0</v>
      </c>
      <c r="AE148" s="386">
        <v>0</v>
      </c>
      <c r="AF148" s="386">
        <v>0</v>
      </c>
      <c r="AG148" s="386">
        <v>0</v>
      </c>
      <c r="AH148" s="386">
        <v>0</v>
      </c>
      <c r="AI148" s="386">
        <v>0</v>
      </c>
      <c r="AJ148" s="386">
        <v>0</v>
      </c>
      <c r="AK148" s="386">
        <v>8000</v>
      </c>
      <c r="AL148" s="386">
        <v>0</v>
      </c>
      <c r="AM148" s="386">
        <v>0</v>
      </c>
      <c r="AN148" s="386">
        <v>0</v>
      </c>
      <c r="AO148" s="386">
        <v>0</v>
      </c>
      <c r="AP148" s="386">
        <v>0</v>
      </c>
      <c r="AQ148" s="386">
        <v>0</v>
      </c>
      <c r="AR148" s="386">
        <f t="shared" si="16"/>
        <v>0</v>
      </c>
      <c r="AS148" s="386">
        <f t="shared" si="16"/>
        <v>0</v>
      </c>
      <c r="AT148" s="386">
        <f t="shared" si="16"/>
        <v>0</v>
      </c>
      <c r="AU148" s="386">
        <f t="shared" si="16"/>
        <v>0</v>
      </c>
      <c r="AV148" s="386">
        <f t="shared" si="16"/>
        <v>0</v>
      </c>
      <c r="AW148" s="386">
        <f t="shared" si="16"/>
        <v>0</v>
      </c>
      <c r="AX148" s="386">
        <f t="shared" si="17"/>
        <v>0</v>
      </c>
      <c r="AY148" s="386">
        <f t="shared" si="17"/>
        <v>0</v>
      </c>
      <c r="AZ148" s="386">
        <f t="shared" si="17"/>
        <v>0</v>
      </c>
      <c r="BA148" s="386">
        <f t="shared" si="17"/>
        <v>0</v>
      </c>
      <c r="BB148" s="386">
        <f t="shared" si="17"/>
        <v>0</v>
      </c>
      <c r="BC148" s="386">
        <f t="shared" si="17"/>
        <v>0</v>
      </c>
      <c r="BD148" s="386">
        <f t="shared" si="23"/>
        <v>0</v>
      </c>
    </row>
    <row r="149" spans="1:56" x14ac:dyDescent="0.25">
      <c r="A149" s="388">
        <v>131</v>
      </c>
      <c r="B149" s="358" t="s">
        <v>137</v>
      </c>
      <c r="C149" s="389">
        <f t="shared" si="22"/>
        <v>65356</v>
      </c>
      <c r="D149" s="389">
        <v>0</v>
      </c>
      <c r="E149" s="389">
        <v>0</v>
      </c>
      <c r="F149" s="389">
        <v>0</v>
      </c>
      <c r="G149" s="389">
        <v>0</v>
      </c>
      <c r="H149" s="389">
        <v>0</v>
      </c>
      <c r="I149" s="389">
        <v>0</v>
      </c>
      <c r="J149" s="389">
        <v>0</v>
      </c>
      <c r="K149" s="389">
        <v>0</v>
      </c>
      <c r="L149" s="389">
        <v>0</v>
      </c>
      <c r="M149" s="389">
        <v>0</v>
      </c>
      <c r="N149" s="389">
        <v>65356</v>
      </c>
      <c r="O149" s="389">
        <v>0</v>
      </c>
      <c r="P149" s="389">
        <v>0</v>
      </c>
      <c r="Q149" s="389">
        <v>0</v>
      </c>
      <c r="R149" s="389">
        <v>0</v>
      </c>
      <c r="S149" s="389">
        <v>0</v>
      </c>
      <c r="T149" s="389">
        <v>0</v>
      </c>
      <c r="U149" s="386">
        <v>65356</v>
      </c>
      <c r="V149" s="390">
        <f t="shared" si="18"/>
        <v>0</v>
      </c>
      <c r="W149" s="386">
        <v>0</v>
      </c>
      <c r="X149" s="386">
        <v>0</v>
      </c>
      <c r="Y149" s="386">
        <f t="shared" si="19"/>
        <v>0</v>
      </c>
      <c r="Z149" s="386">
        <f t="shared" si="19"/>
        <v>0</v>
      </c>
      <c r="AA149" s="386">
        <v>0</v>
      </c>
      <c r="AB149" s="390">
        <f t="shared" si="20"/>
        <v>0</v>
      </c>
      <c r="AC149" s="386">
        <v>0</v>
      </c>
      <c r="AD149" s="390">
        <f t="shared" si="21"/>
        <v>0</v>
      </c>
      <c r="AE149" s="386">
        <v>0</v>
      </c>
      <c r="AF149" s="386">
        <v>0</v>
      </c>
      <c r="AG149" s="386">
        <v>0</v>
      </c>
      <c r="AH149" s="386">
        <v>0</v>
      </c>
      <c r="AI149" s="386">
        <v>0</v>
      </c>
      <c r="AJ149" s="386">
        <v>0</v>
      </c>
      <c r="AK149" s="386">
        <v>65356</v>
      </c>
      <c r="AL149" s="386">
        <v>0</v>
      </c>
      <c r="AM149" s="386">
        <v>0</v>
      </c>
      <c r="AN149" s="386">
        <v>0</v>
      </c>
      <c r="AO149" s="386">
        <v>0</v>
      </c>
      <c r="AP149" s="386">
        <v>0</v>
      </c>
      <c r="AQ149" s="386">
        <v>0</v>
      </c>
      <c r="AR149" s="386">
        <f t="shared" si="16"/>
        <v>0</v>
      </c>
      <c r="AS149" s="386">
        <f t="shared" si="16"/>
        <v>0</v>
      </c>
      <c r="AT149" s="386">
        <f t="shared" si="16"/>
        <v>0</v>
      </c>
      <c r="AU149" s="386">
        <f t="shared" ref="AU149:AW165" si="24">AH149-K149</f>
        <v>0</v>
      </c>
      <c r="AV149" s="386">
        <f t="shared" si="24"/>
        <v>0</v>
      </c>
      <c r="AW149" s="386">
        <f t="shared" si="24"/>
        <v>0</v>
      </c>
      <c r="AX149" s="386">
        <f t="shared" si="17"/>
        <v>0</v>
      </c>
      <c r="AY149" s="386">
        <f t="shared" si="17"/>
        <v>0</v>
      </c>
      <c r="AZ149" s="386">
        <f t="shared" si="17"/>
        <v>0</v>
      </c>
      <c r="BA149" s="386">
        <f t="shared" si="17"/>
        <v>0</v>
      </c>
      <c r="BB149" s="386">
        <f t="shared" si="17"/>
        <v>0</v>
      </c>
      <c r="BC149" s="386">
        <f t="shared" si="17"/>
        <v>0</v>
      </c>
      <c r="BD149" s="386">
        <f t="shared" si="23"/>
        <v>0</v>
      </c>
    </row>
    <row r="150" spans="1:56" x14ac:dyDescent="0.25">
      <c r="A150" s="388">
        <v>132</v>
      </c>
      <c r="B150" s="358" t="s">
        <v>76</v>
      </c>
      <c r="C150" s="389">
        <f t="shared" si="22"/>
        <v>57642</v>
      </c>
      <c r="D150" s="389">
        <v>0</v>
      </c>
      <c r="E150" s="389">
        <v>0</v>
      </c>
      <c r="F150" s="389">
        <v>0</v>
      </c>
      <c r="G150" s="389">
        <v>21500</v>
      </c>
      <c r="H150" s="389">
        <v>0</v>
      </c>
      <c r="I150" s="389">
        <v>22142</v>
      </c>
      <c r="J150" s="389">
        <v>0</v>
      </c>
      <c r="K150" s="389">
        <v>0</v>
      </c>
      <c r="L150" s="389">
        <v>0</v>
      </c>
      <c r="M150" s="389">
        <v>0</v>
      </c>
      <c r="N150" s="389">
        <v>4000</v>
      </c>
      <c r="O150" s="389">
        <v>0</v>
      </c>
      <c r="P150" s="389">
        <v>0</v>
      </c>
      <c r="Q150" s="389">
        <v>0</v>
      </c>
      <c r="R150" s="389">
        <v>10000</v>
      </c>
      <c r="S150" s="389">
        <v>0</v>
      </c>
      <c r="T150" s="389">
        <v>0</v>
      </c>
      <c r="U150" s="386">
        <v>57642</v>
      </c>
      <c r="V150" s="390">
        <f t="shared" si="18"/>
        <v>0</v>
      </c>
      <c r="W150" s="386">
        <v>0</v>
      </c>
      <c r="X150" s="386">
        <v>0</v>
      </c>
      <c r="Y150" s="386">
        <f t="shared" si="19"/>
        <v>0</v>
      </c>
      <c r="Z150" s="386">
        <f t="shared" si="19"/>
        <v>0</v>
      </c>
      <c r="AA150" s="386">
        <v>0</v>
      </c>
      <c r="AB150" s="390">
        <f t="shared" si="20"/>
        <v>0</v>
      </c>
      <c r="AC150" s="386">
        <v>21500</v>
      </c>
      <c r="AD150" s="390">
        <f t="shared" si="21"/>
        <v>0</v>
      </c>
      <c r="AE150" s="386">
        <v>0</v>
      </c>
      <c r="AF150" s="386">
        <v>22142</v>
      </c>
      <c r="AG150" s="386">
        <v>0</v>
      </c>
      <c r="AH150" s="386">
        <v>0</v>
      </c>
      <c r="AI150" s="386">
        <v>0</v>
      </c>
      <c r="AJ150" s="386">
        <v>0</v>
      </c>
      <c r="AK150" s="386">
        <v>4000</v>
      </c>
      <c r="AL150" s="386">
        <v>0</v>
      </c>
      <c r="AM150" s="386">
        <v>0</v>
      </c>
      <c r="AN150" s="386">
        <v>0</v>
      </c>
      <c r="AO150" s="386">
        <v>10000</v>
      </c>
      <c r="AP150" s="386">
        <v>0</v>
      </c>
      <c r="AQ150" s="386">
        <v>0</v>
      </c>
      <c r="AR150" s="386">
        <f t="shared" ref="AR150:AT165" si="25">AE150-H150</f>
        <v>0</v>
      </c>
      <c r="AS150" s="386">
        <f t="shared" si="25"/>
        <v>0</v>
      </c>
      <c r="AT150" s="386">
        <f t="shared" si="25"/>
        <v>0</v>
      </c>
      <c r="AU150" s="386">
        <f t="shared" si="24"/>
        <v>0</v>
      </c>
      <c r="AV150" s="386">
        <f t="shared" si="24"/>
        <v>0</v>
      </c>
      <c r="AW150" s="386">
        <f t="shared" si="24"/>
        <v>0</v>
      </c>
      <c r="AX150" s="386">
        <f t="shared" si="17"/>
        <v>0</v>
      </c>
      <c r="AY150" s="386">
        <f t="shared" si="17"/>
        <v>0</v>
      </c>
      <c r="AZ150" s="386">
        <f t="shared" si="17"/>
        <v>0</v>
      </c>
      <c r="BA150" s="386">
        <f t="shared" si="17"/>
        <v>0</v>
      </c>
      <c r="BB150" s="386">
        <f t="shared" si="17"/>
        <v>0</v>
      </c>
      <c r="BC150" s="386">
        <f t="shared" si="17"/>
        <v>0</v>
      </c>
      <c r="BD150" s="386">
        <f t="shared" si="23"/>
        <v>0</v>
      </c>
    </row>
    <row r="151" spans="1:56" x14ac:dyDescent="0.25">
      <c r="A151" s="388">
        <v>133</v>
      </c>
      <c r="B151" s="358" t="s">
        <v>254</v>
      </c>
      <c r="C151" s="389">
        <f t="shared" si="22"/>
        <v>91000</v>
      </c>
      <c r="D151" s="389">
        <v>0</v>
      </c>
      <c r="E151" s="389">
        <v>0</v>
      </c>
      <c r="F151" s="389">
        <v>0</v>
      </c>
      <c r="G151" s="389">
        <v>0</v>
      </c>
      <c r="H151" s="389">
        <v>0</v>
      </c>
      <c r="I151" s="389">
        <v>0</v>
      </c>
      <c r="J151" s="389">
        <v>0</v>
      </c>
      <c r="K151" s="389">
        <v>0</v>
      </c>
      <c r="L151" s="389">
        <v>0</v>
      </c>
      <c r="M151" s="389">
        <v>0</v>
      </c>
      <c r="N151" s="389">
        <v>91000</v>
      </c>
      <c r="O151" s="389">
        <v>0</v>
      </c>
      <c r="P151" s="389">
        <v>0</v>
      </c>
      <c r="Q151" s="389">
        <v>0</v>
      </c>
      <c r="R151" s="389">
        <v>0</v>
      </c>
      <c r="S151" s="389">
        <v>0</v>
      </c>
      <c r="T151" s="389">
        <v>0</v>
      </c>
      <c r="U151" s="386">
        <v>91000</v>
      </c>
      <c r="V151" s="390">
        <f t="shared" si="18"/>
        <v>0</v>
      </c>
      <c r="W151" s="386">
        <v>0</v>
      </c>
      <c r="X151" s="386">
        <v>0</v>
      </c>
      <c r="Y151" s="386">
        <f t="shared" si="19"/>
        <v>0</v>
      </c>
      <c r="Z151" s="386">
        <f t="shared" si="19"/>
        <v>0</v>
      </c>
      <c r="AA151" s="386">
        <v>0</v>
      </c>
      <c r="AB151" s="390">
        <f t="shared" si="20"/>
        <v>0</v>
      </c>
      <c r="AC151" s="386">
        <v>0</v>
      </c>
      <c r="AD151" s="390">
        <f t="shared" si="21"/>
        <v>0</v>
      </c>
      <c r="AE151" s="386">
        <v>0</v>
      </c>
      <c r="AF151" s="386">
        <v>0</v>
      </c>
      <c r="AG151" s="386">
        <v>0</v>
      </c>
      <c r="AH151" s="386">
        <v>0</v>
      </c>
      <c r="AI151" s="386">
        <v>0</v>
      </c>
      <c r="AJ151" s="386">
        <v>0</v>
      </c>
      <c r="AK151" s="386">
        <v>91000</v>
      </c>
      <c r="AL151" s="386">
        <v>0</v>
      </c>
      <c r="AM151" s="386">
        <v>0</v>
      </c>
      <c r="AN151" s="386">
        <v>0</v>
      </c>
      <c r="AO151" s="386">
        <v>0</v>
      </c>
      <c r="AP151" s="386">
        <v>0</v>
      </c>
      <c r="AQ151" s="386">
        <v>0</v>
      </c>
      <c r="AR151" s="386">
        <f t="shared" si="25"/>
        <v>0</v>
      </c>
      <c r="AS151" s="386">
        <f t="shared" si="25"/>
        <v>0</v>
      </c>
      <c r="AT151" s="386">
        <f t="shared" si="25"/>
        <v>0</v>
      </c>
      <c r="AU151" s="386">
        <f t="shared" si="24"/>
        <v>0</v>
      </c>
      <c r="AV151" s="386">
        <f t="shared" si="24"/>
        <v>0</v>
      </c>
      <c r="AW151" s="386">
        <f t="shared" si="24"/>
        <v>0</v>
      </c>
      <c r="AX151" s="386">
        <f t="shared" si="17"/>
        <v>0</v>
      </c>
      <c r="AY151" s="386">
        <f t="shared" si="17"/>
        <v>0</v>
      </c>
      <c r="AZ151" s="386">
        <f t="shared" si="17"/>
        <v>0</v>
      </c>
      <c r="BA151" s="386">
        <f t="shared" si="17"/>
        <v>0</v>
      </c>
      <c r="BB151" s="386">
        <f t="shared" si="17"/>
        <v>0</v>
      </c>
      <c r="BC151" s="386">
        <f t="shared" si="17"/>
        <v>0</v>
      </c>
      <c r="BD151" s="386">
        <f t="shared" si="23"/>
        <v>0</v>
      </c>
    </row>
    <row r="152" spans="1:56" x14ac:dyDescent="0.25">
      <c r="A152" s="388">
        <v>134</v>
      </c>
      <c r="B152" s="358" t="s">
        <v>255</v>
      </c>
      <c r="C152" s="389">
        <f t="shared" si="22"/>
        <v>10328</v>
      </c>
      <c r="D152" s="389">
        <v>0</v>
      </c>
      <c r="E152" s="389">
        <v>0</v>
      </c>
      <c r="F152" s="389">
        <v>0</v>
      </c>
      <c r="G152" s="389">
        <v>0</v>
      </c>
      <c r="H152" s="389">
        <v>10178</v>
      </c>
      <c r="I152" s="389">
        <v>0</v>
      </c>
      <c r="J152" s="389">
        <v>0</v>
      </c>
      <c r="K152" s="389">
        <v>0</v>
      </c>
      <c r="L152" s="389">
        <v>0</v>
      </c>
      <c r="M152" s="389">
        <v>0</v>
      </c>
      <c r="N152" s="389">
        <v>150</v>
      </c>
      <c r="O152" s="389">
        <v>0</v>
      </c>
      <c r="P152" s="389">
        <v>0</v>
      </c>
      <c r="Q152" s="389">
        <v>0</v>
      </c>
      <c r="R152" s="389">
        <v>0</v>
      </c>
      <c r="S152" s="389">
        <v>0</v>
      </c>
      <c r="T152" s="389">
        <v>0</v>
      </c>
      <c r="U152" s="386">
        <v>10328</v>
      </c>
      <c r="V152" s="390">
        <f t="shared" si="18"/>
        <v>0</v>
      </c>
      <c r="W152" s="386">
        <v>0</v>
      </c>
      <c r="X152" s="386">
        <v>0</v>
      </c>
      <c r="Y152" s="386">
        <f t="shared" si="19"/>
        <v>0</v>
      </c>
      <c r="Z152" s="386">
        <f t="shared" si="19"/>
        <v>0</v>
      </c>
      <c r="AA152" s="386">
        <v>0</v>
      </c>
      <c r="AB152" s="390">
        <f t="shared" si="20"/>
        <v>0</v>
      </c>
      <c r="AC152" s="386">
        <v>0</v>
      </c>
      <c r="AD152" s="390">
        <f t="shared" si="21"/>
        <v>0</v>
      </c>
      <c r="AE152" s="386">
        <v>10178</v>
      </c>
      <c r="AF152" s="386">
        <v>0</v>
      </c>
      <c r="AG152" s="386">
        <v>0</v>
      </c>
      <c r="AH152" s="386">
        <v>0</v>
      </c>
      <c r="AI152" s="386">
        <v>0</v>
      </c>
      <c r="AJ152" s="386">
        <v>0</v>
      </c>
      <c r="AK152" s="386">
        <v>150</v>
      </c>
      <c r="AL152" s="386">
        <v>0</v>
      </c>
      <c r="AM152" s="386">
        <v>0</v>
      </c>
      <c r="AN152" s="386">
        <v>0</v>
      </c>
      <c r="AO152" s="386">
        <v>0</v>
      </c>
      <c r="AP152" s="386">
        <v>0</v>
      </c>
      <c r="AQ152" s="386">
        <v>0</v>
      </c>
      <c r="AR152" s="386">
        <f t="shared" si="25"/>
        <v>0</v>
      </c>
      <c r="AS152" s="386">
        <f t="shared" si="25"/>
        <v>0</v>
      </c>
      <c r="AT152" s="386">
        <f t="shared" si="25"/>
        <v>0</v>
      </c>
      <c r="AU152" s="386">
        <f t="shared" si="24"/>
        <v>0</v>
      </c>
      <c r="AV152" s="386">
        <f t="shared" si="24"/>
        <v>0</v>
      </c>
      <c r="AW152" s="386">
        <f t="shared" si="24"/>
        <v>0</v>
      </c>
      <c r="AX152" s="386">
        <f t="shared" si="17"/>
        <v>0</v>
      </c>
      <c r="AY152" s="386">
        <f t="shared" si="17"/>
        <v>0</v>
      </c>
      <c r="AZ152" s="386">
        <f t="shared" si="17"/>
        <v>0</v>
      </c>
      <c r="BA152" s="386">
        <f t="shared" si="17"/>
        <v>0</v>
      </c>
      <c r="BB152" s="386">
        <f t="shared" si="17"/>
        <v>0</v>
      </c>
      <c r="BC152" s="386">
        <f t="shared" si="17"/>
        <v>0</v>
      </c>
      <c r="BD152" s="386">
        <f t="shared" si="23"/>
        <v>0</v>
      </c>
    </row>
    <row r="153" spans="1:56" x14ac:dyDescent="0.25">
      <c r="A153" s="388">
        <v>135</v>
      </c>
      <c r="B153" s="358" t="s">
        <v>81</v>
      </c>
      <c r="C153" s="389">
        <f t="shared" si="22"/>
        <v>57392</v>
      </c>
      <c r="D153" s="389">
        <v>0</v>
      </c>
      <c r="E153" s="389">
        <v>0</v>
      </c>
      <c r="F153" s="389">
        <v>0</v>
      </c>
      <c r="G153" s="389">
        <v>0</v>
      </c>
      <c r="H153" s="389">
        <v>0</v>
      </c>
      <c r="I153" s="389">
        <v>0</v>
      </c>
      <c r="J153" s="389">
        <v>3075</v>
      </c>
      <c r="K153" s="389">
        <v>1317</v>
      </c>
      <c r="L153" s="389">
        <v>0</v>
      </c>
      <c r="M153" s="389">
        <v>0</v>
      </c>
      <c r="N153" s="389">
        <v>53000</v>
      </c>
      <c r="O153" s="389">
        <v>0</v>
      </c>
      <c r="P153" s="389">
        <v>0</v>
      </c>
      <c r="Q153" s="389">
        <v>0</v>
      </c>
      <c r="R153" s="389">
        <v>0</v>
      </c>
      <c r="S153" s="389">
        <v>0</v>
      </c>
      <c r="T153" s="389">
        <v>0</v>
      </c>
      <c r="U153" s="386">
        <v>57392</v>
      </c>
      <c r="V153" s="390">
        <f t="shared" si="18"/>
        <v>0</v>
      </c>
      <c r="W153" s="386">
        <v>0</v>
      </c>
      <c r="X153" s="386">
        <v>0</v>
      </c>
      <c r="Y153" s="386">
        <f t="shared" si="19"/>
        <v>0</v>
      </c>
      <c r="Z153" s="386">
        <f t="shared" si="19"/>
        <v>0</v>
      </c>
      <c r="AA153" s="386">
        <v>0</v>
      </c>
      <c r="AB153" s="390">
        <f t="shared" si="20"/>
        <v>0</v>
      </c>
      <c r="AC153" s="386">
        <v>0</v>
      </c>
      <c r="AD153" s="390">
        <f t="shared" si="21"/>
        <v>0</v>
      </c>
      <c r="AE153" s="386">
        <v>0</v>
      </c>
      <c r="AF153" s="386">
        <v>0</v>
      </c>
      <c r="AG153" s="386">
        <v>3075</v>
      </c>
      <c r="AH153" s="386">
        <v>1317</v>
      </c>
      <c r="AI153" s="386">
        <v>0</v>
      </c>
      <c r="AJ153" s="386">
        <v>0</v>
      </c>
      <c r="AK153" s="386">
        <v>53000</v>
      </c>
      <c r="AL153" s="386">
        <v>0</v>
      </c>
      <c r="AM153" s="386">
        <v>0</v>
      </c>
      <c r="AN153" s="386">
        <v>0</v>
      </c>
      <c r="AO153" s="386">
        <v>0</v>
      </c>
      <c r="AP153" s="386">
        <v>0</v>
      </c>
      <c r="AQ153" s="386">
        <v>0</v>
      </c>
      <c r="AR153" s="386">
        <f t="shared" si="25"/>
        <v>0</v>
      </c>
      <c r="AS153" s="386">
        <f t="shared" si="25"/>
        <v>0</v>
      </c>
      <c r="AT153" s="386">
        <f t="shared" si="25"/>
        <v>0</v>
      </c>
      <c r="AU153" s="386">
        <f t="shared" si="24"/>
        <v>0</v>
      </c>
      <c r="AV153" s="386">
        <f t="shared" si="24"/>
        <v>0</v>
      </c>
      <c r="AW153" s="386">
        <f t="shared" si="24"/>
        <v>0</v>
      </c>
      <c r="AX153" s="386">
        <f t="shared" si="17"/>
        <v>0</v>
      </c>
      <c r="AY153" s="386">
        <f t="shared" si="17"/>
        <v>0</v>
      </c>
      <c r="AZ153" s="386">
        <f t="shared" si="17"/>
        <v>0</v>
      </c>
      <c r="BA153" s="386">
        <f t="shared" si="17"/>
        <v>0</v>
      </c>
      <c r="BB153" s="386">
        <f t="shared" si="17"/>
        <v>0</v>
      </c>
      <c r="BC153" s="386">
        <f t="shared" si="17"/>
        <v>0</v>
      </c>
      <c r="BD153" s="386">
        <f t="shared" si="23"/>
        <v>0</v>
      </c>
    </row>
    <row r="154" spans="1:56" x14ac:dyDescent="0.25">
      <c r="A154" s="388">
        <v>136</v>
      </c>
      <c r="B154" s="358" t="s">
        <v>64</v>
      </c>
      <c r="C154" s="389">
        <f t="shared" si="22"/>
        <v>1009</v>
      </c>
      <c r="D154" s="389">
        <v>0</v>
      </c>
      <c r="E154" s="389">
        <v>0</v>
      </c>
      <c r="F154" s="389">
        <v>0</v>
      </c>
      <c r="G154" s="389">
        <v>0</v>
      </c>
      <c r="H154" s="389">
        <v>0</v>
      </c>
      <c r="I154" s="389">
        <v>0</v>
      </c>
      <c r="J154" s="389">
        <v>0</v>
      </c>
      <c r="K154" s="389">
        <v>0</v>
      </c>
      <c r="L154" s="389">
        <v>0</v>
      </c>
      <c r="M154" s="389">
        <v>0</v>
      </c>
      <c r="N154" s="389">
        <v>1009</v>
      </c>
      <c r="O154" s="389">
        <v>0</v>
      </c>
      <c r="P154" s="389">
        <v>0</v>
      </c>
      <c r="Q154" s="389">
        <v>0</v>
      </c>
      <c r="R154" s="389">
        <v>0</v>
      </c>
      <c r="S154" s="389">
        <v>0</v>
      </c>
      <c r="T154" s="389">
        <v>0</v>
      </c>
      <c r="U154" s="386">
        <v>1009</v>
      </c>
      <c r="V154" s="390">
        <f t="shared" si="18"/>
        <v>0</v>
      </c>
      <c r="W154" s="386">
        <v>0</v>
      </c>
      <c r="X154" s="386">
        <v>0</v>
      </c>
      <c r="Y154" s="386">
        <f t="shared" si="19"/>
        <v>0</v>
      </c>
      <c r="Z154" s="386">
        <f t="shared" si="19"/>
        <v>0</v>
      </c>
      <c r="AA154" s="386">
        <v>0</v>
      </c>
      <c r="AB154" s="390">
        <f t="shared" si="20"/>
        <v>0</v>
      </c>
      <c r="AC154" s="386">
        <v>0</v>
      </c>
      <c r="AD154" s="390">
        <f t="shared" si="21"/>
        <v>0</v>
      </c>
      <c r="AE154" s="386">
        <v>0</v>
      </c>
      <c r="AF154" s="386">
        <v>0</v>
      </c>
      <c r="AG154" s="386">
        <v>0</v>
      </c>
      <c r="AH154" s="386">
        <v>0</v>
      </c>
      <c r="AI154" s="386">
        <v>0</v>
      </c>
      <c r="AJ154" s="386">
        <v>0</v>
      </c>
      <c r="AK154" s="386">
        <v>1009</v>
      </c>
      <c r="AL154" s="386">
        <v>0</v>
      </c>
      <c r="AM154" s="386">
        <v>0</v>
      </c>
      <c r="AN154" s="386">
        <v>0</v>
      </c>
      <c r="AO154" s="386">
        <v>0</v>
      </c>
      <c r="AP154" s="386">
        <v>0</v>
      </c>
      <c r="AQ154" s="386">
        <v>0</v>
      </c>
      <c r="AR154" s="386">
        <f t="shared" si="25"/>
        <v>0</v>
      </c>
      <c r="AS154" s="386">
        <f t="shared" si="25"/>
        <v>0</v>
      </c>
      <c r="AT154" s="386">
        <f t="shared" si="25"/>
        <v>0</v>
      </c>
      <c r="AU154" s="386">
        <f t="shared" si="24"/>
        <v>0</v>
      </c>
      <c r="AV154" s="386">
        <f t="shared" si="24"/>
        <v>0</v>
      </c>
      <c r="AW154" s="386">
        <f t="shared" si="24"/>
        <v>0</v>
      </c>
      <c r="AX154" s="386">
        <f t="shared" si="17"/>
        <v>0</v>
      </c>
      <c r="AY154" s="386">
        <f t="shared" si="17"/>
        <v>0</v>
      </c>
      <c r="AZ154" s="386">
        <f t="shared" si="17"/>
        <v>0</v>
      </c>
      <c r="BA154" s="386">
        <f t="shared" si="17"/>
        <v>0</v>
      </c>
      <c r="BB154" s="386">
        <f t="shared" si="17"/>
        <v>0</v>
      </c>
      <c r="BC154" s="386">
        <f t="shared" si="17"/>
        <v>0</v>
      </c>
      <c r="BD154" s="386">
        <f t="shared" si="23"/>
        <v>0</v>
      </c>
    </row>
    <row r="155" spans="1:56" x14ac:dyDescent="0.25">
      <c r="A155" s="608">
        <v>137</v>
      </c>
      <c r="B155" s="358" t="s">
        <v>77</v>
      </c>
      <c r="C155" s="389">
        <f t="shared" si="22"/>
        <v>75757</v>
      </c>
      <c r="D155" s="389">
        <v>1858</v>
      </c>
      <c r="E155" s="389">
        <v>11702</v>
      </c>
      <c r="F155" s="389">
        <v>19151</v>
      </c>
      <c r="G155" s="389">
        <v>0</v>
      </c>
      <c r="H155" s="389">
        <v>0</v>
      </c>
      <c r="I155" s="389">
        <v>0</v>
      </c>
      <c r="J155" s="389">
        <v>0</v>
      </c>
      <c r="K155" s="389">
        <v>0</v>
      </c>
      <c r="L155" s="389">
        <v>6437</v>
      </c>
      <c r="M155" s="389">
        <v>15198</v>
      </c>
      <c r="N155" s="389">
        <v>4030</v>
      </c>
      <c r="O155" s="389">
        <v>0</v>
      </c>
      <c r="P155" s="389">
        <v>0</v>
      </c>
      <c r="Q155" s="389">
        <v>4000</v>
      </c>
      <c r="R155" s="389">
        <v>0</v>
      </c>
      <c r="S155" s="389">
        <v>6226</v>
      </c>
      <c r="T155" s="389">
        <v>7155</v>
      </c>
      <c r="U155" s="386">
        <v>75757</v>
      </c>
      <c r="V155" s="390">
        <f t="shared" si="18"/>
        <v>0</v>
      </c>
      <c r="W155" s="386">
        <v>1858</v>
      </c>
      <c r="X155" s="386">
        <v>11702</v>
      </c>
      <c r="Y155" s="386">
        <f t="shared" si="19"/>
        <v>0</v>
      </c>
      <c r="Z155" s="386">
        <f t="shared" si="19"/>
        <v>0</v>
      </c>
      <c r="AA155" s="386">
        <v>19151</v>
      </c>
      <c r="AB155" s="390">
        <f t="shared" si="20"/>
        <v>0</v>
      </c>
      <c r="AC155" s="386">
        <v>0</v>
      </c>
      <c r="AD155" s="390">
        <f t="shared" si="21"/>
        <v>0</v>
      </c>
      <c r="AE155" s="386">
        <v>0</v>
      </c>
      <c r="AF155" s="386">
        <v>0</v>
      </c>
      <c r="AG155" s="386">
        <v>0</v>
      </c>
      <c r="AH155" s="386">
        <v>0</v>
      </c>
      <c r="AI155" s="386">
        <v>6437</v>
      </c>
      <c r="AJ155" s="386">
        <v>15198</v>
      </c>
      <c r="AK155" s="386">
        <v>4030</v>
      </c>
      <c r="AL155" s="386">
        <v>0</v>
      </c>
      <c r="AM155" s="386">
        <v>0</v>
      </c>
      <c r="AN155" s="386">
        <v>4000</v>
      </c>
      <c r="AO155" s="386">
        <v>0</v>
      </c>
      <c r="AP155" s="386">
        <v>6226</v>
      </c>
      <c r="AQ155" s="386">
        <v>7155</v>
      </c>
      <c r="AR155" s="386">
        <f t="shared" si="25"/>
        <v>0</v>
      </c>
      <c r="AS155" s="386">
        <f t="shared" si="25"/>
        <v>0</v>
      </c>
      <c r="AT155" s="386">
        <f t="shared" si="25"/>
        <v>0</v>
      </c>
      <c r="AU155" s="386">
        <f t="shared" si="24"/>
        <v>0</v>
      </c>
      <c r="AV155" s="386">
        <f t="shared" si="24"/>
        <v>0</v>
      </c>
      <c r="AW155" s="386">
        <f t="shared" si="24"/>
        <v>0</v>
      </c>
      <c r="AX155" s="386">
        <f t="shared" si="17"/>
        <v>0</v>
      </c>
      <c r="AY155" s="386">
        <f t="shared" si="17"/>
        <v>0</v>
      </c>
      <c r="AZ155" s="386">
        <f t="shared" si="17"/>
        <v>0</v>
      </c>
      <c r="BA155" s="386">
        <f t="shared" si="17"/>
        <v>0</v>
      </c>
      <c r="BB155" s="386">
        <f t="shared" si="17"/>
        <v>0</v>
      </c>
      <c r="BC155" s="386">
        <f t="shared" si="17"/>
        <v>0</v>
      </c>
      <c r="BD155" s="386">
        <f t="shared" si="23"/>
        <v>0</v>
      </c>
    </row>
    <row r="156" spans="1:56" ht="51.75" x14ac:dyDescent="0.25">
      <c r="A156" s="609"/>
      <c r="B156" s="372" t="s">
        <v>698</v>
      </c>
      <c r="C156" s="389">
        <f t="shared" si="22"/>
        <v>159645</v>
      </c>
      <c r="D156" s="389">
        <v>2855</v>
      </c>
      <c r="E156" s="389">
        <v>6276</v>
      </c>
      <c r="F156" s="389">
        <v>59850</v>
      </c>
      <c r="G156" s="389">
        <v>0</v>
      </c>
      <c r="H156" s="389">
        <v>0</v>
      </c>
      <c r="I156" s="389">
        <v>0</v>
      </c>
      <c r="J156" s="389">
        <v>0</v>
      </c>
      <c r="K156" s="389">
        <v>0</v>
      </c>
      <c r="L156" s="389">
        <v>3692</v>
      </c>
      <c r="M156" s="389">
        <v>47656</v>
      </c>
      <c r="N156" s="389">
        <v>0</v>
      </c>
      <c r="O156" s="389">
        <v>0</v>
      </c>
      <c r="P156" s="389">
        <v>2376</v>
      </c>
      <c r="Q156" s="389">
        <v>0</v>
      </c>
      <c r="R156" s="389">
        <v>0</v>
      </c>
      <c r="S156" s="389">
        <v>4237</v>
      </c>
      <c r="T156" s="389">
        <v>32703</v>
      </c>
      <c r="U156" s="386">
        <v>159645</v>
      </c>
      <c r="V156" s="390">
        <f t="shared" si="18"/>
        <v>0</v>
      </c>
      <c r="W156" s="386">
        <v>2855</v>
      </c>
      <c r="X156" s="386">
        <v>6276</v>
      </c>
      <c r="Y156" s="386">
        <f t="shared" si="19"/>
        <v>0</v>
      </c>
      <c r="Z156" s="386">
        <f t="shared" si="19"/>
        <v>0</v>
      </c>
      <c r="AA156" s="386">
        <v>59850</v>
      </c>
      <c r="AB156" s="390">
        <f t="shared" si="20"/>
        <v>0</v>
      </c>
      <c r="AC156" s="386">
        <v>0</v>
      </c>
      <c r="AD156" s="390">
        <f t="shared" si="21"/>
        <v>0</v>
      </c>
      <c r="AE156" s="386">
        <v>0</v>
      </c>
      <c r="AF156" s="386">
        <v>0</v>
      </c>
      <c r="AG156" s="386">
        <v>0</v>
      </c>
      <c r="AH156" s="386">
        <v>0</v>
      </c>
      <c r="AI156" s="386">
        <v>3692</v>
      </c>
      <c r="AJ156" s="386">
        <v>47656</v>
      </c>
      <c r="AK156" s="386">
        <v>0</v>
      </c>
      <c r="AL156" s="386">
        <v>0</v>
      </c>
      <c r="AM156" s="386">
        <v>2376</v>
      </c>
      <c r="AN156" s="386">
        <v>0</v>
      </c>
      <c r="AO156" s="386">
        <v>0</v>
      </c>
      <c r="AP156" s="386">
        <v>4237</v>
      </c>
      <c r="AQ156" s="386">
        <v>32703</v>
      </c>
      <c r="AR156" s="386">
        <f t="shared" si="25"/>
        <v>0</v>
      </c>
      <c r="AS156" s="386">
        <f t="shared" si="25"/>
        <v>0</v>
      </c>
      <c r="AT156" s="386">
        <f t="shared" si="25"/>
        <v>0</v>
      </c>
      <c r="AU156" s="386">
        <f t="shared" si="24"/>
        <v>0</v>
      </c>
      <c r="AV156" s="386">
        <f t="shared" si="24"/>
        <v>0</v>
      </c>
      <c r="AW156" s="386">
        <f t="shared" si="24"/>
        <v>0</v>
      </c>
      <c r="AX156" s="386">
        <f t="shared" si="17"/>
        <v>0</v>
      </c>
      <c r="AY156" s="386">
        <f t="shared" si="17"/>
        <v>0</v>
      </c>
      <c r="AZ156" s="386">
        <f t="shared" si="17"/>
        <v>0</v>
      </c>
      <c r="BA156" s="386">
        <f t="shared" si="17"/>
        <v>0</v>
      </c>
      <c r="BB156" s="386">
        <f t="shared" si="17"/>
        <v>0</v>
      </c>
      <c r="BC156" s="386">
        <f t="shared" si="17"/>
        <v>0</v>
      </c>
      <c r="BD156" s="386">
        <f t="shared" si="23"/>
        <v>0</v>
      </c>
    </row>
    <row r="157" spans="1:56" x14ac:dyDescent="0.25">
      <c r="A157" s="608">
        <v>138</v>
      </c>
      <c r="B157" s="358" t="s">
        <v>699</v>
      </c>
      <c r="C157" s="389">
        <f t="shared" si="22"/>
        <v>3000</v>
      </c>
      <c r="D157" s="389">
        <v>0</v>
      </c>
      <c r="E157" s="389">
        <v>0</v>
      </c>
      <c r="F157" s="389">
        <v>0</v>
      </c>
      <c r="G157" s="389">
        <v>0</v>
      </c>
      <c r="H157" s="389">
        <v>0</v>
      </c>
      <c r="I157" s="389">
        <v>0</v>
      </c>
      <c r="J157" s="389">
        <v>0</v>
      </c>
      <c r="K157" s="389">
        <v>0</v>
      </c>
      <c r="L157" s="389">
        <v>0</v>
      </c>
      <c r="M157" s="389">
        <v>0</v>
      </c>
      <c r="N157" s="389">
        <v>3000</v>
      </c>
      <c r="O157" s="389">
        <v>0</v>
      </c>
      <c r="P157" s="389">
        <v>0</v>
      </c>
      <c r="Q157" s="389">
        <v>0</v>
      </c>
      <c r="R157" s="389">
        <v>0</v>
      </c>
      <c r="S157" s="389">
        <v>0</v>
      </c>
      <c r="T157" s="389">
        <v>0</v>
      </c>
      <c r="U157" s="386">
        <v>3000</v>
      </c>
      <c r="V157" s="390">
        <f t="shared" si="18"/>
        <v>0</v>
      </c>
      <c r="W157" s="386">
        <v>0</v>
      </c>
      <c r="X157" s="386">
        <v>0</v>
      </c>
      <c r="Y157" s="386">
        <f t="shared" si="19"/>
        <v>0</v>
      </c>
      <c r="Z157" s="386">
        <f t="shared" si="19"/>
        <v>0</v>
      </c>
      <c r="AA157" s="386">
        <v>0</v>
      </c>
      <c r="AB157" s="390">
        <f t="shared" si="20"/>
        <v>0</v>
      </c>
      <c r="AC157" s="386">
        <v>0</v>
      </c>
      <c r="AD157" s="390">
        <f t="shared" si="21"/>
        <v>0</v>
      </c>
      <c r="AE157" s="386">
        <v>0</v>
      </c>
      <c r="AF157" s="386">
        <v>0</v>
      </c>
      <c r="AG157" s="386">
        <v>0</v>
      </c>
      <c r="AH157" s="386">
        <v>0</v>
      </c>
      <c r="AI157" s="386">
        <v>0</v>
      </c>
      <c r="AJ157" s="386">
        <v>0</v>
      </c>
      <c r="AK157" s="386">
        <v>3000</v>
      </c>
      <c r="AL157" s="386">
        <v>0</v>
      </c>
      <c r="AM157" s="386">
        <v>0</v>
      </c>
      <c r="AN157" s="386">
        <v>0</v>
      </c>
      <c r="AO157" s="386">
        <v>0</v>
      </c>
      <c r="AP157" s="386">
        <v>0</v>
      </c>
      <c r="AQ157" s="386">
        <v>0</v>
      </c>
      <c r="AR157" s="386">
        <f t="shared" si="25"/>
        <v>0</v>
      </c>
      <c r="AS157" s="386">
        <f t="shared" si="25"/>
        <v>0</v>
      </c>
      <c r="AT157" s="386">
        <f t="shared" si="25"/>
        <v>0</v>
      </c>
      <c r="AU157" s="386">
        <f t="shared" si="24"/>
        <v>0</v>
      </c>
      <c r="AV157" s="386">
        <f t="shared" si="24"/>
        <v>0</v>
      </c>
      <c r="AW157" s="386">
        <f t="shared" si="24"/>
        <v>0</v>
      </c>
      <c r="AX157" s="386">
        <f t="shared" si="17"/>
        <v>0</v>
      </c>
      <c r="AY157" s="386">
        <f t="shared" si="17"/>
        <v>0</v>
      </c>
      <c r="AZ157" s="386">
        <f t="shared" si="17"/>
        <v>0</v>
      </c>
      <c r="BA157" s="386">
        <f t="shared" si="17"/>
        <v>0</v>
      </c>
      <c r="BB157" s="386">
        <f t="shared" si="17"/>
        <v>0</v>
      </c>
      <c r="BC157" s="386">
        <f t="shared" si="17"/>
        <v>0</v>
      </c>
      <c r="BD157" s="386">
        <f t="shared" si="23"/>
        <v>0</v>
      </c>
    </row>
    <row r="158" spans="1:56" ht="63.75" x14ac:dyDescent="0.25">
      <c r="A158" s="609"/>
      <c r="B158" s="373" t="s">
        <v>700</v>
      </c>
      <c r="C158" s="389">
        <f t="shared" si="22"/>
        <v>1442</v>
      </c>
      <c r="D158" s="389">
        <v>0</v>
      </c>
      <c r="E158" s="389">
        <v>0</v>
      </c>
      <c r="F158" s="389">
        <v>0</v>
      </c>
      <c r="G158" s="389">
        <v>0</v>
      </c>
      <c r="H158" s="389">
        <v>0</v>
      </c>
      <c r="I158" s="389">
        <v>0</v>
      </c>
      <c r="J158" s="389">
        <v>0</v>
      </c>
      <c r="K158" s="389">
        <v>0</v>
      </c>
      <c r="L158" s="389">
        <v>0</v>
      </c>
      <c r="M158" s="389">
        <v>0</v>
      </c>
      <c r="N158" s="389">
        <v>1442</v>
      </c>
      <c r="O158" s="389">
        <v>0</v>
      </c>
      <c r="P158" s="389">
        <v>0</v>
      </c>
      <c r="Q158" s="389">
        <v>0</v>
      </c>
      <c r="R158" s="389">
        <v>0</v>
      </c>
      <c r="S158" s="389">
        <v>0</v>
      </c>
      <c r="T158" s="389">
        <v>0</v>
      </c>
      <c r="U158" s="386">
        <v>1442</v>
      </c>
      <c r="V158" s="390">
        <f t="shared" si="18"/>
        <v>0</v>
      </c>
      <c r="W158" s="386">
        <v>0</v>
      </c>
      <c r="X158" s="386">
        <v>0</v>
      </c>
      <c r="Y158" s="386">
        <f t="shared" si="19"/>
        <v>0</v>
      </c>
      <c r="Z158" s="386">
        <f t="shared" si="19"/>
        <v>0</v>
      </c>
      <c r="AA158" s="386">
        <v>0</v>
      </c>
      <c r="AB158" s="390">
        <f t="shared" si="20"/>
        <v>0</v>
      </c>
      <c r="AC158" s="386">
        <v>0</v>
      </c>
      <c r="AD158" s="390">
        <f t="shared" si="21"/>
        <v>0</v>
      </c>
      <c r="AE158" s="386">
        <v>0</v>
      </c>
      <c r="AF158" s="386">
        <v>0</v>
      </c>
      <c r="AG158" s="386">
        <v>0</v>
      </c>
      <c r="AH158" s="386">
        <v>0</v>
      </c>
      <c r="AI158" s="386">
        <v>0</v>
      </c>
      <c r="AJ158" s="386">
        <v>0</v>
      </c>
      <c r="AK158" s="386">
        <v>1442</v>
      </c>
      <c r="AL158" s="386">
        <v>0</v>
      </c>
      <c r="AM158" s="386">
        <v>0</v>
      </c>
      <c r="AN158" s="386">
        <v>0</v>
      </c>
      <c r="AO158" s="386">
        <v>0</v>
      </c>
      <c r="AP158" s="386">
        <v>0</v>
      </c>
      <c r="AQ158" s="386">
        <v>0</v>
      </c>
      <c r="AR158" s="386">
        <f t="shared" si="25"/>
        <v>0</v>
      </c>
      <c r="AS158" s="386">
        <f t="shared" si="25"/>
        <v>0</v>
      </c>
      <c r="AT158" s="386">
        <f t="shared" si="25"/>
        <v>0</v>
      </c>
      <c r="AU158" s="386">
        <f t="shared" si="24"/>
        <v>0</v>
      </c>
      <c r="AV158" s="386">
        <f t="shared" si="24"/>
        <v>0</v>
      </c>
      <c r="AW158" s="386">
        <f t="shared" si="24"/>
        <v>0</v>
      </c>
      <c r="AX158" s="386">
        <f t="shared" si="17"/>
        <v>0</v>
      </c>
      <c r="AY158" s="386">
        <f t="shared" si="17"/>
        <v>0</v>
      </c>
      <c r="AZ158" s="386">
        <f t="shared" si="17"/>
        <v>0</v>
      </c>
      <c r="BA158" s="386">
        <f t="shared" si="17"/>
        <v>0</v>
      </c>
      <c r="BB158" s="386">
        <f t="shared" si="17"/>
        <v>0</v>
      </c>
      <c r="BC158" s="386">
        <f t="shared" si="17"/>
        <v>0</v>
      </c>
      <c r="BD158" s="386">
        <f t="shared" si="23"/>
        <v>0</v>
      </c>
    </row>
    <row r="159" spans="1:56" x14ac:dyDescent="0.25">
      <c r="A159" s="388">
        <v>139</v>
      </c>
      <c r="B159" s="358" t="s">
        <v>502</v>
      </c>
      <c r="C159" s="389">
        <f t="shared" si="22"/>
        <v>9830</v>
      </c>
      <c r="D159" s="389">
        <v>0</v>
      </c>
      <c r="E159" s="389">
        <v>0</v>
      </c>
      <c r="F159" s="389">
        <v>0</v>
      </c>
      <c r="G159" s="389">
        <v>0</v>
      </c>
      <c r="H159" s="389">
        <v>0</v>
      </c>
      <c r="I159" s="389">
        <v>0</v>
      </c>
      <c r="J159" s="389">
        <v>0</v>
      </c>
      <c r="K159" s="389">
        <v>0</v>
      </c>
      <c r="L159" s="389">
        <v>0</v>
      </c>
      <c r="M159" s="389">
        <v>0</v>
      </c>
      <c r="N159" s="389">
        <v>9830</v>
      </c>
      <c r="O159" s="389">
        <v>0</v>
      </c>
      <c r="P159" s="389">
        <v>0</v>
      </c>
      <c r="Q159" s="389">
        <v>0</v>
      </c>
      <c r="R159" s="389">
        <v>0</v>
      </c>
      <c r="S159" s="389">
        <v>0</v>
      </c>
      <c r="T159" s="389">
        <v>0</v>
      </c>
      <c r="U159" s="386">
        <v>9830</v>
      </c>
      <c r="V159" s="390">
        <f t="shared" si="18"/>
        <v>0</v>
      </c>
      <c r="W159" s="386">
        <v>0</v>
      </c>
      <c r="X159" s="386">
        <v>0</v>
      </c>
      <c r="Y159" s="386">
        <f t="shared" si="19"/>
        <v>0</v>
      </c>
      <c r="Z159" s="386">
        <f t="shared" si="19"/>
        <v>0</v>
      </c>
      <c r="AA159" s="386">
        <v>0</v>
      </c>
      <c r="AB159" s="390">
        <f t="shared" si="20"/>
        <v>0</v>
      </c>
      <c r="AC159" s="386">
        <v>0</v>
      </c>
      <c r="AD159" s="390">
        <f t="shared" si="21"/>
        <v>0</v>
      </c>
      <c r="AE159" s="386">
        <v>0</v>
      </c>
      <c r="AF159" s="386">
        <v>0</v>
      </c>
      <c r="AG159" s="386">
        <v>0</v>
      </c>
      <c r="AH159" s="386">
        <v>0</v>
      </c>
      <c r="AI159" s="386">
        <v>0</v>
      </c>
      <c r="AJ159" s="386">
        <v>0</v>
      </c>
      <c r="AK159" s="386">
        <v>9830</v>
      </c>
      <c r="AL159" s="386">
        <v>0</v>
      </c>
      <c r="AM159" s="386">
        <v>0</v>
      </c>
      <c r="AN159" s="386">
        <v>0</v>
      </c>
      <c r="AO159" s="386">
        <v>0</v>
      </c>
      <c r="AP159" s="386">
        <v>0</v>
      </c>
      <c r="AQ159" s="386">
        <v>0</v>
      </c>
      <c r="AR159" s="386">
        <f t="shared" si="25"/>
        <v>0</v>
      </c>
      <c r="AS159" s="386">
        <f t="shared" si="25"/>
        <v>0</v>
      </c>
      <c r="AT159" s="386">
        <f t="shared" si="25"/>
        <v>0</v>
      </c>
      <c r="AU159" s="386">
        <f t="shared" si="24"/>
        <v>0</v>
      </c>
      <c r="AV159" s="386">
        <f t="shared" si="24"/>
        <v>0</v>
      </c>
      <c r="AW159" s="386">
        <f t="shared" si="24"/>
        <v>0</v>
      </c>
      <c r="AX159" s="386">
        <f t="shared" si="17"/>
        <v>0</v>
      </c>
      <c r="AY159" s="386">
        <f t="shared" si="17"/>
        <v>0</v>
      </c>
      <c r="AZ159" s="386">
        <f t="shared" si="17"/>
        <v>0</v>
      </c>
      <c r="BA159" s="386">
        <f t="shared" si="17"/>
        <v>0</v>
      </c>
      <c r="BB159" s="386">
        <f t="shared" si="17"/>
        <v>0</v>
      </c>
      <c r="BC159" s="386">
        <f t="shared" si="17"/>
        <v>0</v>
      </c>
      <c r="BD159" s="386">
        <f t="shared" si="23"/>
        <v>0</v>
      </c>
    </row>
    <row r="160" spans="1:56" x14ac:dyDescent="0.25">
      <c r="A160" s="388">
        <v>140</v>
      </c>
      <c r="B160" s="374" t="s">
        <v>417</v>
      </c>
      <c r="C160" s="389">
        <f t="shared" si="22"/>
        <v>26480</v>
      </c>
      <c r="D160" s="389">
        <v>0</v>
      </c>
      <c r="E160" s="389">
        <v>0</v>
      </c>
      <c r="F160" s="389">
        <v>0</v>
      </c>
      <c r="G160" s="389">
        <v>2648</v>
      </c>
      <c r="H160" s="389">
        <v>0</v>
      </c>
      <c r="I160" s="389">
        <v>23832</v>
      </c>
      <c r="J160" s="389">
        <v>0</v>
      </c>
      <c r="K160" s="389">
        <v>0</v>
      </c>
      <c r="L160" s="389">
        <v>0</v>
      </c>
      <c r="M160" s="389">
        <v>0</v>
      </c>
      <c r="N160" s="389">
        <v>0</v>
      </c>
      <c r="O160" s="389">
        <v>0</v>
      </c>
      <c r="P160" s="389">
        <v>0</v>
      </c>
      <c r="Q160" s="389">
        <v>0</v>
      </c>
      <c r="R160" s="389">
        <v>0</v>
      </c>
      <c r="S160" s="389">
        <v>0</v>
      </c>
      <c r="T160" s="389">
        <v>0</v>
      </c>
      <c r="U160" s="386">
        <v>26480</v>
      </c>
      <c r="V160" s="390">
        <f t="shared" si="18"/>
        <v>0</v>
      </c>
      <c r="W160" s="386">
        <v>0</v>
      </c>
      <c r="X160" s="386">
        <v>0</v>
      </c>
      <c r="Y160" s="386">
        <f t="shared" si="19"/>
        <v>0</v>
      </c>
      <c r="Z160" s="386">
        <f t="shared" si="19"/>
        <v>0</v>
      </c>
      <c r="AA160" s="386">
        <v>0</v>
      </c>
      <c r="AB160" s="390">
        <f t="shared" si="20"/>
        <v>0</v>
      </c>
      <c r="AC160" s="386">
        <v>2648</v>
      </c>
      <c r="AD160" s="390">
        <f t="shared" si="21"/>
        <v>0</v>
      </c>
      <c r="AE160" s="386">
        <v>0</v>
      </c>
      <c r="AF160" s="386">
        <v>23832</v>
      </c>
      <c r="AG160" s="386">
        <v>0</v>
      </c>
      <c r="AH160" s="386">
        <v>0</v>
      </c>
      <c r="AI160" s="386">
        <v>0</v>
      </c>
      <c r="AJ160" s="386">
        <v>0</v>
      </c>
      <c r="AK160" s="386">
        <v>0</v>
      </c>
      <c r="AL160" s="386">
        <v>0</v>
      </c>
      <c r="AM160" s="386">
        <v>0</v>
      </c>
      <c r="AN160" s="386">
        <v>0</v>
      </c>
      <c r="AO160" s="386">
        <v>0</v>
      </c>
      <c r="AP160" s="386">
        <v>0</v>
      </c>
      <c r="AQ160" s="386">
        <v>0</v>
      </c>
      <c r="AR160" s="386">
        <f t="shared" si="25"/>
        <v>0</v>
      </c>
      <c r="AS160" s="386">
        <f t="shared" si="25"/>
        <v>0</v>
      </c>
      <c r="AT160" s="386">
        <f t="shared" si="25"/>
        <v>0</v>
      </c>
      <c r="AU160" s="386">
        <f t="shared" si="24"/>
        <v>0</v>
      </c>
      <c r="AV160" s="386">
        <f t="shared" si="24"/>
        <v>0</v>
      </c>
      <c r="AW160" s="386">
        <f t="shared" si="24"/>
        <v>0</v>
      </c>
      <c r="AX160" s="386">
        <f t="shared" si="17"/>
        <v>0</v>
      </c>
      <c r="AY160" s="386">
        <f t="shared" si="17"/>
        <v>0</v>
      </c>
      <c r="AZ160" s="386">
        <f t="shared" si="17"/>
        <v>0</v>
      </c>
      <c r="BA160" s="386">
        <f t="shared" si="17"/>
        <v>0</v>
      </c>
      <c r="BB160" s="386">
        <f t="shared" si="17"/>
        <v>0</v>
      </c>
      <c r="BC160" s="386">
        <f t="shared" si="17"/>
        <v>0</v>
      </c>
      <c r="BD160" s="386">
        <f t="shared" si="23"/>
        <v>0</v>
      </c>
    </row>
    <row r="161" spans="1:56" x14ac:dyDescent="0.25">
      <c r="A161" s="388">
        <v>141</v>
      </c>
      <c r="B161" s="375" t="s">
        <v>410</v>
      </c>
      <c r="C161" s="389">
        <f t="shared" si="22"/>
        <v>10080</v>
      </c>
      <c r="D161" s="389">
        <v>0</v>
      </c>
      <c r="E161" s="389">
        <v>0</v>
      </c>
      <c r="F161" s="389">
        <v>0</v>
      </c>
      <c r="G161" s="389">
        <v>1008</v>
      </c>
      <c r="H161" s="389">
        <v>0</v>
      </c>
      <c r="I161" s="389">
        <v>9072</v>
      </c>
      <c r="J161" s="389">
        <v>0</v>
      </c>
      <c r="K161" s="389">
        <v>0</v>
      </c>
      <c r="L161" s="389">
        <v>0</v>
      </c>
      <c r="M161" s="389">
        <v>0</v>
      </c>
      <c r="N161" s="389">
        <v>0</v>
      </c>
      <c r="O161" s="389">
        <v>0</v>
      </c>
      <c r="P161" s="389">
        <v>0</v>
      </c>
      <c r="Q161" s="389">
        <v>0</v>
      </c>
      <c r="R161" s="389">
        <v>0</v>
      </c>
      <c r="S161" s="389">
        <v>0</v>
      </c>
      <c r="T161" s="389">
        <v>0</v>
      </c>
      <c r="U161" s="386">
        <v>10080</v>
      </c>
      <c r="V161" s="390">
        <f t="shared" si="18"/>
        <v>0</v>
      </c>
      <c r="W161" s="386">
        <v>0</v>
      </c>
      <c r="X161" s="386">
        <v>0</v>
      </c>
      <c r="Y161" s="386">
        <f t="shared" si="19"/>
        <v>0</v>
      </c>
      <c r="Z161" s="386">
        <f t="shared" si="19"/>
        <v>0</v>
      </c>
      <c r="AA161" s="386">
        <v>0</v>
      </c>
      <c r="AB161" s="390">
        <f t="shared" si="20"/>
        <v>0</v>
      </c>
      <c r="AC161" s="386">
        <v>1008</v>
      </c>
      <c r="AD161" s="390">
        <f t="shared" si="21"/>
        <v>0</v>
      </c>
      <c r="AE161" s="386">
        <v>0</v>
      </c>
      <c r="AF161" s="386">
        <v>9072</v>
      </c>
      <c r="AG161" s="386">
        <v>0</v>
      </c>
      <c r="AH161" s="386">
        <v>0</v>
      </c>
      <c r="AI161" s="386">
        <v>0</v>
      </c>
      <c r="AJ161" s="386">
        <v>0</v>
      </c>
      <c r="AK161" s="386">
        <v>0</v>
      </c>
      <c r="AL161" s="386">
        <v>0</v>
      </c>
      <c r="AM161" s="386">
        <v>0</v>
      </c>
      <c r="AN161" s="386">
        <v>0</v>
      </c>
      <c r="AO161" s="386">
        <v>0</v>
      </c>
      <c r="AP161" s="386">
        <v>0</v>
      </c>
      <c r="AQ161" s="386">
        <v>0</v>
      </c>
      <c r="AR161" s="386">
        <f t="shared" si="25"/>
        <v>0</v>
      </c>
      <c r="AS161" s="386">
        <f t="shared" si="25"/>
        <v>0</v>
      </c>
      <c r="AT161" s="386">
        <f t="shared" si="25"/>
        <v>0</v>
      </c>
      <c r="AU161" s="386">
        <f t="shared" si="24"/>
        <v>0</v>
      </c>
      <c r="AV161" s="386">
        <f t="shared" si="24"/>
        <v>0</v>
      </c>
      <c r="AW161" s="386">
        <f t="shared" si="24"/>
        <v>0</v>
      </c>
      <c r="AX161" s="386">
        <f t="shared" si="17"/>
        <v>0</v>
      </c>
      <c r="AY161" s="386">
        <f t="shared" si="17"/>
        <v>0</v>
      </c>
      <c r="AZ161" s="386">
        <f t="shared" si="17"/>
        <v>0</v>
      </c>
      <c r="BA161" s="386">
        <f t="shared" si="17"/>
        <v>0</v>
      </c>
      <c r="BB161" s="386">
        <f t="shared" si="17"/>
        <v>0</v>
      </c>
      <c r="BC161" s="386">
        <f t="shared" si="17"/>
        <v>0</v>
      </c>
      <c r="BD161" s="386">
        <f t="shared" si="23"/>
        <v>0</v>
      </c>
    </row>
    <row r="162" spans="1:56" x14ac:dyDescent="0.25">
      <c r="A162" s="388">
        <v>142</v>
      </c>
      <c r="B162" s="376" t="s">
        <v>701</v>
      </c>
      <c r="C162" s="389">
        <f t="shared" si="22"/>
        <v>5480</v>
      </c>
      <c r="D162" s="389">
        <v>0</v>
      </c>
      <c r="E162" s="389">
        <v>0</v>
      </c>
      <c r="F162" s="389">
        <v>0</v>
      </c>
      <c r="G162" s="389">
        <v>548</v>
      </c>
      <c r="H162" s="389">
        <v>0</v>
      </c>
      <c r="I162" s="389">
        <v>4932</v>
      </c>
      <c r="J162" s="389">
        <v>0</v>
      </c>
      <c r="K162" s="389">
        <v>0</v>
      </c>
      <c r="L162" s="389">
        <v>0</v>
      </c>
      <c r="M162" s="389">
        <v>0</v>
      </c>
      <c r="N162" s="389">
        <v>0</v>
      </c>
      <c r="O162" s="389">
        <v>0</v>
      </c>
      <c r="P162" s="389">
        <v>0</v>
      </c>
      <c r="Q162" s="389">
        <v>0</v>
      </c>
      <c r="R162" s="389">
        <v>0</v>
      </c>
      <c r="S162" s="389">
        <v>0</v>
      </c>
      <c r="T162" s="389">
        <v>0</v>
      </c>
      <c r="U162" s="386">
        <v>5480</v>
      </c>
      <c r="V162" s="390">
        <f t="shared" si="18"/>
        <v>0</v>
      </c>
      <c r="W162" s="386">
        <v>0</v>
      </c>
      <c r="X162" s="386">
        <v>0</v>
      </c>
      <c r="Y162" s="386">
        <f t="shared" si="19"/>
        <v>0</v>
      </c>
      <c r="Z162" s="386">
        <f t="shared" si="19"/>
        <v>0</v>
      </c>
      <c r="AA162" s="386">
        <v>0</v>
      </c>
      <c r="AB162" s="390">
        <f t="shared" si="20"/>
        <v>0</v>
      </c>
      <c r="AC162" s="386">
        <v>548</v>
      </c>
      <c r="AD162" s="390">
        <f t="shared" si="21"/>
        <v>0</v>
      </c>
      <c r="AE162" s="386">
        <v>0</v>
      </c>
      <c r="AF162" s="386">
        <v>4932</v>
      </c>
      <c r="AG162" s="386">
        <v>0</v>
      </c>
      <c r="AH162" s="386">
        <v>0</v>
      </c>
      <c r="AI162" s="386">
        <v>0</v>
      </c>
      <c r="AJ162" s="386">
        <v>0</v>
      </c>
      <c r="AK162" s="386">
        <v>0</v>
      </c>
      <c r="AL162" s="386">
        <v>0</v>
      </c>
      <c r="AM162" s="386">
        <v>0</v>
      </c>
      <c r="AN162" s="386">
        <v>0</v>
      </c>
      <c r="AO162" s="386">
        <v>0</v>
      </c>
      <c r="AP162" s="386">
        <v>0</v>
      </c>
      <c r="AQ162" s="386">
        <v>0</v>
      </c>
      <c r="AR162" s="386">
        <f t="shared" si="25"/>
        <v>0</v>
      </c>
      <c r="AS162" s="386">
        <f t="shared" si="25"/>
        <v>0</v>
      </c>
      <c r="AT162" s="386">
        <f t="shared" si="25"/>
        <v>0</v>
      </c>
      <c r="AU162" s="386">
        <f t="shared" si="24"/>
        <v>0</v>
      </c>
      <c r="AV162" s="386">
        <f t="shared" si="24"/>
        <v>0</v>
      </c>
      <c r="AW162" s="386">
        <f t="shared" si="24"/>
        <v>0</v>
      </c>
      <c r="AX162" s="386">
        <f t="shared" si="17"/>
        <v>0</v>
      </c>
      <c r="AY162" s="386">
        <f t="shared" si="17"/>
        <v>0</v>
      </c>
      <c r="AZ162" s="386">
        <f t="shared" si="17"/>
        <v>0</v>
      </c>
      <c r="BA162" s="386">
        <f t="shared" si="17"/>
        <v>0</v>
      </c>
      <c r="BB162" s="386">
        <f t="shared" si="17"/>
        <v>0</v>
      </c>
      <c r="BC162" s="386">
        <f t="shared" si="17"/>
        <v>0</v>
      </c>
      <c r="BD162" s="386">
        <f t="shared" si="23"/>
        <v>0</v>
      </c>
    </row>
    <row r="163" spans="1:56" x14ac:dyDescent="0.25">
      <c r="A163" s="388">
        <v>143</v>
      </c>
      <c r="B163" s="375" t="s">
        <v>702</v>
      </c>
      <c r="C163" s="389">
        <f t="shared" si="22"/>
        <v>2600</v>
      </c>
      <c r="D163" s="389">
        <v>0</v>
      </c>
      <c r="E163" s="389">
        <v>0</v>
      </c>
      <c r="F163" s="389">
        <v>0</v>
      </c>
      <c r="G163" s="389">
        <v>260</v>
      </c>
      <c r="H163" s="389">
        <v>0</v>
      </c>
      <c r="I163" s="389">
        <v>2340</v>
      </c>
      <c r="J163" s="389">
        <v>0</v>
      </c>
      <c r="K163" s="389">
        <v>0</v>
      </c>
      <c r="L163" s="389">
        <v>0</v>
      </c>
      <c r="M163" s="389">
        <v>0</v>
      </c>
      <c r="N163" s="389">
        <v>0</v>
      </c>
      <c r="O163" s="389">
        <v>0</v>
      </c>
      <c r="P163" s="389">
        <v>0</v>
      </c>
      <c r="Q163" s="389">
        <v>0</v>
      </c>
      <c r="R163" s="389">
        <v>0</v>
      </c>
      <c r="S163" s="389">
        <v>0</v>
      </c>
      <c r="T163" s="389">
        <v>0</v>
      </c>
      <c r="U163" s="386">
        <v>2600</v>
      </c>
      <c r="V163" s="390">
        <f t="shared" si="18"/>
        <v>0</v>
      </c>
      <c r="W163" s="386">
        <v>0</v>
      </c>
      <c r="X163" s="386">
        <v>0</v>
      </c>
      <c r="Y163" s="386">
        <f t="shared" si="19"/>
        <v>0</v>
      </c>
      <c r="Z163" s="386">
        <f t="shared" si="19"/>
        <v>0</v>
      </c>
      <c r="AA163" s="386">
        <v>0</v>
      </c>
      <c r="AB163" s="390">
        <f t="shared" si="20"/>
        <v>0</v>
      </c>
      <c r="AC163" s="386">
        <v>260</v>
      </c>
      <c r="AD163" s="390">
        <f t="shared" si="21"/>
        <v>0</v>
      </c>
      <c r="AE163" s="386">
        <v>0</v>
      </c>
      <c r="AF163" s="386">
        <v>2340</v>
      </c>
      <c r="AG163" s="386">
        <v>0</v>
      </c>
      <c r="AH163" s="386">
        <v>0</v>
      </c>
      <c r="AI163" s="386">
        <v>0</v>
      </c>
      <c r="AJ163" s="386">
        <v>0</v>
      </c>
      <c r="AK163" s="386">
        <v>0</v>
      </c>
      <c r="AL163" s="386">
        <v>0</v>
      </c>
      <c r="AM163" s="386">
        <v>0</v>
      </c>
      <c r="AN163" s="386">
        <v>0</v>
      </c>
      <c r="AO163" s="386">
        <v>0</v>
      </c>
      <c r="AP163" s="386">
        <v>0</v>
      </c>
      <c r="AQ163" s="386">
        <v>0</v>
      </c>
      <c r="AR163" s="386">
        <f t="shared" si="25"/>
        <v>0</v>
      </c>
      <c r="AS163" s="386">
        <f t="shared" si="25"/>
        <v>0</v>
      </c>
      <c r="AT163" s="386">
        <f t="shared" si="25"/>
        <v>0</v>
      </c>
      <c r="AU163" s="386">
        <f t="shared" si="24"/>
        <v>0</v>
      </c>
      <c r="AV163" s="386">
        <f t="shared" si="24"/>
        <v>0</v>
      </c>
      <c r="AW163" s="386">
        <f t="shared" si="24"/>
        <v>0</v>
      </c>
      <c r="AX163" s="386">
        <f t="shared" si="17"/>
        <v>0</v>
      </c>
      <c r="AY163" s="386">
        <f t="shared" si="17"/>
        <v>0</v>
      </c>
      <c r="AZ163" s="386">
        <f t="shared" si="17"/>
        <v>0</v>
      </c>
      <c r="BA163" s="386">
        <f t="shared" si="17"/>
        <v>0</v>
      </c>
      <c r="BB163" s="386">
        <f t="shared" si="17"/>
        <v>0</v>
      </c>
      <c r="BC163" s="386">
        <f t="shared" si="17"/>
        <v>0</v>
      </c>
      <c r="BD163" s="386">
        <f t="shared" si="23"/>
        <v>0</v>
      </c>
    </row>
    <row r="164" spans="1:56" x14ac:dyDescent="0.25">
      <c r="A164" s="388">
        <v>144</v>
      </c>
      <c r="B164" s="358" t="s">
        <v>703</v>
      </c>
      <c r="C164" s="389">
        <f t="shared" si="22"/>
        <v>640</v>
      </c>
      <c r="D164" s="389">
        <v>0</v>
      </c>
      <c r="E164" s="389">
        <v>0</v>
      </c>
      <c r="F164" s="389">
        <v>0</v>
      </c>
      <c r="G164" s="389">
        <v>64</v>
      </c>
      <c r="H164" s="389">
        <v>0</v>
      </c>
      <c r="I164" s="389">
        <v>576</v>
      </c>
      <c r="J164" s="389">
        <v>0</v>
      </c>
      <c r="K164" s="389">
        <v>0</v>
      </c>
      <c r="L164" s="389">
        <v>0</v>
      </c>
      <c r="M164" s="389">
        <v>0</v>
      </c>
      <c r="N164" s="389">
        <v>0</v>
      </c>
      <c r="O164" s="389">
        <v>0</v>
      </c>
      <c r="P164" s="389">
        <v>0</v>
      </c>
      <c r="Q164" s="389">
        <v>0</v>
      </c>
      <c r="R164" s="389">
        <v>0</v>
      </c>
      <c r="S164" s="389">
        <v>0</v>
      </c>
      <c r="T164" s="389">
        <v>0</v>
      </c>
      <c r="U164" s="386">
        <v>640</v>
      </c>
      <c r="V164" s="390">
        <f t="shared" si="18"/>
        <v>0</v>
      </c>
      <c r="W164" s="386">
        <v>0</v>
      </c>
      <c r="X164" s="386">
        <v>0</v>
      </c>
      <c r="Y164" s="386">
        <f t="shared" si="19"/>
        <v>0</v>
      </c>
      <c r="Z164" s="386">
        <f t="shared" si="19"/>
        <v>0</v>
      </c>
      <c r="AA164" s="386">
        <v>0</v>
      </c>
      <c r="AB164" s="390">
        <f t="shared" si="20"/>
        <v>0</v>
      </c>
      <c r="AC164" s="386">
        <v>64</v>
      </c>
      <c r="AD164" s="390">
        <f t="shared" si="21"/>
        <v>0</v>
      </c>
      <c r="AE164" s="386">
        <v>0</v>
      </c>
      <c r="AF164" s="386">
        <v>576</v>
      </c>
      <c r="AG164" s="386">
        <v>0</v>
      </c>
      <c r="AH164" s="386">
        <v>0</v>
      </c>
      <c r="AI164" s="386">
        <v>0</v>
      </c>
      <c r="AJ164" s="386">
        <v>0</v>
      </c>
      <c r="AK164" s="386">
        <v>0</v>
      </c>
      <c r="AL164" s="386">
        <v>0</v>
      </c>
      <c r="AM164" s="386">
        <v>0</v>
      </c>
      <c r="AN164" s="386">
        <v>0</v>
      </c>
      <c r="AO164" s="386">
        <v>0</v>
      </c>
      <c r="AP164" s="386">
        <v>0</v>
      </c>
      <c r="AQ164" s="386">
        <v>0</v>
      </c>
      <c r="AR164" s="386">
        <f t="shared" si="25"/>
        <v>0</v>
      </c>
      <c r="AS164" s="386">
        <f t="shared" si="25"/>
        <v>0</v>
      </c>
      <c r="AT164" s="386">
        <f t="shared" si="25"/>
        <v>0</v>
      </c>
      <c r="AU164" s="386">
        <f t="shared" si="24"/>
        <v>0</v>
      </c>
      <c r="AV164" s="386">
        <f t="shared" si="24"/>
        <v>0</v>
      </c>
      <c r="AW164" s="386">
        <f t="shared" si="24"/>
        <v>0</v>
      </c>
      <c r="AX164" s="386">
        <f t="shared" si="17"/>
        <v>0</v>
      </c>
      <c r="AY164" s="386">
        <f t="shared" si="17"/>
        <v>0</v>
      </c>
      <c r="AZ164" s="386">
        <f t="shared" si="17"/>
        <v>0</v>
      </c>
      <c r="BA164" s="386">
        <f t="shared" si="17"/>
        <v>0</v>
      </c>
      <c r="BB164" s="386">
        <f t="shared" si="17"/>
        <v>0</v>
      </c>
      <c r="BC164" s="386">
        <f t="shared" si="17"/>
        <v>0</v>
      </c>
      <c r="BD164" s="386">
        <f t="shared" si="23"/>
        <v>0</v>
      </c>
    </row>
    <row r="165" spans="1:56" ht="25.5" x14ac:dyDescent="0.25">
      <c r="A165" s="396"/>
      <c r="B165" s="358" t="s">
        <v>65</v>
      </c>
      <c r="C165" s="389">
        <f>D165+E165+F165+G165+H165+I165+J165+K165+L165+M165+N165+P165+Q165+R165+S165+T165+O165+161119+356543-517662+37000-5400</f>
        <v>302720</v>
      </c>
      <c r="D165" s="389">
        <v>0</v>
      </c>
      <c r="E165" s="389">
        <v>0</v>
      </c>
      <c r="F165" s="389">
        <v>0</v>
      </c>
      <c r="G165" s="389">
        <v>484</v>
      </c>
      <c r="H165" s="389">
        <v>0</v>
      </c>
      <c r="I165" s="389">
        <v>4388</v>
      </c>
      <c r="J165" s="389">
        <v>0</v>
      </c>
      <c r="K165" s="389">
        <v>0</v>
      </c>
      <c r="L165" s="389">
        <v>266248</v>
      </c>
      <c r="M165" s="389">
        <v>0</v>
      </c>
      <c r="N165" s="389">
        <v>0</v>
      </c>
      <c r="O165" s="389">
        <v>0</v>
      </c>
      <c r="P165" s="389">
        <v>0</v>
      </c>
      <c r="Q165" s="389">
        <v>0</v>
      </c>
      <c r="R165" s="389">
        <v>0</v>
      </c>
      <c r="S165" s="389">
        <v>0</v>
      </c>
      <c r="T165" s="389">
        <v>0</v>
      </c>
      <c r="U165" s="386">
        <v>308120</v>
      </c>
      <c r="V165" s="390">
        <f t="shared" si="18"/>
        <v>5400</v>
      </c>
      <c r="W165" s="386">
        <v>0</v>
      </c>
      <c r="X165" s="386">
        <v>0</v>
      </c>
      <c r="Y165" s="386">
        <f t="shared" si="19"/>
        <v>0</v>
      </c>
      <c r="Z165" s="386">
        <f t="shared" si="19"/>
        <v>0</v>
      </c>
      <c r="AA165" s="386">
        <v>0</v>
      </c>
      <c r="AB165" s="390">
        <f t="shared" si="20"/>
        <v>0</v>
      </c>
      <c r="AC165" s="386">
        <v>484</v>
      </c>
      <c r="AD165" s="390">
        <f t="shared" si="21"/>
        <v>0</v>
      </c>
      <c r="AE165" s="386">
        <v>0</v>
      </c>
      <c r="AF165" s="386">
        <v>4388</v>
      </c>
      <c r="AG165" s="386">
        <v>0</v>
      </c>
      <c r="AH165" s="386">
        <v>0</v>
      </c>
      <c r="AI165" s="386">
        <v>266248</v>
      </c>
      <c r="AJ165" s="386">
        <v>0</v>
      </c>
      <c r="AK165" s="386">
        <v>0</v>
      </c>
      <c r="AL165" s="386">
        <v>0</v>
      </c>
      <c r="AM165" s="386">
        <v>0</v>
      </c>
      <c r="AN165" s="386">
        <v>0</v>
      </c>
      <c r="AO165" s="386">
        <v>0</v>
      </c>
      <c r="AP165" s="386">
        <v>0</v>
      </c>
      <c r="AQ165" s="386">
        <v>0</v>
      </c>
      <c r="AR165" s="386">
        <f t="shared" si="25"/>
        <v>0</v>
      </c>
      <c r="AS165" s="386">
        <f t="shared" si="25"/>
        <v>0</v>
      </c>
      <c r="AT165" s="386">
        <f t="shared" si="25"/>
        <v>0</v>
      </c>
      <c r="AU165" s="386">
        <f t="shared" si="24"/>
        <v>0</v>
      </c>
      <c r="AV165" s="386">
        <f t="shared" si="24"/>
        <v>0</v>
      </c>
      <c r="AW165" s="386">
        <f t="shared" si="24"/>
        <v>0</v>
      </c>
      <c r="AX165" s="386">
        <f t="shared" si="17"/>
        <v>0</v>
      </c>
      <c r="AY165" s="386">
        <f t="shared" si="17"/>
        <v>0</v>
      </c>
      <c r="AZ165" s="386">
        <f t="shared" si="17"/>
        <v>0</v>
      </c>
      <c r="BA165" s="386">
        <f t="shared" si="17"/>
        <v>0</v>
      </c>
      <c r="BB165" s="386">
        <f t="shared" si="17"/>
        <v>0</v>
      </c>
      <c r="BC165" s="386">
        <f t="shared" si="17"/>
        <v>0</v>
      </c>
      <c r="BD165" s="386">
        <f t="shared" si="23"/>
        <v>0</v>
      </c>
    </row>
    <row r="166" spans="1:56" x14ac:dyDescent="0.25">
      <c r="A166" s="397"/>
      <c r="B166" s="397" t="s">
        <v>106</v>
      </c>
      <c r="C166" s="398">
        <f>SUM(C10:C165)</f>
        <v>10341098</v>
      </c>
      <c r="D166" s="398">
        <f t="shared" ref="D166:V166" si="26">SUM(D10:D165)</f>
        <v>151281</v>
      </c>
      <c r="E166" s="398">
        <f t="shared" si="26"/>
        <v>286853</v>
      </c>
      <c r="F166" s="398">
        <f t="shared" si="26"/>
        <v>2435131</v>
      </c>
      <c r="G166" s="398">
        <f t="shared" si="26"/>
        <v>59926</v>
      </c>
      <c r="H166" s="398">
        <f t="shared" si="26"/>
        <v>205160</v>
      </c>
      <c r="I166" s="398">
        <f t="shared" si="26"/>
        <v>178800</v>
      </c>
      <c r="J166" s="398">
        <f t="shared" si="26"/>
        <v>38951</v>
      </c>
      <c r="K166" s="398">
        <f t="shared" si="26"/>
        <v>16681</v>
      </c>
      <c r="L166" s="398">
        <f t="shared" si="26"/>
        <v>788109</v>
      </c>
      <c r="M166" s="398">
        <f t="shared" si="26"/>
        <v>2360860</v>
      </c>
      <c r="N166" s="398">
        <f t="shared" si="26"/>
        <v>807629</v>
      </c>
      <c r="O166" s="398">
        <f t="shared" si="26"/>
        <v>42275</v>
      </c>
      <c r="P166" s="398">
        <f t="shared" si="26"/>
        <v>147559</v>
      </c>
      <c r="Q166" s="398">
        <f t="shared" si="26"/>
        <v>431356</v>
      </c>
      <c r="R166" s="398">
        <f t="shared" si="26"/>
        <v>42515</v>
      </c>
      <c r="S166" s="398">
        <f t="shared" si="26"/>
        <v>283371</v>
      </c>
      <c r="T166" s="398">
        <f t="shared" si="26"/>
        <v>2033041</v>
      </c>
      <c r="U166" s="386">
        <v>10341098</v>
      </c>
      <c r="V166" s="390">
        <f t="shared" si="26"/>
        <v>0</v>
      </c>
      <c r="W166" s="386">
        <v>151281</v>
      </c>
      <c r="X166" s="386">
        <v>286853</v>
      </c>
      <c r="Y166" s="386">
        <f t="shared" ref="Y166:BD166" si="27">SUM(Y10:Y165)</f>
        <v>0</v>
      </c>
      <c r="Z166" s="386">
        <f t="shared" si="27"/>
        <v>0</v>
      </c>
      <c r="AA166" s="386">
        <v>2435131</v>
      </c>
      <c r="AB166" s="386">
        <f t="shared" si="27"/>
        <v>0</v>
      </c>
      <c r="AC166" s="386">
        <v>59926</v>
      </c>
      <c r="AD166" s="386">
        <f t="shared" si="27"/>
        <v>0</v>
      </c>
      <c r="AE166" s="386">
        <f t="shared" si="27"/>
        <v>205160</v>
      </c>
      <c r="AF166" s="386">
        <f t="shared" si="27"/>
        <v>178800</v>
      </c>
      <c r="AG166" s="386">
        <f t="shared" si="27"/>
        <v>38951</v>
      </c>
      <c r="AH166" s="386">
        <f t="shared" si="27"/>
        <v>16681</v>
      </c>
      <c r="AI166" s="386">
        <f t="shared" si="27"/>
        <v>788109</v>
      </c>
      <c r="AJ166" s="386">
        <v>2360860</v>
      </c>
      <c r="AK166" s="386">
        <v>802229</v>
      </c>
      <c r="AL166" s="386">
        <v>42275</v>
      </c>
      <c r="AM166" s="386">
        <v>147559</v>
      </c>
      <c r="AN166" s="386">
        <v>431356</v>
      </c>
      <c r="AO166" s="386">
        <v>42515</v>
      </c>
      <c r="AP166" s="386">
        <v>283371</v>
      </c>
      <c r="AQ166" s="386">
        <v>2033041</v>
      </c>
      <c r="AR166" s="386">
        <f t="shared" si="27"/>
        <v>0</v>
      </c>
      <c r="AS166" s="386">
        <f t="shared" si="27"/>
        <v>0</v>
      </c>
      <c r="AT166" s="386">
        <f t="shared" si="27"/>
        <v>0</v>
      </c>
      <c r="AU166" s="386">
        <f t="shared" si="27"/>
        <v>0</v>
      </c>
      <c r="AV166" s="386">
        <f t="shared" si="27"/>
        <v>0</v>
      </c>
      <c r="AW166" s="386">
        <f t="shared" si="27"/>
        <v>0</v>
      </c>
      <c r="AX166" s="386">
        <f t="shared" si="27"/>
        <v>-5400</v>
      </c>
      <c r="AY166" s="386">
        <f t="shared" si="27"/>
        <v>0</v>
      </c>
      <c r="AZ166" s="386">
        <f t="shared" si="27"/>
        <v>0</v>
      </c>
      <c r="BA166" s="386">
        <f t="shared" si="27"/>
        <v>0</v>
      </c>
      <c r="BB166" s="386">
        <f t="shared" si="27"/>
        <v>0</v>
      </c>
      <c r="BC166" s="386">
        <f t="shared" si="27"/>
        <v>0</v>
      </c>
      <c r="BD166" s="386">
        <f t="shared" si="27"/>
        <v>0</v>
      </c>
    </row>
    <row r="169" spans="1:56" x14ac:dyDescent="0.25">
      <c r="C169" s="390"/>
    </row>
    <row r="170" spans="1:56" x14ac:dyDescent="0.25">
      <c r="E170" s="390"/>
      <c r="F170" s="390"/>
    </row>
    <row r="171" spans="1:56" x14ac:dyDescent="0.25">
      <c r="E171" s="390"/>
      <c r="F171" s="390"/>
      <c r="I171" s="390"/>
    </row>
    <row r="172" spans="1:56" x14ac:dyDescent="0.25">
      <c r="E172" s="390"/>
    </row>
    <row r="173" spans="1:56" x14ac:dyDescent="0.25">
      <c r="A173" s="386"/>
      <c r="B173" s="386"/>
      <c r="E173" s="390"/>
    </row>
    <row r="174" spans="1:56" x14ac:dyDescent="0.25">
      <c r="A174" s="386"/>
      <c r="B174" s="386"/>
      <c r="E174" s="390"/>
    </row>
  </sheetData>
  <mergeCells count="32">
    <mergeCell ref="S6:T7"/>
    <mergeCell ref="J7:J8"/>
    <mergeCell ref="K7:K8"/>
    <mergeCell ref="A14:A15"/>
    <mergeCell ref="A36:A37"/>
    <mergeCell ref="N6:N8"/>
    <mergeCell ref="O6:O8"/>
    <mergeCell ref="P6:Q7"/>
    <mergeCell ref="R6:R8"/>
    <mergeCell ref="A157:A158"/>
    <mergeCell ref="A39:A40"/>
    <mergeCell ref="A47:A49"/>
    <mergeCell ref="A52:A53"/>
    <mergeCell ref="A111:A112"/>
    <mergeCell ref="A116:A117"/>
    <mergeCell ref="A155:A156"/>
    <mergeCell ref="B1:S1"/>
    <mergeCell ref="A3:A8"/>
    <mergeCell ref="B3:B8"/>
    <mergeCell ref="C3:C8"/>
    <mergeCell ref="D3:T3"/>
    <mergeCell ref="D4:D8"/>
    <mergeCell ref="E4:G5"/>
    <mergeCell ref="H4:H8"/>
    <mergeCell ref="I4:N5"/>
    <mergeCell ref="O4:Q5"/>
    <mergeCell ref="R4:T5"/>
    <mergeCell ref="E6:F7"/>
    <mergeCell ref="G6:G8"/>
    <mergeCell ref="I6:I8"/>
    <mergeCell ref="J6:K6"/>
    <mergeCell ref="L6: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 x14ac:dyDescent="0.2"/>
  <cols>
    <col min="1" max="1" width="4.140625" style="399" customWidth="1"/>
    <col min="2" max="2" width="31.28515625" style="399" customWidth="1"/>
    <col min="3" max="3" width="12.5703125" style="399" customWidth="1"/>
    <col min="4" max="4" width="18.7109375" style="399" customWidth="1"/>
    <col min="5" max="5" width="18.85546875" style="399" customWidth="1"/>
    <col min="6" max="6" width="19.28515625" style="399" customWidth="1"/>
    <col min="7" max="7" width="14" style="399" customWidth="1"/>
    <col min="8" max="8" width="18.85546875" style="399" customWidth="1"/>
    <col min="9" max="9" width="14" style="399" customWidth="1"/>
    <col min="10" max="16384" width="9.140625" style="399"/>
  </cols>
  <sheetData>
    <row r="1" spans="1:11" x14ac:dyDescent="0.2">
      <c r="H1" s="615"/>
      <c r="I1" s="615"/>
    </row>
    <row r="2" spans="1:11" ht="18.75" x14ac:dyDescent="0.3">
      <c r="B2" s="616" t="s">
        <v>718</v>
      </c>
      <c r="C2" s="616"/>
      <c r="D2" s="616"/>
      <c r="E2" s="616"/>
      <c r="F2" s="616"/>
      <c r="G2" s="616"/>
      <c r="H2" s="616"/>
      <c r="I2" s="616"/>
    </row>
    <row r="4" spans="1:11" x14ac:dyDescent="0.2">
      <c r="A4" s="617" t="s">
        <v>719</v>
      </c>
      <c r="B4" s="620" t="s">
        <v>82</v>
      </c>
      <c r="C4" s="620" t="s">
        <v>720</v>
      </c>
      <c r="D4" s="620" t="s">
        <v>420</v>
      </c>
      <c r="E4" s="620"/>
      <c r="F4" s="621" t="s">
        <v>721</v>
      </c>
      <c r="G4" s="621"/>
      <c r="H4" s="621"/>
      <c r="I4" s="621"/>
    </row>
    <row r="5" spans="1:11" x14ac:dyDescent="0.2">
      <c r="A5" s="618"/>
      <c r="B5" s="620"/>
      <c r="C5" s="620"/>
      <c r="D5" s="620"/>
      <c r="E5" s="620"/>
      <c r="F5" s="622" t="s">
        <v>722</v>
      </c>
      <c r="G5" s="622"/>
      <c r="H5" s="622" t="s">
        <v>723</v>
      </c>
      <c r="I5" s="622"/>
    </row>
    <row r="6" spans="1:11" x14ac:dyDescent="0.2">
      <c r="A6" s="618"/>
      <c r="B6" s="620"/>
      <c r="C6" s="620"/>
      <c r="D6" s="620" t="s">
        <v>724</v>
      </c>
      <c r="E6" s="620" t="s">
        <v>725</v>
      </c>
      <c r="F6" s="620" t="s">
        <v>724</v>
      </c>
      <c r="G6" s="620" t="s">
        <v>725</v>
      </c>
      <c r="H6" s="620" t="s">
        <v>724</v>
      </c>
      <c r="I6" s="620" t="s">
        <v>725</v>
      </c>
    </row>
    <row r="7" spans="1:11" ht="39.75" customHeight="1" x14ac:dyDescent="0.2">
      <c r="A7" s="619"/>
      <c r="B7" s="620"/>
      <c r="C7" s="620"/>
      <c r="D7" s="620"/>
      <c r="E7" s="620"/>
      <c r="F7" s="620"/>
      <c r="G7" s="620"/>
      <c r="H7" s="620"/>
      <c r="I7" s="620"/>
    </row>
    <row r="8" spans="1:11" s="402" customFormat="1" ht="11.25" x14ac:dyDescent="0.2">
      <c r="A8" s="400">
        <v>1</v>
      </c>
      <c r="B8" s="400">
        <v>2</v>
      </c>
      <c r="C8" s="401">
        <v>3</v>
      </c>
      <c r="D8" s="401">
        <v>4</v>
      </c>
      <c r="E8" s="401">
        <v>5</v>
      </c>
      <c r="F8" s="401">
        <v>6</v>
      </c>
      <c r="G8" s="401">
        <v>7</v>
      </c>
      <c r="H8" s="401">
        <v>8</v>
      </c>
      <c r="I8" s="401">
        <v>9</v>
      </c>
    </row>
    <row r="9" spans="1:11" x14ac:dyDescent="0.2">
      <c r="A9" s="403">
        <v>1</v>
      </c>
      <c r="B9" s="404" t="s">
        <v>11</v>
      </c>
      <c r="C9" s="405">
        <f>D9+E9</f>
        <v>12290</v>
      </c>
      <c r="D9" s="405">
        <f t="shared" ref="D9:E31" si="0">F9+H9</f>
        <v>9826</v>
      </c>
      <c r="E9" s="405">
        <f t="shared" si="0"/>
        <v>2464</v>
      </c>
      <c r="F9" s="405">
        <f>'[5]ЦЗ 2020 Пр.110 объемы уточ.'!F9+'[5]ЦЗ  Пр.111 уточнение объемов'!F9</f>
        <v>7394</v>
      </c>
      <c r="G9" s="405">
        <f>'[5]ЦЗ 2020 Пр.110 объемы уточ.'!G9+'[5]ЦЗ  Пр.111 уточнение объемов'!G9</f>
        <v>1855</v>
      </c>
      <c r="H9" s="405">
        <f>'[5]ЦЗ 2020 Пр.110 объемы уточ.'!H9+'[5]ЦЗ  Пр.111 уточнение объемов'!H9</f>
        <v>2432</v>
      </c>
      <c r="I9" s="405">
        <f>'[5]ЦЗ 2020 Пр.110 объемы уточ.'!I9+'[5]ЦЗ  Пр.111 уточнение объемов'!I9</f>
        <v>609</v>
      </c>
      <c r="K9" s="406"/>
    </row>
    <row r="10" spans="1:11" x14ac:dyDescent="0.2">
      <c r="A10" s="403">
        <v>2</v>
      </c>
      <c r="B10" s="404" t="s">
        <v>13</v>
      </c>
      <c r="C10" s="405">
        <f t="shared" ref="C10:C31" si="1">D10+E10</f>
        <v>8225</v>
      </c>
      <c r="D10" s="405">
        <f t="shared" si="0"/>
        <v>6584</v>
      </c>
      <c r="E10" s="405">
        <f t="shared" si="0"/>
        <v>1641</v>
      </c>
      <c r="F10" s="405">
        <f>'[5]ЦЗ 2020 Пр.110 объемы уточ.'!F10+'[5]ЦЗ  Пр.111 уточнение объемов'!F10</f>
        <v>5095</v>
      </c>
      <c r="G10" s="405">
        <f>'[5]ЦЗ 2020 Пр.110 объемы уточ.'!G10+'[5]ЦЗ  Пр.111 уточнение объемов'!G10</f>
        <v>1269</v>
      </c>
      <c r="H10" s="405">
        <f>'[5]ЦЗ 2020 Пр.110 объемы уточ.'!H10+'[5]ЦЗ  Пр.111 уточнение объемов'!H10</f>
        <v>1489</v>
      </c>
      <c r="I10" s="405">
        <f>'[5]ЦЗ 2020 Пр.110 объемы уточ.'!I10+'[5]ЦЗ  Пр.111 уточнение объемов'!I10</f>
        <v>372</v>
      </c>
      <c r="K10" s="406"/>
    </row>
    <row r="11" spans="1:11" x14ac:dyDescent="0.2">
      <c r="A11" s="403">
        <v>3</v>
      </c>
      <c r="B11" s="404" t="s">
        <v>36</v>
      </c>
      <c r="C11" s="405">
        <f t="shared" si="1"/>
        <v>6893</v>
      </c>
      <c r="D11" s="405">
        <f t="shared" si="0"/>
        <v>6382</v>
      </c>
      <c r="E11" s="405">
        <f t="shared" si="0"/>
        <v>511</v>
      </c>
      <c r="F11" s="405">
        <f>'[5]ЦЗ 2020 Пр.110 объемы уточ.'!F11+'[5]ЦЗ  Пр.111 уточнение объемов'!F11</f>
        <v>5144</v>
      </c>
      <c r="G11" s="405">
        <f>'[5]ЦЗ 2020 Пр.110 объемы уточ.'!G11+'[5]ЦЗ  Пр.111 уточнение объемов'!G11</f>
        <v>196</v>
      </c>
      <c r="H11" s="405">
        <f>'[5]ЦЗ 2020 Пр.110 объемы уточ.'!H11+'[5]ЦЗ  Пр.111 уточнение объемов'!H11</f>
        <v>1238</v>
      </c>
      <c r="I11" s="405">
        <f>'[5]ЦЗ 2020 Пр.110 объемы уточ.'!I11+'[5]ЦЗ  Пр.111 уточнение объемов'!I11</f>
        <v>315</v>
      </c>
      <c r="K11" s="406"/>
    </row>
    <row r="12" spans="1:11" x14ac:dyDescent="0.2">
      <c r="A12" s="403">
        <v>4</v>
      </c>
      <c r="B12" s="404" t="s">
        <v>21</v>
      </c>
      <c r="C12" s="405">
        <f t="shared" si="1"/>
        <v>5362</v>
      </c>
      <c r="D12" s="405">
        <f t="shared" si="0"/>
        <v>4268</v>
      </c>
      <c r="E12" s="405">
        <f t="shared" si="0"/>
        <v>1094</v>
      </c>
      <c r="F12" s="405">
        <f>'[5]ЦЗ 2020 Пр.110 объемы уточ.'!F12+'[5]ЦЗ  Пр.111 уточнение объемов'!F12</f>
        <v>3208</v>
      </c>
      <c r="G12" s="405">
        <f>'[5]ЦЗ 2020 Пр.110 объемы уточ.'!G12+'[5]ЦЗ  Пр.111 уточнение объемов'!G12</f>
        <v>829</v>
      </c>
      <c r="H12" s="405">
        <f>'[5]ЦЗ 2020 Пр.110 объемы уточ.'!H12+'[5]ЦЗ  Пр.111 уточнение объемов'!H12</f>
        <v>1060</v>
      </c>
      <c r="I12" s="405">
        <f>'[5]ЦЗ 2020 Пр.110 объемы уточ.'!I12+'[5]ЦЗ  Пр.111 уточнение объемов'!I12</f>
        <v>265</v>
      </c>
      <c r="K12" s="406"/>
    </row>
    <row r="13" spans="1:11" x14ac:dyDescent="0.2">
      <c r="A13" s="403">
        <v>5</v>
      </c>
      <c r="B13" s="404" t="s">
        <v>194</v>
      </c>
      <c r="C13" s="405">
        <f t="shared" si="1"/>
        <v>13874</v>
      </c>
      <c r="D13" s="405">
        <f t="shared" si="0"/>
        <v>11099</v>
      </c>
      <c r="E13" s="405">
        <f t="shared" si="0"/>
        <v>2775</v>
      </c>
      <c r="F13" s="405">
        <f>'[5]ЦЗ 2020 Пр.110 объемы уточ.'!F13+'[5]ЦЗ  Пр.111 уточнение объемов'!F13</f>
        <v>8584</v>
      </c>
      <c r="G13" s="405">
        <f>'[5]ЦЗ 2020 Пр.110 объемы уточ.'!G13+'[5]ЦЗ  Пр.111 уточнение объемов'!G13</f>
        <v>2146</v>
      </c>
      <c r="H13" s="405">
        <f>'[5]ЦЗ 2020 Пр.110 объемы уточ.'!H13+'[5]ЦЗ  Пр.111 уточнение объемов'!H13</f>
        <v>2515</v>
      </c>
      <c r="I13" s="405">
        <f>'[5]ЦЗ 2020 Пр.110 объемы уточ.'!I13+'[5]ЦЗ  Пр.111 уточнение объемов'!I13</f>
        <v>629</v>
      </c>
      <c r="K13" s="406"/>
    </row>
    <row r="14" spans="1:11" x14ac:dyDescent="0.2">
      <c r="A14" s="403">
        <v>6</v>
      </c>
      <c r="B14" s="404" t="s">
        <v>52</v>
      </c>
      <c r="C14" s="405">
        <f t="shared" si="1"/>
        <v>8103</v>
      </c>
      <c r="D14" s="405">
        <f t="shared" si="0"/>
        <v>6482</v>
      </c>
      <c r="E14" s="405">
        <f t="shared" si="0"/>
        <v>1621</v>
      </c>
      <c r="F14" s="405">
        <f>'[5]ЦЗ 2020 Пр.110 объемы уточ.'!F14+'[5]ЦЗ  Пр.111 уточнение объемов'!F14</f>
        <v>4789</v>
      </c>
      <c r="G14" s="405">
        <f>'[5]ЦЗ 2020 Пр.110 объемы уточ.'!G14+'[5]ЦЗ  Пр.111 уточнение объемов'!G14</f>
        <v>1197</v>
      </c>
      <c r="H14" s="405">
        <f>'[5]ЦЗ 2020 Пр.110 объемы уточ.'!H14+'[5]ЦЗ  Пр.111 уточнение объемов'!H14</f>
        <v>1693</v>
      </c>
      <c r="I14" s="405">
        <f>'[5]ЦЗ 2020 Пр.110 объемы уточ.'!I14+'[5]ЦЗ  Пр.111 уточнение объемов'!I14</f>
        <v>424</v>
      </c>
      <c r="K14" s="406"/>
    </row>
    <row r="15" spans="1:11" ht="25.5" x14ac:dyDescent="0.2">
      <c r="A15" s="403">
        <v>7</v>
      </c>
      <c r="B15" s="404" t="s">
        <v>54</v>
      </c>
      <c r="C15" s="405">
        <f t="shared" si="1"/>
        <v>3095</v>
      </c>
      <c r="D15" s="405">
        <f t="shared" si="0"/>
        <v>1874</v>
      </c>
      <c r="E15" s="405">
        <f>G15+I15</f>
        <v>1221</v>
      </c>
      <c r="F15" s="405">
        <v>1874</v>
      </c>
      <c r="G15" s="405">
        <f>1199+22</f>
        <v>1221</v>
      </c>
      <c r="H15" s="405">
        <f>'[5]ЦЗ 2020 Пр.110 объемы уточ.'!H15+'[5]ЦЗ  Пр.111 уточнение объемов'!H15</f>
        <v>0</v>
      </c>
      <c r="I15" s="405">
        <f>'[5]ЦЗ 2020 Пр.110 объемы уточ.'!I15+'[5]ЦЗ  Пр.111 уточнение объемов'!I15</f>
        <v>0</v>
      </c>
      <c r="K15" s="406"/>
    </row>
    <row r="16" spans="1:11" ht="51" x14ac:dyDescent="0.2">
      <c r="A16" s="403">
        <v>8</v>
      </c>
      <c r="B16" s="358" t="s">
        <v>443</v>
      </c>
      <c r="C16" s="405">
        <f t="shared" si="1"/>
        <v>15046</v>
      </c>
      <c r="D16" s="405">
        <f t="shared" si="0"/>
        <v>12572</v>
      </c>
      <c r="E16" s="405">
        <f t="shared" si="0"/>
        <v>2474</v>
      </c>
      <c r="F16" s="405">
        <v>12572</v>
      </c>
      <c r="G16" s="405">
        <f>2496-22</f>
        <v>2474</v>
      </c>
      <c r="H16" s="405">
        <v>0</v>
      </c>
      <c r="I16" s="405">
        <v>0</v>
      </c>
      <c r="K16" s="406"/>
    </row>
    <row r="17" spans="1:11" x14ac:dyDescent="0.2">
      <c r="A17" s="403">
        <v>9</v>
      </c>
      <c r="B17" s="404" t="s">
        <v>200</v>
      </c>
      <c r="C17" s="405">
        <f>D17+E17</f>
        <v>19289</v>
      </c>
      <c r="D17" s="405">
        <f t="shared" si="0"/>
        <v>15432</v>
      </c>
      <c r="E17" s="405">
        <f t="shared" si="0"/>
        <v>3857</v>
      </c>
      <c r="F17" s="405">
        <f>'[5]ЦЗ 2020 Пр.110 объемы уточ.'!F16+'[5]ЦЗ  Пр.111 уточнение объемов'!F17</f>
        <v>13659</v>
      </c>
      <c r="G17" s="405">
        <f>'[5]ЦЗ 2020 Пр.110 объемы уточ.'!G16+'[5]ЦЗ  Пр.111 уточнение объемов'!G17</f>
        <v>3415</v>
      </c>
      <c r="H17" s="405">
        <f>'[5]ЦЗ 2020 Пр.110 объемы уточ.'!H16+'[5]ЦЗ  Пр.111 уточнение объемов'!H17</f>
        <v>1773</v>
      </c>
      <c r="I17" s="405">
        <f>'[5]ЦЗ 2020 Пр.110 объемы уточ.'!I16+'[5]ЦЗ  Пр.111 уточнение объемов'!I17</f>
        <v>442</v>
      </c>
      <c r="K17" s="406"/>
    </row>
    <row r="18" spans="1:11" x14ac:dyDescent="0.2">
      <c r="A18" s="403">
        <v>10</v>
      </c>
      <c r="B18" s="404" t="s">
        <v>255</v>
      </c>
      <c r="C18" s="405">
        <f t="shared" si="1"/>
        <v>10178</v>
      </c>
      <c r="D18" s="405">
        <f t="shared" si="0"/>
        <v>8121</v>
      </c>
      <c r="E18" s="405">
        <f t="shared" si="0"/>
        <v>2057</v>
      </c>
      <c r="F18" s="405">
        <f>'[5]ЦЗ 2020 Пр.110 объемы уточ.'!F17+'[5]ЦЗ  Пр.111 уточнение объемов'!F18</f>
        <v>7153</v>
      </c>
      <c r="G18" s="405">
        <f>'[5]ЦЗ 2020 Пр.110 объемы уточ.'!G17+'[5]ЦЗ  Пр.111 уточнение объемов'!G18</f>
        <v>1815</v>
      </c>
      <c r="H18" s="405">
        <f>'[5]ЦЗ 2020 Пр.110 объемы уточ.'!H17+'[5]ЦЗ  Пр.111 уточнение объемов'!H18</f>
        <v>968</v>
      </c>
      <c r="I18" s="405">
        <f>'[5]ЦЗ 2020 Пр.110 объемы уточ.'!I17+'[5]ЦЗ  Пр.111 уточнение объемов'!I18</f>
        <v>242</v>
      </c>
      <c r="K18" s="406"/>
    </row>
    <row r="19" spans="1:11" x14ac:dyDescent="0.2">
      <c r="A19" s="403">
        <v>11</v>
      </c>
      <c r="B19" s="404" t="s">
        <v>625</v>
      </c>
      <c r="C19" s="405">
        <f t="shared" si="1"/>
        <v>5364</v>
      </c>
      <c r="D19" s="405">
        <f t="shared" si="0"/>
        <v>4287</v>
      </c>
      <c r="E19" s="405">
        <f t="shared" si="0"/>
        <v>1077</v>
      </c>
      <c r="F19" s="405">
        <f>'[5]ЦЗ 2020 Пр.110 объемы уточ.'!F18+'[5]ЦЗ  Пр.111 уточнение объемов'!F19</f>
        <v>0</v>
      </c>
      <c r="G19" s="405">
        <f>'[5]ЦЗ 2020 Пр.110 объемы уточ.'!G18+'[5]ЦЗ  Пр.111 уточнение объемов'!G19</f>
        <v>0</v>
      </c>
      <c r="H19" s="405">
        <f>'[5]ЦЗ 2020 Пр.110 объемы уточ.'!H18+'[5]ЦЗ  Пр.111 уточнение объемов'!H19</f>
        <v>4287</v>
      </c>
      <c r="I19" s="405">
        <f>'[5]ЦЗ 2020 Пр.110 объемы уточ.'!I18+'[5]ЦЗ  Пр.111 уточнение объемов'!I19</f>
        <v>1077</v>
      </c>
      <c r="K19" s="406"/>
    </row>
    <row r="20" spans="1:11" x14ac:dyDescent="0.2">
      <c r="A20" s="403">
        <v>12</v>
      </c>
      <c r="B20" s="404" t="s">
        <v>22</v>
      </c>
      <c r="C20" s="405">
        <f t="shared" si="1"/>
        <v>7186</v>
      </c>
      <c r="D20" s="405">
        <f t="shared" si="0"/>
        <v>5746</v>
      </c>
      <c r="E20" s="405">
        <f t="shared" si="0"/>
        <v>1440</v>
      </c>
      <c r="F20" s="405">
        <f>'[5]ЦЗ 2020 Пр.110 объемы уточ.'!F19+'[5]ЦЗ  Пр.111 уточнение объемов'!F20</f>
        <v>4509</v>
      </c>
      <c r="G20" s="405">
        <f>'[5]ЦЗ 2020 Пр.110 объемы уточ.'!G19+'[5]ЦЗ  Пр.111 уточнение объемов'!G20</f>
        <v>1129</v>
      </c>
      <c r="H20" s="405">
        <f>'[5]ЦЗ 2020 Пр.110 объемы уточ.'!H19+'[5]ЦЗ  Пр.111 уточнение объемов'!H20</f>
        <v>1237</v>
      </c>
      <c r="I20" s="405">
        <f>'[5]ЦЗ 2020 Пр.110 объемы уточ.'!I19+'[5]ЦЗ  Пр.111 уточнение объемов'!I20</f>
        <v>311</v>
      </c>
      <c r="K20" s="406"/>
    </row>
    <row r="21" spans="1:11" x14ac:dyDescent="0.2">
      <c r="A21" s="403">
        <v>13</v>
      </c>
      <c r="B21" s="404" t="s">
        <v>28</v>
      </c>
      <c r="C21" s="405">
        <f t="shared" si="1"/>
        <v>4221</v>
      </c>
      <c r="D21" s="405">
        <f t="shared" si="0"/>
        <v>3378</v>
      </c>
      <c r="E21" s="405">
        <f t="shared" si="0"/>
        <v>843</v>
      </c>
      <c r="F21" s="405">
        <f>'[5]ЦЗ 2020 Пр.110 объемы уточ.'!F20+'[5]ЦЗ  Пр.111 уточнение объемов'!F21</f>
        <v>2607</v>
      </c>
      <c r="G21" s="405">
        <f>'[5]ЦЗ 2020 Пр.110 объемы уточ.'!G20+'[5]ЦЗ  Пр.111 уточнение объемов'!G21</f>
        <v>651</v>
      </c>
      <c r="H21" s="405">
        <f>'[5]ЦЗ 2020 Пр.110 объемы уточ.'!H20+'[5]ЦЗ  Пр.111 уточнение объемов'!H21</f>
        <v>771</v>
      </c>
      <c r="I21" s="405">
        <f>'[5]ЦЗ 2020 Пр.110 объемы уточ.'!I20+'[5]ЦЗ  Пр.111 уточнение объемов'!I21</f>
        <v>192</v>
      </c>
      <c r="K21" s="406"/>
    </row>
    <row r="22" spans="1:11" x14ac:dyDescent="0.2">
      <c r="A22" s="403">
        <v>14</v>
      </c>
      <c r="B22" s="404" t="s">
        <v>53</v>
      </c>
      <c r="C22" s="405">
        <f t="shared" si="1"/>
        <v>11808</v>
      </c>
      <c r="D22" s="405">
        <f t="shared" si="0"/>
        <v>9472</v>
      </c>
      <c r="E22" s="405">
        <f t="shared" si="0"/>
        <v>2336</v>
      </c>
      <c r="F22" s="405">
        <f>'[5]ЦЗ 2020 Пр.110 объемы уточ.'!F21+'[5]ЦЗ  Пр.111 уточнение объемов'!F22</f>
        <v>7443</v>
      </c>
      <c r="G22" s="405">
        <f>'[5]ЦЗ 2020 Пр.110 объемы уточ.'!G21+'[5]ЦЗ  Пр.111 уточнение объемов'!G22</f>
        <v>1829</v>
      </c>
      <c r="H22" s="405">
        <f>'[5]ЦЗ 2020 Пр.110 объемы уточ.'!H21+'[5]ЦЗ  Пр.111 уточнение объемов'!H22</f>
        <v>2029</v>
      </c>
      <c r="I22" s="405">
        <f>'[5]ЦЗ 2020 Пр.110 объемы уточ.'!I21+'[5]ЦЗ  Пр.111 уточнение объемов'!I22</f>
        <v>507</v>
      </c>
      <c r="K22" s="406"/>
    </row>
    <row r="23" spans="1:11" x14ac:dyDescent="0.2">
      <c r="A23" s="403">
        <v>15</v>
      </c>
      <c r="B23" s="404" t="s">
        <v>45</v>
      </c>
      <c r="C23" s="405">
        <f t="shared" si="1"/>
        <v>2652</v>
      </c>
      <c r="D23" s="405">
        <f t="shared" si="0"/>
        <v>2122</v>
      </c>
      <c r="E23" s="405">
        <f t="shared" si="0"/>
        <v>530</v>
      </c>
      <c r="F23" s="405">
        <f>'[5]ЦЗ 2020 Пр.110 объемы уточ.'!F22+'[5]ЦЗ  Пр.111 уточнение объемов'!F23</f>
        <v>0</v>
      </c>
      <c r="G23" s="405">
        <f>'[5]ЦЗ 2020 Пр.110 объемы уточ.'!G22+'[5]ЦЗ  Пр.111 уточнение объемов'!G23</f>
        <v>0</v>
      </c>
      <c r="H23" s="405">
        <f>'[5]ЦЗ 2020 Пр.110 объемы уточ.'!H22+'[5]ЦЗ  Пр.111 уточнение объемов'!H23</f>
        <v>2122</v>
      </c>
      <c r="I23" s="405">
        <f>'[5]ЦЗ 2020 Пр.110 объемы уточ.'!I22+'[5]ЦЗ  Пр.111 уточнение объемов'!I23</f>
        <v>530</v>
      </c>
      <c r="K23" s="406"/>
    </row>
    <row r="24" spans="1:11" ht="25.5" x14ac:dyDescent="0.2">
      <c r="A24" s="403">
        <v>16</v>
      </c>
      <c r="B24" s="404" t="s">
        <v>464</v>
      </c>
      <c r="C24" s="405">
        <f t="shared" si="1"/>
        <v>8310</v>
      </c>
      <c r="D24" s="405">
        <f t="shared" si="0"/>
        <v>6645</v>
      </c>
      <c r="E24" s="405">
        <f t="shared" si="0"/>
        <v>1665</v>
      </c>
      <c r="F24" s="405">
        <f>'[5]ЦЗ 2020 Пр.110 объемы уточ.'!F23+'[5]ЦЗ  Пр.111 уточнение объемов'!F24</f>
        <v>0</v>
      </c>
      <c r="G24" s="405">
        <f>'[5]ЦЗ 2020 Пр.110 объемы уточ.'!G23+'[5]ЦЗ  Пр.111 уточнение объемов'!G24</f>
        <v>0</v>
      </c>
      <c r="H24" s="405">
        <f>'[5]ЦЗ 2020 Пр.110 объемы уточ.'!H23+'[5]ЦЗ  Пр.111 уточнение объемов'!H24</f>
        <v>6645</v>
      </c>
      <c r="I24" s="405">
        <f>'[5]ЦЗ 2020 Пр.110 объемы уточ.'!I23+'[5]ЦЗ  Пр.111 уточнение объемов'!I24</f>
        <v>1665</v>
      </c>
      <c r="K24" s="406"/>
    </row>
    <row r="25" spans="1:11" x14ac:dyDescent="0.2">
      <c r="A25" s="403">
        <v>17</v>
      </c>
      <c r="B25" s="404" t="s">
        <v>469</v>
      </c>
      <c r="C25" s="405">
        <f t="shared" si="1"/>
        <v>9428</v>
      </c>
      <c r="D25" s="405">
        <f t="shared" si="0"/>
        <v>7534</v>
      </c>
      <c r="E25" s="405">
        <f t="shared" si="0"/>
        <v>1894</v>
      </c>
      <c r="F25" s="405">
        <f>'[5]ЦЗ 2020 Пр.110 объемы уточ.'!F24+'[5]ЦЗ  Пр.111 уточнение объемов'!F25</f>
        <v>7534</v>
      </c>
      <c r="G25" s="405">
        <f>'[5]ЦЗ 2020 Пр.110 объемы уточ.'!G24+'[5]ЦЗ  Пр.111 уточнение объемов'!G25</f>
        <v>1894</v>
      </c>
      <c r="H25" s="405">
        <f>'[5]ЦЗ 2020 Пр.110 объемы уточ.'!H24+'[5]ЦЗ  Пр.111 уточнение объемов'!H25</f>
        <v>0</v>
      </c>
      <c r="I25" s="405">
        <f>'[5]ЦЗ 2020 Пр.110 объемы уточ.'!I24+'[5]ЦЗ  Пр.111 уточнение объемов'!I25</f>
        <v>0</v>
      </c>
      <c r="K25" s="406"/>
    </row>
    <row r="26" spans="1:11" x14ac:dyDescent="0.2">
      <c r="A26" s="403">
        <v>18</v>
      </c>
      <c r="B26" s="404" t="s">
        <v>471</v>
      </c>
      <c r="C26" s="405">
        <f t="shared" si="1"/>
        <v>13986</v>
      </c>
      <c r="D26" s="405">
        <f t="shared" si="0"/>
        <v>11140</v>
      </c>
      <c r="E26" s="405">
        <f t="shared" si="0"/>
        <v>2846</v>
      </c>
      <c r="F26" s="405">
        <f>'[5]ЦЗ 2020 Пр.110 объемы уточ.'!F25+'[5]ЦЗ  Пр.111 уточнение объемов'!F26</f>
        <v>11140</v>
      </c>
      <c r="G26" s="405">
        <f>'[5]ЦЗ 2020 Пр.110 объемы уточ.'!G25+'[5]ЦЗ  Пр.111 уточнение объемов'!G26</f>
        <v>2846</v>
      </c>
      <c r="H26" s="405">
        <f>'[5]ЦЗ 2020 Пр.110 объемы уточ.'!H25+'[5]ЦЗ  Пр.111 уточнение объемов'!H26</f>
        <v>0</v>
      </c>
      <c r="I26" s="405">
        <f>'[5]ЦЗ 2020 Пр.110 объемы уточ.'!I25+'[5]ЦЗ  Пр.111 уточнение объемов'!I26</f>
        <v>0</v>
      </c>
      <c r="K26" s="406"/>
    </row>
    <row r="27" spans="1:11" x14ac:dyDescent="0.2">
      <c r="A27" s="403">
        <v>19</v>
      </c>
      <c r="B27" s="404" t="s">
        <v>285</v>
      </c>
      <c r="C27" s="405">
        <f t="shared" si="1"/>
        <v>9234</v>
      </c>
      <c r="D27" s="405">
        <f t="shared" si="0"/>
        <v>7387</v>
      </c>
      <c r="E27" s="405">
        <f t="shared" si="0"/>
        <v>1847</v>
      </c>
      <c r="F27" s="405">
        <f>'[5]ЦЗ 2020 Пр.110 объемы уточ.'!F26+'[5]ЦЗ  Пр.111 уточнение объемов'!F27</f>
        <v>7387</v>
      </c>
      <c r="G27" s="405">
        <f>'[5]ЦЗ 2020 Пр.110 объемы уточ.'!G26+'[5]ЦЗ  Пр.111 уточнение объемов'!G27</f>
        <v>1847</v>
      </c>
      <c r="H27" s="405">
        <f>'[5]ЦЗ 2020 Пр.110 объемы уточ.'!H26+'[5]ЦЗ  Пр.111 уточнение объемов'!H27</f>
        <v>0</v>
      </c>
      <c r="I27" s="405">
        <f>'[5]ЦЗ 2020 Пр.110 объемы уточ.'!I26+'[5]ЦЗ  Пр.111 уточнение объемов'!I27</f>
        <v>0</v>
      </c>
      <c r="K27" s="406"/>
    </row>
    <row r="28" spans="1:11" ht="18" customHeight="1" x14ac:dyDescent="0.2">
      <c r="A28" s="403">
        <v>20</v>
      </c>
      <c r="B28" s="404" t="s">
        <v>242</v>
      </c>
      <c r="C28" s="405">
        <f t="shared" si="1"/>
        <v>7128</v>
      </c>
      <c r="D28" s="405">
        <f t="shared" si="0"/>
        <v>5697</v>
      </c>
      <c r="E28" s="405">
        <f t="shared" si="0"/>
        <v>1431</v>
      </c>
      <c r="F28" s="405">
        <f>'[5]ЦЗ 2020 Пр.110 объемы уточ.'!F27+'[5]ЦЗ  Пр.111 уточнение объемов'!F28</f>
        <v>4448</v>
      </c>
      <c r="G28" s="405">
        <f>'[5]ЦЗ 2020 Пр.110 объемы уточ.'!G27+'[5]ЦЗ  Пр.111 уточнение объемов'!G28</f>
        <v>1113</v>
      </c>
      <c r="H28" s="405">
        <f>'[5]ЦЗ 2020 Пр.110 объемы уточ.'!H27+'[5]ЦЗ  Пр.111 уточнение объемов'!H28</f>
        <v>1249</v>
      </c>
      <c r="I28" s="405">
        <f>'[5]ЦЗ 2020 Пр.110 объемы уточ.'!I27+'[5]ЦЗ  Пр.111 уточнение объемов'!I28</f>
        <v>318</v>
      </c>
      <c r="K28" s="406"/>
    </row>
    <row r="29" spans="1:11" x14ac:dyDescent="0.2">
      <c r="A29" s="403">
        <v>21</v>
      </c>
      <c r="B29" s="404" t="s">
        <v>57</v>
      </c>
      <c r="C29" s="405">
        <f t="shared" si="1"/>
        <v>8357</v>
      </c>
      <c r="D29" s="405">
        <f t="shared" si="0"/>
        <v>6669</v>
      </c>
      <c r="E29" s="405">
        <f t="shared" si="0"/>
        <v>1688</v>
      </c>
      <c r="F29" s="405">
        <f>'[5]ЦЗ 2020 Пр.110 объемы уточ.'!F28+'[5]ЦЗ  Пр.111 уточнение объемов'!F29</f>
        <v>5272</v>
      </c>
      <c r="G29" s="405">
        <f>'[5]ЦЗ 2020 Пр.110 объемы уточ.'!G28+'[5]ЦЗ  Пр.111 уточнение объемов'!G29</f>
        <v>1337</v>
      </c>
      <c r="H29" s="405">
        <f>'[5]ЦЗ 2020 Пр.110 объемы уточ.'!H28+'[5]ЦЗ  Пр.111 уточнение объемов'!H29</f>
        <v>1397</v>
      </c>
      <c r="I29" s="405">
        <f>'[5]ЦЗ 2020 Пр.110 объемы уточ.'!I28+'[5]ЦЗ  Пр.111 уточнение объемов'!I29</f>
        <v>351</v>
      </c>
      <c r="K29" s="406"/>
    </row>
    <row r="30" spans="1:11" x14ac:dyDescent="0.2">
      <c r="A30" s="403">
        <v>22</v>
      </c>
      <c r="B30" s="404" t="s">
        <v>61</v>
      </c>
      <c r="C30" s="405">
        <f t="shared" si="1"/>
        <v>5304</v>
      </c>
      <c r="D30" s="405">
        <f t="shared" si="0"/>
        <v>4243</v>
      </c>
      <c r="E30" s="405">
        <f t="shared" si="0"/>
        <v>1061</v>
      </c>
      <c r="F30" s="405">
        <f>'[5]ЦЗ 2020 Пр.110 объемы уточ.'!F29+'[5]ЦЗ  Пр.111 уточнение объемов'!F30</f>
        <v>0</v>
      </c>
      <c r="G30" s="405">
        <f>'[5]ЦЗ 2020 Пр.110 объемы уточ.'!G29+'[5]ЦЗ  Пр.111 уточнение объемов'!G30</f>
        <v>0</v>
      </c>
      <c r="H30" s="405">
        <f>'[5]ЦЗ 2020 Пр.110 объемы уточ.'!H29+'[5]ЦЗ  Пр.111 уточнение объемов'!H30</f>
        <v>4243</v>
      </c>
      <c r="I30" s="405">
        <f>'[5]ЦЗ 2020 Пр.110 объемы уточ.'!I29+'[5]ЦЗ  Пр.111 уточнение объемов'!I30</f>
        <v>1061</v>
      </c>
      <c r="K30" s="406"/>
    </row>
    <row r="31" spans="1:11" x14ac:dyDescent="0.2">
      <c r="A31" s="403">
        <v>23</v>
      </c>
      <c r="B31" s="404" t="s">
        <v>116</v>
      </c>
      <c r="C31" s="405">
        <f t="shared" si="1"/>
        <v>9827</v>
      </c>
      <c r="D31" s="405">
        <f t="shared" si="0"/>
        <v>7828</v>
      </c>
      <c r="E31" s="405">
        <f t="shared" si="0"/>
        <v>1999</v>
      </c>
      <c r="F31" s="405">
        <f>'[5]ЦЗ 2020 Пр.110 объемы уточ.'!F30+'[5]ЦЗ  Пр.111 уточнение объемов'!F31</f>
        <v>7828</v>
      </c>
      <c r="G31" s="405">
        <f>'[5]ЦЗ 2020 Пр.110 объемы уточ.'!G30+'[5]ЦЗ  Пр.111 уточнение объемов'!G31</f>
        <v>1999</v>
      </c>
      <c r="H31" s="405">
        <f>'[5]ЦЗ 2020 Пр.110 объемы уточ.'!H30+'[5]ЦЗ  Пр.111 уточнение объемов'!H31</f>
        <v>0</v>
      </c>
      <c r="I31" s="405">
        <f>'[5]ЦЗ 2020 Пр.110 объемы уточ.'!I30+'[5]ЦЗ  Пр.111 уточнение объемов'!I31</f>
        <v>0</v>
      </c>
      <c r="K31" s="406"/>
    </row>
    <row r="32" spans="1:11" x14ac:dyDescent="0.2">
      <c r="A32" s="613" t="s">
        <v>106</v>
      </c>
      <c r="B32" s="614"/>
      <c r="C32" s="407">
        <f>SUM(C9:C31)</f>
        <v>205160</v>
      </c>
      <c r="D32" s="407">
        <f t="shared" ref="D32:I32" si="2">SUM(D9:D31)</f>
        <v>164788</v>
      </c>
      <c r="E32" s="407">
        <f t="shared" si="2"/>
        <v>40372</v>
      </c>
      <c r="F32" s="407">
        <f t="shared" si="2"/>
        <v>127640</v>
      </c>
      <c r="G32" s="407">
        <f t="shared" si="2"/>
        <v>31062</v>
      </c>
      <c r="H32" s="407">
        <f t="shared" si="2"/>
        <v>37148</v>
      </c>
      <c r="I32" s="407">
        <f t="shared" si="2"/>
        <v>9310</v>
      </c>
      <c r="K32" s="406"/>
    </row>
    <row r="34" spans="2:9" ht="12.75" customHeight="1" x14ac:dyDescent="0.2">
      <c r="B34" s="408"/>
      <c r="C34" s="408"/>
      <c r="D34" s="408"/>
      <c r="E34" s="408"/>
      <c r="F34" s="409"/>
      <c r="G34" s="409"/>
      <c r="H34" s="409"/>
      <c r="I34" s="409"/>
    </row>
    <row r="35" spans="2:9" ht="12.75" customHeight="1" x14ac:dyDescent="0.2">
      <c r="B35" s="408"/>
      <c r="C35" s="409"/>
      <c r="D35" s="409"/>
      <c r="E35" s="409"/>
      <c r="F35" s="408"/>
      <c r="G35" s="408"/>
      <c r="H35" s="408"/>
      <c r="I35" s="408"/>
    </row>
  </sheetData>
  <mergeCells count="16">
    <mergeCell ref="A32:B32"/>
    <mergeCell ref="H1:I1"/>
    <mergeCell ref="B2:I2"/>
    <mergeCell ref="A4:A7"/>
    <mergeCell ref="B4:B7"/>
    <mergeCell ref="C4:C7"/>
    <mergeCell ref="D4:E5"/>
    <mergeCell ref="F4:I4"/>
    <mergeCell ref="F5:G5"/>
    <mergeCell ref="H5:I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5" style="410" customWidth="1"/>
    <col min="2" max="2" width="35.5703125" style="410" customWidth="1"/>
    <col min="3" max="3" width="14.140625" style="410" customWidth="1"/>
    <col min="4" max="4" width="11.85546875" style="410" customWidth="1"/>
    <col min="5" max="9" width="10.7109375" style="410" customWidth="1"/>
    <col min="10" max="10" width="13" style="410" customWidth="1"/>
    <col min="11" max="11" width="13.140625" style="410" customWidth="1"/>
    <col min="12" max="13" width="10.7109375" style="410" customWidth="1"/>
    <col min="14" max="16384" width="9.140625" style="410"/>
  </cols>
  <sheetData>
    <row r="1" spans="1:13" ht="33" customHeight="1" x14ac:dyDescent="0.25">
      <c r="A1" s="623" t="s">
        <v>726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15" customHeight="1" x14ac:dyDescent="0.25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24.75" customHeight="1" x14ac:dyDescent="0.25">
      <c r="A3" s="624" t="s">
        <v>0</v>
      </c>
      <c r="B3" s="624" t="s">
        <v>82</v>
      </c>
      <c r="C3" s="624" t="s">
        <v>727</v>
      </c>
      <c r="D3" s="624" t="s">
        <v>728</v>
      </c>
      <c r="E3" s="624"/>
      <c r="F3" s="624"/>
      <c r="G3" s="624"/>
      <c r="H3" s="624"/>
      <c r="I3" s="624"/>
      <c r="J3" s="624"/>
      <c r="K3" s="624"/>
      <c r="L3" s="624"/>
      <c r="M3" s="624"/>
    </row>
    <row r="4" spans="1:13" ht="51" x14ac:dyDescent="0.25">
      <c r="A4" s="624"/>
      <c r="B4" s="624"/>
      <c r="C4" s="624"/>
      <c r="D4" s="412" t="s">
        <v>729</v>
      </c>
      <c r="E4" s="412" t="s">
        <v>730</v>
      </c>
      <c r="F4" s="412" t="s">
        <v>731</v>
      </c>
      <c r="G4" s="412" t="s">
        <v>732</v>
      </c>
      <c r="H4" s="412" t="s">
        <v>733</v>
      </c>
      <c r="I4" s="412" t="s">
        <v>734</v>
      </c>
      <c r="J4" s="412" t="s">
        <v>735</v>
      </c>
      <c r="K4" s="412" t="s">
        <v>736</v>
      </c>
      <c r="L4" s="412" t="s">
        <v>737</v>
      </c>
      <c r="M4" s="412" t="s">
        <v>738</v>
      </c>
    </row>
    <row r="5" spans="1:13" x14ac:dyDescent="0.25">
      <c r="A5" s="413">
        <v>1</v>
      </c>
      <c r="B5" s="414" t="s">
        <v>739</v>
      </c>
      <c r="C5" s="415">
        <f>D5</f>
        <v>112</v>
      </c>
      <c r="D5" s="415">
        <f>447-335</f>
        <v>112</v>
      </c>
      <c r="E5" s="415"/>
      <c r="F5" s="415"/>
      <c r="G5" s="415"/>
      <c r="H5" s="415"/>
      <c r="I5" s="415"/>
      <c r="J5" s="415"/>
      <c r="K5" s="415"/>
      <c r="L5" s="415"/>
      <c r="M5" s="415"/>
    </row>
    <row r="6" spans="1:13" x14ac:dyDescent="0.25">
      <c r="A6" s="413">
        <v>2</v>
      </c>
      <c r="B6" s="414" t="s">
        <v>740</v>
      </c>
      <c r="C6" s="415">
        <f>D6</f>
        <v>13</v>
      </c>
      <c r="D6" s="415">
        <f>50-38+1</f>
        <v>13</v>
      </c>
      <c r="E6" s="415"/>
      <c r="F6" s="415"/>
      <c r="G6" s="415"/>
      <c r="H6" s="415"/>
      <c r="I6" s="415"/>
      <c r="J6" s="415"/>
      <c r="K6" s="415"/>
      <c r="L6" s="415"/>
      <c r="M6" s="415"/>
    </row>
    <row r="7" spans="1:13" ht="25.5" x14ac:dyDescent="0.25">
      <c r="A7" s="413">
        <v>3</v>
      </c>
      <c r="B7" s="414" t="s">
        <v>741</v>
      </c>
      <c r="C7" s="415">
        <f>D7+E7</f>
        <v>102</v>
      </c>
      <c r="D7" s="415">
        <f>50-38</f>
        <v>12</v>
      </c>
      <c r="E7" s="415">
        <f>100-10</f>
        <v>90</v>
      </c>
      <c r="F7" s="415"/>
      <c r="G7" s="415"/>
      <c r="H7" s="415"/>
      <c r="I7" s="415"/>
      <c r="J7" s="415"/>
      <c r="K7" s="415"/>
      <c r="L7" s="415"/>
      <c r="M7" s="415"/>
    </row>
    <row r="8" spans="1:13" x14ac:dyDescent="0.25">
      <c r="A8" s="413">
        <v>4</v>
      </c>
      <c r="B8" s="414" t="s">
        <v>742</v>
      </c>
      <c r="C8" s="415">
        <f>SUM(D8:M8)</f>
        <v>112</v>
      </c>
      <c r="D8" s="415">
        <v>0</v>
      </c>
      <c r="E8" s="415">
        <f>100-10</f>
        <v>90</v>
      </c>
      <c r="F8" s="415">
        <f>25-3</f>
        <v>22</v>
      </c>
      <c r="G8" s="415"/>
      <c r="H8" s="415"/>
      <c r="I8" s="415"/>
      <c r="J8" s="415"/>
      <c r="K8" s="415"/>
      <c r="L8" s="415"/>
      <c r="M8" s="415"/>
    </row>
    <row r="9" spans="1:13" x14ac:dyDescent="0.25">
      <c r="A9" s="413">
        <v>5</v>
      </c>
      <c r="B9" s="414" t="s">
        <v>743</v>
      </c>
      <c r="C9" s="415">
        <f t="shared" ref="C9:C32" si="0">SUM(D9:M9)</f>
        <v>102</v>
      </c>
      <c r="D9" s="415">
        <f>50-38</f>
        <v>12</v>
      </c>
      <c r="E9" s="415">
        <f>100-10</f>
        <v>90</v>
      </c>
      <c r="F9" s="415"/>
      <c r="G9" s="415"/>
      <c r="H9" s="415"/>
      <c r="I9" s="415"/>
      <c r="J9" s="415"/>
      <c r="K9" s="415"/>
      <c r="L9" s="415"/>
      <c r="M9" s="415"/>
    </row>
    <row r="10" spans="1:13" x14ac:dyDescent="0.25">
      <c r="A10" s="413">
        <v>6</v>
      </c>
      <c r="B10" s="414" t="s">
        <v>744</v>
      </c>
      <c r="C10" s="415">
        <f t="shared" si="0"/>
        <v>12</v>
      </c>
      <c r="D10" s="415">
        <f>50-38</f>
        <v>12</v>
      </c>
      <c r="E10" s="415"/>
      <c r="F10" s="415"/>
      <c r="G10" s="415"/>
      <c r="H10" s="415"/>
      <c r="I10" s="415"/>
      <c r="J10" s="415"/>
      <c r="K10" s="415"/>
      <c r="L10" s="415"/>
      <c r="M10" s="415"/>
    </row>
    <row r="11" spans="1:13" x14ac:dyDescent="0.25">
      <c r="A11" s="413">
        <v>7</v>
      </c>
      <c r="B11" s="414" t="s">
        <v>745</v>
      </c>
      <c r="C11" s="415">
        <f t="shared" si="0"/>
        <v>116</v>
      </c>
      <c r="D11" s="415">
        <f>465-349</f>
        <v>116</v>
      </c>
      <c r="E11" s="415"/>
      <c r="F11" s="415"/>
      <c r="G11" s="415"/>
      <c r="H11" s="415"/>
      <c r="I11" s="415"/>
      <c r="J11" s="415"/>
      <c r="K11" s="415"/>
      <c r="L11" s="415"/>
      <c r="M11" s="415"/>
    </row>
    <row r="12" spans="1:13" x14ac:dyDescent="0.25">
      <c r="A12" s="413">
        <v>8</v>
      </c>
      <c r="B12" s="414" t="s">
        <v>746</v>
      </c>
      <c r="C12" s="415">
        <f t="shared" si="0"/>
        <v>116</v>
      </c>
      <c r="D12" s="415">
        <f>465-349</f>
        <v>116</v>
      </c>
      <c r="E12" s="415"/>
      <c r="F12" s="415"/>
      <c r="G12" s="415"/>
      <c r="H12" s="415"/>
      <c r="I12" s="415"/>
      <c r="J12" s="415"/>
      <c r="K12" s="415"/>
      <c r="L12" s="415"/>
      <c r="M12" s="415"/>
    </row>
    <row r="13" spans="1:13" x14ac:dyDescent="0.25">
      <c r="A13" s="413">
        <v>9</v>
      </c>
      <c r="B13" s="414" t="s">
        <v>747</v>
      </c>
      <c r="C13" s="415">
        <f t="shared" si="0"/>
        <v>117</v>
      </c>
      <c r="D13" s="415">
        <f>465-349+1</f>
        <v>117</v>
      </c>
      <c r="E13" s="415"/>
      <c r="F13" s="415"/>
      <c r="G13" s="415"/>
      <c r="H13" s="415"/>
      <c r="I13" s="415"/>
      <c r="J13" s="415"/>
      <c r="K13" s="415"/>
      <c r="L13" s="415"/>
      <c r="M13" s="415"/>
    </row>
    <row r="14" spans="1:13" x14ac:dyDescent="0.25">
      <c r="A14" s="413">
        <v>10</v>
      </c>
      <c r="B14" s="414" t="s">
        <v>748</v>
      </c>
      <c r="C14" s="415">
        <f t="shared" si="0"/>
        <v>116</v>
      </c>
      <c r="D14" s="415">
        <f>465-349</f>
        <v>116</v>
      </c>
      <c r="E14" s="415"/>
      <c r="F14" s="415"/>
      <c r="G14" s="415"/>
      <c r="H14" s="415"/>
      <c r="I14" s="415"/>
      <c r="J14" s="415"/>
      <c r="K14" s="415"/>
      <c r="L14" s="415"/>
      <c r="M14" s="415"/>
    </row>
    <row r="15" spans="1:13" x14ac:dyDescent="0.25">
      <c r="A15" s="413">
        <v>11</v>
      </c>
      <c r="B15" s="414" t="s">
        <v>749</v>
      </c>
      <c r="C15" s="415">
        <f t="shared" si="0"/>
        <v>99</v>
      </c>
      <c r="D15" s="415">
        <f>319-239</f>
        <v>80</v>
      </c>
      <c r="E15" s="415">
        <f>21-2</f>
        <v>19</v>
      </c>
      <c r="F15" s="415"/>
      <c r="G15" s="415"/>
      <c r="H15" s="415"/>
      <c r="I15" s="415"/>
      <c r="J15" s="415"/>
      <c r="K15" s="415"/>
      <c r="L15" s="415"/>
      <c r="M15" s="415"/>
    </row>
    <row r="16" spans="1:13" x14ac:dyDescent="0.25">
      <c r="A16" s="413">
        <v>12</v>
      </c>
      <c r="B16" s="414" t="s">
        <v>750</v>
      </c>
      <c r="C16" s="415">
        <f t="shared" si="0"/>
        <v>117</v>
      </c>
      <c r="D16" s="415">
        <f>465-349+1</f>
        <v>117</v>
      </c>
      <c r="E16" s="415"/>
      <c r="F16" s="415"/>
      <c r="G16" s="415"/>
      <c r="H16" s="415"/>
      <c r="I16" s="415"/>
      <c r="J16" s="415"/>
      <c r="K16" s="415"/>
      <c r="L16" s="415"/>
      <c r="M16" s="415"/>
    </row>
    <row r="17" spans="1:13" x14ac:dyDescent="0.25">
      <c r="A17" s="413">
        <v>13</v>
      </c>
      <c r="B17" s="414" t="s">
        <v>751</v>
      </c>
      <c r="C17" s="415">
        <f t="shared" si="0"/>
        <v>116</v>
      </c>
      <c r="D17" s="415">
        <f>465-349</f>
        <v>116</v>
      </c>
      <c r="E17" s="415"/>
      <c r="F17" s="415"/>
      <c r="G17" s="415"/>
      <c r="H17" s="415"/>
      <c r="I17" s="415"/>
      <c r="J17" s="415"/>
      <c r="K17" s="415"/>
      <c r="L17" s="415"/>
      <c r="M17" s="415"/>
    </row>
    <row r="18" spans="1:13" x14ac:dyDescent="0.25">
      <c r="A18" s="413">
        <v>14</v>
      </c>
      <c r="B18" s="414" t="s">
        <v>752</v>
      </c>
      <c r="C18" s="415">
        <f t="shared" si="0"/>
        <v>116</v>
      </c>
      <c r="D18" s="415">
        <f>465-349</f>
        <v>116</v>
      </c>
      <c r="E18" s="415"/>
      <c r="F18" s="415"/>
      <c r="G18" s="415"/>
      <c r="H18" s="415"/>
      <c r="I18" s="415"/>
      <c r="J18" s="415"/>
      <c r="K18" s="415"/>
      <c r="L18" s="415"/>
      <c r="M18" s="415"/>
    </row>
    <row r="19" spans="1:13" x14ac:dyDescent="0.25">
      <c r="A19" s="413">
        <v>15</v>
      </c>
      <c r="B19" s="414" t="s">
        <v>753</v>
      </c>
      <c r="C19" s="415">
        <f t="shared" si="0"/>
        <v>184</v>
      </c>
      <c r="D19" s="415">
        <f>113-85</f>
        <v>28</v>
      </c>
      <c r="E19" s="415">
        <f>31-3</f>
        <v>28</v>
      </c>
      <c r="F19" s="415">
        <f>6-1</f>
        <v>5</v>
      </c>
      <c r="G19" s="415">
        <f>25-3</f>
        <v>22</v>
      </c>
      <c r="H19" s="415">
        <f>25-3</f>
        <v>22</v>
      </c>
      <c r="I19" s="415">
        <f>24-2</f>
        <v>22</v>
      </c>
      <c r="J19" s="415">
        <f>25-3</f>
        <v>22</v>
      </c>
      <c r="K19" s="415">
        <f>12-1</f>
        <v>11</v>
      </c>
      <c r="L19" s="415">
        <f>18-2</f>
        <v>16</v>
      </c>
      <c r="M19" s="415">
        <f>9-1</f>
        <v>8</v>
      </c>
    </row>
    <row r="20" spans="1:13" x14ac:dyDescent="0.25">
      <c r="A20" s="413">
        <v>16</v>
      </c>
      <c r="B20" s="414" t="s">
        <v>754</v>
      </c>
      <c r="C20" s="415">
        <f t="shared" si="0"/>
        <v>0</v>
      </c>
      <c r="D20" s="415">
        <f>113-113</f>
        <v>0</v>
      </c>
      <c r="E20" s="415"/>
      <c r="F20" s="415"/>
      <c r="G20" s="415"/>
      <c r="H20" s="415"/>
      <c r="I20" s="415"/>
      <c r="J20" s="415"/>
      <c r="K20" s="415"/>
      <c r="L20" s="415"/>
      <c r="M20" s="415"/>
    </row>
    <row r="21" spans="1:13" x14ac:dyDescent="0.25">
      <c r="A21" s="413">
        <v>17</v>
      </c>
      <c r="B21" s="414" t="s">
        <v>755</v>
      </c>
      <c r="C21" s="415">
        <f t="shared" si="0"/>
        <v>0</v>
      </c>
      <c r="D21" s="415">
        <v>0</v>
      </c>
      <c r="E21" s="415"/>
      <c r="F21" s="415"/>
      <c r="G21" s="415"/>
      <c r="H21" s="415"/>
      <c r="I21" s="415"/>
      <c r="J21" s="415"/>
      <c r="K21" s="415"/>
      <c r="L21" s="415"/>
      <c r="M21" s="415"/>
    </row>
    <row r="22" spans="1:13" x14ac:dyDescent="0.25">
      <c r="A22" s="413">
        <v>18</v>
      </c>
      <c r="B22" s="414" t="s">
        <v>756</v>
      </c>
      <c r="C22" s="415">
        <f t="shared" si="0"/>
        <v>28</v>
      </c>
      <c r="D22" s="415"/>
      <c r="E22" s="415">
        <f>31-3</f>
        <v>28</v>
      </c>
      <c r="F22" s="415"/>
      <c r="G22" s="415"/>
      <c r="H22" s="415"/>
      <c r="I22" s="415"/>
      <c r="J22" s="415"/>
      <c r="K22" s="415"/>
      <c r="L22" s="415"/>
      <c r="M22" s="415"/>
    </row>
    <row r="23" spans="1:13" x14ac:dyDescent="0.25">
      <c r="A23" s="413">
        <v>19</v>
      </c>
      <c r="B23" s="414" t="s">
        <v>757</v>
      </c>
      <c r="C23" s="415">
        <f t="shared" si="0"/>
        <v>28</v>
      </c>
      <c r="D23" s="415"/>
      <c r="E23" s="415">
        <f>31-3</f>
        <v>28</v>
      </c>
      <c r="F23" s="415"/>
      <c r="G23" s="415"/>
      <c r="H23" s="415"/>
      <c r="I23" s="415"/>
      <c r="J23" s="415"/>
      <c r="K23" s="415"/>
      <c r="L23" s="415"/>
      <c r="M23" s="415"/>
    </row>
    <row r="24" spans="1:13" x14ac:dyDescent="0.25">
      <c r="A24" s="413">
        <v>20</v>
      </c>
      <c r="B24" s="414" t="s">
        <v>758</v>
      </c>
      <c r="C24" s="415">
        <f t="shared" si="0"/>
        <v>1</v>
      </c>
      <c r="D24" s="415"/>
      <c r="E24" s="415">
        <v>1</v>
      </c>
      <c r="F24" s="415"/>
      <c r="G24" s="415"/>
      <c r="H24" s="415"/>
      <c r="I24" s="415"/>
      <c r="J24" s="415"/>
      <c r="K24" s="415"/>
      <c r="L24" s="415"/>
      <c r="M24" s="415"/>
    </row>
    <row r="25" spans="1:13" ht="25.5" x14ac:dyDescent="0.25">
      <c r="A25" s="413">
        <v>21</v>
      </c>
      <c r="B25" s="414" t="s">
        <v>759</v>
      </c>
      <c r="C25" s="415">
        <f t="shared" si="0"/>
        <v>22</v>
      </c>
      <c r="D25" s="415"/>
      <c r="E25" s="415"/>
      <c r="F25" s="415"/>
      <c r="G25" s="415"/>
      <c r="H25" s="415"/>
      <c r="I25" s="415"/>
      <c r="J25" s="415"/>
      <c r="K25" s="415"/>
      <c r="L25" s="415"/>
      <c r="M25" s="415">
        <f>25-3</f>
        <v>22</v>
      </c>
    </row>
    <row r="26" spans="1:13" x14ac:dyDescent="0.25">
      <c r="A26" s="413">
        <v>22</v>
      </c>
      <c r="B26" s="414" t="s">
        <v>760</v>
      </c>
      <c r="C26" s="415">
        <f t="shared" si="0"/>
        <v>50</v>
      </c>
      <c r="D26" s="415"/>
      <c r="E26" s="415">
        <f>31-3</f>
        <v>28</v>
      </c>
      <c r="F26" s="415"/>
      <c r="G26" s="415"/>
      <c r="H26" s="415"/>
      <c r="I26" s="415">
        <f>25-3</f>
        <v>22</v>
      </c>
      <c r="J26" s="415"/>
      <c r="K26" s="415"/>
      <c r="L26" s="415"/>
      <c r="M26" s="415"/>
    </row>
    <row r="27" spans="1:13" ht="25.5" x14ac:dyDescent="0.25">
      <c r="A27" s="413">
        <v>23</v>
      </c>
      <c r="B27" s="414" t="s">
        <v>761</v>
      </c>
      <c r="C27" s="415">
        <f t="shared" si="0"/>
        <v>90</v>
      </c>
      <c r="D27" s="415"/>
      <c r="E27" s="415">
        <f>100-10</f>
        <v>90</v>
      </c>
      <c r="F27" s="415"/>
      <c r="G27" s="415"/>
      <c r="H27" s="415"/>
      <c r="I27" s="415"/>
      <c r="J27" s="415"/>
      <c r="K27" s="415"/>
      <c r="L27" s="415"/>
      <c r="M27" s="415"/>
    </row>
    <row r="28" spans="1:13" ht="25.5" x14ac:dyDescent="0.25">
      <c r="A28" s="413">
        <v>24</v>
      </c>
      <c r="B28" s="414" t="s">
        <v>762</v>
      </c>
      <c r="C28" s="415">
        <f t="shared" si="0"/>
        <v>102</v>
      </c>
      <c r="D28" s="415">
        <f>50-38</f>
        <v>12</v>
      </c>
      <c r="E28" s="415">
        <f>100-10</f>
        <v>90</v>
      </c>
      <c r="F28" s="415"/>
      <c r="G28" s="415"/>
      <c r="H28" s="415"/>
      <c r="I28" s="415"/>
      <c r="J28" s="415"/>
      <c r="K28" s="415"/>
      <c r="L28" s="415"/>
      <c r="M28" s="415"/>
    </row>
    <row r="29" spans="1:13" x14ac:dyDescent="0.25">
      <c r="A29" s="413">
        <v>25</v>
      </c>
      <c r="B29" s="414" t="s">
        <v>763</v>
      </c>
      <c r="C29" s="415">
        <f t="shared" si="0"/>
        <v>223</v>
      </c>
      <c r="D29" s="415">
        <f>894-671</f>
        <v>223</v>
      </c>
      <c r="E29" s="415"/>
      <c r="F29" s="415"/>
      <c r="G29" s="415"/>
      <c r="H29" s="415"/>
      <c r="I29" s="415"/>
      <c r="J29" s="415"/>
      <c r="K29" s="415"/>
      <c r="L29" s="415"/>
      <c r="M29" s="415"/>
    </row>
    <row r="30" spans="1:13" ht="25.5" x14ac:dyDescent="0.25">
      <c r="A30" s="413">
        <v>26</v>
      </c>
      <c r="B30" s="414" t="s">
        <v>764</v>
      </c>
      <c r="C30" s="415">
        <f t="shared" si="0"/>
        <v>28</v>
      </c>
      <c r="D30" s="415">
        <f>113-85</f>
        <v>28</v>
      </c>
      <c r="E30" s="415"/>
      <c r="F30" s="415"/>
      <c r="G30" s="415"/>
      <c r="H30" s="415"/>
      <c r="I30" s="415"/>
      <c r="J30" s="415"/>
      <c r="K30" s="415"/>
      <c r="L30" s="415"/>
      <c r="M30" s="415"/>
    </row>
    <row r="31" spans="1:13" ht="25.5" x14ac:dyDescent="0.25">
      <c r="A31" s="413">
        <v>27</v>
      </c>
      <c r="B31" s="414" t="s">
        <v>765</v>
      </c>
      <c r="C31" s="415">
        <f t="shared" si="0"/>
        <v>28</v>
      </c>
      <c r="D31" s="415">
        <f>113-85</f>
        <v>28</v>
      </c>
      <c r="E31" s="415"/>
      <c r="F31" s="415"/>
      <c r="G31" s="415"/>
      <c r="H31" s="415"/>
      <c r="I31" s="415"/>
      <c r="J31" s="415"/>
      <c r="K31" s="415"/>
      <c r="L31" s="415"/>
      <c r="M31" s="415"/>
    </row>
    <row r="32" spans="1:13" ht="25.5" x14ac:dyDescent="0.25">
      <c r="A32" s="413">
        <v>28</v>
      </c>
      <c r="B32" s="414" t="s">
        <v>766</v>
      </c>
      <c r="C32" s="415">
        <f t="shared" si="0"/>
        <v>28</v>
      </c>
      <c r="D32" s="415">
        <f>113-85</f>
        <v>28</v>
      </c>
      <c r="E32" s="415"/>
      <c r="F32" s="415"/>
      <c r="G32" s="415"/>
      <c r="H32" s="415"/>
      <c r="I32" s="415"/>
      <c r="J32" s="415"/>
      <c r="K32" s="415"/>
      <c r="L32" s="415"/>
      <c r="M32" s="415"/>
    </row>
    <row r="33" spans="1:13" x14ac:dyDescent="0.25">
      <c r="A33" s="416"/>
      <c r="B33" s="417" t="s">
        <v>265</v>
      </c>
      <c r="C33" s="416">
        <f>SUM(C5:C32)</f>
        <v>2178</v>
      </c>
      <c r="D33" s="416">
        <f t="shared" ref="D33:M33" si="1">SUM(D5:D32)</f>
        <v>1402</v>
      </c>
      <c r="E33" s="416">
        <f t="shared" si="1"/>
        <v>582</v>
      </c>
      <c r="F33" s="416">
        <f t="shared" si="1"/>
        <v>27</v>
      </c>
      <c r="G33" s="416">
        <f t="shared" si="1"/>
        <v>22</v>
      </c>
      <c r="H33" s="416">
        <f t="shared" si="1"/>
        <v>22</v>
      </c>
      <c r="I33" s="416">
        <f t="shared" si="1"/>
        <v>44</v>
      </c>
      <c r="J33" s="416">
        <f t="shared" si="1"/>
        <v>22</v>
      </c>
      <c r="K33" s="416">
        <f t="shared" si="1"/>
        <v>11</v>
      </c>
      <c r="L33" s="416">
        <f t="shared" si="1"/>
        <v>16</v>
      </c>
      <c r="M33" s="416">
        <f t="shared" si="1"/>
        <v>30</v>
      </c>
    </row>
  </sheetData>
  <mergeCells count="5">
    <mergeCell ref="A1:M1"/>
    <mergeCell ref="A3:A4"/>
    <mergeCell ref="B3:B4"/>
    <mergeCell ref="C3:C4"/>
    <mergeCell ref="D3:M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zoomScale="110" zoomScaleNormal="110" zoomScaleSheetLayoutView="70" workbookViewId="0">
      <pane xSplit="2" ySplit="2" topLeftCell="Y67" activePane="bottomRight" state="frozen"/>
      <selection pane="topRight" activeCell="E1" sqref="E1"/>
      <selection pane="bottomLeft" activeCell="A4" sqref="A4"/>
      <selection pane="bottomRight" sqref="A1:AC1"/>
    </sheetView>
  </sheetViews>
  <sheetFormatPr defaultRowHeight="12.75" x14ac:dyDescent="0.2"/>
  <cols>
    <col min="1" max="1" width="7.28515625" style="47" customWidth="1"/>
    <col min="2" max="2" width="25.42578125" style="49" customWidth="1"/>
    <col min="3" max="3" width="6.5703125" style="48" customWidth="1"/>
    <col min="4" max="4" width="6.140625" style="48" customWidth="1"/>
    <col min="5" max="5" width="5.42578125" style="48" customWidth="1"/>
    <col min="6" max="6" width="6.28515625" style="48" customWidth="1"/>
    <col min="7" max="7" width="5" style="48" customWidth="1"/>
    <col min="8" max="8" width="5.85546875" style="49" customWidth="1"/>
    <col min="9" max="9" width="5.5703125" style="48" customWidth="1"/>
    <col min="10" max="10" width="5.85546875" style="48" customWidth="1"/>
    <col min="11" max="11" width="6.140625" style="48" customWidth="1"/>
    <col min="12" max="12" width="5.28515625" style="49" customWidth="1"/>
    <col min="13" max="13" width="6.28515625" style="49" customWidth="1"/>
    <col min="14" max="14" width="5" style="49" customWidth="1"/>
    <col min="15" max="15" width="5.5703125" style="49" customWidth="1"/>
    <col min="16" max="16" width="7.28515625" style="48" customWidth="1"/>
    <col min="17" max="17" width="5.7109375" style="48" customWidth="1"/>
    <col min="18" max="18" width="5" style="49" customWidth="1"/>
    <col min="19" max="19" width="6" style="48" customWidth="1"/>
    <col min="20" max="20" width="5.7109375" style="49" customWidth="1"/>
    <col min="21" max="21" width="6.5703125" style="49" customWidth="1"/>
    <col min="22" max="22" width="5.5703125" style="49" customWidth="1"/>
    <col min="23" max="23" width="5.28515625" style="48" customWidth="1"/>
    <col min="24" max="24" width="6" style="48" customWidth="1"/>
    <col min="25" max="25" width="5.85546875" style="48" customWidth="1"/>
    <col min="26" max="26" width="6.7109375" style="48" customWidth="1"/>
    <col min="27" max="27" width="7" style="49" customWidth="1"/>
    <col min="28" max="28" width="4.7109375" style="49" customWidth="1"/>
    <col min="29" max="29" width="6.28515625" style="48" customWidth="1"/>
    <col min="30" max="16384" width="9.140625" style="49"/>
  </cols>
  <sheetData>
    <row r="1" spans="1:29" ht="17.25" customHeight="1" x14ac:dyDescent="0.2">
      <c r="A1" s="431" t="s">
        <v>143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</row>
    <row r="2" spans="1:29" s="29" customFormat="1" ht="118.5" customHeight="1" x14ac:dyDescent="0.2">
      <c r="A2" s="58" t="s">
        <v>107</v>
      </c>
      <c r="B2" s="58" t="s">
        <v>108</v>
      </c>
      <c r="C2" s="59" t="s">
        <v>112</v>
      </c>
      <c r="D2" s="59" t="s">
        <v>113</v>
      </c>
      <c r="E2" s="59" t="s">
        <v>80</v>
      </c>
      <c r="F2" s="59" t="s">
        <v>63</v>
      </c>
      <c r="G2" s="59" t="s">
        <v>76</v>
      </c>
      <c r="H2" s="59" t="s">
        <v>111</v>
      </c>
      <c r="I2" s="59" t="s">
        <v>81</v>
      </c>
      <c r="J2" s="59" t="s">
        <v>64</v>
      </c>
      <c r="K2" s="59" t="s">
        <v>144</v>
      </c>
      <c r="L2" s="59" t="s">
        <v>105</v>
      </c>
      <c r="M2" s="59" t="s">
        <v>145</v>
      </c>
      <c r="N2" s="59" t="s">
        <v>146</v>
      </c>
      <c r="O2" s="59" t="s">
        <v>147</v>
      </c>
      <c r="P2" s="59" t="s">
        <v>114</v>
      </c>
      <c r="Q2" s="59" t="s">
        <v>148</v>
      </c>
      <c r="R2" s="59" t="s">
        <v>149</v>
      </c>
      <c r="S2" s="59" t="s">
        <v>21</v>
      </c>
      <c r="T2" s="59" t="s">
        <v>150</v>
      </c>
      <c r="U2" s="59" t="s">
        <v>151</v>
      </c>
      <c r="V2" s="59" t="s">
        <v>152</v>
      </c>
      <c r="W2" s="59" t="s">
        <v>153</v>
      </c>
      <c r="X2" s="59" t="s">
        <v>154</v>
      </c>
      <c r="Y2" s="59" t="s">
        <v>155</v>
      </c>
      <c r="Z2" s="59" t="s">
        <v>156</v>
      </c>
      <c r="AA2" s="59" t="s">
        <v>157</v>
      </c>
      <c r="AB2" s="59" t="s">
        <v>141</v>
      </c>
      <c r="AC2" s="59" t="s">
        <v>158</v>
      </c>
    </row>
    <row r="3" spans="1:29" s="29" customFormat="1" ht="11.25" customHeight="1" x14ac:dyDescent="0.2">
      <c r="A3" s="30">
        <v>1</v>
      </c>
      <c r="B3" s="50">
        <v>2</v>
      </c>
      <c r="C3" s="30">
        <v>3</v>
      </c>
      <c r="D3" s="50">
        <v>4</v>
      </c>
      <c r="E3" s="30">
        <v>5</v>
      </c>
      <c r="F3" s="50">
        <v>6</v>
      </c>
      <c r="G3" s="30">
        <v>7</v>
      </c>
      <c r="H3" s="50">
        <v>8</v>
      </c>
      <c r="I3" s="30">
        <v>9</v>
      </c>
      <c r="J3" s="50">
        <v>10</v>
      </c>
      <c r="K3" s="30">
        <v>11</v>
      </c>
      <c r="L3" s="50">
        <v>12</v>
      </c>
      <c r="M3" s="30">
        <v>13</v>
      </c>
      <c r="N3" s="50">
        <v>14</v>
      </c>
      <c r="O3" s="30">
        <v>15</v>
      </c>
      <c r="P3" s="50">
        <v>16</v>
      </c>
      <c r="Q3" s="30">
        <v>17</v>
      </c>
      <c r="R3" s="50">
        <v>18</v>
      </c>
      <c r="S3" s="30">
        <v>19</v>
      </c>
      <c r="T3" s="50">
        <v>20</v>
      </c>
      <c r="U3" s="30">
        <v>21</v>
      </c>
      <c r="V3" s="50">
        <v>22</v>
      </c>
      <c r="W3" s="30">
        <v>23</v>
      </c>
      <c r="X3" s="50">
        <v>24</v>
      </c>
      <c r="Y3" s="30">
        <v>25</v>
      </c>
      <c r="Z3" s="50">
        <v>26</v>
      </c>
      <c r="AA3" s="30">
        <v>27</v>
      </c>
      <c r="AB3" s="50">
        <v>28</v>
      </c>
      <c r="AC3" s="30">
        <v>29</v>
      </c>
    </row>
    <row r="4" spans="1:29" s="52" customFormat="1" ht="20.25" customHeight="1" x14ac:dyDescent="0.2">
      <c r="A4" s="429" t="s">
        <v>159</v>
      </c>
      <c r="B4" s="430"/>
      <c r="C4" s="51">
        <f t="shared" ref="C4:AC4" si="0">C5+C6</f>
        <v>115</v>
      </c>
      <c r="D4" s="51">
        <f t="shared" si="0"/>
        <v>0</v>
      </c>
      <c r="E4" s="51">
        <f t="shared" si="0"/>
        <v>0</v>
      </c>
      <c r="F4" s="51">
        <f t="shared" si="0"/>
        <v>0</v>
      </c>
      <c r="G4" s="51">
        <f t="shared" si="0"/>
        <v>0</v>
      </c>
      <c r="H4" s="51">
        <f t="shared" si="0"/>
        <v>0</v>
      </c>
      <c r="I4" s="51">
        <f t="shared" si="0"/>
        <v>0</v>
      </c>
      <c r="J4" s="51">
        <f t="shared" si="0"/>
        <v>0</v>
      </c>
      <c r="K4" s="51">
        <f t="shared" si="0"/>
        <v>65</v>
      </c>
      <c r="L4" s="51">
        <f t="shared" si="0"/>
        <v>0</v>
      </c>
      <c r="M4" s="51">
        <f t="shared" si="0"/>
        <v>0</v>
      </c>
      <c r="N4" s="51">
        <f t="shared" si="0"/>
        <v>0</v>
      </c>
      <c r="O4" s="51">
        <f t="shared" si="0"/>
        <v>0</v>
      </c>
      <c r="P4" s="51">
        <f t="shared" si="0"/>
        <v>0</v>
      </c>
      <c r="Q4" s="51">
        <f t="shared" si="0"/>
        <v>0</v>
      </c>
      <c r="R4" s="51">
        <f t="shared" si="0"/>
        <v>0</v>
      </c>
      <c r="S4" s="51">
        <f t="shared" si="0"/>
        <v>0</v>
      </c>
      <c r="T4" s="51">
        <f t="shared" si="0"/>
        <v>0</v>
      </c>
      <c r="U4" s="51">
        <f t="shared" si="0"/>
        <v>0</v>
      </c>
      <c r="V4" s="51">
        <f t="shared" si="0"/>
        <v>0</v>
      </c>
      <c r="W4" s="51">
        <f t="shared" si="0"/>
        <v>0</v>
      </c>
      <c r="X4" s="51">
        <f t="shared" si="0"/>
        <v>0</v>
      </c>
      <c r="Y4" s="51">
        <f t="shared" si="0"/>
        <v>20</v>
      </c>
      <c r="Z4" s="51">
        <v>40</v>
      </c>
      <c r="AA4" s="51">
        <f t="shared" si="0"/>
        <v>240</v>
      </c>
      <c r="AB4" s="51">
        <f t="shared" si="0"/>
        <v>0</v>
      </c>
      <c r="AC4" s="51">
        <f t="shared" si="0"/>
        <v>240</v>
      </c>
    </row>
    <row r="5" spans="1:29" s="29" customFormat="1" ht="13.5" customHeight="1" x14ac:dyDescent="0.2">
      <c r="A5" s="31">
        <v>1</v>
      </c>
      <c r="B5" s="53">
        <v>170435</v>
      </c>
      <c r="C5" s="32">
        <v>110</v>
      </c>
      <c r="D5" s="32"/>
      <c r="E5" s="32"/>
      <c r="F5" s="32"/>
      <c r="G5" s="33"/>
      <c r="H5" s="32"/>
      <c r="I5" s="32"/>
      <c r="J5" s="32"/>
      <c r="K5" s="32">
        <v>60</v>
      </c>
      <c r="L5" s="32"/>
      <c r="M5" s="32"/>
      <c r="N5" s="32"/>
      <c r="O5" s="32"/>
      <c r="P5" s="32"/>
      <c r="Q5" s="32"/>
      <c r="R5" s="32"/>
      <c r="S5" s="32"/>
      <c r="T5" s="34"/>
      <c r="U5" s="34"/>
      <c r="V5" s="35"/>
      <c r="W5" s="34"/>
      <c r="X5" s="32"/>
      <c r="Y5" s="32">
        <v>15</v>
      </c>
      <c r="Z5" s="32">
        <v>34</v>
      </c>
      <c r="AA5" s="32">
        <f>J5+L5+V5+R5+N5+O5+P5+Q5+K5+W5+S5+T5+X5+M5+Y5+H5+C5+I5+D5+E5+G5+F5+Z5+U5</f>
        <v>219</v>
      </c>
      <c r="AB5" s="54"/>
      <c r="AC5" s="32">
        <f>AA5+AB5</f>
        <v>219</v>
      </c>
    </row>
    <row r="6" spans="1:29" s="29" customFormat="1" ht="13.5" customHeight="1" x14ac:dyDescent="0.2">
      <c r="A6" s="36">
        <v>2</v>
      </c>
      <c r="B6" s="43">
        <v>185824</v>
      </c>
      <c r="C6" s="34">
        <v>5</v>
      </c>
      <c r="D6" s="34"/>
      <c r="E6" s="34"/>
      <c r="F6" s="34"/>
      <c r="G6" s="35"/>
      <c r="H6" s="34"/>
      <c r="I6" s="34"/>
      <c r="J6" s="34"/>
      <c r="K6" s="34">
        <f>0+5</f>
        <v>5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4"/>
      <c r="X6" s="34"/>
      <c r="Y6" s="34">
        <v>5</v>
      </c>
      <c r="Z6" s="34">
        <v>6</v>
      </c>
      <c r="AA6" s="32">
        <f>J6+L6+V6+R6+N6+O6+P6+Q6+K6+W6+S6+T6+X6+M6+Y6+H6+C6+I6+D6+E6+G6+F6+Z6+U6</f>
        <v>21</v>
      </c>
      <c r="AB6" s="54"/>
      <c r="AC6" s="32">
        <f>AA6+AB6</f>
        <v>21</v>
      </c>
    </row>
    <row r="7" spans="1:29" s="52" customFormat="1" ht="24" customHeight="1" x14ac:dyDescent="0.2">
      <c r="A7" s="429" t="s">
        <v>160</v>
      </c>
      <c r="B7" s="430"/>
      <c r="C7" s="51">
        <f t="shared" ref="C7:AC7" si="1">C8+C9</f>
        <v>400</v>
      </c>
      <c r="D7" s="51">
        <f t="shared" si="1"/>
        <v>0</v>
      </c>
      <c r="E7" s="51">
        <f t="shared" si="1"/>
        <v>0</v>
      </c>
      <c r="F7" s="51">
        <f t="shared" si="1"/>
        <v>16</v>
      </c>
      <c r="G7" s="51">
        <f t="shared" si="1"/>
        <v>230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47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 t="shared" si="1"/>
        <v>0</v>
      </c>
      <c r="Q7" s="51">
        <f t="shared" si="1"/>
        <v>200</v>
      </c>
      <c r="R7" s="51">
        <f t="shared" si="1"/>
        <v>40</v>
      </c>
      <c r="S7" s="51">
        <f t="shared" si="1"/>
        <v>0</v>
      </c>
      <c r="T7" s="51">
        <f t="shared" si="1"/>
        <v>0</v>
      </c>
      <c r="U7" s="51">
        <f t="shared" si="1"/>
        <v>0</v>
      </c>
      <c r="V7" s="51">
        <f t="shared" si="1"/>
        <v>0</v>
      </c>
      <c r="W7" s="51">
        <f t="shared" si="1"/>
        <v>0</v>
      </c>
      <c r="X7" s="51">
        <f t="shared" si="1"/>
        <v>0</v>
      </c>
      <c r="Y7" s="51">
        <f t="shared" si="1"/>
        <v>190</v>
      </c>
      <c r="Z7" s="51">
        <v>280</v>
      </c>
      <c r="AA7" s="51">
        <f t="shared" si="1"/>
        <v>1403</v>
      </c>
      <c r="AB7" s="51">
        <f t="shared" si="1"/>
        <v>0</v>
      </c>
      <c r="AC7" s="51">
        <f t="shared" si="1"/>
        <v>1403</v>
      </c>
    </row>
    <row r="8" spans="1:29" s="29" customFormat="1" ht="13.5" customHeight="1" x14ac:dyDescent="0.2">
      <c r="A8" s="36">
        <v>3</v>
      </c>
      <c r="B8" s="43">
        <v>132049</v>
      </c>
      <c r="C8" s="32">
        <v>280</v>
      </c>
      <c r="D8" s="32"/>
      <c r="E8" s="32"/>
      <c r="F8" s="32"/>
      <c r="G8" s="32">
        <v>150</v>
      </c>
      <c r="H8" s="32"/>
      <c r="I8" s="32"/>
      <c r="J8" s="32"/>
      <c r="K8" s="32">
        <v>12</v>
      </c>
      <c r="L8" s="32"/>
      <c r="M8" s="32"/>
      <c r="N8" s="32"/>
      <c r="O8" s="32"/>
      <c r="P8" s="32"/>
      <c r="Q8" s="32">
        <v>100</v>
      </c>
      <c r="R8" s="32">
        <v>40</v>
      </c>
      <c r="S8" s="32"/>
      <c r="T8" s="34"/>
      <c r="U8" s="34"/>
      <c r="V8" s="34"/>
      <c r="W8" s="34"/>
      <c r="X8" s="32"/>
      <c r="Y8" s="32">
        <v>155</v>
      </c>
      <c r="Z8" s="32">
        <v>280</v>
      </c>
      <c r="AA8" s="32">
        <f>J8+L8+V8+R8+N8+O8+P8+Q8+K8+W8+S8+T8+X8+M8+Y8+H8+C8+I8+D8+E8+G8+F8+Z8+U8</f>
        <v>1017</v>
      </c>
      <c r="AB8" s="54"/>
      <c r="AC8" s="55">
        <f>AA8+AB8</f>
        <v>1017</v>
      </c>
    </row>
    <row r="9" spans="1:29" s="29" customFormat="1" ht="13.5" customHeight="1" x14ac:dyDescent="0.2">
      <c r="A9" s="36">
        <v>4</v>
      </c>
      <c r="B9" s="43">
        <v>199681</v>
      </c>
      <c r="C9" s="34">
        <v>120</v>
      </c>
      <c r="D9" s="34"/>
      <c r="E9" s="34"/>
      <c r="F9" s="34">
        <f>12+4</f>
        <v>16</v>
      </c>
      <c r="G9" s="35">
        <v>80</v>
      </c>
      <c r="H9" s="37"/>
      <c r="I9" s="34"/>
      <c r="J9" s="34"/>
      <c r="K9" s="34">
        <v>35</v>
      </c>
      <c r="L9" s="32"/>
      <c r="M9" s="37"/>
      <c r="N9" s="37"/>
      <c r="O9" s="37"/>
      <c r="P9" s="34"/>
      <c r="Q9" s="34">
        <v>100</v>
      </c>
      <c r="R9" s="37"/>
      <c r="S9" s="34"/>
      <c r="T9" s="34"/>
      <c r="U9" s="34"/>
      <c r="V9" s="38"/>
      <c r="W9" s="34"/>
      <c r="X9" s="34"/>
      <c r="Y9" s="34">
        <v>35</v>
      </c>
      <c r="Z9" s="34"/>
      <c r="AA9" s="32">
        <f>J9+L9+V9+R9+N9+O9+P9+Q9+K9+W9+S9+T9+X9+M9+Y9+H9+C9+I9+D9+E9+G9+F9+Z9+U9</f>
        <v>386</v>
      </c>
      <c r="AB9" s="54"/>
      <c r="AC9" s="55">
        <f>AA9+AB9</f>
        <v>386</v>
      </c>
    </row>
    <row r="10" spans="1:29" s="29" customFormat="1" ht="20.25" customHeight="1" x14ac:dyDescent="0.2">
      <c r="A10" s="429" t="s">
        <v>161</v>
      </c>
      <c r="B10" s="430"/>
      <c r="C10" s="51">
        <f t="shared" ref="C10:AC10" si="2">C11</f>
        <v>50</v>
      </c>
      <c r="D10" s="51">
        <f t="shared" si="2"/>
        <v>0</v>
      </c>
      <c r="E10" s="51">
        <f t="shared" si="2"/>
        <v>0</v>
      </c>
      <c r="F10" s="51">
        <f t="shared" si="2"/>
        <v>34</v>
      </c>
      <c r="G10" s="51">
        <f t="shared" si="2"/>
        <v>0</v>
      </c>
      <c r="H10" s="51">
        <f t="shared" si="2"/>
        <v>0</v>
      </c>
      <c r="I10" s="51">
        <f t="shared" si="2"/>
        <v>0</v>
      </c>
      <c r="J10" s="51">
        <f t="shared" si="2"/>
        <v>0</v>
      </c>
      <c r="K10" s="51">
        <f t="shared" si="2"/>
        <v>60</v>
      </c>
      <c r="L10" s="51">
        <f t="shared" si="2"/>
        <v>0</v>
      </c>
      <c r="M10" s="51">
        <f t="shared" si="2"/>
        <v>0</v>
      </c>
      <c r="N10" s="51">
        <f t="shared" si="2"/>
        <v>0</v>
      </c>
      <c r="O10" s="51">
        <f t="shared" si="2"/>
        <v>0</v>
      </c>
      <c r="P10" s="51">
        <f t="shared" si="2"/>
        <v>0</v>
      </c>
      <c r="Q10" s="51">
        <f t="shared" si="2"/>
        <v>0</v>
      </c>
      <c r="R10" s="51">
        <f t="shared" si="2"/>
        <v>0</v>
      </c>
      <c r="S10" s="51">
        <f t="shared" si="2"/>
        <v>0</v>
      </c>
      <c r="T10" s="51">
        <f t="shared" si="2"/>
        <v>0</v>
      </c>
      <c r="U10" s="51">
        <f t="shared" si="2"/>
        <v>0</v>
      </c>
      <c r="V10" s="51">
        <f t="shared" si="2"/>
        <v>0</v>
      </c>
      <c r="W10" s="51">
        <f t="shared" si="2"/>
        <v>0</v>
      </c>
      <c r="X10" s="51">
        <f t="shared" si="2"/>
        <v>0</v>
      </c>
      <c r="Y10" s="51">
        <f t="shared" si="2"/>
        <v>0</v>
      </c>
      <c r="Z10" s="51">
        <v>40</v>
      </c>
      <c r="AA10" s="51">
        <f t="shared" si="2"/>
        <v>184</v>
      </c>
      <c r="AB10" s="51">
        <f t="shared" si="2"/>
        <v>0</v>
      </c>
      <c r="AC10" s="51">
        <f t="shared" si="2"/>
        <v>184</v>
      </c>
    </row>
    <row r="11" spans="1:29" s="29" customFormat="1" ht="15" customHeight="1" x14ac:dyDescent="0.2">
      <c r="A11" s="36">
        <v>5</v>
      </c>
      <c r="B11" s="43">
        <v>136709</v>
      </c>
      <c r="C11" s="34">
        <v>50</v>
      </c>
      <c r="D11" s="34"/>
      <c r="E11" s="34"/>
      <c r="F11" s="34">
        <f>30+4</f>
        <v>34</v>
      </c>
      <c r="G11" s="35"/>
      <c r="H11" s="34"/>
      <c r="I11" s="34"/>
      <c r="J11" s="34"/>
      <c r="K11" s="34">
        <v>60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4"/>
      <c r="X11" s="34"/>
      <c r="Y11" s="34"/>
      <c r="Z11" s="34">
        <v>40</v>
      </c>
      <c r="AA11" s="32">
        <f>J11+L11+V11+R11+N11+O11+P11+Q11+K11+W11+S11+T11+X11+M11+Y11+H11+C11+I11+D11+E11+G11+F11+Z11+U11</f>
        <v>184</v>
      </c>
      <c r="AB11" s="54"/>
      <c r="AC11" s="32">
        <f>AA11+AB11</f>
        <v>184</v>
      </c>
    </row>
    <row r="12" spans="1:29" s="29" customFormat="1" ht="20.25" customHeight="1" x14ac:dyDescent="0.2">
      <c r="A12" s="429" t="s">
        <v>162</v>
      </c>
      <c r="B12" s="430"/>
      <c r="C12" s="51">
        <f t="shared" ref="C12:AC12" si="3">C13+C14</f>
        <v>34</v>
      </c>
      <c r="D12" s="51">
        <f t="shared" si="3"/>
        <v>0</v>
      </c>
      <c r="E12" s="51">
        <f t="shared" si="3"/>
        <v>0</v>
      </c>
      <c r="F12" s="51">
        <f t="shared" si="3"/>
        <v>22</v>
      </c>
      <c r="G12" s="51">
        <f t="shared" si="3"/>
        <v>0</v>
      </c>
      <c r="H12" s="51">
        <f t="shared" si="3"/>
        <v>0</v>
      </c>
      <c r="I12" s="51">
        <f t="shared" si="3"/>
        <v>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28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0</v>
      </c>
      <c r="U12" s="51">
        <f t="shared" si="3"/>
        <v>0</v>
      </c>
      <c r="V12" s="51">
        <f t="shared" si="3"/>
        <v>0</v>
      </c>
      <c r="W12" s="51">
        <f t="shared" si="3"/>
        <v>0</v>
      </c>
      <c r="X12" s="51">
        <f t="shared" si="3"/>
        <v>0</v>
      </c>
      <c r="Y12" s="51">
        <f t="shared" si="3"/>
        <v>0</v>
      </c>
      <c r="Z12" s="51">
        <v>50</v>
      </c>
      <c r="AA12" s="51">
        <f t="shared" si="3"/>
        <v>134</v>
      </c>
      <c r="AB12" s="51">
        <f t="shared" si="3"/>
        <v>0</v>
      </c>
      <c r="AC12" s="51">
        <f t="shared" si="3"/>
        <v>134</v>
      </c>
    </row>
    <row r="13" spans="1:29" s="29" customFormat="1" ht="12.75" customHeight="1" x14ac:dyDescent="0.2">
      <c r="A13" s="36">
        <v>6</v>
      </c>
      <c r="B13" s="43">
        <v>154940</v>
      </c>
      <c r="C13" s="34">
        <f>40-6</f>
        <v>34</v>
      </c>
      <c r="D13" s="34"/>
      <c r="E13" s="34"/>
      <c r="F13" s="34">
        <f>25-3</f>
        <v>22</v>
      </c>
      <c r="G13" s="35"/>
      <c r="H13" s="34"/>
      <c r="I13" s="34"/>
      <c r="J13" s="34"/>
      <c r="K13" s="34"/>
      <c r="L13" s="34"/>
      <c r="M13" s="34"/>
      <c r="N13" s="34"/>
      <c r="O13" s="34">
        <f>22+6</f>
        <v>28</v>
      </c>
      <c r="P13" s="34"/>
      <c r="Q13" s="34"/>
      <c r="R13" s="34"/>
      <c r="S13" s="34"/>
      <c r="T13" s="34"/>
      <c r="U13" s="34"/>
      <c r="V13" s="35"/>
      <c r="W13" s="34"/>
      <c r="X13" s="34"/>
      <c r="Y13" s="34"/>
      <c r="Z13" s="34">
        <v>50</v>
      </c>
      <c r="AA13" s="32">
        <f>J13+L13+V13+R13+N13+O13+P13+Q13+K13+W13+S13+T13+X13+M13+Y13+H13+C13+I13+D13+E13+G13+F13+Z13+U13</f>
        <v>134</v>
      </c>
      <c r="AB13" s="54"/>
      <c r="AC13" s="32">
        <f>AA13+AB13</f>
        <v>134</v>
      </c>
    </row>
    <row r="14" spans="1:29" s="29" customFormat="1" ht="18.75" customHeight="1" x14ac:dyDescent="0.2">
      <c r="A14" s="36">
        <v>7</v>
      </c>
      <c r="B14" s="43">
        <v>456758</v>
      </c>
      <c r="C14" s="34"/>
      <c r="D14" s="34"/>
      <c r="E14" s="34"/>
      <c r="F14" s="34"/>
      <c r="G14" s="3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2">
        <f>J14+L14+V14+R14+N14+O14+P14+Q14+K14+W14+S14+T14+X14+M14+Y14+H14+C14+I14+D14+E14+G14+F14+Z14+U14</f>
        <v>0</v>
      </c>
      <c r="AB14" s="54"/>
      <c r="AC14" s="32">
        <f>AA14+AB14</f>
        <v>0</v>
      </c>
    </row>
    <row r="15" spans="1:29" s="29" customFormat="1" ht="21.75" customHeight="1" x14ac:dyDescent="0.2">
      <c r="A15" s="429" t="s">
        <v>163</v>
      </c>
      <c r="B15" s="430"/>
      <c r="C15" s="51">
        <f t="shared" ref="C15:AC15" si="4">C16</f>
        <v>0</v>
      </c>
      <c r="D15" s="51">
        <f t="shared" si="4"/>
        <v>0</v>
      </c>
      <c r="E15" s="51">
        <f t="shared" si="4"/>
        <v>0</v>
      </c>
      <c r="F15" s="51">
        <f t="shared" si="4"/>
        <v>8</v>
      </c>
      <c r="G15" s="51">
        <f t="shared" si="4"/>
        <v>0</v>
      </c>
      <c r="H15" s="51">
        <f t="shared" si="4"/>
        <v>0</v>
      </c>
      <c r="I15" s="51">
        <f t="shared" si="4"/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 t="shared" si="4"/>
        <v>0</v>
      </c>
      <c r="Q15" s="51">
        <f t="shared" si="4"/>
        <v>0</v>
      </c>
      <c r="R15" s="51">
        <f t="shared" si="4"/>
        <v>0</v>
      </c>
      <c r="S15" s="51">
        <f t="shared" si="4"/>
        <v>0</v>
      </c>
      <c r="T15" s="51">
        <f t="shared" si="4"/>
        <v>0</v>
      </c>
      <c r="U15" s="51">
        <f t="shared" si="4"/>
        <v>0</v>
      </c>
      <c r="V15" s="51">
        <f t="shared" si="4"/>
        <v>0</v>
      </c>
      <c r="W15" s="51">
        <f t="shared" si="4"/>
        <v>0</v>
      </c>
      <c r="X15" s="51">
        <f t="shared" si="4"/>
        <v>0</v>
      </c>
      <c r="Y15" s="51">
        <f t="shared" si="4"/>
        <v>0</v>
      </c>
      <c r="Z15" s="51">
        <v>0</v>
      </c>
      <c r="AA15" s="51">
        <f t="shared" si="4"/>
        <v>8</v>
      </c>
      <c r="AB15" s="51">
        <f t="shared" si="4"/>
        <v>0</v>
      </c>
      <c r="AC15" s="51">
        <f t="shared" si="4"/>
        <v>8</v>
      </c>
    </row>
    <row r="16" spans="1:29" s="29" customFormat="1" ht="14.25" customHeight="1" x14ac:dyDescent="0.2">
      <c r="A16" s="36">
        <v>8</v>
      </c>
      <c r="B16" s="43">
        <v>271427</v>
      </c>
      <c r="C16" s="34"/>
      <c r="D16" s="34"/>
      <c r="E16" s="34"/>
      <c r="F16" s="34">
        <f>10-2</f>
        <v>8</v>
      </c>
      <c r="G16" s="3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4"/>
      <c r="Y16" s="34"/>
      <c r="Z16" s="34"/>
      <c r="AA16" s="32">
        <f>J16+L16+V16+R16+N16+O16+P16+Q16+K16+W16+S16+T16+X16+M16+Y16+H16+C16+I16+D16+E16+G16+F16+Z16+U16</f>
        <v>8</v>
      </c>
      <c r="AB16" s="54"/>
      <c r="AC16" s="32">
        <f>AA16+AB16</f>
        <v>8</v>
      </c>
    </row>
    <row r="17" spans="1:29" s="29" customFormat="1" ht="18" customHeight="1" x14ac:dyDescent="0.2">
      <c r="A17" s="429" t="s">
        <v>164</v>
      </c>
      <c r="B17" s="430"/>
      <c r="C17" s="51">
        <f t="shared" ref="C17:AC17" si="5">C18</f>
        <v>0</v>
      </c>
      <c r="D17" s="51">
        <f t="shared" si="5"/>
        <v>0</v>
      </c>
      <c r="E17" s="51">
        <f t="shared" si="5"/>
        <v>0</v>
      </c>
      <c r="F17" s="51">
        <f t="shared" si="5"/>
        <v>0</v>
      </c>
      <c r="G17" s="51">
        <f t="shared" si="5"/>
        <v>0</v>
      </c>
      <c r="H17" s="51">
        <f t="shared" si="5"/>
        <v>52</v>
      </c>
      <c r="I17" s="51">
        <f t="shared" si="5"/>
        <v>0</v>
      </c>
      <c r="J17" s="51">
        <f t="shared" si="5"/>
        <v>0</v>
      </c>
      <c r="K17" s="51">
        <f t="shared" si="5"/>
        <v>0</v>
      </c>
      <c r="L17" s="51">
        <f t="shared" si="5"/>
        <v>0</v>
      </c>
      <c r="M17" s="51">
        <f t="shared" si="5"/>
        <v>0</v>
      </c>
      <c r="N17" s="51">
        <f t="shared" si="5"/>
        <v>0</v>
      </c>
      <c r="O17" s="51">
        <f t="shared" si="5"/>
        <v>0</v>
      </c>
      <c r="P17" s="51">
        <f t="shared" si="5"/>
        <v>0</v>
      </c>
      <c r="Q17" s="51">
        <f t="shared" si="5"/>
        <v>0</v>
      </c>
      <c r="R17" s="51">
        <f t="shared" si="5"/>
        <v>0</v>
      </c>
      <c r="S17" s="51">
        <f t="shared" si="5"/>
        <v>0</v>
      </c>
      <c r="T17" s="51">
        <f t="shared" si="5"/>
        <v>0</v>
      </c>
      <c r="U17" s="51">
        <f t="shared" si="5"/>
        <v>0</v>
      </c>
      <c r="V17" s="51">
        <f t="shared" si="5"/>
        <v>0</v>
      </c>
      <c r="W17" s="51">
        <f t="shared" si="5"/>
        <v>0</v>
      </c>
      <c r="X17" s="51">
        <f t="shared" si="5"/>
        <v>0</v>
      </c>
      <c r="Y17" s="51">
        <f t="shared" si="5"/>
        <v>0</v>
      </c>
      <c r="Z17" s="51">
        <v>0</v>
      </c>
      <c r="AA17" s="51">
        <f t="shared" si="5"/>
        <v>52</v>
      </c>
      <c r="AB17" s="51">
        <f t="shared" si="5"/>
        <v>0</v>
      </c>
      <c r="AC17" s="51">
        <f t="shared" si="5"/>
        <v>52</v>
      </c>
    </row>
    <row r="18" spans="1:29" s="29" customFormat="1" ht="15.75" customHeight="1" x14ac:dyDescent="0.2">
      <c r="A18" s="36">
        <v>9</v>
      </c>
      <c r="B18" s="43">
        <v>104656</v>
      </c>
      <c r="C18" s="34"/>
      <c r="D18" s="34"/>
      <c r="E18" s="34"/>
      <c r="F18" s="34"/>
      <c r="G18" s="35"/>
      <c r="H18" s="34">
        <v>52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4"/>
      <c r="Y18" s="34"/>
      <c r="Z18" s="34"/>
      <c r="AA18" s="32">
        <f>J18+L18+V18+R18+N18+O18+P18+Q18+K18+W18+S18+T18+X18+M18+Y18+H18+C18+I18+D18+E18+G18+F18+Z18+U18</f>
        <v>52</v>
      </c>
      <c r="AB18" s="54"/>
      <c r="AC18" s="32">
        <f>AA18+AB18</f>
        <v>52</v>
      </c>
    </row>
    <row r="19" spans="1:29" s="29" customFormat="1" ht="12.75" customHeight="1" x14ac:dyDescent="0.2">
      <c r="A19" s="429" t="s">
        <v>165</v>
      </c>
      <c r="B19" s="430"/>
      <c r="C19" s="51">
        <f t="shared" ref="C19:AC19" si="6">C20+C21</f>
        <v>0</v>
      </c>
      <c r="D19" s="51">
        <f t="shared" si="6"/>
        <v>0</v>
      </c>
      <c r="E19" s="51">
        <f t="shared" si="6"/>
        <v>0</v>
      </c>
      <c r="F19" s="51">
        <f t="shared" si="6"/>
        <v>0</v>
      </c>
      <c r="G19" s="51">
        <f t="shared" si="6"/>
        <v>0</v>
      </c>
      <c r="H19" s="51">
        <f t="shared" si="6"/>
        <v>0</v>
      </c>
      <c r="I19" s="51">
        <f t="shared" si="6"/>
        <v>0</v>
      </c>
      <c r="J19" s="51">
        <f t="shared" si="6"/>
        <v>0</v>
      </c>
      <c r="K19" s="51">
        <f t="shared" si="6"/>
        <v>0</v>
      </c>
      <c r="L19" s="51">
        <f t="shared" si="6"/>
        <v>0</v>
      </c>
      <c r="M19" s="51">
        <f t="shared" si="6"/>
        <v>0</v>
      </c>
      <c r="N19" s="51">
        <f t="shared" si="6"/>
        <v>0</v>
      </c>
      <c r="O19" s="51">
        <f t="shared" si="6"/>
        <v>0</v>
      </c>
      <c r="P19" s="51">
        <f t="shared" si="6"/>
        <v>0</v>
      </c>
      <c r="Q19" s="51">
        <f t="shared" si="6"/>
        <v>100</v>
      </c>
      <c r="R19" s="51">
        <f t="shared" si="6"/>
        <v>0</v>
      </c>
      <c r="S19" s="51">
        <f t="shared" si="6"/>
        <v>0</v>
      </c>
      <c r="T19" s="51">
        <f t="shared" si="6"/>
        <v>0</v>
      </c>
      <c r="U19" s="51">
        <f t="shared" si="6"/>
        <v>0</v>
      </c>
      <c r="V19" s="51">
        <f t="shared" si="6"/>
        <v>0</v>
      </c>
      <c r="W19" s="51">
        <f t="shared" si="6"/>
        <v>30</v>
      </c>
      <c r="X19" s="51">
        <f t="shared" si="6"/>
        <v>0</v>
      </c>
      <c r="Y19" s="51">
        <f t="shared" si="6"/>
        <v>0</v>
      </c>
      <c r="Z19" s="51">
        <v>0</v>
      </c>
      <c r="AA19" s="51">
        <f t="shared" si="6"/>
        <v>130</v>
      </c>
      <c r="AB19" s="51">
        <f t="shared" si="6"/>
        <v>0</v>
      </c>
      <c r="AC19" s="51">
        <f t="shared" si="6"/>
        <v>130</v>
      </c>
    </row>
    <row r="20" spans="1:29" s="29" customFormat="1" ht="14.25" customHeight="1" x14ac:dyDescent="0.2">
      <c r="A20" s="36">
        <v>10</v>
      </c>
      <c r="B20" s="43">
        <v>554139</v>
      </c>
      <c r="C20" s="34"/>
      <c r="D20" s="34"/>
      <c r="E20" s="34"/>
      <c r="F20" s="34"/>
      <c r="G20" s="35"/>
      <c r="H20" s="37"/>
      <c r="I20" s="34"/>
      <c r="J20" s="34"/>
      <c r="K20" s="34"/>
      <c r="L20" s="37"/>
      <c r="M20" s="37"/>
      <c r="N20" s="37"/>
      <c r="O20" s="37"/>
      <c r="P20" s="34"/>
      <c r="Q20" s="34">
        <v>80</v>
      </c>
      <c r="R20" s="37"/>
      <c r="S20" s="34"/>
      <c r="T20" s="34"/>
      <c r="U20" s="34"/>
      <c r="V20" s="38"/>
      <c r="W20" s="34">
        <v>30</v>
      </c>
      <c r="X20" s="34"/>
      <c r="Y20" s="34"/>
      <c r="Z20" s="34"/>
      <c r="AA20" s="32">
        <f>J20+L20+V20+R20+N20+O20+P20+Q20+K20+W20+S20+T20+X20+M20+Y20+H20+C20+I20+D20+E20+G20+F20+Z20+U20</f>
        <v>110</v>
      </c>
      <c r="AB20" s="54"/>
      <c r="AC20" s="32">
        <f>AA20+AB20</f>
        <v>110</v>
      </c>
    </row>
    <row r="21" spans="1:29" s="29" customFormat="1" ht="14.25" customHeight="1" x14ac:dyDescent="0.2">
      <c r="A21" s="36">
        <v>11</v>
      </c>
      <c r="B21" s="43">
        <v>1624324</v>
      </c>
      <c r="C21" s="39"/>
      <c r="D21" s="39"/>
      <c r="E21" s="39"/>
      <c r="F21" s="39"/>
      <c r="G21" s="40"/>
      <c r="H21" s="41"/>
      <c r="I21" s="39"/>
      <c r="J21" s="39"/>
      <c r="K21" s="39"/>
      <c r="L21" s="41"/>
      <c r="M21" s="41"/>
      <c r="N21" s="41"/>
      <c r="O21" s="41"/>
      <c r="P21" s="39"/>
      <c r="Q21" s="39">
        <v>20</v>
      </c>
      <c r="R21" s="41"/>
      <c r="S21" s="39"/>
      <c r="T21" s="34"/>
      <c r="U21" s="34"/>
      <c r="V21" s="38"/>
      <c r="W21" s="34"/>
      <c r="X21" s="39"/>
      <c r="Y21" s="39"/>
      <c r="Z21" s="39"/>
      <c r="AA21" s="32">
        <f>J21+L21+V21+R21+N21+O21+P21+Q21+K21+W21+S21+T21+X21+M21+Y21+H21+C21+I21+D21+E21+G21+F21+Z21+U21</f>
        <v>20</v>
      </c>
      <c r="AB21" s="54"/>
      <c r="AC21" s="32">
        <f>AA21+AB21</f>
        <v>20</v>
      </c>
    </row>
    <row r="22" spans="1:29" s="29" customFormat="1" ht="21" customHeight="1" x14ac:dyDescent="0.2">
      <c r="A22" s="429" t="s">
        <v>166</v>
      </c>
      <c r="B22" s="430"/>
      <c r="C22" s="51">
        <f t="shared" ref="C22:AC22" si="7">SUM(C23:C28)</f>
        <v>355</v>
      </c>
      <c r="D22" s="51">
        <f t="shared" si="7"/>
        <v>0</v>
      </c>
      <c r="E22" s="51">
        <f t="shared" si="7"/>
        <v>0</v>
      </c>
      <c r="F22" s="51">
        <f t="shared" si="7"/>
        <v>125</v>
      </c>
      <c r="G22" s="51">
        <f t="shared" si="7"/>
        <v>0</v>
      </c>
      <c r="H22" s="51">
        <f t="shared" si="7"/>
        <v>0</v>
      </c>
      <c r="I22" s="51">
        <f t="shared" si="7"/>
        <v>0</v>
      </c>
      <c r="J22" s="51">
        <f t="shared" si="7"/>
        <v>78</v>
      </c>
      <c r="K22" s="51">
        <f t="shared" si="7"/>
        <v>142</v>
      </c>
      <c r="L22" s="51">
        <f t="shared" si="7"/>
        <v>0</v>
      </c>
      <c r="M22" s="51">
        <f t="shared" si="7"/>
        <v>0</v>
      </c>
      <c r="N22" s="51">
        <f t="shared" si="7"/>
        <v>0</v>
      </c>
      <c r="O22" s="51">
        <f t="shared" si="7"/>
        <v>0</v>
      </c>
      <c r="P22" s="51">
        <f t="shared" si="7"/>
        <v>22</v>
      </c>
      <c r="Q22" s="51">
        <f t="shared" si="7"/>
        <v>0</v>
      </c>
      <c r="R22" s="51">
        <f t="shared" si="7"/>
        <v>0</v>
      </c>
      <c r="S22" s="51">
        <f t="shared" si="7"/>
        <v>5</v>
      </c>
      <c r="T22" s="51">
        <f t="shared" si="7"/>
        <v>19</v>
      </c>
      <c r="U22" s="51">
        <f t="shared" si="7"/>
        <v>0</v>
      </c>
      <c r="V22" s="51">
        <f t="shared" si="7"/>
        <v>0</v>
      </c>
      <c r="W22" s="51">
        <f t="shared" si="7"/>
        <v>192</v>
      </c>
      <c r="X22" s="51">
        <f t="shared" si="7"/>
        <v>0</v>
      </c>
      <c r="Y22" s="51">
        <f t="shared" si="7"/>
        <v>0</v>
      </c>
      <c r="Z22" s="51">
        <v>120</v>
      </c>
      <c r="AA22" s="51">
        <f t="shared" si="7"/>
        <v>1058</v>
      </c>
      <c r="AB22" s="51">
        <f t="shared" si="7"/>
        <v>0</v>
      </c>
      <c r="AC22" s="51">
        <f t="shared" si="7"/>
        <v>1058</v>
      </c>
    </row>
    <row r="23" spans="1:29" s="29" customFormat="1" ht="14.25" customHeight="1" x14ac:dyDescent="0.2">
      <c r="A23" s="36">
        <v>12</v>
      </c>
      <c r="B23" s="43">
        <v>168234</v>
      </c>
      <c r="C23" s="32">
        <v>305</v>
      </c>
      <c r="D23" s="32"/>
      <c r="E23" s="32"/>
      <c r="F23" s="32">
        <v>65</v>
      </c>
      <c r="G23" s="33"/>
      <c r="H23" s="32"/>
      <c r="I23" s="32"/>
      <c r="J23" s="32">
        <v>60</v>
      </c>
      <c r="K23" s="32">
        <v>124</v>
      </c>
      <c r="L23" s="32"/>
      <c r="M23" s="32"/>
      <c r="N23" s="32"/>
      <c r="O23" s="32"/>
      <c r="P23" s="32">
        <v>6</v>
      </c>
      <c r="Q23" s="32"/>
      <c r="R23" s="33"/>
      <c r="S23" s="34">
        <v>2</v>
      </c>
      <c r="T23" s="34">
        <v>9</v>
      </c>
      <c r="U23" s="34"/>
      <c r="V23" s="35"/>
      <c r="W23" s="34">
        <v>180</v>
      </c>
      <c r="X23" s="34"/>
      <c r="Y23" s="34"/>
      <c r="Z23" s="32">
        <v>120</v>
      </c>
      <c r="AA23" s="32">
        <f t="shared" ref="AA23:AA28" si="8">J23+L23+V23+R23+N23+O23+P23+Q23+K23+W23+S23+T23+X23+M23+Y23+H23+C23+I23+D23+E23+G23+F23+Z23+U23</f>
        <v>871</v>
      </c>
      <c r="AB23" s="54"/>
      <c r="AC23" s="32">
        <f t="shared" ref="AC23:AC28" si="9">AA23+AB23</f>
        <v>871</v>
      </c>
    </row>
    <row r="24" spans="1:29" s="29" customFormat="1" ht="14.25" customHeight="1" x14ac:dyDescent="0.2">
      <c r="A24" s="36">
        <v>13</v>
      </c>
      <c r="B24" s="43">
        <v>254325</v>
      </c>
      <c r="C24" s="32">
        <v>5</v>
      </c>
      <c r="D24" s="32"/>
      <c r="E24" s="32"/>
      <c r="F24" s="32"/>
      <c r="G24" s="32"/>
      <c r="H24" s="42"/>
      <c r="I24" s="32"/>
      <c r="J24" s="32"/>
      <c r="K24" s="32"/>
      <c r="L24" s="42"/>
      <c r="M24" s="42"/>
      <c r="N24" s="42"/>
      <c r="O24" s="42"/>
      <c r="P24" s="32"/>
      <c r="Q24" s="32"/>
      <c r="R24" s="42"/>
      <c r="S24" s="34">
        <v>3</v>
      </c>
      <c r="T24" s="34">
        <f>10-10</f>
        <v>0</v>
      </c>
      <c r="U24" s="34"/>
      <c r="V24" s="37"/>
      <c r="W24" s="34"/>
      <c r="X24" s="34"/>
      <c r="Y24" s="34"/>
      <c r="Z24" s="32"/>
      <c r="AA24" s="32">
        <f t="shared" si="8"/>
        <v>8</v>
      </c>
      <c r="AB24" s="54"/>
      <c r="AC24" s="32">
        <f t="shared" si="9"/>
        <v>8</v>
      </c>
    </row>
    <row r="25" spans="1:29" s="29" customFormat="1" ht="14.25" customHeight="1" x14ac:dyDescent="0.2">
      <c r="A25" s="36">
        <v>14</v>
      </c>
      <c r="B25" s="43">
        <v>163116</v>
      </c>
      <c r="C25" s="34">
        <v>15</v>
      </c>
      <c r="D25" s="34"/>
      <c r="E25" s="34"/>
      <c r="F25" s="34"/>
      <c r="G25" s="35"/>
      <c r="H25" s="37"/>
      <c r="I25" s="34"/>
      <c r="J25" s="34">
        <v>3</v>
      </c>
      <c r="K25" s="34">
        <v>8</v>
      </c>
      <c r="L25" s="37"/>
      <c r="M25" s="37"/>
      <c r="N25" s="37"/>
      <c r="O25" s="37"/>
      <c r="P25" s="34"/>
      <c r="Q25" s="34"/>
      <c r="R25" s="37"/>
      <c r="S25" s="34"/>
      <c r="T25" s="34"/>
      <c r="U25" s="34"/>
      <c r="V25" s="38"/>
      <c r="W25" s="34">
        <v>12</v>
      </c>
      <c r="X25" s="34"/>
      <c r="Y25" s="34"/>
      <c r="Z25" s="34"/>
      <c r="AA25" s="32">
        <f t="shared" si="8"/>
        <v>38</v>
      </c>
      <c r="AB25" s="54"/>
      <c r="AC25" s="32">
        <f t="shared" si="9"/>
        <v>38</v>
      </c>
    </row>
    <row r="26" spans="1:29" s="29" customFormat="1" ht="12.75" customHeight="1" x14ac:dyDescent="0.2">
      <c r="A26" s="36">
        <v>15</v>
      </c>
      <c r="B26" s="43">
        <v>234431</v>
      </c>
      <c r="C26" s="39"/>
      <c r="D26" s="39"/>
      <c r="E26" s="39"/>
      <c r="F26" s="39">
        <v>60</v>
      </c>
      <c r="G26" s="40"/>
      <c r="H26" s="41"/>
      <c r="I26" s="39"/>
      <c r="J26" s="39"/>
      <c r="K26" s="39"/>
      <c r="L26" s="41"/>
      <c r="M26" s="41"/>
      <c r="N26" s="41"/>
      <c r="O26" s="41"/>
      <c r="P26" s="34">
        <v>16</v>
      </c>
      <c r="Q26" s="39"/>
      <c r="R26" s="41"/>
      <c r="S26" s="34"/>
      <c r="T26" s="34"/>
      <c r="U26" s="34"/>
      <c r="V26" s="38"/>
      <c r="W26" s="34"/>
      <c r="X26" s="34"/>
      <c r="Y26" s="34"/>
      <c r="Z26" s="39"/>
      <c r="AA26" s="32">
        <f t="shared" si="8"/>
        <v>76</v>
      </c>
      <c r="AB26" s="54"/>
      <c r="AC26" s="32">
        <f t="shared" si="9"/>
        <v>76</v>
      </c>
    </row>
    <row r="27" spans="1:29" s="29" customFormat="1" ht="14.25" customHeight="1" x14ac:dyDescent="0.2">
      <c r="A27" s="36">
        <v>16</v>
      </c>
      <c r="B27" s="43">
        <v>302151</v>
      </c>
      <c r="C27" s="34">
        <v>15</v>
      </c>
      <c r="D27" s="34"/>
      <c r="E27" s="34"/>
      <c r="F27" s="34"/>
      <c r="G27" s="35"/>
      <c r="H27" s="37"/>
      <c r="I27" s="34"/>
      <c r="J27" s="34"/>
      <c r="K27" s="34"/>
      <c r="L27" s="37"/>
      <c r="M27" s="37"/>
      <c r="N27" s="37"/>
      <c r="O27" s="37"/>
      <c r="P27" s="34"/>
      <c r="Q27" s="34"/>
      <c r="R27" s="37"/>
      <c r="S27" s="34"/>
      <c r="T27" s="34">
        <f>0+10</f>
        <v>10</v>
      </c>
      <c r="U27" s="34"/>
      <c r="V27" s="38"/>
      <c r="W27" s="34"/>
      <c r="X27" s="34"/>
      <c r="Y27" s="34"/>
      <c r="Z27" s="34"/>
      <c r="AA27" s="32">
        <f t="shared" si="8"/>
        <v>25</v>
      </c>
      <c r="AB27" s="54"/>
      <c r="AC27" s="32">
        <f t="shared" si="9"/>
        <v>25</v>
      </c>
    </row>
    <row r="28" spans="1:29" s="29" customFormat="1" ht="14.25" customHeight="1" x14ac:dyDescent="0.2">
      <c r="A28" s="36">
        <v>17</v>
      </c>
      <c r="B28" s="43">
        <v>409766</v>
      </c>
      <c r="C28" s="39">
        <v>15</v>
      </c>
      <c r="D28" s="39"/>
      <c r="E28" s="39"/>
      <c r="F28" s="39"/>
      <c r="G28" s="40"/>
      <c r="H28" s="41"/>
      <c r="I28" s="39"/>
      <c r="J28" s="39">
        <v>15</v>
      </c>
      <c r="K28" s="39">
        <v>10</v>
      </c>
      <c r="L28" s="41"/>
      <c r="M28" s="41"/>
      <c r="N28" s="41"/>
      <c r="O28" s="41"/>
      <c r="P28" s="39"/>
      <c r="Q28" s="39"/>
      <c r="R28" s="41"/>
      <c r="S28" s="34"/>
      <c r="T28" s="34"/>
      <c r="U28" s="34"/>
      <c r="V28" s="38"/>
      <c r="W28" s="34"/>
      <c r="X28" s="34"/>
      <c r="Y28" s="34"/>
      <c r="Z28" s="39"/>
      <c r="AA28" s="32">
        <f t="shared" si="8"/>
        <v>40</v>
      </c>
      <c r="AB28" s="54"/>
      <c r="AC28" s="32">
        <f t="shared" si="9"/>
        <v>40</v>
      </c>
    </row>
    <row r="29" spans="1:29" s="29" customFormat="1" ht="18.75" customHeight="1" x14ac:dyDescent="0.2">
      <c r="A29" s="429" t="s">
        <v>167</v>
      </c>
      <c r="B29" s="430"/>
      <c r="C29" s="51">
        <f t="shared" ref="C29:AC29" si="10">C30+C31</f>
        <v>130</v>
      </c>
      <c r="D29" s="51">
        <f t="shared" si="10"/>
        <v>0</v>
      </c>
      <c r="E29" s="51">
        <f t="shared" si="10"/>
        <v>0</v>
      </c>
      <c r="F29" s="51">
        <f t="shared" si="10"/>
        <v>180</v>
      </c>
      <c r="G29" s="51">
        <f t="shared" si="10"/>
        <v>498</v>
      </c>
      <c r="H29" s="51">
        <f t="shared" si="10"/>
        <v>0</v>
      </c>
      <c r="I29" s="51">
        <f t="shared" si="10"/>
        <v>0</v>
      </c>
      <c r="J29" s="51">
        <f t="shared" si="10"/>
        <v>0</v>
      </c>
      <c r="K29" s="51">
        <f t="shared" si="10"/>
        <v>0</v>
      </c>
      <c r="L29" s="51">
        <f t="shared" si="10"/>
        <v>0</v>
      </c>
      <c r="M29" s="51">
        <f t="shared" si="10"/>
        <v>0</v>
      </c>
      <c r="N29" s="51">
        <f t="shared" si="10"/>
        <v>0</v>
      </c>
      <c r="O29" s="51">
        <f t="shared" si="10"/>
        <v>0</v>
      </c>
      <c r="P29" s="51">
        <f t="shared" si="10"/>
        <v>118</v>
      </c>
      <c r="Q29" s="51">
        <f t="shared" si="10"/>
        <v>0</v>
      </c>
      <c r="R29" s="51">
        <f t="shared" si="10"/>
        <v>0</v>
      </c>
      <c r="S29" s="51">
        <f t="shared" si="10"/>
        <v>0</v>
      </c>
      <c r="T29" s="51">
        <f t="shared" si="10"/>
        <v>0</v>
      </c>
      <c r="U29" s="51">
        <f t="shared" si="10"/>
        <v>0</v>
      </c>
      <c r="V29" s="51">
        <f t="shared" si="10"/>
        <v>0</v>
      </c>
      <c r="W29" s="51">
        <f t="shared" si="10"/>
        <v>0</v>
      </c>
      <c r="X29" s="51">
        <f t="shared" si="10"/>
        <v>0</v>
      </c>
      <c r="Y29" s="51">
        <f t="shared" si="10"/>
        <v>0</v>
      </c>
      <c r="Z29" s="51">
        <v>20</v>
      </c>
      <c r="AA29" s="51">
        <f t="shared" si="10"/>
        <v>946</v>
      </c>
      <c r="AB29" s="51">
        <f t="shared" si="10"/>
        <v>0</v>
      </c>
      <c r="AC29" s="51">
        <f t="shared" si="10"/>
        <v>946</v>
      </c>
    </row>
    <row r="30" spans="1:29" s="29" customFormat="1" ht="14.25" customHeight="1" x14ac:dyDescent="0.2">
      <c r="A30" s="36">
        <v>18</v>
      </c>
      <c r="B30" s="43">
        <v>255509</v>
      </c>
      <c r="C30" s="32">
        <f>105-15</f>
        <v>90</v>
      </c>
      <c r="D30" s="32"/>
      <c r="E30" s="32"/>
      <c r="F30" s="32">
        <v>134</v>
      </c>
      <c r="G30" s="32">
        <f>230+15+25</f>
        <v>270</v>
      </c>
      <c r="H30" s="32"/>
      <c r="I30" s="32"/>
      <c r="J30" s="32"/>
      <c r="K30" s="32"/>
      <c r="L30" s="32"/>
      <c r="M30" s="32"/>
      <c r="N30" s="32"/>
      <c r="O30" s="32"/>
      <c r="P30" s="32">
        <f>100-2</f>
        <v>98</v>
      </c>
      <c r="Q30" s="32"/>
      <c r="R30" s="32"/>
      <c r="S30" s="32"/>
      <c r="T30" s="32"/>
      <c r="U30" s="32"/>
      <c r="V30" s="32"/>
      <c r="W30" s="32"/>
      <c r="X30" s="32"/>
      <c r="Y30" s="32"/>
      <c r="Z30" s="32">
        <v>15</v>
      </c>
      <c r="AA30" s="32">
        <f>J30+L30+V30+R30+N30+O30+P30+Q30+K30+W30+S30+T30+X30+M30+Y30+H30+C30+I30+D30+E30+G30+F30+Z30+U30</f>
        <v>607</v>
      </c>
      <c r="AB30" s="54"/>
      <c r="AC30" s="32">
        <f>AA30+AB30</f>
        <v>607</v>
      </c>
    </row>
    <row r="31" spans="1:29" s="29" customFormat="1" ht="14.25" customHeight="1" x14ac:dyDescent="0.2">
      <c r="A31" s="36">
        <v>19</v>
      </c>
      <c r="B31" s="43">
        <v>372794</v>
      </c>
      <c r="C31" s="32">
        <f>55-15</f>
        <v>40</v>
      </c>
      <c r="D31" s="32"/>
      <c r="E31" s="32"/>
      <c r="F31" s="32">
        <v>46</v>
      </c>
      <c r="G31" s="32">
        <f>188+15+25</f>
        <v>228</v>
      </c>
      <c r="H31" s="32"/>
      <c r="I31" s="32"/>
      <c r="J31" s="32"/>
      <c r="K31" s="32"/>
      <c r="L31" s="32"/>
      <c r="M31" s="32"/>
      <c r="N31" s="32"/>
      <c r="O31" s="32"/>
      <c r="P31" s="32">
        <v>20</v>
      </c>
      <c r="Q31" s="32"/>
      <c r="R31" s="32"/>
      <c r="S31" s="32"/>
      <c r="T31" s="32"/>
      <c r="U31" s="32"/>
      <c r="V31" s="32"/>
      <c r="W31" s="32"/>
      <c r="X31" s="32"/>
      <c r="Y31" s="32"/>
      <c r="Z31" s="32">
        <v>5</v>
      </c>
      <c r="AA31" s="32">
        <f>J31+L31+V31+R31+N31+O31+P31+Q31+K31+W31+S31+T31+X31+M31+Y31+H31+C31+I31+D31+E31+G31+F31+Z31+U31</f>
        <v>339</v>
      </c>
      <c r="AB31" s="54"/>
      <c r="AC31" s="32">
        <f>AA31+AB31</f>
        <v>339</v>
      </c>
    </row>
    <row r="32" spans="1:29" s="29" customFormat="1" ht="18.75" customHeight="1" x14ac:dyDescent="0.2">
      <c r="A32" s="429" t="s">
        <v>109</v>
      </c>
      <c r="B32" s="430"/>
      <c r="C32" s="51">
        <f t="shared" ref="C32" si="11">C33+C34+C35+C36+C37+C38</f>
        <v>130</v>
      </c>
      <c r="D32" s="51">
        <f>D33+D34+D35+D36+D37+D38</f>
        <v>1450</v>
      </c>
      <c r="E32" s="51">
        <f t="shared" ref="E32:AC32" si="12">E33+E34+E35+E36+E37+E38</f>
        <v>0</v>
      </c>
      <c r="F32" s="51">
        <f t="shared" si="12"/>
        <v>100</v>
      </c>
      <c r="G32" s="51">
        <f t="shared" si="12"/>
        <v>0</v>
      </c>
      <c r="H32" s="51">
        <f t="shared" si="12"/>
        <v>0</v>
      </c>
      <c r="I32" s="51">
        <f t="shared" si="12"/>
        <v>0</v>
      </c>
      <c r="J32" s="51">
        <f t="shared" si="12"/>
        <v>0</v>
      </c>
      <c r="K32" s="51">
        <f t="shared" si="12"/>
        <v>0</v>
      </c>
      <c r="L32" s="51">
        <f t="shared" si="12"/>
        <v>0</v>
      </c>
      <c r="M32" s="51">
        <f t="shared" si="12"/>
        <v>0</v>
      </c>
      <c r="N32" s="51">
        <f t="shared" si="12"/>
        <v>0</v>
      </c>
      <c r="O32" s="51">
        <f t="shared" si="12"/>
        <v>0</v>
      </c>
      <c r="P32" s="51">
        <f t="shared" si="12"/>
        <v>0</v>
      </c>
      <c r="Q32" s="51">
        <f t="shared" si="12"/>
        <v>0</v>
      </c>
      <c r="R32" s="51">
        <f t="shared" si="12"/>
        <v>0</v>
      </c>
      <c r="S32" s="51">
        <f t="shared" si="12"/>
        <v>0</v>
      </c>
      <c r="T32" s="51">
        <f t="shared" si="12"/>
        <v>0</v>
      </c>
      <c r="U32" s="51">
        <f t="shared" si="12"/>
        <v>0</v>
      </c>
      <c r="V32" s="51">
        <f t="shared" si="12"/>
        <v>0</v>
      </c>
      <c r="W32" s="51">
        <f t="shared" si="12"/>
        <v>89</v>
      </c>
      <c r="X32" s="51">
        <f t="shared" si="12"/>
        <v>5</v>
      </c>
      <c r="Y32" s="51">
        <f t="shared" si="12"/>
        <v>0</v>
      </c>
      <c r="Z32" s="51">
        <v>150</v>
      </c>
      <c r="AA32" s="51">
        <f t="shared" si="12"/>
        <v>1924</v>
      </c>
      <c r="AB32" s="51">
        <f t="shared" si="12"/>
        <v>0</v>
      </c>
      <c r="AC32" s="51">
        <f t="shared" si="12"/>
        <v>1924</v>
      </c>
    </row>
    <row r="33" spans="1:29" s="29" customFormat="1" ht="14.25" customHeight="1" x14ac:dyDescent="0.2">
      <c r="A33" s="36">
        <v>20</v>
      </c>
      <c r="B33" s="43">
        <v>131998</v>
      </c>
      <c r="C33" s="34">
        <f>70</f>
        <v>70</v>
      </c>
      <c r="D33" s="34">
        <v>1100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f>77+12</f>
        <v>89</v>
      </c>
      <c r="X33" s="34">
        <v>5</v>
      </c>
      <c r="Y33" s="34"/>
      <c r="Z33" s="34">
        <v>100</v>
      </c>
      <c r="AA33" s="34">
        <f t="shared" ref="AA33:AA38" si="13">J33+L33+V33+R33+N33+O33+P33+Q33+K33+W33+S33+T33+X33+M33+Y33+H33+C33+I33+D33+E33+G33+F33+Z33+U33</f>
        <v>1364</v>
      </c>
      <c r="AB33" s="54"/>
      <c r="AC33" s="32">
        <f t="shared" ref="AC33:AC38" si="14">AA33+AB33</f>
        <v>1364</v>
      </c>
    </row>
    <row r="34" spans="1:29" s="29" customFormat="1" ht="14.25" customHeight="1" x14ac:dyDescent="0.2">
      <c r="A34" s="36">
        <v>21</v>
      </c>
      <c r="B34" s="43">
        <v>103013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>
        <f t="shared" si="13"/>
        <v>0</v>
      </c>
      <c r="AB34" s="54"/>
      <c r="AC34" s="32">
        <f t="shared" si="14"/>
        <v>0</v>
      </c>
    </row>
    <row r="35" spans="1:29" s="29" customFormat="1" ht="14.25" customHeight="1" x14ac:dyDescent="0.2">
      <c r="A35" s="36">
        <v>22</v>
      </c>
      <c r="B35" s="43">
        <v>139328</v>
      </c>
      <c r="C35" s="34">
        <v>60</v>
      </c>
      <c r="D35" s="34">
        <v>250</v>
      </c>
      <c r="E35" s="34"/>
      <c r="F35" s="34">
        <v>100</v>
      </c>
      <c r="G35" s="34"/>
      <c r="H35" s="37"/>
      <c r="I35" s="34"/>
      <c r="J35" s="34"/>
      <c r="K35" s="34"/>
      <c r="L35" s="34"/>
      <c r="M35" s="37"/>
      <c r="N35" s="37"/>
      <c r="O35" s="37"/>
      <c r="P35" s="34"/>
      <c r="Q35" s="34"/>
      <c r="R35" s="37"/>
      <c r="S35" s="34"/>
      <c r="T35" s="34"/>
      <c r="U35" s="34"/>
      <c r="V35" s="37"/>
      <c r="W35" s="34"/>
      <c r="X35" s="34"/>
      <c r="Y35" s="34"/>
      <c r="Z35" s="34">
        <v>50</v>
      </c>
      <c r="AA35" s="34">
        <f t="shared" si="13"/>
        <v>460</v>
      </c>
      <c r="AB35" s="54"/>
      <c r="AC35" s="32">
        <f t="shared" si="14"/>
        <v>460</v>
      </c>
    </row>
    <row r="36" spans="1:29" s="29" customFormat="1" ht="14.25" customHeight="1" x14ac:dyDescent="0.2">
      <c r="A36" s="36">
        <v>23</v>
      </c>
      <c r="B36" s="43">
        <v>187403</v>
      </c>
      <c r="C36" s="34"/>
      <c r="D36" s="34"/>
      <c r="E36" s="34"/>
      <c r="F36" s="34"/>
      <c r="G36" s="34"/>
      <c r="H36" s="37"/>
      <c r="I36" s="34"/>
      <c r="J36" s="34"/>
      <c r="K36" s="34"/>
      <c r="L36" s="34"/>
      <c r="M36" s="37"/>
      <c r="N36" s="37"/>
      <c r="O36" s="37"/>
      <c r="P36" s="34"/>
      <c r="Q36" s="34"/>
      <c r="R36" s="37"/>
      <c r="S36" s="34"/>
      <c r="T36" s="34"/>
      <c r="U36" s="34"/>
      <c r="V36" s="37"/>
      <c r="W36" s="34"/>
      <c r="X36" s="34"/>
      <c r="Y36" s="34"/>
      <c r="Z36" s="34"/>
      <c r="AA36" s="34">
        <f t="shared" si="13"/>
        <v>0</v>
      </c>
      <c r="AB36" s="54"/>
      <c r="AC36" s="32">
        <f t="shared" si="14"/>
        <v>0</v>
      </c>
    </row>
    <row r="37" spans="1:29" s="29" customFormat="1" ht="14.25" customHeight="1" x14ac:dyDescent="0.2">
      <c r="A37" s="36">
        <v>24</v>
      </c>
      <c r="B37" s="43">
        <v>237858</v>
      </c>
      <c r="C37" s="34"/>
      <c r="D37" s="34">
        <v>100</v>
      </c>
      <c r="E37" s="34"/>
      <c r="F37" s="34"/>
      <c r="G37" s="34"/>
      <c r="H37" s="37"/>
      <c r="I37" s="34"/>
      <c r="J37" s="34"/>
      <c r="K37" s="34"/>
      <c r="L37" s="34"/>
      <c r="M37" s="37"/>
      <c r="N37" s="37"/>
      <c r="O37" s="37"/>
      <c r="P37" s="34"/>
      <c r="Q37" s="34"/>
      <c r="R37" s="37"/>
      <c r="S37" s="34"/>
      <c r="T37" s="34"/>
      <c r="U37" s="34"/>
      <c r="V37" s="37"/>
      <c r="W37" s="34"/>
      <c r="X37" s="34"/>
      <c r="Y37" s="34"/>
      <c r="Z37" s="34"/>
      <c r="AA37" s="34">
        <f t="shared" si="13"/>
        <v>100</v>
      </c>
      <c r="AB37" s="54"/>
      <c r="AC37" s="32">
        <f t="shared" si="14"/>
        <v>100</v>
      </c>
    </row>
    <row r="38" spans="1:29" s="29" customFormat="1" ht="14.25" customHeight="1" x14ac:dyDescent="0.2">
      <c r="A38" s="36">
        <v>25</v>
      </c>
      <c r="B38" s="43">
        <v>288312</v>
      </c>
      <c r="C38" s="34"/>
      <c r="D38" s="34"/>
      <c r="E38" s="34"/>
      <c r="F38" s="34"/>
      <c r="G38" s="34"/>
      <c r="H38" s="37"/>
      <c r="I38" s="34"/>
      <c r="J38" s="34"/>
      <c r="K38" s="34"/>
      <c r="L38" s="34"/>
      <c r="M38" s="37"/>
      <c r="N38" s="37"/>
      <c r="O38" s="37"/>
      <c r="P38" s="34"/>
      <c r="Q38" s="34"/>
      <c r="R38" s="37"/>
      <c r="S38" s="34"/>
      <c r="T38" s="34"/>
      <c r="U38" s="34"/>
      <c r="V38" s="37"/>
      <c r="W38" s="34"/>
      <c r="X38" s="34"/>
      <c r="Y38" s="34"/>
      <c r="Z38" s="34"/>
      <c r="AA38" s="34">
        <f t="shared" si="13"/>
        <v>0</v>
      </c>
      <c r="AB38" s="54"/>
      <c r="AC38" s="32">
        <f t="shared" si="14"/>
        <v>0</v>
      </c>
    </row>
    <row r="39" spans="1:29" s="29" customFormat="1" ht="19.5" customHeight="1" x14ac:dyDescent="0.2">
      <c r="A39" s="432" t="s">
        <v>168</v>
      </c>
      <c r="B39" s="432"/>
      <c r="C39" s="51">
        <f t="shared" ref="C39:AC39" si="15">C40+C41</f>
        <v>117</v>
      </c>
      <c r="D39" s="51">
        <f t="shared" si="15"/>
        <v>0</v>
      </c>
      <c r="E39" s="51">
        <f t="shared" si="15"/>
        <v>0</v>
      </c>
      <c r="F39" s="51">
        <f t="shared" si="15"/>
        <v>50</v>
      </c>
      <c r="G39" s="51">
        <f t="shared" si="15"/>
        <v>0</v>
      </c>
      <c r="H39" s="51">
        <f t="shared" si="15"/>
        <v>0</v>
      </c>
      <c r="I39" s="51">
        <f t="shared" si="15"/>
        <v>0</v>
      </c>
      <c r="J39" s="51">
        <f t="shared" si="15"/>
        <v>10</v>
      </c>
      <c r="K39" s="51">
        <f t="shared" si="15"/>
        <v>65</v>
      </c>
      <c r="L39" s="51">
        <f t="shared" si="15"/>
        <v>0</v>
      </c>
      <c r="M39" s="51">
        <f t="shared" si="15"/>
        <v>0</v>
      </c>
      <c r="N39" s="51">
        <f t="shared" si="15"/>
        <v>0</v>
      </c>
      <c r="O39" s="51">
        <f t="shared" si="15"/>
        <v>100</v>
      </c>
      <c r="P39" s="51">
        <f t="shared" si="15"/>
        <v>0</v>
      </c>
      <c r="Q39" s="51">
        <f t="shared" si="15"/>
        <v>0</v>
      </c>
      <c r="R39" s="51">
        <f t="shared" si="15"/>
        <v>0</v>
      </c>
      <c r="S39" s="51">
        <f t="shared" si="15"/>
        <v>0</v>
      </c>
      <c r="T39" s="51">
        <f t="shared" si="15"/>
        <v>0</v>
      </c>
      <c r="U39" s="51">
        <f t="shared" si="15"/>
        <v>0</v>
      </c>
      <c r="V39" s="51">
        <f t="shared" si="15"/>
        <v>0</v>
      </c>
      <c r="W39" s="51">
        <f t="shared" si="15"/>
        <v>0</v>
      </c>
      <c r="X39" s="51">
        <f t="shared" si="15"/>
        <v>0</v>
      </c>
      <c r="Y39" s="51">
        <f t="shared" si="15"/>
        <v>0</v>
      </c>
      <c r="Z39" s="51">
        <v>0</v>
      </c>
      <c r="AA39" s="51">
        <f t="shared" si="15"/>
        <v>342</v>
      </c>
      <c r="AB39" s="51">
        <f t="shared" si="15"/>
        <v>0</v>
      </c>
      <c r="AC39" s="51">
        <f t="shared" si="15"/>
        <v>342</v>
      </c>
    </row>
    <row r="40" spans="1:29" s="29" customFormat="1" ht="15" customHeight="1" x14ac:dyDescent="0.2">
      <c r="A40" s="36">
        <v>26</v>
      </c>
      <c r="B40" s="43">
        <v>117835</v>
      </c>
      <c r="C40" s="34">
        <v>92</v>
      </c>
      <c r="D40" s="34"/>
      <c r="E40" s="34"/>
      <c r="F40" s="34">
        <v>20</v>
      </c>
      <c r="G40" s="34"/>
      <c r="H40" s="34"/>
      <c r="I40" s="34"/>
      <c r="J40" s="34"/>
      <c r="K40" s="34">
        <v>25</v>
      </c>
      <c r="L40" s="34"/>
      <c r="M40" s="34"/>
      <c r="N40" s="34"/>
      <c r="O40" s="34">
        <v>55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>
        <f>J40+L40+V40+R40+N40+O40+P40+Q40+K40+W40+S40+T40+X40+M40+Y40+H40+C40+I40+D40+E40+G40+F40+Z40+U40</f>
        <v>192</v>
      </c>
      <c r="AB40" s="54"/>
      <c r="AC40" s="32">
        <f>AA40+AB40</f>
        <v>192</v>
      </c>
    </row>
    <row r="41" spans="1:29" s="29" customFormat="1" ht="15" customHeight="1" x14ac:dyDescent="0.2">
      <c r="A41" s="36">
        <v>27</v>
      </c>
      <c r="B41" s="43">
        <v>70282</v>
      </c>
      <c r="C41" s="34">
        <v>25</v>
      </c>
      <c r="D41" s="34"/>
      <c r="E41" s="34"/>
      <c r="F41" s="34">
        <v>30</v>
      </c>
      <c r="G41" s="34"/>
      <c r="H41" s="34"/>
      <c r="I41" s="34"/>
      <c r="J41" s="34">
        <v>10</v>
      </c>
      <c r="K41" s="34">
        <v>40</v>
      </c>
      <c r="L41" s="34"/>
      <c r="M41" s="34"/>
      <c r="N41" s="34"/>
      <c r="O41" s="34">
        <v>45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>
        <f>J41+L41+V41+R41+N41+O41+P41+Q41+K41+W41+S41+T41+X41+M41+Y41+H41+C41+I41+D41+E41+G41+F41+Z41+U41</f>
        <v>150</v>
      </c>
      <c r="AB41" s="54"/>
      <c r="AC41" s="32">
        <f>AA41+AB41</f>
        <v>150</v>
      </c>
    </row>
    <row r="42" spans="1:29" s="29" customFormat="1" ht="19.5" customHeight="1" x14ac:dyDescent="0.2">
      <c r="A42" s="432" t="s">
        <v>169</v>
      </c>
      <c r="B42" s="432"/>
      <c r="C42" s="51">
        <f t="shared" ref="C42:AC42" si="16">C43+C44</f>
        <v>0</v>
      </c>
      <c r="D42" s="51">
        <f t="shared" si="16"/>
        <v>0</v>
      </c>
      <c r="E42" s="51">
        <f t="shared" si="16"/>
        <v>0</v>
      </c>
      <c r="F42" s="51">
        <f t="shared" si="16"/>
        <v>60</v>
      </c>
      <c r="G42" s="51">
        <f t="shared" si="16"/>
        <v>0</v>
      </c>
      <c r="H42" s="51">
        <f t="shared" si="16"/>
        <v>0</v>
      </c>
      <c r="I42" s="51">
        <f t="shared" si="16"/>
        <v>0</v>
      </c>
      <c r="J42" s="51">
        <f t="shared" si="16"/>
        <v>0</v>
      </c>
      <c r="K42" s="51">
        <f t="shared" si="16"/>
        <v>0</v>
      </c>
      <c r="L42" s="51">
        <f t="shared" si="16"/>
        <v>200</v>
      </c>
      <c r="M42" s="51">
        <f t="shared" si="16"/>
        <v>2400</v>
      </c>
      <c r="N42" s="51">
        <f t="shared" si="16"/>
        <v>200</v>
      </c>
      <c r="O42" s="51">
        <f t="shared" si="16"/>
        <v>0</v>
      </c>
      <c r="P42" s="51">
        <f t="shared" si="16"/>
        <v>0</v>
      </c>
      <c r="Q42" s="51">
        <f t="shared" si="16"/>
        <v>0</v>
      </c>
      <c r="R42" s="51">
        <f t="shared" si="16"/>
        <v>0</v>
      </c>
      <c r="S42" s="51">
        <f t="shared" si="16"/>
        <v>0</v>
      </c>
      <c r="T42" s="51">
        <f t="shared" si="16"/>
        <v>0</v>
      </c>
      <c r="U42" s="51">
        <f t="shared" si="16"/>
        <v>0</v>
      </c>
      <c r="V42" s="51">
        <f t="shared" si="16"/>
        <v>0</v>
      </c>
      <c r="W42" s="51">
        <f t="shared" si="16"/>
        <v>0</v>
      </c>
      <c r="X42" s="51">
        <f t="shared" si="16"/>
        <v>0</v>
      </c>
      <c r="Y42" s="51">
        <f t="shared" si="16"/>
        <v>0</v>
      </c>
      <c r="Z42" s="51">
        <v>0</v>
      </c>
      <c r="AA42" s="51">
        <f t="shared" si="16"/>
        <v>2860</v>
      </c>
      <c r="AB42" s="51">
        <f t="shared" si="16"/>
        <v>0</v>
      </c>
      <c r="AC42" s="51">
        <f t="shared" si="16"/>
        <v>2860</v>
      </c>
    </row>
    <row r="43" spans="1:29" s="29" customFormat="1" ht="14.25" customHeight="1" x14ac:dyDescent="0.2">
      <c r="A43" s="36">
        <v>28</v>
      </c>
      <c r="B43" s="43">
        <v>73817</v>
      </c>
      <c r="C43" s="34"/>
      <c r="D43" s="34"/>
      <c r="E43" s="34"/>
      <c r="F43" s="34">
        <v>60</v>
      </c>
      <c r="G43" s="34"/>
      <c r="H43" s="34"/>
      <c r="I43" s="34"/>
      <c r="J43" s="34"/>
      <c r="K43" s="34"/>
      <c r="L43" s="34">
        <v>190</v>
      </c>
      <c r="M43" s="34">
        <v>2380</v>
      </c>
      <c r="N43" s="34">
        <v>200</v>
      </c>
      <c r="O43" s="34"/>
      <c r="P43" s="34"/>
      <c r="Q43" s="34"/>
      <c r="R43" s="34"/>
      <c r="S43" s="34"/>
      <c r="T43" s="32"/>
      <c r="U43" s="32"/>
      <c r="V43" s="34"/>
      <c r="W43" s="34"/>
      <c r="X43" s="34"/>
      <c r="Y43" s="34"/>
      <c r="Z43" s="34"/>
      <c r="AA43" s="32">
        <f>J43+L43+V43+R43+N43+O43+P43+Q43+K43+W43+S43+T43+X43+M43+Y43+H43+C43+I43+D43+E43+G43+F43+Z43+U43</f>
        <v>2830</v>
      </c>
      <c r="AB43" s="54"/>
      <c r="AC43" s="32">
        <f>AA43+AB43</f>
        <v>2830</v>
      </c>
    </row>
    <row r="44" spans="1:29" s="29" customFormat="1" ht="14.25" customHeight="1" x14ac:dyDescent="0.2">
      <c r="A44" s="36">
        <v>29</v>
      </c>
      <c r="B44" s="43">
        <v>90954</v>
      </c>
      <c r="C44" s="34"/>
      <c r="D44" s="34"/>
      <c r="E44" s="34"/>
      <c r="F44" s="34"/>
      <c r="G44" s="34"/>
      <c r="H44" s="34"/>
      <c r="I44" s="34"/>
      <c r="J44" s="34"/>
      <c r="K44" s="34"/>
      <c r="L44" s="34">
        <v>10</v>
      </c>
      <c r="M44" s="34">
        <v>20</v>
      </c>
      <c r="N44" s="34"/>
      <c r="O44" s="34"/>
      <c r="P44" s="34"/>
      <c r="Q44" s="34"/>
      <c r="R44" s="34"/>
      <c r="S44" s="34"/>
      <c r="T44" s="32"/>
      <c r="U44" s="32"/>
      <c r="V44" s="34"/>
      <c r="W44" s="34"/>
      <c r="X44" s="34"/>
      <c r="Y44" s="34"/>
      <c r="Z44" s="34"/>
      <c r="AA44" s="32">
        <f>J44+L44+V44+R44+N44+O44+P44+Q44+K44+W44+S44+T44+X44+M44+Y44+H44+C44+I44+D44+E44+G44+F44+Z44+U44</f>
        <v>30</v>
      </c>
      <c r="AB44" s="54"/>
      <c r="AC44" s="32">
        <f>AA44+AB44</f>
        <v>30</v>
      </c>
    </row>
    <row r="45" spans="1:29" s="29" customFormat="1" ht="18.75" customHeight="1" x14ac:dyDescent="0.2">
      <c r="A45" s="429" t="s">
        <v>170</v>
      </c>
      <c r="B45" s="430"/>
      <c r="C45" s="51">
        <f t="shared" ref="C45:AC45" si="17">C46+C47+C48</f>
        <v>0</v>
      </c>
      <c r="D45" s="51">
        <f t="shared" si="17"/>
        <v>0</v>
      </c>
      <c r="E45" s="51">
        <f t="shared" si="17"/>
        <v>0</v>
      </c>
      <c r="F45" s="51">
        <f t="shared" si="17"/>
        <v>38</v>
      </c>
      <c r="G45" s="51">
        <f t="shared" si="17"/>
        <v>0</v>
      </c>
      <c r="H45" s="51">
        <f t="shared" si="17"/>
        <v>0</v>
      </c>
      <c r="I45" s="51">
        <f t="shared" si="17"/>
        <v>0</v>
      </c>
      <c r="J45" s="51">
        <f t="shared" si="17"/>
        <v>0</v>
      </c>
      <c r="K45" s="51">
        <f t="shared" si="17"/>
        <v>0</v>
      </c>
      <c r="L45" s="51">
        <f t="shared" si="17"/>
        <v>0</v>
      </c>
      <c r="M45" s="51">
        <f t="shared" si="17"/>
        <v>0</v>
      </c>
      <c r="N45" s="51">
        <f t="shared" si="17"/>
        <v>0</v>
      </c>
      <c r="O45" s="51">
        <f t="shared" si="17"/>
        <v>0</v>
      </c>
      <c r="P45" s="51">
        <f t="shared" si="17"/>
        <v>0</v>
      </c>
      <c r="Q45" s="51">
        <f t="shared" si="17"/>
        <v>0</v>
      </c>
      <c r="R45" s="51">
        <f t="shared" si="17"/>
        <v>0</v>
      </c>
      <c r="S45" s="51">
        <f t="shared" si="17"/>
        <v>0</v>
      </c>
      <c r="T45" s="51">
        <f t="shared" si="17"/>
        <v>0</v>
      </c>
      <c r="U45" s="51">
        <f t="shared" si="17"/>
        <v>0</v>
      </c>
      <c r="V45" s="51">
        <f t="shared" si="17"/>
        <v>0</v>
      </c>
      <c r="W45" s="51">
        <f t="shared" si="17"/>
        <v>0</v>
      </c>
      <c r="X45" s="51">
        <f t="shared" si="17"/>
        <v>0</v>
      </c>
      <c r="Y45" s="51">
        <f t="shared" si="17"/>
        <v>0</v>
      </c>
      <c r="Z45" s="51">
        <v>0</v>
      </c>
      <c r="AA45" s="51">
        <f t="shared" si="17"/>
        <v>38</v>
      </c>
      <c r="AB45" s="51">
        <f t="shared" si="17"/>
        <v>0</v>
      </c>
      <c r="AC45" s="51">
        <f t="shared" si="17"/>
        <v>38</v>
      </c>
    </row>
    <row r="46" spans="1:29" s="29" customFormat="1" ht="15" customHeight="1" x14ac:dyDescent="0.2">
      <c r="A46" s="36">
        <v>30</v>
      </c>
      <c r="B46" s="43">
        <v>85552</v>
      </c>
      <c r="C46" s="32"/>
      <c r="D46" s="32"/>
      <c r="E46" s="32"/>
      <c r="F46" s="32">
        <f>5-4</f>
        <v>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4"/>
      <c r="U46" s="34"/>
      <c r="V46" s="34"/>
      <c r="W46" s="34"/>
      <c r="X46" s="32"/>
      <c r="Y46" s="32"/>
      <c r="Z46" s="32"/>
      <c r="AA46" s="32">
        <f>J46+L46+V46+R46+N46+O46+P46+Q46+K46+W46+S46+T46+X46+M46+Y46+H46+C46+I46+D46+E46+G46+F46+Z46+U46</f>
        <v>1</v>
      </c>
      <c r="AB46" s="54"/>
      <c r="AC46" s="32">
        <f>AA46+AB46</f>
        <v>1</v>
      </c>
    </row>
    <row r="47" spans="1:29" s="29" customFormat="1" ht="13.5" customHeight="1" x14ac:dyDescent="0.2">
      <c r="A47" s="36">
        <v>31</v>
      </c>
      <c r="B47" s="43">
        <v>176445</v>
      </c>
      <c r="C47" s="34"/>
      <c r="D47" s="34"/>
      <c r="E47" s="34"/>
      <c r="F47" s="34">
        <v>37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2">
        <f>J47+L47+V47+R47+N47+O47+P47+Q47+K47+W47+S47+T47+X47+M47+Y47+H47+C47+I47+D47+E47+G47+F47+Z47+U47</f>
        <v>37</v>
      </c>
      <c r="AB47" s="54"/>
      <c r="AC47" s="32">
        <f>AA47+AB47</f>
        <v>37</v>
      </c>
    </row>
    <row r="48" spans="1:29" s="29" customFormat="1" ht="15" customHeight="1" x14ac:dyDescent="0.2">
      <c r="A48" s="31">
        <v>32</v>
      </c>
      <c r="B48" s="53">
        <v>101946</v>
      </c>
      <c r="C48" s="39"/>
      <c r="D48" s="39"/>
      <c r="E48" s="39"/>
      <c r="F48" s="39"/>
      <c r="G48" s="39"/>
      <c r="H48" s="41"/>
      <c r="I48" s="39"/>
      <c r="J48" s="39"/>
      <c r="K48" s="39"/>
      <c r="L48" s="41"/>
      <c r="M48" s="41"/>
      <c r="N48" s="41"/>
      <c r="O48" s="41"/>
      <c r="P48" s="39"/>
      <c r="Q48" s="39"/>
      <c r="R48" s="41"/>
      <c r="S48" s="39"/>
      <c r="T48" s="34"/>
      <c r="U48" s="34"/>
      <c r="V48" s="37"/>
      <c r="W48" s="34"/>
      <c r="X48" s="39"/>
      <c r="Y48" s="39"/>
      <c r="Z48" s="39"/>
      <c r="AA48" s="32">
        <f>J48+L48+V48+R48+N48+O48+P48+Q48+K48+W48+S48+T48+X48+M48+Y48+H48+C48+I48+D48+E48+G48+F48+Z48+U48</f>
        <v>0</v>
      </c>
      <c r="AB48" s="54"/>
      <c r="AC48" s="32">
        <f>AA48+AB48</f>
        <v>0</v>
      </c>
    </row>
    <row r="49" spans="1:29" s="29" customFormat="1" ht="17.25" customHeight="1" x14ac:dyDescent="0.2">
      <c r="A49" s="429" t="s">
        <v>171</v>
      </c>
      <c r="B49" s="430"/>
      <c r="C49" s="51">
        <f t="shared" ref="C49:AC49" si="18">C50</f>
        <v>166</v>
      </c>
      <c r="D49" s="51">
        <f t="shared" si="18"/>
        <v>0</v>
      </c>
      <c r="E49" s="51">
        <f t="shared" si="18"/>
        <v>0</v>
      </c>
      <c r="F49" s="51">
        <f t="shared" si="18"/>
        <v>0</v>
      </c>
      <c r="G49" s="51">
        <f t="shared" si="18"/>
        <v>0</v>
      </c>
      <c r="H49" s="51">
        <f t="shared" si="18"/>
        <v>0</v>
      </c>
      <c r="I49" s="51">
        <f t="shared" si="18"/>
        <v>0</v>
      </c>
      <c r="J49" s="51">
        <f t="shared" si="18"/>
        <v>0</v>
      </c>
      <c r="K49" s="51">
        <f t="shared" si="18"/>
        <v>0</v>
      </c>
      <c r="L49" s="51">
        <f t="shared" si="18"/>
        <v>0</v>
      </c>
      <c r="M49" s="51">
        <f t="shared" si="18"/>
        <v>0</v>
      </c>
      <c r="N49" s="51">
        <f t="shared" si="18"/>
        <v>0</v>
      </c>
      <c r="O49" s="51">
        <f t="shared" si="18"/>
        <v>134</v>
      </c>
      <c r="P49" s="51">
        <f t="shared" si="18"/>
        <v>0</v>
      </c>
      <c r="Q49" s="51">
        <f t="shared" si="18"/>
        <v>0</v>
      </c>
      <c r="R49" s="51">
        <f t="shared" si="18"/>
        <v>0</v>
      </c>
      <c r="S49" s="51">
        <f t="shared" si="18"/>
        <v>0</v>
      </c>
      <c r="T49" s="51">
        <f t="shared" si="18"/>
        <v>0</v>
      </c>
      <c r="U49" s="51">
        <f t="shared" si="18"/>
        <v>0</v>
      </c>
      <c r="V49" s="51">
        <f t="shared" si="18"/>
        <v>0</v>
      </c>
      <c r="W49" s="51">
        <f t="shared" si="18"/>
        <v>60</v>
      </c>
      <c r="X49" s="51">
        <f t="shared" si="18"/>
        <v>0</v>
      </c>
      <c r="Y49" s="51">
        <f t="shared" si="18"/>
        <v>0</v>
      </c>
      <c r="Z49" s="51">
        <v>54</v>
      </c>
      <c r="AA49" s="51">
        <f t="shared" si="18"/>
        <v>414</v>
      </c>
      <c r="AB49" s="51">
        <f t="shared" si="18"/>
        <v>0</v>
      </c>
      <c r="AC49" s="51">
        <f t="shared" si="18"/>
        <v>414</v>
      </c>
    </row>
    <row r="50" spans="1:29" s="29" customFormat="1" ht="14.25" customHeight="1" x14ac:dyDescent="0.2">
      <c r="A50" s="44">
        <v>33</v>
      </c>
      <c r="B50" s="56">
        <v>136459</v>
      </c>
      <c r="C50" s="32">
        <f>200-34</f>
        <v>166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f>100+34</f>
        <v>134</v>
      </c>
      <c r="P50" s="32"/>
      <c r="Q50" s="32"/>
      <c r="R50" s="32"/>
      <c r="S50" s="32"/>
      <c r="T50" s="34"/>
      <c r="U50" s="34"/>
      <c r="V50" s="34"/>
      <c r="W50" s="34">
        <v>60</v>
      </c>
      <c r="X50" s="32"/>
      <c r="Y50" s="32"/>
      <c r="Z50" s="32">
        <v>54</v>
      </c>
      <c r="AA50" s="32">
        <f>J50+L50+V50+R50+N50+O50+P50+Q50+K50+W50+S50+T50+X50+M50+Y50+H50+C50+I50+D50+E50+G50+F50+Z50+U50</f>
        <v>414</v>
      </c>
      <c r="AB50" s="54"/>
      <c r="AC50" s="32">
        <f>AA50+AB50</f>
        <v>414</v>
      </c>
    </row>
    <row r="51" spans="1:29" s="29" customFormat="1" ht="26.25" customHeight="1" x14ac:dyDescent="0.2">
      <c r="A51" s="429" t="s">
        <v>172</v>
      </c>
      <c r="B51" s="430"/>
      <c r="C51" s="51">
        <f t="shared" ref="C51:J51" si="19">SUM(C52:C62)</f>
        <v>323</v>
      </c>
      <c r="D51" s="51">
        <f t="shared" si="19"/>
        <v>0</v>
      </c>
      <c r="E51" s="51">
        <f t="shared" si="19"/>
        <v>3435</v>
      </c>
      <c r="F51" s="51">
        <f t="shared" si="19"/>
        <v>0</v>
      </c>
      <c r="G51" s="51">
        <f t="shared" si="19"/>
        <v>0</v>
      </c>
      <c r="H51" s="51">
        <f t="shared" si="19"/>
        <v>0</v>
      </c>
      <c r="I51" s="51">
        <f t="shared" si="19"/>
        <v>0</v>
      </c>
      <c r="J51" s="51">
        <f t="shared" si="19"/>
        <v>764</v>
      </c>
      <c r="K51" s="51">
        <f t="shared" ref="K51:AC51" si="20">SUM(K52:K62)</f>
        <v>575</v>
      </c>
      <c r="L51" s="51">
        <f t="shared" si="20"/>
        <v>0</v>
      </c>
      <c r="M51" s="51">
        <f t="shared" si="20"/>
        <v>0</v>
      </c>
      <c r="N51" s="51">
        <f t="shared" si="20"/>
        <v>0</v>
      </c>
      <c r="O51" s="51">
        <f t="shared" si="20"/>
        <v>0</v>
      </c>
      <c r="P51" s="51">
        <f t="shared" si="20"/>
        <v>0</v>
      </c>
      <c r="Q51" s="51">
        <f t="shared" si="20"/>
        <v>228</v>
      </c>
      <c r="R51" s="51">
        <f t="shared" si="20"/>
        <v>0</v>
      </c>
      <c r="S51" s="51">
        <f t="shared" si="20"/>
        <v>213</v>
      </c>
      <c r="T51" s="51">
        <f t="shared" si="20"/>
        <v>0</v>
      </c>
      <c r="U51" s="51">
        <f t="shared" si="20"/>
        <v>133</v>
      </c>
      <c r="V51" s="51">
        <f t="shared" si="20"/>
        <v>0</v>
      </c>
      <c r="W51" s="51">
        <f t="shared" si="20"/>
        <v>313</v>
      </c>
      <c r="X51" s="51">
        <f t="shared" si="20"/>
        <v>257</v>
      </c>
      <c r="Y51" s="51">
        <f t="shared" si="20"/>
        <v>0</v>
      </c>
      <c r="Z51" s="51">
        <v>596</v>
      </c>
      <c r="AA51" s="51">
        <f t="shared" si="20"/>
        <v>6837</v>
      </c>
      <c r="AB51" s="51">
        <f t="shared" si="20"/>
        <v>50</v>
      </c>
      <c r="AC51" s="51">
        <f t="shared" si="20"/>
        <v>6887</v>
      </c>
    </row>
    <row r="52" spans="1:29" s="29" customFormat="1" ht="14.25" customHeight="1" x14ac:dyDescent="0.2">
      <c r="A52" s="36">
        <v>34</v>
      </c>
      <c r="B52" s="43">
        <v>176179</v>
      </c>
      <c r="C52" s="45">
        <v>41</v>
      </c>
      <c r="D52" s="45"/>
      <c r="E52" s="45">
        <f>339</f>
        <v>339</v>
      </c>
      <c r="F52" s="45"/>
      <c r="G52" s="45"/>
      <c r="H52" s="46"/>
      <c r="I52" s="45"/>
      <c r="J52" s="45">
        <v>253</v>
      </c>
      <c r="K52" s="45">
        <v>254</v>
      </c>
      <c r="L52" s="46"/>
      <c r="M52" s="46"/>
      <c r="N52" s="46"/>
      <c r="O52" s="46"/>
      <c r="P52" s="45"/>
      <c r="Q52" s="45"/>
      <c r="R52" s="46"/>
      <c r="S52" s="45">
        <f>85-47</f>
        <v>38</v>
      </c>
      <c r="T52" s="34"/>
      <c r="U52" s="34">
        <v>20</v>
      </c>
      <c r="V52" s="37"/>
      <c r="W52" s="34">
        <f>233-12-14</f>
        <v>207</v>
      </c>
      <c r="X52" s="45">
        <f>80+12+3+14</f>
        <v>109</v>
      </c>
      <c r="Y52" s="45"/>
      <c r="Z52" s="45">
        <v>104</v>
      </c>
      <c r="AA52" s="32">
        <f t="shared" ref="AA52:AA62" si="21">J52+L52+V52+R52+N52+O52+P52+Q52+K52+W52+S52+T52+X52+M52+Y52+H52+C52+I52+D52+E52+G52+F52+Z52+U52</f>
        <v>1365</v>
      </c>
      <c r="AB52" s="57">
        <v>10</v>
      </c>
      <c r="AC52" s="32">
        <f t="shared" ref="AC52:AC62" si="22">AA52+AB52</f>
        <v>1375</v>
      </c>
    </row>
    <row r="53" spans="1:29" s="29" customFormat="1" ht="14.25" customHeight="1" x14ac:dyDescent="0.2">
      <c r="A53" s="36">
        <v>35</v>
      </c>
      <c r="B53" s="43">
        <v>242246</v>
      </c>
      <c r="C53" s="34">
        <v>50</v>
      </c>
      <c r="D53" s="34"/>
      <c r="E53" s="34">
        <f>139</f>
        <v>139</v>
      </c>
      <c r="F53" s="34"/>
      <c r="G53" s="34"/>
      <c r="H53" s="34"/>
      <c r="I53" s="34"/>
      <c r="J53" s="34">
        <v>80</v>
      </c>
      <c r="K53" s="34">
        <v>78</v>
      </c>
      <c r="L53" s="34"/>
      <c r="M53" s="34"/>
      <c r="N53" s="34"/>
      <c r="O53" s="34"/>
      <c r="P53" s="34"/>
      <c r="Q53" s="34"/>
      <c r="R53" s="34"/>
      <c r="S53" s="34">
        <f>95-62</f>
        <v>33</v>
      </c>
      <c r="T53" s="34"/>
      <c r="U53" s="34">
        <v>10</v>
      </c>
      <c r="V53" s="34"/>
      <c r="W53" s="34">
        <f>25-5-6</f>
        <v>14</v>
      </c>
      <c r="X53" s="34">
        <f>47+5+1</f>
        <v>53</v>
      </c>
      <c r="Y53" s="34"/>
      <c r="Z53" s="34">
        <v>38</v>
      </c>
      <c r="AA53" s="32">
        <f t="shared" si="21"/>
        <v>495</v>
      </c>
      <c r="AB53" s="57">
        <v>15</v>
      </c>
      <c r="AC53" s="32">
        <f t="shared" si="22"/>
        <v>510</v>
      </c>
    </row>
    <row r="54" spans="1:29" s="29" customFormat="1" ht="14.25" customHeight="1" x14ac:dyDescent="0.2">
      <c r="A54" s="36">
        <v>36</v>
      </c>
      <c r="B54" s="43">
        <v>308314</v>
      </c>
      <c r="C54" s="34">
        <v>11</v>
      </c>
      <c r="D54" s="34"/>
      <c r="E54" s="34">
        <f>39</f>
        <v>39</v>
      </c>
      <c r="F54" s="34"/>
      <c r="G54" s="34"/>
      <c r="H54" s="37"/>
      <c r="I54" s="34"/>
      <c r="J54" s="34">
        <v>18</v>
      </c>
      <c r="K54" s="34">
        <v>9</v>
      </c>
      <c r="L54" s="37"/>
      <c r="M54" s="37"/>
      <c r="N54" s="37"/>
      <c r="O54" s="37"/>
      <c r="P54" s="34"/>
      <c r="Q54" s="34">
        <v>87</v>
      </c>
      <c r="R54" s="37"/>
      <c r="S54" s="34">
        <f>33-13</f>
        <v>20</v>
      </c>
      <c r="T54" s="32"/>
      <c r="U54" s="32">
        <v>3</v>
      </c>
      <c r="V54" s="37"/>
      <c r="W54" s="34">
        <f>2-1</f>
        <v>1</v>
      </c>
      <c r="X54" s="34">
        <f>22+4</f>
        <v>26</v>
      </c>
      <c r="Y54" s="34"/>
      <c r="Z54" s="34">
        <v>10</v>
      </c>
      <c r="AA54" s="32">
        <f t="shared" si="21"/>
        <v>224</v>
      </c>
      <c r="AB54" s="57"/>
      <c r="AC54" s="32">
        <f t="shared" si="22"/>
        <v>224</v>
      </c>
    </row>
    <row r="55" spans="1:29" s="29" customFormat="1" ht="14.25" customHeight="1" x14ac:dyDescent="0.2">
      <c r="A55" s="36">
        <v>37</v>
      </c>
      <c r="B55" s="43">
        <v>157415</v>
      </c>
      <c r="C55" s="34">
        <v>118</v>
      </c>
      <c r="D55" s="34"/>
      <c r="E55" s="34">
        <f>680</f>
        <v>680</v>
      </c>
      <c r="F55" s="34"/>
      <c r="G55" s="34"/>
      <c r="H55" s="37"/>
      <c r="I55" s="34"/>
      <c r="J55" s="34">
        <f>279-5</f>
        <v>274</v>
      </c>
      <c r="K55" s="34">
        <v>192</v>
      </c>
      <c r="L55" s="37"/>
      <c r="M55" s="37"/>
      <c r="N55" s="37"/>
      <c r="O55" s="37"/>
      <c r="P55" s="34"/>
      <c r="Q55" s="34"/>
      <c r="R55" s="37"/>
      <c r="S55" s="34">
        <f>0+47-1</f>
        <v>46</v>
      </c>
      <c r="T55" s="32"/>
      <c r="U55" s="32">
        <v>70</v>
      </c>
      <c r="V55" s="37"/>
      <c r="W55" s="34">
        <f>95-3-8</f>
        <v>84</v>
      </c>
      <c r="X55" s="34">
        <f>20+3+8</f>
        <v>31</v>
      </c>
      <c r="Y55" s="34"/>
      <c r="Z55" s="34">
        <v>239</v>
      </c>
      <c r="AA55" s="32">
        <f t="shared" si="21"/>
        <v>1734</v>
      </c>
      <c r="AB55" s="57">
        <v>10</v>
      </c>
      <c r="AC55" s="32">
        <f t="shared" si="22"/>
        <v>1744</v>
      </c>
    </row>
    <row r="56" spans="1:29" s="29" customFormat="1" ht="14.25" customHeight="1" x14ac:dyDescent="0.2">
      <c r="A56" s="36">
        <v>38</v>
      </c>
      <c r="B56" s="43">
        <v>216447</v>
      </c>
      <c r="C56" s="34">
        <v>72</v>
      </c>
      <c r="D56" s="34"/>
      <c r="E56" s="34">
        <f>239</f>
        <v>239</v>
      </c>
      <c r="F56" s="34"/>
      <c r="G56" s="34"/>
      <c r="H56" s="34"/>
      <c r="I56" s="34"/>
      <c r="J56" s="34">
        <v>74</v>
      </c>
      <c r="K56" s="34">
        <v>36</v>
      </c>
      <c r="L56" s="34"/>
      <c r="M56" s="34"/>
      <c r="N56" s="34"/>
      <c r="O56" s="34"/>
      <c r="P56" s="34"/>
      <c r="Q56" s="34"/>
      <c r="R56" s="34"/>
      <c r="S56" s="34">
        <f>0+62</f>
        <v>62</v>
      </c>
      <c r="T56" s="32"/>
      <c r="U56" s="32">
        <v>20</v>
      </c>
      <c r="V56" s="34"/>
      <c r="W56" s="34">
        <f>10-3</f>
        <v>7</v>
      </c>
      <c r="X56" s="34">
        <f>23+5</f>
        <v>28</v>
      </c>
      <c r="Y56" s="34"/>
      <c r="Z56" s="34">
        <v>48</v>
      </c>
      <c r="AA56" s="32">
        <f t="shared" si="21"/>
        <v>586</v>
      </c>
      <c r="AB56" s="57">
        <v>15</v>
      </c>
      <c r="AC56" s="32">
        <f t="shared" si="22"/>
        <v>601</v>
      </c>
    </row>
    <row r="57" spans="1:29" s="29" customFormat="1" ht="14.25" customHeight="1" x14ac:dyDescent="0.2">
      <c r="A57" s="36">
        <v>39</v>
      </c>
      <c r="B57" s="43">
        <v>275478</v>
      </c>
      <c r="C57" s="34">
        <v>31</v>
      </c>
      <c r="D57" s="34"/>
      <c r="E57" s="34">
        <f>74</f>
        <v>74</v>
      </c>
      <c r="F57" s="34"/>
      <c r="G57" s="34"/>
      <c r="H57" s="34"/>
      <c r="I57" s="34"/>
      <c r="J57" s="34">
        <f>40-5</f>
        <v>35</v>
      </c>
      <c r="K57" s="34">
        <v>6</v>
      </c>
      <c r="L57" s="34"/>
      <c r="M57" s="34"/>
      <c r="N57" s="34"/>
      <c r="O57" s="34"/>
      <c r="P57" s="34"/>
      <c r="Q57" s="34">
        <f>113-2</f>
        <v>111</v>
      </c>
      <c r="R57" s="34"/>
      <c r="S57" s="34">
        <f>0+13</f>
        <v>13</v>
      </c>
      <c r="T57" s="32"/>
      <c r="U57" s="32">
        <v>10</v>
      </c>
      <c r="V57" s="34"/>
      <c r="W57" s="34"/>
      <c r="X57" s="34">
        <f>10</f>
        <v>10</v>
      </c>
      <c r="Y57" s="34"/>
      <c r="Z57" s="34">
        <v>10</v>
      </c>
      <c r="AA57" s="32">
        <f t="shared" si="21"/>
        <v>300</v>
      </c>
      <c r="AB57" s="57"/>
      <c r="AC57" s="32">
        <f t="shared" si="22"/>
        <v>300</v>
      </c>
    </row>
    <row r="58" spans="1:29" s="29" customFormat="1" ht="14.25" customHeight="1" x14ac:dyDescent="0.2">
      <c r="A58" s="36">
        <v>40</v>
      </c>
      <c r="B58" s="43">
        <v>261888</v>
      </c>
      <c r="C58" s="34"/>
      <c r="D58" s="34"/>
      <c r="E58" s="34">
        <f>391</f>
        <v>391</v>
      </c>
      <c r="F58" s="34"/>
      <c r="G58" s="34"/>
      <c r="H58" s="37"/>
      <c r="I58" s="34"/>
      <c r="J58" s="34">
        <f>20+10</f>
        <v>30</v>
      </c>
      <c r="K58" s="34"/>
      <c r="L58" s="37"/>
      <c r="M58" s="37"/>
      <c r="N58" s="37"/>
      <c r="O58" s="37"/>
      <c r="P58" s="34"/>
      <c r="Q58" s="34"/>
      <c r="R58" s="37"/>
      <c r="S58" s="34"/>
      <c r="T58" s="32"/>
      <c r="U58" s="32"/>
      <c r="V58" s="37"/>
      <c r="W58" s="34"/>
      <c r="X58" s="34"/>
      <c r="Y58" s="34"/>
      <c r="Z58" s="34"/>
      <c r="AA58" s="32">
        <f t="shared" si="21"/>
        <v>421</v>
      </c>
      <c r="AB58" s="54"/>
      <c r="AC58" s="32">
        <f t="shared" si="22"/>
        <v>421</v>
      </c>
    </row>
    <row r="59" spans="1:29" s="29" customFormat="1" ht="14.25" customHeight="1" x14ac:dyDescent="0.2">
      <c r="A59" s="36">
        <v>41</v>
      </c>
      <c r="B59" s="43">
        <v>145264</v>
      </c>
      <c r="C59" s="34"/>
      <c r="D59" s="34"/>
      <c r="E59" s="34">
        <v>300</v>
      </c>
      <c r="F59" s="34"/>
      <c r="G59" s="34"/>
      <c r="H59" s="37"/>
      <c r="I59" s="34"/>
      <c r="J59" s="34"/>
      <c r="K59" s="34"/>
      <c r="L59" s="37"/>
      <c r="M59" s="37"/>
      <c r="N59" s="37"/>
      <c r="O59" s="37"/>
      <c r="P59" s="34"/>
      <c r="Q59" s="34">
        <v>20</v>
      </c>
      <c r="R59" s="37"/>
      <c r="S59" s="34">
        <f>0+1</f>
        <v>1</v>
      </c>
      <c r="T59" s="32"/>
      <c r="U59" s="32"/>
      <c r="V59" s="37"/>
      <c r="W59" s="34"/>
      <c r="X59" s="34"/>
      <c r="Y59" s="34"/>
      <c r="Z59" s="34">
        <v>7</v>
      </c>
      <c r="AA59" s="32">
        <f t="shared" si="21"/>
        <v>328</v>
      </c>
      <c r="AB59" s="54"/>
      <c r="AC59" s="32">
        <f t="shared" si="22"/>
        <v>328</v>
      </c>
    </row>
    <row r="60" spans="1:29" s="29" customFormat="1" ht="14.25" customHeight="1" x14ac:dyDescent="0.2">
      <c r="A60" s="36">
        <v>42</v>
      </c>
      <c r="B60" s="43">
        <v>267275</v>
      </c>
      <c r="C60" s="34"/>
      <c r="D60" s="34"/>
      <c r="E60" s="34">
        <v>2</v>
      </c>
      <c r="F60" s="34"/>
      <c r="G60" s="34"/>
      <c r="H60" s="37"/>
      <c r="I60" s="34"/>
      <c r="J60" s="34"/>
      <c r="K60" s="34"/>
      <c r="L60" s="37"/>
      <c r="M60" s="37"/>
      <c r="N60" s="37"/>
      <c r="O60" s="37"/>
      <c r="P60" s="34"/>
      <c r="Q60" s="34"/>
      <c r="R60" s="37"/>
      <c r="S60" s="34"/>
      <c r="T60" s="32"/>
      <c r="U60" s="32"/>
      <c r="V60" s="37"/>
      <c r="W60" s="34"/>
      <c r="X60" s="34"/>
      <c r="Y60" s="34"/>
      <c r="Z60" s="34"/>
      <c r="AA60" s="32">
        <f t="shared" si="21"/>
        <v>2</v>
      </c>
      <c r="AB60" s="54"/>
      <c r="AC60" s="32">
        <f t="shared" si="22"/>
        <v>2</v>
      </c>
    </row>
    <row r="61" spans="1:29" s="29" customFormat="1" ht="14.25" customHeight="1" x14ac:dyDescent="0.2">
      <c r="A61" s="36">
        <v>43</v>
      </c>
      <c r="B61" s="43">
        <v>242490</v>
      </c>
      <c r="C61" s="34"/>
      <c r="D61" s="34"/>
      <c r="E61" s="34">
        <v>810</v>
      </c>
      <c r="F61" s="34"/>
      <c r="G61" s="34"/>
      <c r="H61" s="37"/>
      <c r="I61" s="34"/>
      <c r="J61" s="34"/>
      <c r="K61" s="34"/>
      <c r="L61" s="37"/>
      <c r="M61" s="37"/>
      <c r="N61" s="37"/>
      <c r="O61" s="37"/>
      <c r="P61" s="34"/>
      <c r="Q61" s="34">
        <v>10</v>
      </c>
      <c r="R61" s="37"/>
      <c r="S61" s="34"/>
      <c r="T61" s="32"/>
      <c r="U61" s="32"/>
      <c r="V61" s="37"/>
      <c r="W61" s="34"/>
      <c r="X61" s="34"/>
      <c r="Y61" s="34"/>
      <c r="Z61" s="34">
        <v>7</v>
      </c>
      <c r="AA61" s="32">
        <f t="shared" si="21"/>
        <v>827</v>
      </c>
      <c r="AB61" s="54"/>
      <c r="AC61" s="32">
        <f t="shared" si="22"/>
        <v>827</v>
      </c>
    </row>
    <row r="62" spans="1:29" s="29" customFormat="1" ht="14.25" customHeight="1" x14ac:dyDescent="0.2">
      <c r="A62" s="36">
        <v>44</v>
      </c>
      <c r="B62" s="43">
        <v>367819</v>
      </c>
      <c r="C62" s="32"/>
      <c r="D62" s="32"/>
      <c r="E62" s="32">
        <v>422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>
        <v>133</v>
      </c>
      <c r="AA62" s="32">
        <f t="shared" si="21"/>
        <v>555</v>
      </c>
      <c r="AB62" s="54"/>
      <c r="AC62" s="32">
        <f t="shared" si="22"/>
        <v>555</v>
      </c>
    </row>
    <row r="63" spans="1:29" s="29" customFormat="1" ht="19.5" customHeight="1" x14ac:dyDescent="0.2">
      <c r="A63" s="429" t="s">
        <v>173</v>
      </c>
      <c r="B63" s="430"/>
      <c r="C63" s="51">
        <f t="shared" ref="C63:AC63" si="23">C64+C65</f>
        <v>20</v>
      </c>
      <c r="D63" s="51">
        <f t="shared" si="23"/>
        <v>0</v>
      </c>
      <c r="E63" s="51">
        <f t="shared" si="23"/>
        <v>0</v>
      </c>
      <c r="F63" s="51">
        <f t="shared" si="23"/>
        <v>0</v>
      </c>
      <c r="G63" s="51">
        <f t="shared" si="23"/>
        <v>0</v>
      </c>
      <c r="H63" s="51">
        <f t="shared" si="23"/>
        <v>0</v>
      </c>
      <c r="I63" s="51">
        <f t="shared" si="23"/>
        <v>0</v>
      </c>
      <c r="J63" s="51">
        <f t="shared" si="23"/>
        <v>0</v>
      </c>
      <c r="K63" s="51">
        <f t="shared" si="23"/>
        <v>0</v>
      </c>
      <c r="L63" s="51">
        <f t="shared" si="23"/>
        <v>0</v>
      </c>
      <c r="M63" s="51">
        <f t="shared" si="23"/>
        <v>0</v>
      </c>
      <c r="N63" s="51">
        <f t="shared" si="23"/>
        <v>0</v>
      </c>
      <c r="O63" s="51">
        <f t="shared" si="23"/>
        <v>0</v>
      </c>
      <c r="P63" s="51">
        <f t="shared" si="23"/>
        <v>0</v>
      </c>
      <c r="Q63" s="51">
        <f t="shared" si="23"/>
        <v>0</v>
      </c>
      <c r="R63" s="51">
        <f t="shared" si="23"/>
        <v>0</v>
      </c>
      <c r="S63" s="51">
        <f t="shared" si="23"/>
        <v>0</v>
      </c>
      <c r="T63" s="51">
        <f t="shared" si="23"/>
        <v>0</v>
      </c>
      <c r="U63" s="51">
        <f t="shared" si="23"/>
        <v>0</v>
      </c>
      <c r="V63" s="51">
        <f t="shared" si="23"/>
        <v>0</v>
      </c>
      <c r="W63" s="51">
        <f t="shared" si="23"/>
        <v>0</v>
      </c>
      <c r="X63" s="51">
        <f t="shared" si="23"/>
        <v>0</v>
      </c>
      <c r="Y63" s="51">
        <f t="shared" si="23"/>
        <v>0</v>
      </c>
      <c r="Z63" s="51">
        <v>60</v>
      </c>
      <c r="AA63" s="51">
        <f t="shared" si="23"/>
        <v>80</v>
      </c>
      <c r="AB63" s="51">
        <f t="shared" si="23"/>
        <v>0</v>
      </c>
      <c r="AC63" s="51">
        <f t="shared" si="23"/>
        <v>80</v>
      </c>
    </row>
    <row r="64" spans="1:29" s="29" customFormat="1" ht="15.75" customHeight="1" x14ac:dyDescent="0.2">
      <c r="A64" s="36">
        <v>45</v>
      </c>
      <c r="B64" s="43">
        <v>147390</v>
      </c>
      <c r="C64" s="34">
        <v>10</v>
      </c>
      <c r="D64" s="34"/>
      <c r="E64" s="34"/>
      <c r="F64" s="34"/>
      <c r="G64" s="34"/>
      <c r="H64" s="37"/>
      <c r="I64" s="34"/>
      <c r="J64" s="34"/>
      <c r="K64" s="34"/>
      <c r="L64" s="37"/>
      <c r="M64" s="37"/>
      <c r="N64" s="37"/>
      <c r="O64" s="37"/>
      <c r="P64" s="34"/>
      <c r="Q64" s="34"/>
      <c r="R64" s="37"/>
      <c r="S64" s="34"/>
      <c r="T64" s="32"/>
      <c r="U64" s="32"/>
      <c r="V64" s="37"/>
      <c r="W64" s="34"/>
      <c r="X64" s="34"/>
      <c r="Y64" s="34"/>
      <c r="Z64" s="34">
        <v>60</v>
      </c>
      <c r="AA64" s="32">
        <f>J64+L64+V64+R64+N64+O64+P64+Q64+K64+W64+S64+T64+X64+M64+Y64+H64+C64+I64+D64+E64+G64+F64+Z64+U64</f>
        <v>70</v>
      </c>
      <c r="AB64" s="54"/>
      <c r="AC64" s="32">
        <f>AA64+AB64</f>
        <v>70</v>
      </c>
    </row>
    <row r="65" spans="1:29" s="29" customFormat="1" ht="14.25" customHeight="1" x14ac:dyDescent="0.2">
      <c r="A65" s="36">
        <v>46</v>
      </c>
      <c r="B65" s="43">
        <v>257460</v>
      </c>
      <c r="C65" s="32">
        <v>10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>
        <f>J65+L65+V65+R65+N65+O65+P65+Q65+K65+W65+S65+T65+X65+M65+Y65+H65+C65+I65+D65+E65+G65+F65+Z65+U65</f>
        <v>10</v>
      </c>
      <c r="AB65" s="54"/>
      <c r="AC65" s="32">
        <f>AA65+AB65</f>
        <v>10</v>
      </c>
    </row>
    <row r="66" spans="1:29" s="29" customFormat="1" ht="24" customHeight="1" x14ac:dyDescent="0.2">
      <c r="A66" s="429" t="s">
        <v>174</v>
      </c>
      <c r="B66" s="430"/>
      <c r="C66" s="51">
        <f t="shared" ref="C66:AC66" si="24">SUM(C67:C72)</f>
        <v>355</v>
      </c>
      <c r="D66" s="51">
        <f t="shared" si="24"/>
        <v>0</v>
      </c>
      <c r="E66" s="51">
        <f t="shared" si="24"/>
        <v>0</v>
      </c>
      <c r="F66" s="51">
        <f t="shared" si="24"/>
        <v>60</v>
      </c>
      <c r="G66" s="51">
        <f t="shared" si="24"/>
        <v>0</v>
      </c>
      <c r="H66" s="51">
        <f t="shared" si="24"/>
        <v>0</v>
      </c>
      <c r="I66" s="51">
        <f t="shared" si="24"/>
        <v>210</v>
      </c>
      <c r="J66" s="51">
        <f t="shared" si="24"/>
        <v>200</v>
      </c>
      <c r="K66" s="51">
        <f t="shared" si="24"/>
        <v>200</v>
      </c>
      <c r="L66" s="51">
        <f t="shared" si="24"/>
        <v>0</v>
      </c>
      <c r="M66" s="51">
        <f t="shared" si="24"/>
        <v>0</v>
      </c>
      <c r="N66" s="51">
        <f t="shared" si="24"/>
        <v>0</v>
      </c>
      <c r="O66" s="51">
        <f t="shared" si="24"/>
        <v>79</v>
      </c>
      <c r="P66" s="51">
        <f t="shared" si="24"/>
        <v>231</v>
      </c>
      <c r="Q66" s="51">
        <f t="shared" si="24"/>
        <v>224</v>
      </c>
      <c r="R66" s="51">
        <f t="shared" si="24"/>
        <v>0</v>
      </c>
      <c r="S66" s="51">
        <f t="shared" si="24"/>
        <v>23</v>
      </c>
      <c r="T66" s="51">
        <f t="shared" si="24"/>
        <v>40</v>
      </c>
      <c r="U66" s="51">
        <f t="shared" si="24"/>
        <v>0</v>
      </c>
      <c r="V66" s="51">
        <f t="shared" si="24"/>
        <v>20</v>
      </c>
      <c r="W66" s="51">
        <f t="shared" si="24"/>
        <v>119</v>
      </c>
      <c r="X66" s="51">
        <f t="shared" si="24"/>
        <v>8</v>
      </c>
      <c r="Y66" s="51">
        <f t="shared" si="24"/>
        <v>0</v>
      </c>
      <c r="Z66" s="51">
        <v>50</v>
      </c>
      <c r="AA66" s="51">
        <f t="shared" si="24"/>
        <v>1819</v>
      </c>
      <c r="AB66" s="51">
        <f t="shared" si="24"/>
        <v>0</v>
      </c>
      <c r="AC66" s="51">
        <f t="shared" si="24"/>
        <v>1819</v>
      </c>
    </row>
    <row r="67" spans="1:29" s="29" customFormat="1" ht="15.75" customHeight="1" x14ac:dyDescent="0.2">
      <c r="A67" s="31">
        <v>47</v>
      </c>
      <c r="B67" s="53">
        <v>142411</v>
      </c>
      <c r="C67" s="32">
        <v>70</v>
      </c>
      <c r="D67" s="32"/>
      <c r="E67" s="32"/>
      <c r="F67" s="32">
        <v>55</v>
      </c>
      <c r="G67" s="32"/>
      <c r="H67" s="32"/>
      <c r="I67" s="32">
        <v>50</v>
      </c>
      <c r="J67" s="32">
        <v>65</v>
      </c>
      <c r="K67" s="32">
        <v>55</v>
      </c>
      <c r="L67" s="32"/>
      <c r="M67" s="32"/>
      <c r="N67" s="32"/>
      <c r="O67" s="32">
        <v>16</v>
      </c>
      <c r="P67" s="32">
        <v>215</v>
      </c>
      <c r="Q67" s="32">
        <v>10</v>
      </c>
      <c r="R67" s="32"/>
      <c r="S67" s="32">
        <v>8</v>
      </c>
      <c r="T67" s="32">
        <v>26</v>
      </c>
      <c r="U67" s="32"/>
      <c r="V67" s="32"/>
      <c r="W67" s="32">
        <v>42</v>
      </c>
      <c r="X67" s="32"/>
      <c r="Y67" s="32"/>
      <c r="Z67" s="32"/>
      <c r="AA67" s="32">
        <f t="shared" ref="AA67:AA72" si="25">J67+L67+V67+R67+N67+O67+P67+Q67+K67+W67+S67+T67+X67+M67+Y67+H67+C67+I67+D67+E67+G67+F67+Z67+U67</f>
        <v>612</v>
      </c>
      <c r="AB67" s="54"/>
      <c r="AC67" s="32">
        <f t="shared" ref="AC67:AC72" si="26">AA67+AB67</f>
        <v>612</v>
      </c>
    </row>
    <row r="68" spans="1:29" s="29" customFormat="1" ht="15.75" customHeight="1" x14ac:dyDescent="0.2">
      <c r="A68" s="31">
        <v>48</v>
      </c>
      <c r="B68" s="53">
        <v>211123</v>
      </c>
      <c r="C68" s="32">
        <v>30</v>
      </c>
      <c r="D68" s="32"/>
      <c r="E68" s="32"/>
      <c r="F68" s="32"/>
      <c r="G68" s="32"/>
      <c r="H68" s="32"/>
      <c r="I68" s="32"/>
      <c r="J68" s="32">
        <v>35</v>
      </c>
      <c r="K68" s="32">
        <v>20</v>
      </c>
      <c r="L68" s="32"/>
      <c r="M68" s="32"/>
      <c r="N68" s="32"/>
      <c r="O68" s="32">
        <v>25</v>
      </c>
      <c r="P68" s="32">
        <v>4</v>
      </c>
      <c r="Q68" s="32"/>
      <c r="R68" s="32"/>
      <c r="S68" s="32">
        <v>8</v>
      </c>
      <c r="T68" s="32">
        <v>11</v>
      </c>
      <c r="U68" s="32"/>
      <c r="V68" s="32">
        <v>20</v>
      </c>
      <c r="W68" s="32">
        <v>57</v>
      </c>
      <c r="X68" s="32"/>
      <c r="Y68" s="32"/>
      <c r="Z68" s="32"/>
      <c r="AA68" s="32">
        <f t="shared" si="25"/>
        <v>210</v>
      </c>
      <c r="AB68" s="54"/>
      <c r="AC68" s="32">
        <f t="shared" si="26"/>
        <v>210</v>
      </c>
    </row>
    <row r="69" spans="1:29" s="29" customFormat="1" ht="15.75" customHeight="1" x14ac:dyDescent="0.2">
      <c r="A69" s="31">
        <v>49</v>
      </c>
      <c r="B69" s="43">
        <v>282411</v>
      </c>
      <c r="C69" s="32"/>
      <c r="D69" s="32"/>
      <c r="E69" s="32"/>
      <c r="F69" s="32">
        <v>5</v>
      </c>
      <c r="G69" s="32"/>
      <c r="H69" s="32"/>
      <c r="I69" s="32"/>
      <c r="J69" s="32"/>
      <c r="K69" s="32"/>
      <c r="L69" s="32"/>
      <c r="M69" s="32"/>
      <c r="N69" s="32"/>
      <c r="O69" s="32"/>
      <c r="P69" s="32">
        <f>0+2</f>
        <v>2</v>
      </c>
      <c r="Q69" s="32"/>
      <c r="R69" s="32"/>
      <c r="S69" s="32">
        <f>0+2+1</f>
        <v>3</v>
      </c>
      <c r="T69" s="32">
        <v>3</v>
      </c>
      <c r="U69" s="32"/>
      <c r="V69" s="32"/>
      <c r="W69" s="32"/>
      <c r="X69" s="32"/>
      <c r="Y69" s="32"/>
      <c r="Z69" s="32"/>
      <c r="AA69" s="32">
        <f t="shared" si="25"/>
        <v>13</v>
      </c>
      <c r="AB69" s="54"/>
      <c r="AC69" s="32">
        <f t="shared" si="26"/>
        <v>13</v>
      </c>
    </row>
    <row r="70" spans="1:29" s="29" customFormat="1" ht="15.75" customHeight="1" x14ac:dyDescent="0.2">
      <c r="A70" s="31">
        <v>50</v>
      </c>
      <c r="B70" s="43">
        <v>151537</v>
      </c>
      <c r="C70" s="32">
        <v>150</v>
      </c>
      <c r="D70" s="32"/>
      <c r="E70" s="32"/>
      <c r="F70" s="32"/>
      <c r="G70" s="32"/>
      <c r="H70" s="42"/>
      <c r="I70" s="32">
        <v>160</v>
      </c>
      <c r="J70" s="32">
        <v>93</v>
      </c>
      <c r="K70" s="32">
        <v>125</v>
      </c>
      <c r="L70" s="42"/>
      <c r="M70" s="42"/>
      <c r="N70" s="42"/>
      <c r="O70" s="32">
        <v>38</v>
      </c>
      <c r="P70" s="32"/>
      <c r="Q70" s="32">
        <v>174</v>
      </c>
      <c r="R70" s="42"/>
      <c r="S70" s="32">
        <f>9-3-2</f>
        <v>4</v>
      </c>
      <c r="T70" s="32"/>
      <c r="U70" s="32"/>
      <c r="V70" s="42"/>
      <c r="W70" s="32">
        <f>30-10</f>
        <v>20</v>
      </c>
      <c r="X70" s="32">
        <v>8</v>
      </c>
      <c r="Y70" s="32"/>
      <c r="Z70" s="32">
        <v>50</v>
      </c>
      <c r="AA70" s="32">
        <f t="shared" si="25"/>
        <v>822</v>
      </c>
      <c r="AB70" s="54"/>
      <c r="AC70" s="32">
        <f t="shared" si="26"/>
        <v>822</v>
      </c>
    </row>
    <row r="71" spans="1:29" s="29" customFormat="1" ht="15.75" customHeight="1" x14ac:dyDescent="0.2">
      <c r="A71" s="31">
        <v>51</v>
      </c>
      <c r="B71" s="43">
        <v>217717</v>
      </c>
      <c r="C71" s="32">
        <v>105</v>
      </c>
      <c r="D71" s="32"/>
      <c r="E71" s="32"/>
      <c r="F71" s="32"/>
      <c r="G71" s="32"/>
      <c r="H71" s="32"/>
      <c r="I71" s="32"/>
      <c r="J71" s="32">
        <v>7</v>
      </c>
      <c r="K71" s="32"/>
      <c r="L71" s="32"/>
      <c r="M71" s="32"/>
      <c r="N71" s="32"/>
      <c r="O71" s="32"/>
      <c r="P71" s="32"/>
      <c r="Q71" s="32">
        <v>40</v>
      </c>
      <c r="R71" s="32"/>
      <c r="S71" s="32"/>
      <c r="T71" s="32"/>
      <c r="U71" s="32"/>
      <c r="V71" s="32"/>
      <c r="W71" s="32"/>
      <c r="X71" s="32"/>
      <c r="Y71" s="32"/>
      <c r="Z71" s="32"/>
      <c r="AA71" s="32">
        <f t="shared" si="25"/>
        <v>152</v>
      </c>
      <c r="AB71" s="54"/>
      <c r="AC71" s="32">
        <f t="shared" si="26"/>
        <v>152</v>
      </c>
    </row>
    <row r="72" spans="1:29" s="29" customFormat="1" ht="15.75" customHeight="1" x14ac:dyDescent="0.2">
      <c r="A72" s="31">
        <v>52</v>
      </c>
      <c r="B72" s="43">
        <v>352016</v>
      </c>
      <c r="C72" s="34"/>
      <c r="D72" s="34"/>
      <c r="E72" s="34"/>
      <c r="F72" s="34"/>
      <c r="G72" s="34"/>
      <c r="H72" s="37"/>
      <c r="I72" s="34"/>
      <c r="J72" s="34"/>
      <c r="K72" s="34"/>
      <c r="L72" s="37"/>
      <c r="M72" s="37"/>
      <c r="N72" s="37"/>
      <c r="O72" s="37"/>
      <c r="P72" s="34">
        <v>10</v>
      </c>
      <c r="Q72" s="34"/>
      <c r="R72" s="37"/>
      <c r="S72" s="34"/>
      <c r="T72" s="32"/>
      <c r="U72" s="32"/>
      <c r="V72" s="37"/>
      <c r="W72" s="34"/>
      <c r="X72" s="34"/>
      <c r="Y72" s="34"/>
      <c r="Z72" s="34"/>
      <c r="AA72" s="32">
        <f t="shared" si="25"/>
        <v>10</v>
      </c>
      <c r="AB72" s="54"/>
      <c r="AC72" s="32">
        <f t="shared" si="26"/>
        <v>10</v>
      </c>
    </row>
    <row r="73" spans="1:29" s="29" customFormat="1" ht="18.75" customHeight="1" x14ac:dyDescent="0.2">
      <c r="A73" s="429" t="s">
        <v>175</v>
      </c>
      <c r="B73" s="430"/>
      <c r="C73" s="51">
        <f t="shared" ref="C73:AC73" si="27">C74+C75</f>
        <v>120</v>
      </c>
      <c r="D73" s="51">
        <f t="shared" si="27"/>
        <v>0</v>
      </c>
      <c r="E73" s="51">
        <f t="shared" si="27"/>
        <v>0</v>
      </c>
      <c r="F73" s="51">
        <f t="shared" si="27"/>
        <v>140</v>
      </c>
      <c r="G73" s="51">
        <f t="shared" si="27"/>
        <v>0</v>
      </c>
      <c r="H73" s="51">
        <f t="shared" si="27"/>
        <v>0</v>
      </c>
      <c r="I73" s="51">
        <f t="shared" si="27"/>
        <v>0</v>
      </c>
      <c r="J73" s="51">
        <f t="shared" si="27"/>
        <v>30</v>
      </c>
      <c r="K73" s="51">
        <f t="shared" si="27"/>
        <v>10</v>
      </c>
      <c r="L73" s="51">
        <f t="shared" si="27"/>
        <v>0</v>
      </c>
      <c r="M73" s="51">
        <f t="shared" si="27"/>
        <v>0</v>
      </c>
      <c r="N73" s="51">
        <f t="shared" si="27"/>
        <v>0</v>
      </c>
      <c r="O73" s="51">
        <f t="shared" si="27"/>
        <v>0</v>
      </c>
      <c r="P73" s="51">
        <f t="shared" si="27"/>
        <v>36</v>
      </c>
      <c r="Q73" s="51">
        <f t="shared" si="27"/>
        <v>0</v>
      </c>
      <c r="R73" s="51">
        <f t="shared" si="27"/>
        <v>0</v>
      </c>
      <c r="S73" s="51">
        <f t="shared" si="27"/>
        <v>0</v>
      </c>
      <c r="T73" s="51">
        <f t="shared" si="27"/>
        <v>0</v>
      </c>
      <c r="U73" s="51">
        <f t="shared" si="27"/>
        <v>0</v>
      </c>
      <c r="V73" s="51">
        <f t="shared" si="27"/>
        <v>0</v>
      </c>
      <c r="W73" s="51">
        <f t="shared" si="27"/>
        <v>0</v>
      </c>
      <c r="X73" s="51">
        <f t="shared" si="27"/>
        <v>7</v>
      </c>
      <c r="Y73" s="51">
        <f t="shared" si="27"/>
        <v>40</v>
      </c>
      <c r="Z73" s="51">
        <v>137</v>
      </c>
      <c r="AA73" s="51">
        <f t="shared" si="27"/>
        <v>520</v>
      </c>
      <c r="AB73" s="51">
        <f t="shared" si="27"/>
        <v>0</v>
      </c>
      <c r="AC73" s="51">
        <f t="shared" si="27"/>
        <v>520</v>
      </c>
    </row>
    <row r="74" spans="1:29" s="29" customFormat="1" ht="18" customHeight="1" x14ac:dyDescent="0.2">
      <c r="A74" s="36">
        <v>53</v>
      </c>
      <c r="B74" s="43">
        <v>98144</v>
      </c>
      <c r="C74" s="32">
        <v>100</v>
      </c>
      <c r="D74" s="32"/>
      <c r="E74" s="32"/>
      <c r="F74" s="32">
        <v>140</v>
      </c>
      <c r="G74" s="32"/>
      <c r="H74" s="32"/>
      <c r="I74" s="32"/>
      <c r="J74" s="32">
        <v>30</v>
      </c>
      <c r="K74" s="32">
        <v>10</v>
      </c>
      <c r="L74" s="32"/>
      <c r="M74" s="32"/>
      <c r="N74" s="32"/>
      <c r="O74" s="32"/>
      <c r="P74" s="32">
        <v>36</v>
      </c>
      <c r="Q74" s="32"/>
      <c r="R74" s="32"/>
      <c r="S74" s="32"/>
      <c r="T74" s="32"/>
      <c r="U74" s="32"/>
      <c r="V74" s="32"/>
      <c r="W74" s="32"/>
      <c r="X74" s="32">
        <v>7</v>
      </c>
      <c r="Y74" s="32">
        <v>30</v>
      </c>
      <c r="Z74" s="32">
        <v>137</v>
      </c>
      <c r="AA74" s="32">
        <f>J74+L74+V74+R74+N74+O74+P74+Q74+K74+W74+S74+T74+X74+M74+Y74+H74+C74+I74+D74+E74+G74+F74+Z74+U74</f>
        <v>490</v>
      </c>
      <c r="AB74" s="54"/>
      <c r="AC74" s="32">
        <f>AA74+AB74</f>
        <v>490</v>
      </c>
    </row>
    <row r="75" spans="1:29" s="29" customFormat="1" ht="12.75" customHeight="1" x14ac:dyDescent="0.2">
      <c r="A75" s="36">
        <v>54</v>
      </c>
      <c r="B75" s="43">
        <v>144203</v>
      </c>
      <c r="C75" s="32">
        <v>20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>
        <v>10</v>
      </c>
      <c r="Z75" s="32"/>
      <c r="AA75" s="32">
        <f>J75+L75+V75+R75+N75+O75+P75+Q75+K75+W75+S75+T75+X75+M75+Y75+H75+C75+I75+D75+E75+G75+F75+Z75+U75</f>
        <v>30</v>
      </c>
      <c r="AB75" s="54"/>
      <c r="AC75" s="32">
        <f>AA75+AB75</f>
        <v>30</v>
      </c>
    </row>
    <row r="76" spans="1:29" s="29" customFormat="1" ht="24.75" customHeight="1" x14ac:dyDescent="0.2">
      <c r="A76" s="429" t="s">
        <v>176</v>
      </c>
      <c r="B76" s="430"/>
      <c r="C76" s="51">
        <f t="shared" ref="C76:AC76" si="28">C77</f>
        <v>0</v>
      </c>
      <c r="D76" s="51">
        <f t="shared" si="28"/>
        <v>0</v>
      </c>
      <c r="E76" s="51">
        <f t="shared" si="28"/>
        <v>0</v>
      </c>
      <c r="F76" s="51">
        <f t="shared" si="28"/>
        <v>45</v>
      </c>
      <c r="G76" s="51">
        <f t="shared" si="28"/>
        <v>0</v>
      </c>
      <c r="H76" s="51">
        <f t="shared" si="28"/>
        <v>0</v>
      </c>
      <c r="I76" s="51">
        <f t="shared" si="28"/>
        <v>0</v>
      </c>
      <c r="J76" s="51">
        <f t="shared" si="28"/>
        <v>0</v>
      </c>
      <c r="K76" s="51">
        <f t="shared" si="28"/>
        <v>70</v>
      </c>
      <c r="L76" s="51">
        <f t="shared" si="28"/>
        <v>0</v>
      </c>
      <c r="M76" s="51">
        <f t="shared" si="28"/>
        <v>0</v>
      </c>
      <c r="N76" s="51">
        <f t="shared" si="28"/>
        <v>0</v>
      </c>
      <c r="O76" s="51">
        <f t="shared" si="28"/>
        <v>0</v>
      </c>
      <c r="P76" s="51">
        <f t="shared" si="28"/>
        <v>0</v>
      </c>
      <c r="Q76" s="51">
        <f t="shared" si="28"/>
        <v>0</v>
      </c>
      <c r="R76" s="51">
        <f t="shared" si="28"/>
        <v>0</v>
      </c>
      <c r="S76" s="51">
        <f t="shared" si="28"/>
        <v>0</v>
      </c>
      <c r="T76" s="51">
        <f t="shared" si="28"/>
        <v>0</v>
      </c>
      <c r="U76" s="51">
        <f t="shared" si="28"/>
        <v>0</v>
      </c>
      <c r="V76" s="51">
        <f t="shared" si="28"/>
        <v>0</v>
      </c>
      <c r="W76" s="51">
        <f t="shared" si="28"/>
        <v>10</v>
      </c>
      <c r="X76" s="51">
        <f t="shared" si="28"/>
        <v>0</v>
      </c>
      <c r="Y76" s="51">
        <f t="shared" si="28"/>
        <v>0</v>
      </c>
      <c r="Z76" s="51">
        <v>0</v>
      </c>
      <c r="AA76" s="51">
        <f t="shared" si="28"/>
        <v>125</v>
      </c>
      <c r="AB76" s="51">
        <f t="shared" si="28"/>
        <v>0</v>
      </c>
      <c r="AC76" s="51">
        <f t="shared" si="28"/>
        <v>125</v>
      </c>
    </row>
    <row r="77" spans="1:29" s="29" customFormat="1" ht="16.5" customHeight="1" x14ac:dyDescent="0.2">
      <c r="A77" s="36">
        <v>55</v>
      </c>
      <c r="B77" s="43">
        <v>127636</v>
      </c>
      <c r="C77" s="32"/>
      <c r="D77" s="32"/>
      <c r="E77" s="32"/>
      <c r="F77" s="32">
        <v>45</v>
      </c>
      <c r="G77" s="32"/>
      <c r="H77" s="32"/>
      <c r="I77" s="32"/>
      <c r="J77" s="32"/>
      <c r="K77" s="32">
        <v>70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>
        <v>10</v>
      </c>
      <c r="X77" s="32"/>
      <c r="Y77" s="32"/>
      <c r="Z77" s="32"/>
      <c r="AA77" s="32">
        <f>J77+L77+V77+R77+N77+O77+P77+Q77+K77+W77+S77+T77+X77+M77+Y77+H77+C77+I77+D77+E77+G77+F77+Z77+U77</f>
        <v>125</v>
      </c>
      <c r="AB77" s="54"/>
      <c r="AC77" s="32">
        <f>AA77+AB77</f>
        <v>125</v>
      </c>
    </row>
    <row r="78" spans="1:29" s="29" customFormat="1" ht="18.75" customHeight="1" x14ac:dyDescent="0.2">
      <c r="A78" s="429" t="s">
        <v>177</v>
      </c>
      <c r="B78" s="430"/>
      <c r="C78" s="51">
        <f t="shared" ref="C78:AC78" si="29">C79+C80</f>
        <v>10</v>
      </c>
      <c r="D78" s="51">
        <f t="shared" si="29"/>
        <v>0</v>
      </c>
      <c r="E78" s="51">
        <f t="shared" si="29"/>
        <v>0</v>
      </c>
      <c r="F78" s="51">
        <f t="shared" si="29"/>
        <v>25</v>
      </c>
      <c r="G78" s="51">
        <f t="shared" si="29"/>
        <v>0</v>
      </c>
      <c r="H78" s="51">
        <f t="shared" si="29"/>
        <v>0</v>
      </c>
      <c r="I78" s="51">
        <f t="shared" si="29"/>
        <v>0</v>
      </c>
      <c r="J78" s="51">
        <f t="shared" si="29"/>
        <v>0</v>
      </c>
      <c r="K78" s="51">
        <f t="shared" si="29"/>
        <v>20</v>
      </c>
      <c r="L78" s="51">
        <f t="shared" si="29"/>
        <v>0</v>
      </c>
      <c r="M78" s="51">
        <f t="shared" si="29"/>
        <v>0</v>
      </c>
      <c r="N78" s="51">
        <f t="shared" si="29"/>
        <v>0</v>
      </c>
      <c r="O78" s="51">
        <f t="shared" si="29"/>
        <v>0</v>
      </c>
      <c r="P78" s="51">
        <f t="shared" si="29"/>
        <v>0</v>
      </c>
      <c r="Q78" s="51">
        <f t="shared" si="29"/>
        <v>0</v>
      </c>
      <c r="R78" s="51">
        <f t="shared" si="29"/>
        <v>0</v>
      </c>
      <c r="S78" s="51">
        <f t="shared" si="29"/>
        <v>0</v>
      </c>
      <c r="T78" s="51">
        <f t="shared" si="29"/>
        <v>0</v>
      </c>
      <c r="U78" s="51">
        <f t="shared" si="29"/>
        <v>0</v>
      </c>
      <c r="V78" s="51">
        <f t="shared" si="29"/>
        <v>0</v>
      </c>
      <c r="W78" s="51">
        <f t="shared" si="29"/>
        <v>0</v>
      </c>
      <c r="X78" s="51">
        <f t="shared" si="29"/>
        <v>0</v>
      </c>
      <c r="Y78" s="51">
        <f t="shared" si="29"/>
        <v>0</v>
      </c>
      <c r="Z78" s="51">
        <v>40</v>
      </c>
      <c r="AA78" s="51">
        <f t="shared" si="29"/>
        <v>95</v>
      </c>
      <c r="AB78" s="51">
        <f t="shared" si="29"/>
        <v>0</v>
      </c>
      <c r="AC78" s="51">
        <f t="shared" si="29"/>
        <v>95</v>
      </c>
    </row>
    <row r="79" spans="1:29" s="29" customFormat="1" ht="15.75" customHeight="1" x14ac:dyDescent="0.2">
      <c r="A79" s="36">
        <v>56</v>
      </c>
      <c r="B79" s="43">
        <v>191319</v>
      </c>
      <c r="C79" s="32">
        <v>10</v>
      </c>
      <c r="D79" s="32"/>
      <c r="E79" s="32"/>
      <c r="F79" s="32">
        <v>25</v>
      </c>
      <c r="G79" s="32"/>
      <c r="H79" s="32"/>
      <c r="I79" s="32"/>
      <c r="J79" s="32"/>
      <c r="K79" s="32">
        <v>20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>
        <v>40</v>
      </c>
      <c r="AA79" s="32">
        <f>J79+L79+V79+R79+N79+O79+P79+Q79+K79+W79+S79+T79+X79+M79+Y79+H79+C79+I79+D79+E79+G79+F79+Z79+U79</f>
        <v>95</v>
      </c>
      <c r="AB79" s="54"/>
      <c r="AC79" s="32">
        <f>AA79+AB79</f>
        <v>95</v>
      </c>
    </row>
    <row r="80" spans="1:29" s="29" customFormat="1" ht="17.25" customHeight="1" x14ac:dyDescent="0.2">
      <c r="A80" s="36">
        <v>57</v>
      </c>
      <c r="B80" s="43">
        <v>105940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>
        <f>J80+L80+V80+R80+N80+O80+P80+Q80+K80+W80+S80+T80+X80+M80+Y80+H80+C80+I80+D80+E80+G80+F80+Z80+U80</f>
        <v>0</v>
      </c>
      <c r="AB80" s="54"/>
      <c r="AC80" s="32">
        <f>AA80+AB80</f>
        <v>0</v>
      </c>
    </row>
    <row r="81" spans="1:29" s="29" customFormat="1" ht="18.75" customHeight="1" x14ac:dyDescent="0.2">
      <c r="A81" s="429" t="s">
        <v>110</v>
      </c>
      <c r="B81" s="430"/>
      <c r="C81" s="51">
        <f t="shared" ref="C81:AC81" si="30">C4+C7+C10+C12+C15+C17+C19+C22+C29+C32+C39+C42+C49+C51+C63+C66+C73+C76+C78+C45</f>
        <v>2325</v>
      </c>
      <c r="D81" s="51">
        <f t="shared" si="30"/>
        <v>1450</v>
      </c>
      <c r="E81" s="51">
        <f t="shared" si="30"/>
        <v>3435</v>
      </c>
      <c r="F81" s="51">
        <f t="shared" si="30"/>
        <v>903</v>
      </c>
      <c r="G81" s="51">
        <f t="shared" si="30"/>
        <v>728</v>
      </c>
      <c r="H81" s="51">
        <f t="shared" si="30"/>
        <v>52</v>
      </c>
      <c r="I81" s="51">
        <f t="shared" si="30"/>
        <v>210</v>
      </c>
      <c r="J81" s="51">
        <f t="shared" si="30"/>
        <v>1082</v>
      </c>
      <c r="K81" s="51">
        <f t="shared" si="30"/>
        <v>1254</v>
      </c>
      <c r="L81" s="51">
        <f t="shared" si="30"/>
        <v>200</v>
      </c>
      <c r="M81" s="51">
        <f t="shared" si="30"/>
        <v>2400</v>
      </c>
      <c r="N81" s="51">
        <f t="shared" si="30"/>
        <v>200</v>
      </c>
      <c r="O81" s="51">
        <f t="shared" si="30"/>
        <v>341</v>
      </c>
      <c r="P81" s="51">
        <f t="shared" si="30"/>
        <v>407</v>
      </c>
      <c r="Q81" s="51">
        <f t="shared" si="30"/>
        <v>752</v>
      </c>
      <c r="R81" s="51">
        <f t="shared" si="30"/>
        <v>40</v>
      </c>
      <c r="S81" s="51">
        <f t="shared" si="30"/>
        <v>241</v>
      </c>
      <c r="T81" s="51">
        <f t="shared" si="30"/>
        <v>59</v>
      </c>
      <c r="U81" s="51">
        <f t="shared" si="30"/>
        <v>133</v>
      </c>
      <c r="V81" s="51">
        <f t="shared" si="30"/>
        <v>20</v>
      </c>
      <c r="W81" s="51">
        <f t="shared" si="30"/>
        <v>813</v>
      </c>
      <c r="X81" s="51">
        <f t="shared" si="30"/>
        <v>277</v>
      </c>
      <c r="Y81" s="51">
        <f t="shared" si="30"/>
        <v>250</v>
      </c>
      <c r="Z81" s="51">
        <f>Z4+Z7+Z10+Z12+Z15+Z17+Z19+Z22+Z29+Z32+Z39+Z42+Z49+Z51+Z63+Z66+Z73+Z76+Z78+Z45</f>
        <v>1637</v>
      </c>
      <c r="AA81" s="51">
        <f t="shared" si="30"/>
        <v>19209</v>
      </c>
      <c r="AB81" s="51">
        <f t="shared" si="30"/>
        <v>50</v>
      </c>
      <c r="AC81" s="51">
        <f t="shared" si="30"/>
        <v>19259</v>
      </c>
    </row>
  </sheetData>
  <mergeCells count="22">
    <mergeCell ref="A66:B66"/>
    <mergeCell ref="A73:B73"/>
    <mergeCell ref="A76:B76"/>
    <mergeCell ref="A78:B78"/>
    <mergeCell ref="A81:B81"/>
    <mergeCell ref="A1:AC1"/>
    <mergeCell ref="A39:B39"/>
    <mergeCell ref="A42:B42"/>
    <mergeCell ref="A45:B45"/>
    <mergeCell ref="A49:B49"/>
    <mergeCell ref="A4:B4"/>
    <mergeCell ref="A7:B7"/>
    <mergeCell ref="A10:B10"/>
    <mergeCell ref="A12:B12"/>
    <mergeCell ref="A51:B51"/>
    <mergeCell ref="A63:B63"/>
    <mergeCell ref="A15:B15"/>
    <mergeCell ref="A17:B17"/>
    <mergeCell ref="A19:B19"/>
    <mergeCell ref="A22:B22"/>
    <mergeCell ref="A29:B29"/>
    <mergeCell ref="A32:B32"/>
  </mergeCells>
  <pageMargins left="0" right="0" top="0" bottom="0" header="0.31496062992125984" footer="0.31496062992125984"/>
  <pageSetup paperSize="9" scale="75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zoomScale="90" zoomScaleNormal="9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K94" sqref="K94"/>
    </sheetView>
  </sheetViews>
  <sheetFormatPr defaultRowHeight="12.75" x14ac:dyDescent="0.25"/>
  <cols>
    <col min="1" max="1" width="5.5703125" style="60" customWidth="1"/>
    <col min="2" max="2" width="36.140625" style="89" customWidth="1"/>
    <col min="3" max="3" width="12.7109375" style="60" customWidth="1"/>
    <col min="4" max="4" width="11.42578125" style="60" customWidth="1"/>
    <col min="5" max="5" width="11.28515625" style="60" customWidth="1"/>
    <col min="6" max="6" width="13.5703125" style="60" customWidth="1"/>
    <col min="7" max="7" width="8" style="60" customWidth="1"/>
    <col min="8" max="8" width="10.5703125" style="60" customWidth="1"/>
    <col min="9" max="9" width="9" style="60" customWidth="1"/>
    <col min="10" max="10" width="8.5703125" style="60" customWidth="1"/>
    <col min="11" max="11" width="10.85546875" style="60" customWidth="1"/>
    <col min="12" max="12" width="9.28515625" style="60" customWidth="1"/>
    <col min="13" max="13" width="12.28515625" style="60" customWidth="1"/>
    <col min="14" max="16384" width="9.140625" style="60"/>
  </cols>
  <sheetData>
    <row r="1" spans="1:13" ht="18.75" x14ac:dyDescent="0.25">
      <c r="A1" s="434" t="s">
        <v>178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5"/>
    </row>
    <row r="2" spans="1:13" ht="14.25" customHeight="1" x14ac:dyDescent="0.25">
      <c r="A2" s="61"/>
      <c r="B2" s="62"/>
      <c r="C2" s="61"/>
      <c r="D2" s="61"/>
      <c r="E2" s="61"/>
      <c r="F2" s="61"/>
      <c r="G2" s="62"/>
      <c r="H2" s="62"/>
      <c r="I2" s="62"/>
      <c r="J2" s="62"/>
      <c r="L2" s="436" t="s">
        <v>179</v>
      </c>
      <c r="M2" s="437"/>
    </row>
    <row r="3" spans="1:13" ht="13.5" customHeight="1" x14ac:dyDescent="0.25">
      <c r="A3" s="433" t="s">
        <v>0</v>
      </c>
      <c r="B3" s="433" t="s">
        <v>180</v>
      </c>
      <c r="C3" s="433" t="s">
        <v>83</v>
      </c>
      <c r="D3" s="63"/>
      <c r="E3" s="438" t="s">
        <v>181</v>
      </c>
      <c r="F3" s="438"/>
      <c r="G3" s="438"/>
      <c r="H3" s="438"/>
      <c r="I3" s="438"/>
      <c r="J3" s="438"/>
      <c r="K3" s="438"/>
      <c r="L3" s="438"/>
      <c r="M3" s="439"/>
    </row>
    <row r="4" spans="1:13" ht="13.5" customHeight="1" x14ac:dyDescent="0.25">
      <c r="A4" s="433"/>
      <c r="B4" s="433"/>
      <c r="C4" s="433"/>
      <c r="D4" s="440" t="s">
        <v>182</v>
      </c>
      <c r="E4" s="440" t="s">
        <v>84</v>
      </c>
      <c r="F4" s="433" t="s">
        <v>183</v>
      </c>
      <c r="G4" s="433"/>
      <c r="H4" s="433"/>
      <c r="I4" s="433"/>
      <c r="J4" s="433"/>
      <c r="K4" s="433"/>
      <c r="L4" s="433"/>
      <c r="M4" s="443" t="s">
        <v>184</v>
      </c>
    </row>
    <row r="5" spans="1:13" ht="30.75" customHeight="1" x14ac:dyDescent="0.25">
      <c r="A5" s="433"/>
      <c r="B5" s="433"/>
      <c r="C5" s="433"/>
      <c r="D5" s="441"/>
      <c r="E5" s="441"/>
      <c r="F5" s="433" t="s">
        <v>185</v>
      </c>
      <c r="G5" s="433" t="s">
        <v>186</v>
      </c>
      <c r="H5" s="433" t="s">
        <v>187</v>
      </c>
      <c r="I5" s="433" t="s">
        <v>188</v>
      </c>
      <c r="J5" s="433"/>
      <c r="K5" s="433" t="s">
        <v>189</v>
      </c>
      <c r="L5" s="433" t="s">
        <v>190</v>
      </c>
      <c r="M5" s="441"/>
    </row>
    <row r="6" spans="1:13" ht="21.75" customHeight="1" x14ac:dyDescent="0.25">
      <c r="A6" s="433"/>
      <c r="B6" s="433"/>
      <c r="C6" s="433"/>
      <c r="D6" s="442"/>
      <c r="E6" s="442"/>
      <c r="F6" s="433"/>
      <c r="G6" s="433"/>
      <c r="H6" s="433"/>
      <c r="I6" s="418" t="s">
        <v>191</v>
      </c>
      <c r="J6" s="418" t="s">
        <v>192</v>
      </c>
      <c r="K6" s="433"/>
      <c r="L6" s="433"/>
      <c r="M6" s="442"/>
    </row>
    <row r="7" spans="1:13" ht="16.5" customHeight="1" x14ac:dyDescent="0.25">
      <c r="A7" s="64">
        <v>1</v>
      </c>
      <c r="B7" s="65" t="s">
        <v>118</v>
      </c>
      <c r="C7" s="66">
        <f>D7+E7+M7</f>
        <v>207</v>
      </c>
      <c r="D7" s="66"/>
      <c r="E7" s="66">
        <v>207</v>
      </c>
      <c r="F7" s="66"/>
      <c r="G7" s="66"/>
      <c r="H7" s="66"/>
      <c r="I7" s="66"/>
      <c r="J7" s="66"/>
      <c r="K7" s="66"/>
      <c r="L7" s="66"/>
      <c r="M7" s="67"/>
    </row>
    <row r="8" spans="1:13" ht="16.5" customHeight="1" x14ac:dyDescent="0.25">
      <c r="A8" s="64">
        <v>2</v>
      </c>
      <c r="B8" s="68" t="s">
        <v>119</v>
      </c>
      <c r="C8" s="66">
        <f t="shared" ref="C8:C72" si="0">D8+E8+M8</f>
        <v>294</v>
      </c>
      <c r="D8" s="66"/>
      <c r="E8" s="66">
        <v>294</v>
      </c>
      <c r="F8" s="66"/>
      <c r="G8" s="66"/>
      <c r="H8" s="66"/>
      <c r="I8" s="66"/>
      <c r="J8" s="66"/>
      <c r="K8" s="66"/>
      <c r="L8" s="66"/>
      <c r="M8" s="67"/>
    </row>
    <row r="9" spans="1:13" ht="15.75" customHeight="1" x14ac:dyDescent="0.25">
      <c r="A9" s="64">
        <v>3</v>
      </c>
      <c r="B9" s="69" t="s">
        <v>193</v>
      </c>
      <c r="C9" s="66">
        <f t="shared" si="0"/>
        <v>432</v>
      </c>
      <c r="D9" s="66"/>
      <c r="E9" s="66">
        <v>432</v>
      </c>
      <c r="F9" s="66"/>
      <c r="G9" s="66"/>
      <c r="H9" s="66"/>
      <c r="I9" s="66"/>
      <c r="J9" s="66">
        <v>432</v>
      </c>
      <c r="K9" s="66"/>
      <c r="L9" s="66"/>
      <c r="M9" s="67"/>
    </row>
    <row r="10" spans="1:13" s="71" customFormat="1" ht="15.75" customHeight="1" x14ac:dyDescent="0.25">
      <c r="A10" s="64">
        <v>4</v>
      </c>
      <c r="B10" s="69" t="s">
        <v>47</v>
      </c>
      <c r="C10" s="66">
        <f t="shared" si="0"/>
        <v>1489</v>
      </c>
      <c r="D10" s="66"/>
      <c r="E10" s="66">
        <v>1489</v>
      </c>
      <c r="F10" s="66">
        <v>133</v>
      </c>
      <c r="G10" s="66"/>
      <c r="H10" s="66"/>
      <c r="I10" s="66"/>
      <c r="J10" s="66"/>
      <c r="K10" s="66"/>
      <c r="L10" s="66"/>
      <c r="M10" s="70"/>
    </row>
    <row r="11" spans="1:13" s="71" customFormat="1" ht="17.25" customHeight="1" x14ac:dyDescent="0.25">
      <c r="A11" s="64">
        <v>5</v>
      </c>
      <c r="B11" s="69" t="s">
        <v>3</v>
      </c>
      <c r="C11" s="66">
        <f t="shared" si="0"/>
        <v>866</v>
      </c>
      <c r="D11" s="66"/>
      <c r="E11" s="66">
        <v>866</v>
      </c>
      <c r="F11" s="66">
        <v>69</v>
      </c>
      <c r="G11" s="66"/>
      <c r="H11" s="66"/>
      <c r="I11" s="66"/>
      <c r="J11" s="66"/>
      <c r="K11" s="66"/>
      <c r="L11" s="66"/>
      <c r="M11" s="70"/>
    </row>
    <row r="12" spans="1:13" s="71" customFormat="1" ht="16.5" customHeight="1" x14ac:dyDescent="0.25">
      <c r="A12" s="64">
        <v>6</v>
      </c>
      <c r="B12" s="69" t="s">
        <v>1</v>
      </c>
      <c r="C12" s="66">
        <f t="shared" si="0"/>
        <v>2058</v>
      </c>
      <c r="D12" s="66"/>
      <c r="E12" s="66">
        <v>2058</v>
      </c>
      <c r="F12" s="66">
        <v>203</v>
      </c>
      <c r="G12" s="66"/>
      <c r="H12" s="66"/>
      <c r="I12" s="66"/>
      <c r="J12" s="66"/>
      <c r="K12" s="66"/>
      <c r="L12" s="66"/>
      <c r="M12" s="70"/>
    </row>
    <row r="13" spans="1:13" s="71" customFormat="1" ht="16.5" customHeight="1" x14ac:dyDescent="0.25">
      <c r="A13" s="64">
        <v>7</v>
      </c>
      <c r="B13" s="69" t="s">
        <v>4</v>
      </c>
      <c r="C13" s="66">
        <f t="shared" si="0"/>
        <v>980</v>
      </c>
      <c r="D13" s="66"/>
      <c r="E13" s="66">
        <v>980</v>
      </c>
      <c r="F13" s="66">
        <v>80</v>
      </c>
      <c r="G13" s="66"/>
      <c r="H13" s="66"/>
      <c r="I13" s="66"/>
      <c r="J13" s="66"/>
      <c r="K13" s="66"/>
      <c r="L13" s="66"/>
      <c r="M13" s="70"/>
    </row>
    <row r="14" spans="1:13" ht="18" customHeight="1" x14ac:dyDescent="0.25">
      <c r="A14" s="64">
        <v>8</v>
      </c>
      <c r="B14" s="69" t="s">
        <v>6</v>
      </c>
      <c r="C14" s="66">
        <f t="shared" si="0"/>
        <v>2778</v>
      </c>
      <c r="D14" s="66"/>
      <c r="E14" s="66">
        <v>2778</v>
      </c>
      <c r="F14" s="66">
        <v>265</v>
      </c>
      <c r="G14" s="66"/>
      <c r="H14" s="66"/>
      <c r="I14" s="66"/>
      <c r="J14" s="66"/>
      <c r="K14" s="66"/>
      <c r="L14" s="66"/>
      <c r="M14" s="67"/>
    </row>
    <row r="15" spans="1:13" ht="17.25" customHeight="1" x14ac:dyDescent="0.25">
      <c r="A15" s="64">
        <v>9</v>
      </c>
      <c r="B15" s="69" t="s">
        <v>7</v>
      </c>
      <c r="C15" s="66">
        <f t="shared" si="0"/>
        <v>1340</v>
      </c>
      <c r="D15" s="66"/>
      <c r="E15" s="66">
        <v>1340</v>
      </c>
      <c r="F15" s="66">
        <v>100</v>
      </c>
      <c r="G15" s="66"/>
      <c r="H15" s="66"/>
      <c r="I15" s="66"/>
      <c r="J15" s="66"/>
      <c r="K15" s="66"/>
      <c r="L15" s="66"/>
      <c r="M15" s="67"/>
    </row>
    <row r="16" spans="1:13" ht="16.5" customHeight="1" x14ac:dyDescent="0.25">
      <c r="A16" s="64">
        <v>10</v>
      </c>
      <c r="B16" s="69" t="s">
        <v>8</v>
      </c>
      <c r="C16" s="66">
        <f t="shared" si="0"/>
        <v>977</v>
      </c>
      <c r="D16" s="66"/>
      <c r="E16" s="66">
        <v>977</v>
      </c>
      <c r="F16" s="66">
        <v>71</v>
      </c>
      <c r="G16" s="66"/>
      <c r="H16" s="66"/>
      <c r="I16" s="66"/>
      <c r="J16" s="66"/>
      <c r="K16" s="66"/>
      <c r="L16" s="66"/>
      <c r="M16" s="67"/>
    </row>
    <row r="17" spans="1:13" ht="15.75" customHeight="1" x14ac:dyDescent="0.25">
      <c r="A17" s="64">
        <v>11</v>
      </c>
      <c r="B17" s="69" t="s">
        <v>9</v>
      </c>
      <c r="C17" s="66">
        <f t="shared" si="0"/>
        <v>4963</v>
      </c>
      <c r="D17" s="66"/>
      <c r="E17" s="66">
        <v>4963</v>
      </c>
      <c r="F17" s="66">
        <v>343</v>
      </c>
      <c r="G17" s="66"/>
      <c r="H17" s="66">
        <v>406</v>
      </c>
      <c r="I17" s="66"/>
      <c r="J17" s="66"/>
      <c r="K17" s="66">
        <v>6</v>
      </c>
      <c r="L17" s="66"/>
      <c r="M17" s="67"/>
    </row>
    <row r="18" spans="1:13" ht="16.5" customHeight="1" x14ac:dyDescent="0.25">
      <c r="A18" s="64">
        <v>12</v>
      </c>
      <c r="B18" s="69" t="s">
        <v>10</v>
      </c>
      <c r="C18" s="66">
        <f t="shared" si="0"/>
        <v>910</v>
      </c>
      <c r="D18" s="66"/>
      <c r="E18" s="66">
        <v>910</v>
      </c>
      <c r="F18" s="66">
        <v>79</v>
      </c>
      <c r="G18" s="66"/>
      <c r="H18" s="66"/>
      <c r="I18" s="66"/>
      <c r="J18" s="66"/>
      <c r="K18" s="66"/>
      <c r="L18" s="66"/>
      <c r="M18" s="67"/>
    </row>
    <row r="19" spans="1:13" ht="18.75" customHeight="1" x14ac:dyDescent="0.25">
      <c r="A19" s="64">
        <v>13</v>
      </c>
      <c r="B19" s="69" t="s">
        <v>11</v>
      </c>
      <c r="C19" s="66">
        <f t="shared" si="0"/>
        <v>5179</v>
      </c>
      <c r="D19" s="66"/>
      <c r="E19" s="66">
        <f>5504-325</f>
        <v>5179</v>
      </c>
      <c r="F19" s="66">
        <v>417</v>
      </c>
      <c r="G19" s="66"/>
      <c r="H19" s="66">
        <f>421-325</f>
        <v>96</v>
      </c>
      <c r="I19" s="66"/>
      <c r="J19" s="66"/>
      <c r="K19" s="66">
        <v>8</v>
      </c>
      <c r="L19" s="66"/>
      <c r="M19" s="67"/>
    </row>
    <row r="20" spans="1:13" ht="19.5" customHeight="1" x14ac:dyDescent="0.25">
      <c r="A20" s="64">
        <v>14</v>
      </c>
      <c r="B20" s="69" t="s">
        <v>12</v>
      </c>
      <c r="C20" s="66">
        <f t="shared" si="0"/>
        <v>1038</v>
      </c>
      <c r="D20" s="66"/>
      <c r="E20" s="66">
        <v>1038</v>
      </c>
      <c r="F20" s="66">
        <v>78</v>
      </c>
      <c r="G20" s="66"/>
      <c r="H20" s="66"/>
      <c r="I20" s="66"/>
      <c r="J20" s="66"/>
      <c r="K20" s="66"/>
      <c r="L20" s="66"/>
      <c r="M20" s="67"/>
    </row>
    <row r="21" spans="1:13" ht="20.25" customHeight="1" x14ac:dyDescent="0.25">
      <c r="A21" s="64">
        <v>15</v>
      </c>
      <c r="B21" s="69" t="s">
        <v>13</v>
      </c>
      <c r="C21" s="66">
        <f t="shared" si="0"/>
        <v>3291</v>
      </c>
      <c r="D21" s="66"/>
      <c r="E21" s="66">
        <f>3646-355</f>
        <v>3291</v>
      </c>
      <c r="F21" s="66">
        <v>253</v>
      </c>
      <c r="G21" s="66"/>
      <c r="H21" s="66">
        <f>728-355</f>
        <v>373</v>
      </c>
      <c r="I21" s="66"/>
      <c r="J21" s="66"/>
      <c r="K21" s="66">
        <v>4</v>
      </c>
      <c r="L21" s="66"/>
      <c r="M21" s="67"/>
    </row>
    <row r="22" spans="1:13" ht="17.25" customHeight="1" x14ac:dyDescent="0.25">
      <c r="A22" s="64">
        <v>16</v>
      </c>
      <c r="B22" s="69" t="s">
        <v>15</v>
      </c>
      <c r="C22" s="66">
        <f t="shared" si="0"/>
        <v>2425</v>
      </c>
      <c r="D22" s="66"/>
      <c r="E22" s="66">
        <v>2425</v>
      </c>
      <c r="F22" s="66">
        <v>215</v>
      </c>
      <c r="G22" s="66"/>
      <c r="H22" s="66"/>
      <c r="I22" s="66"/>
      <c r="J22" s="66"/>
      <c r="K22" s="66"/>
      <c r="L22" s="66"/>
      <c r="M22" s="67"/>
    </row>
    <row r="23" spans="1:13" ht="19.5" customHeight="1" x14ac:dyDescent="0.25">
      <c r="A23" s="64">
        <v>17</v>
      </c>
      <c r="B23" s="69" t="s">
        <v>38</v>
      </c>
      <c r="C23" s="66">
        <f t="shared" si="0"/>
        <v>1090</v>
      </c>
      <c r="D23" s="66"/>
      <c r="E23" s="66">
        <v>1090</v>
      </c>
      <c r="F23" s="66">
        <v>90</v>
      </c>
      <c r="G23" s="66"/>
      <c r="H23" s="66"/>
      <c r="I23" s="66"/>
      <c r="J23" s="66"/>
      <c r="K23" s="66"/>
      <c r="L23" s="66"/>
      <c r="M23" s="67"/>
    </row>
    <row r="24" spans="1:13" ht="17.25" customHeight="1" x14ac:dyDescent="0.25">
      <c r="A24" s="64">
        <v>18</v>
      </c>
      <c r="B24" s="69" t="s">
        <v>16</v>
      </c>
      <c r="C24" s="66">
        <f t="shared" si="0"/>
        <v>1333</v>
      </c>
      <c r="D24" s="66"/>
      <c r="E24" s="66">
        <v>1333</v>
      </c>
      <c r="F24" s="66">
        <v>92</v>
      </c>
      <c r="G24" s="66"/>
      <c r="H24" s="66"/>
      <c r="I24" s="66"/>
      <c r="J24" s="66"/>
      <c r="K24" s="66"/>
      <c r="L24" s="66"/>
      <c r="M24" s="67"/>
    </row>
    <row r="25" spans="1:13" ht="17.25" customHeight="1" x14ac:dyDescent="0.25">
      <c r="A25" s="64">
        <v>19</v>
      </c>
      <c r="B25" s="69" t="s">
        <v>17</v>
      </c>
      <c r="C25" s="66">
        <f t="shared" si="0"/>
        <v>1084</v>
      </c>
      <c r="D25" s="66"/>
      <c r="E25" s="66">
        <v>1084</v>
      </c>
      <c r="F25" s="66">
        <v>70</v>
      </c>
      <c r="G25" s="66"/>
      <c r="H25" s="66"/>
      <c r="I25" s="66"/>
      <c r="J25" s="66"/>
      <c r="K25" s="66"/>
      <c r="L25" s="66"/>
      <c r="M25" s="67"/>
    </row>
    <row r="26" spans="1:13" ht="17.25" customHeight="1" x14ac:dyDescent="0.25">
      <c r="A26" s="64">
        <v>20</v>
      </c>
      <c r="B26" s="69" t="s">
        <v>18</v>
      </c>
      <c r="C26" s="66">
        <f t="shared" si="0"/>
        <v>855</v>
      </c>
      <c r="D26" s="66"/>
      <c r="E26" s="66">
        <v>855</v>
      </c>
      <c r="F26" s="66">
        <v>91</v>
      </c>
      <c r="G26" s="66"/>
      <c r="H26" s="66"/>
      <c r="I26" s="66"/>
      <c r="J26" s="66"/>
      <c r="K26" s="66"/>
      <c r="L26" s="66"/>
      <c r="M26" s="67"/>
    </row>
    <row r="27" spans="1:13" ht="18" customHeight="1" x14ac:dyDescent="0.25">
      <c r="A27" s="64">
        <v>21</v>
      </c>
      <c r="B27" s="69" t="s">
        <v>44</v>
      </c>
      <c r="C27" s="66">
        <f t="shared" si="0"/>
        <v>1168</v>
      </c>
      <c r="D27" s="66"/>
      <c r="E27" s="66">
        <v>1168</v>
      </c>
      <c r="F27" s="66">
        <v>91</v>
      </c>
      <c r="G27" s="66"/>
      <c r="H27" s="66"/>
      <c r="I27" s="66"/>
      <c r="J27" s="66"/>
      <c r="K27" s="66"/>
      <c r="L27" s="66"/>
      <c r="M27" s="67"/>
    </row>
    <row r="28" spans="1:13" ht="18" customHeight="1" x14ac:dyDescent="0.25">
      <c r="A28" s="64">
        <v>22</v>
      </c>
      <c r="B28" s="69" t="s">
        <v>27</v>
      </c>
      <c r="C28" s="66">
        <f t="shared" si="0"/>
        <v>1554</v>
      </c>
      <c r="D28" s="66"/>
      <c r="E28" s="66">
        <v>1554</v>
      </c>
      <c r="F28" s="66">
        <v>118</v>
      </c>
      <c r="G28" s="66"/>
      <c r="H28" s="66"/>
      <c r="I28" s="66"/>
      <c r="J28" s="66"/>
      <c r="K28" s="66"/>
      <c r="L28" s="66"/>
      <c r="M28" s="67"/>
    </row>
    <row r="29" spans="1:13" ht="17.25" customHeight="1" x14ac:dyDescent="0.25">
      <c r="A29" s="64">
        <v>23</v>
      </c>
      <c r="B29" s="69" t="s">
        <v>36</v>
      </c>
      <c r="C29" s="66">
        <f t="shared" si="0"/>
        <v>3194</v>
      </c>
      <c r="D29" s="66"/>
      <c r="E29" s="66">
        <f>3694-500</f>
        <v>3194</v>
      </c>
      <c r="F29" s="66">
        <v>210</v>
      </c>
      <c r="G29" s="66"/>
      <c r="H29" s="66">
        <f>679-500</f>
        <v>179</v>
      </c>
      <c r="I29" s="66"/>
      <c r="J29" s="66"/>
      <c r="K29" s="66">
        <v>4</v>
      </c>
      <c r="L29" s="66"/>
      <c r="M29" s="67"/>
    </row>
    <row r="30" spans="1:13" ht="17.25" customHeight="1" x14ac:dyDescent="0.25">
      <c r="A30" s="64">
        <v>24</v>
      </c>
      <c r="B30" s="69" t="s">
        <v>194</v>
      </c>
      <c r="C30" s="66">
        <f t="shared" si="0"/>
        <v>7370</v>
      </c>
      <c r="D30" s="66"/>
      <c r="E30" s="66">
        <v>7370</v>
      </c>
      <c r="F30" s="66">
        <v>1291</v>
      </c>
      <c r="G30" s="66"/>
      <c r="H30" s="66">
        <v>450</v>
      </c>
      <c r="I30" s="66"/>
      <c r="J30" s="66"/>
      <c r="K30" s="66">
        <v>8</v>
      </c>
      <c r="L30" s="66"/>
      <c r="M30" s="67"/>
    </row>
    <row r="31" spans="1:13" ht="16.5" customHeight="1" x14ac:dyDescent="0.25">
      <c r="A31" s="64">
        <v>25</v>
      </c>
      <c r="B31" s="69" t="s">
        <v>53</v>
      </c>
      <c r="C31" s="66">
        <f t="shared" si="0"/>
        <v>4096</v>
      </c>
      <c r="D31" s="66"/>
      <c r="E31" s="66">
        <v>4096</v>
      </c>
      <c r="F31" s="66"/>
      <c r="G31" s="66"/>
      <c r="H31" s="66">
        <v>690</v>
      </c>
      <c r="I31" s="66"/>
      <c r="J31" s="66"/>
      <c r="K31" s="66">
        <f>6-6</f>
        <v>0</v>
      </c>
      <c r="L31" s="66"/>
      <c r="M31" s="67"/>
    </row>
    <row r="32" spans="1:13" s="71" customFormat="1" ht="18.75" customHeight="1" x14ac:dyDescent="0.25">
      <c r="A32" s="444">
        <v>26</v>
      </c>
      <c r="B32" s="69" t="s">
        <v>195</v>
      </c>
      <c r="C32" s="66">
        <f t="shared" si="0"/>
        <v>3300</v>
      </c>
      <c r="D32" s="66"/>
      <c r="E32" s="66">
        <v>3300</v>
      </c>
      <c r="F32" s="66"/>
      <c r="G32" s="66"/>
      <c r="H32" s="66">
        <v>507</v>
      </c>
      <c r="I32" s="66"/>
      <c r="J32" s="66"/>
      <c r="K32" s="66"/>
      <c r="L32" s="66"/>
      <c r="M32" s="70"/>
    </row>
    <row r="33" spans="1:13" s="71" customFormat="1" ht="39.75" customHeight="1" x14ac:dyDescent="0.25">
      <c r="A33" s="445"/>
      <c r="B33" s="72" t="s">
        <v>196</v>
      </c>
      <c r="C33" s="66">
        <f t="shared" si="0"/>
        <v>2485</v>
      </c>
      <c r="D33" s="66"/>
      <c r="E33" s="66">
        <f>0+2485</f>
        <v>2485</v>
      </c>
      <c r="F33" s="66"/>
      <c r="G33" s="66"/>
      <c r="H33" s="66"/>
      <c r="I33" s="66"/>
      <c r="J33" s="66"/>
      <c r="K33" s="66"/>
      <c r="L33" s="66"/>
      <c r="M33" s="70"/>
    </row>
    <row r="34" spans="1:13" ht="16.5" customHeight="1" x14ac:dyDescent="0.25">
      <c r="A34" s="64">
        <v>27</v>
      </c>
      <c r="B34" s="69" t="s">
        <v>197</v>
      </c>
      <c r="C34" s="66">
        <f t="shared" si="0"/>
        <v>475</v>
      </c>
      <c r="D34" s="66"/>
      <c r="E34" s="66">
        <f>2960-2485</f>
        <v>475</v>
      </c>
      <c r="F34" s="66"/>
      <c r="G34" s="66"/>
      <c r="H34" s="66"/>
      <c r="I34" s="66"/>
      <c r="J34" s="66"/>
      <c r="K34" s="66"/>
      <c r="L34" s="66"/>
      <c r="M34" s="67"/>
    </row>
    <row r="35" spans="1:13" ht="30" customHeight="1" x14ac:dyDescent="0.25">
      <c r="A35" s="64">
        <v>28</v>
      </c>
      <c r="B35" s="73" t="s">
        <v>198</v>
      </c>
      <c r="C35" s="66">
        <f t="shared" si="0"/>
        <v>4360</v>
      </c>
      <c r="D35" s="66"/>
      <c r="E35" s="66">
        <f>3211+1149</f>
        <v>4360</v>
      </c>
      <c r="F35" s="66">
        <f>301+188</f>
        <v>489</v>
      </c>
      <c r="G35" s="66"/>
      <c r="H35" s="66"/>
      <c r="I35" s="66"/>
      <c r="J35" s="66"/>
      <c r="K35" s="66"/>
      <c r="L35" s="66"/>
      <c r="M35" s="67"/>
    </row>
    <row r="36" spans="1:13" ht="23.25" customHeight="1" x14ac:dyDescent="0.25">
      <c r="A36" s="64">
        <v>29</v>
      </c>
      <c r="B36" s="69" t="s">
        <v>199</v>
      </c>
      <c r="C36" s="66">
        <f t="shared" si="0"/>
        <v>383</v>
      </c>
      <c r="D36" s="66"/>
      <c r="E36" s="66">
        <f>1532-1149</f>
        <v>383</v>
      </c>
      <c r="F36" s="66">
        <f>251-188</f>
        <v>63</v>
      </c>
      <c r="G36" s="66"/>
      <c r="H36" s="66"/>
      <c r="I36" s="66"/>
      <c r="J36" s="66"/>
      <c r="K36" s="66"/>
      <c r="L36" s="66"/>
      <c r="M36" s="67"/>
    </row>
    <row r="37" spans="1:13" ht="18.75" customHeight="1" x14ac:dyDescent="0.25">
      <c r="A37" s="64">
        <v>30</v>
      </c>
      <c r="B37" s="69" t="s">
        <v>200</v>
      </c>
      <c r="C37" s="66">
        <f t="shared" si="0"/>
        <v>5894</v>
      </c>
      <c r="D37" s="66"/>
      <c r="E37" s="66">
        <v>5894</v>
      </c>
      <c r="F37" s="66">
        <v>1046</v>
      </c>
      <c r="G37" s="66"/>
      <c r="H37" s="66">
        <f>590+27</f>
        <v>617</v>
      </c>
      <c r="I37" s="66"/>
      <c r="J37" s="66">
        <v>30</v>
      </c>
      <c r="K37" s="66">
        <v>12</v>
      </c>
      <c r="L37" s="66"/>
      <c r="M37" s="67"/>
    </row>
    <row r="38" spans="1:13" ht="18.75" customHeight="1" x14ac:dyDescent="0.25">
      <c r="A38" s="64">
        <v>31</v>
      </c>
      <c r="B38" s="69" t="s">
        <v>201</v>
      </c>
      <c r="C38" s="66">
        <f t="shared" si="0"/>
        <v>64</v>
      </c>
      <c r="D38" s="66"/>
      <c r="E38" s="66">
        <f>329-247-18</f>
        <v>64</v>
      </c>
      <c r="F38" s="66"/>
      <c r="G38" s="66"/>
      <c r="H38" s="66"/>
      <c r="I38" s="66"/>
      <c r="J38" s="66"/>
      <c r="K38" s="66"/>
      <c r="L38" s="66"/>
      <c r="M38" s="67"/>
    </row>
    <row r="39" spans="1:13" ht="20.25" customHeight="1" x14ac:dyDescent="0.25">
      <c r="A39" s="64">
        <v>32</v>
      </c>
      <c r="B39" s="69" t="s">
        <v>202</v>
      </c>
      <c r="C39" s="66">
        <f t="shared" si="0"/>
        <v>2191</v>
      </c>
      <c r="D39" s="66"/>
      <c r="E39" s="66">
        <v>2191</v>
      </c>
      <c r="F39" s="66">
        <v>2191</v>
      </c>
      <c r="G39" s="66"/>
      <c r="H39" s="66"/>
      <c r="I39" s="66"/>
      <c r="J39" s="66"/>
      <c r="K39" s="66">
        <f>20+5+19</f>
        <v>44</v>
      </c>
      <c r="L39" s="66"/>
      <c r="M39" s="67"/>
    </row>
    <row r="40" spans="1:13" ht="17.25" customHeight="1" x14ac:dyDescent="0.25">
      <c r="A40" s="64">
        <v>33</v>
      </c>
      <c r="B40" s="74" t="s">
        <v>20</v>
      </c>
      <c r="C40" s="66">
        <f t="shared" si="0"/>
        <v>1856</v>
      </c>
      <c r="D40" s="66"/>
      <c r="E40" s="66">
        <v>1856</v>
      </c>
      <c r="F40" s="66">
        <v>146</v>
      </c>
      <c r="G40" s="66"/>
      <c r="H40" s="66"/>
      <c r="I40" s="66"/>
      <c r="J40" s="66"/>
      <c r="K40" s="66"/>
      <c r="L40" s="66"/>
      <c r="M40" s="67"/>
    </row>
    <row r="41" spans="1:13" ht="18" customHeight="1" x14ac:dyDescent="0.25">
      <c r="A41" s="64">
        <v>34</v>
      </c>
      <c r="B41" s="69" t="s">
        <v>22</v>
      </c>
      <c r="C41" s="66">
        <f t="shared" si="0"/>
        <v>2896</v>
      </c>
      <c r="D41" s="66"/>
      <c r="E41" s="66">
        <v>2896</v>
      </c>
      <c r="F41" s="66">
        <v>225</v>
      </c>
      <c r="G41" s="66"/>
      <c r="H41" s="66"/>
      <c r="I41" s="66"/>
      <c r="J41" s="66"/>
      <c r="K41" s="66">
        <v>4</v>
      </c>
      <c r="L41" s="66"/>
      <c r="M41" s="67"/>
    </row>
    <row r="42" spans="1:13" ht="17.25" customHeight="1" x14ac:dyDescent="0.25">
      <c r="A42" s="64">
        <v>35</v>
      </c>
      <c r="B42" s="69" t="s">
        <v>23</v>
      </c>
      <c r="C42" s="66">
        <f t="shared" si="0"/>
        <v>652</v>
      </c>
      <c r="D42" s="66"/>
      <c r="E42" s="66">
        <v>652</v>
      </c>
      <c r="F42" s="66">
        <v>41</v>
      </c>
      <c r="G42" s="66"/>
      <c r="H42" s="66"/>
      <c r="I42" s="66"/>
      <c r="J42" s="66"/>
      <c r="K42" s="66"/>
      <c r="L42" s="66"/>
      <c r="M42" s="67"/>
    </row>
    <row r="43" spans="1:13" ht="17.25" customHeight="1" x14ac:dyDescent="0.25">
      <c r="A43" s="64">
        <v>36</v>
      </c>
      <c r="B43" s="69" t="s">
        <v>25</v>
      </c>
      <c r="C43" s="66">
        <f t="shared" si="0"/>
        <v>702</v>
      </c>
      <c r="D43" s="66"/>
      <c r="E43" s="66">
        <v>702</v>
      </c>
      <c r="F43" s="66">
        <v>59</v>
      </c>
      <c r="G43" s="66"/>
      <c r="H43" s="66"/>
      <c r="I43" s="66"/>
      <c r="J43" s="66"/>
      <c r="K43" s="66"/>
      <c r="L43" s="66"/>
      <c r="M43" s="67"/>
    </row>
    <row r="44" spans="1:13" ht="18" customHeight="1" x14ac:dyDescent="0.25">
      <c r="A44" s="64">
        <v>37</v>
      </c>
      <c r="B44" s="69" t="s">
        <v>26</v>
      </c>
      <c r="C44" s="66">
        <f t="shared" si="0"/>
        <v>2628</v>
      </c>
      <c r="D44" s="66"/>
      <c r="E44" s="66">
        <v>2628</v>
      </c>
      <c r="F44" s="66">
        <v>249</v>
      </c>
      <c r="G44" s="66"/>
      <c r="H44" s="66"/>
      <c r="I44" s="66"/>
      <c r="J44" s="66"/>
      <c r="K44" s="66"/>
      <c r="L44" s="66"/>
      <c r="M44" s="67"/>
    </row>
    <row r="45" spans="1:13" ht="19.5" customHeight="1" x14ac:dyDescent="0.25">
      <c r="A45" s="64">
        <v>38</v>
      </c>
      <c r="B45" s="69" t="s">
        <v>24</v>
      </c>
      <c r="C45" s="66">
        <f t="shared" si="0"/>
        <v>1275</v>
      </c>
      <c r="D45" s="66"/>
      <c r="E45" s="66">
        <v>1275</v>
      </c>
      <c r="F45" s="66">
        <v>112</v>
      </c>
      <c r="G45" s="66"/>
      <c r="H45" s="66"/>
      <c r="I45" s="66"/>
      <c r="J45" s="66"/>
      <c r="K45" s="66"/>
      <c r="L45" s="66"/>
      <c r="M45" s="67"/>
    </row>
    <row r="46" spans="1:13" ht="20.25" customHeight="1" x14ac:dyDescent="0.25">
      <c r="A46" s="64">
        <v>39</v>
      </c>
      <c r="B46" s="69" t="s">
        <v>28</v>
      </c>
      <c r="C46" s="66">
        <f t="shared" si="0"/>
        <v>4196</v>
      </c>
      <c r="D46" s="66"/>
      <c r="E46" s="66">
        <v>4196</v>
      </c>
      <c r="F46" s="66">
        <v>337</v>
      </c>
      <c r="G46" s="75"/>
      <c r="H46" s="75"/>
      <c r="I46" s="75"/>
      <c r="J46" s="75"/>
      <c r="K46" s="75"/>
      <c r="L46" s="75"/>
      <c r="M46" s="67"/>
    </row>
    <row r="47" spans="1:13" ht="18" customHeight="1" x14ac:dyDescent="0.25">
      <c r="A47" s="64">
        <v>40</v>
      </c>
      <c r="B47" s="69" t="s">
        <v>29</v>
      </c>
      <c r="C47" s="66">
        <f t="shared" si="0"/>
        <v>1223</v>
      </c>
      <c r="D47" s="66"/>
      <c r="E47" s="66">
        <v>1223</v>
      </c>
      <c r="F47" s="66">
        <v>98</v>
      </c>
      <c r="G47" s="66"/>
      <c r="H47" s="66"/>
      <c r="I47" s="66"/>
      <c r="J47" s="66"/>
      <c r="K47" s="66"/>
      <c r="L47" s="66"/>
      <c r="M47" s="67"/>
    </row>
    <row r="48" spans="1:13" ht="18.75" customHeight="1" x14ac:dyDescent="0.25">
      <c r="A48" s="64">
        <v>41</v>
      </c>
      <c r="B48" s="69" t="s">
        <v>30</v>
      </c>
      <c r="C48" s="66">
        <f t="shared" si="0"/>
        <v>1118</v>
      </c>
      <c r="D48" s="66"/>
      <c r="E48" s="66">
        <v>1118</v>
      </c>
      <c r="F48" s="66">
        <v>82</v>
      </c>
      <c r="G48" s="66"/>
      <c r="H48" s="66"/>
      <c r="I48" s="66"/>
      <c r="J48" s="66"/>
      <c r="K48" s="66"/>
      <c r="L48" s="66"/>
      <c r="M48" s="67"/>
    </row>
    <row r="49" spans="1:13" ht="18" customHeight="1" x14ac:dyDescent="0.25">
      <c r="A49" s="64">
        <v>42</v>
      </c>
      <c r="B49" s="69" t="s">
        <v>31</v>
      </c>
      <c r="C49" s="66">
        <f t="shared" si="0"/>
        <v>2293</v>
      </c>
      <c r="D49" s="66"/>
      <c r="E49" s="66">
        <v>2293</v>
      </c>
      <c r="F49" s="66">
        <v>192</v>
      </c>
      <c r="G49" s="66"/>
      <c r="H49" s="66"/>
      <c r="I49" s="66"/>
      <c r="J49" s="66"/>
      <c r="K49" s="66"/>
      <c r="L49" s="66"/>
      <c r="M49" s="67"/>
    </row>
    <row r="50" spans="1:13" ht="18" customHeight="1" x14ac:dyDescent="0.25">
      <c r="A50" s="64">
        <v>43</v>
      </c>
      <c r="B50" s="69" t="s">
        <v>32</v>
      </c>
      <c r="C50" s="66">
        <f t="shared" si="0"/>
        <v>815</v>
      </c>
      <c r="D50" s="66"/>
      <c r="E50" s="66">
        <v>815</v>
      </c>
      <c r="F50" s="66">
        <v>69</v>
      </c>
      <c r="G50" s="66"/>
      <c r="H50" s="66"/>
      <c r="I50" s="66"/>
      <c r="J50" s="66"/>
      <c r="K50" s="66"/>
      <c r="L50" s="66"/>
      <c r="M50" s="67"/>
    </row>
    <row r="51" spans="1:13" ht="18.75" customHeight="1" x14ac:dyDescent="0.25">
      <c r="A51" s="64">
        <v>44</v>
      </c>
      <c r="B51" s="69" t="s">
        <v>33</v>
      </c>
      <c r="C51" s="66">
        <f t="shared" si="0"/>
        <v>1345</v>
      </c>
      <c r="D51" s="66"/>
      <c r="E51" s="66">
        <v>1345</v>
      </c>
      <c r="F51" s="66">
        <v>93</v>
      </c>
      <c r="G51" s="75"/>
      <c r="H51" s="75"/>
      <c r="I51" s="75"/>
      <c r="J51" s="75"/>
      <c r="K51" s="75"/>
      <c r="L51" s="75"/>
      <c r="M51" s="67"/>
    </row>
    <row r="52" spans="1:13" ht="15" customHeight="1" x14ac:dyDescent="0.25">
      <c r="A52" s="64">
        <v>45</v>
      </c>
      <c r="B52" s="69" t="s">
        <v>19</v>
      </c>
      <c r="C52" s="66">
        <f t="shared" si="0"/>
        <v>1592</v>
      </c>
      <c r="D52" s="66"/>
      <c r="E52" s="66">
        <v>1592</v>
      </c>
      <c r="F52" s="66">
        <v>137</v>
      </c>
      <c r="G52" s="66"/>
      <c r="H52" s="66"/>
      <c r="I52" s="66"/>
      <c r="J52" s="66"/>
      <c r="K52" s="66">
        <f>0+6</f>
        <v>6</v>
      </c>
      <c r="L52" s="66"/>
      <c r="M52" s="67"/>
    </row>
    <row r="53" spans="1:13" ht="18" customHeight="1" x14ac:dyDescent="0.25">
      <c r="A53" s="64">
        <v>46</v>
      </c>
      <c r="B53" s="69" t="s">
        <v>35</v>
      </c>
      <c r="C53" s="66">
        <f t="shared" si="0"/>
        <v>1269</v>
      </c>
      <c r="D53" s="66"/>
      <c r="E53" s="66">
        <v>1269</v>
      </c>
      <c r="F53" s="66">
        <v>96</v>
      </c>
      <c r="G53" s="66"/>
      <c r="H53" s="66"/>
      <c r="I53" s="66"/>
      <c r="J53" s="66"/>
      <c r="K53" s="66"/>
      <c r="L53" s="66"/>
      <c r="M53" s="67"/>
    </row>
    <row r="54" spans="1:13" ht="18" customHeight="1" x14ac:dyDescent="0.25">
      <c r="A54" s="64">
        <v>47</v>
      </c>
      <c r="B54" s="69" t="s">
        <v>42</v>
      </c>
      <c r="C54" s="66">
        <f t="shared" si="0"/>
        <v>1239</v>
      </c>
      <c r="D54" s="66"/>
      <c r="E54" s="66">
        <v>1239</v>
      </c>
      <c r="F54" s="66">
        <v>109</v>
      </c>
      <c r="G54" s="66"/>
      <c r="H54" s="66"/>
      <c r="I54" s="66"/>
      <c r="J54" s="66"/>
      <c r="K54" s="66"/>
      <c r="L54" s="66"/>
      <c r="M54" s="67"/>
    </row>
    <row r="55" spans="1:13" ht="20.25" customHeight="1" x14ac:dyDescent="0.25">
      <c r="A55" s="64">
        <v>48</v>
      </c>
      <c r="B55" s="69" t="s">
        <v>37</v>
      </c>
      <c r="C55" s="66">
        <f t="shared" si="0"/>
        <v>4124</v>
      </c>
      <c r="D55" s="66"/>
      <c r="E55" s="66">
        <v>4124</v>
      </c>
      <c r="F55" s="66">
        <v>337</v>
      </c>
      <c r="G55" s="66"/>
      <c r="H55" s="66">
        <v>64</v>
      </c>
      <c r="I55" s="66"/>
      <c r="J55" s="66"/>
      <c r="K55" s="66">
        <f>0+5+7+6+3</f>
        <v>21</v>
      </c>
      <c r="L55" s="66"/>
      <c r="M55" s="67"/>
    </row>
    <row r="56" spans="1:13" ht="20.25" customHeight="1" x14ac:dyDescent="0.25">
      <c r="A56" s="64">
        <v>49</v>
      </c>
      <c r="B56" s="69" t="s">
        <v>21</v>
      </c>
      <c r="C56" s="66">
        <f t="shared" si="0"/>
        <v>1795</v>
      </c>
      <c r="D56" s="66"/>
      <c r="E56" s="66">
        <v>1795</v>
      </c>
      <c r="F56" s="66">
        <v>132</v>
      </c>
      <c r="G56" s="66"/>
      <c r="H56" s="66">
        <v>365</v>
      </c>
      <c r="I56" s="66"/>
      <c r="J56" s="66">
        <v>50</v>
      </c>
      <c r="K56" s="66">
        <f>4+2</f>
        <v>6</v>
      </c>
      <c r="L56" s="66"/>
      <c r="M56" s="67"/>
    </row>
    <row r="57" spans="1:13" ht="19.5" customHeight="1" x14ac:dyDescent="0.25">
      <c r="A57" s="64">
        <v>50</v>
      </c>
      <c r="B57" s="69" t="s">
        <v>39</v>
      </c>
      <c r="C57" s="66">
        <f t="shared" si="0"/>
        <v>1114</v>
      </c>
      <c r="D57" s="66"/>
      <c r="E57" s="66">
        <v>1114</v>
      </c>
      <c r="F57" s="66">
        <v>95</v>
      </c>
      <c r="G57" s="66"/>
      <c r="H57" s="66"/>
      <c r="I57" s="66"/>
      <c r="J57" s="66"/>
      <c r="K57" s="66"/>
      <c r="L57" s="66"/>
      <c r="M57" s="67"/>
    </row>
    <row r="58" spans="1:13" ht="19.5" customHeight="1" x14ac:dyDescent="0.25">
      <c r="A58" s="64">
        <v>51</v>
      </c>
      <c r="B58" s="69" t="s">
        <v>40</v>
      </c>
      <c r="C58" s="66">
        <f t="shared" si="0"/>
        <v>1292</v>
      </c>
      <c r="D58" s="66"/>
      <c r="E58" s="66">
        <v>1292</v>
      </c>
      <c r="F58" s="66">
        <v>95</v>
      </c>
      <c r="G58" s="66"/>
      <c r="H58" s="66"/>
      <c r="I58" s="66"/>
      <c r="J58" s="66"/>
      <c r="K58" s="66"/>
      <c r="L58" s="66"/>
      <c r="M58" s="67"/>
    </row>
    <row r="59" spans="1:13" ht="19.5" customHeight="1" x14ac:dyDescent="0.25">
      <c r="A59" s="64">
        <v>52</v>
      </c>
      <c r="B59" s="69" t="s">
        <v>34</v>
      </c>
      <c r="C59" s="66">
        <f t="shared" si="0"/>
        <v>1468</v>
      </c>
      <c r="D59" s="66"/>
      <c r="E59" s="66">
        <v>1468</v>
      </c>
      <c r="F59" s="66">
        <v>123</v>
      </c>
      <c r="G59" s="66"/>
      <c r="H59" s="66"/>
      <c r="I59" s="66"/>
      <c r="J59" s="66"/>
      <c r="K59" s="66"/>
      <c r="L59" s="66"/>
      <c r="M59" s="67"/>
    </row>
    <row r="60" spans="1:13" ht="19.5" customHeight="1" x14ac:dyDescent="0.25">
      <c r="A60" s="64">
        <v>53</v>
      </c>
      <c r="B60" s="69" t="s">
        <v>41</v>
      </c>
      <c r="C60" s="66">
        <f t="shared" si="0"/>
        <v>939</v>
      </c>
      <c r="D60" s="66"/>
      <c r="E60" s="66">
        <v>939</v>
      </c>
      <c r="F60" s="66">
        <v>81</v>
      </c>
      <c r="G60" s="66"/>
      <c r="H60" s="66"/>
      <c r="I60" s="66"/>
      <c r="J60" s="66"/>
      <c r="K60" s="66"/>
      <c r="L60" s="66"/>
      <c r="M60" s="67"/>
    </row>
    <row r="61" spans="1:13" ht="19.5" customHeight="1" x14ac:dyDescent="0.25">
      <c r="A61" s="64">
        <v>54</v>
      </c>
      <c r="B61" s="69" t="s">
        <v>2</v>
      </c>
      <c r="C61" s="66">
        <f t="shared" si="0"/>
        <v>1922</v>
      </c>
      <c r="D61" s="66"/>
      <c r="E61" s="66">
        <v>1922</v>
      </c>
      <c r="F61" s="66">
        <v>146</v>
      </c>
      <c r="G61" s="66"/>
      <c r="H61" s="66"/>
      <c r="I61" s="66"/>
      <c r="J61" s="66"/>
      <c r="K61" s="66"/>
      <c r="L61" s="66"/>
      <c r="M61" s="67"/>
    </row>
    <row r="62" spans="1:13" ht="18.75" customHeight="1" x14ac:dyDescent="0.25">
      <c r="A62" s="64">
        <v>55</v>
      </c>
      <c r="B62" s="69" t="s">
        <v>43</v>
      </c>
      <c r="C62" s="66">
        <f t="shared" si="0"/>
        <v>939</v>
      </c>
      <c r="D62" s="66"/>
      <c r="E62" s="66">
        <v>939</v>
      </c>
      <c r="F62" s="66">
        <v>66</v>
      </c>
      <c r="G62" s="66"/>
      <c r="H62" s="66"/>
      <c r="I62" s="66"/>
      <c r="J62" s="66"/>
      <c r="K62" s="66"/>
      <c r="L62" s="66"/>
      <c r="M62" s="67"/>
    </row>
    <row r="63" spans="1:13" ht="18.75" customHeight="1" x14ac:dyDescent="0.25">
      <c r="A63" s="64">
        <v>56</v>
      </c>
      <c r="B63" s="69" t="s">
        <v>5</v>
      </c>
      <c r="C63" s="66">
        <f t="shared" si="0"/>
        <v>1628</v>
      </c>
      <c r="D63" s="66"/>
      <c r="E63" s="66">
        <v>1628</v>
      </c>
      <c r="F63" s="66">
        <v>113</v>
      </c>
      <c r="G63" s="66"/>
      <c r="H63" s="66"/>
      <c r="I63" s="66"/>
      <c r="J63" s="66"/>
      <c r="K63" s="66">
        <f>0+1</f>
        <v>1</v>
      </c>
      <c r="L63" s="66"/>
      <c r="M63" s="67"/>
    </row>
    <row r="64" spans="1:13" ht="19.5" customHeight="1" x14ac:dyDescent="0.25">
      <c r="A64" s="64">
        <v>57</v>
      </c>
      <c r="B64" s="69" t="s">
        <v>45</v>
      </c>
      <c r="C64" s="66">
        <f t="shared" si="0"/>
        <v>6514</v>
      </c>
      <c r="D64" s="66"/>
      <c r="E64" s="66">
        <v>6514</v>
      </c>
      <c r="F64" s="66">
        <v>543</v>
      </c>
      <c r="G64" s="66"/>
      <c r="H64" s="66"/>
      <c r="I64" s="66"/>
      <c r="J64" s="66">
        <v>30</v>
      </c>
      <c r="K64" s="66">
        <v>8</v>
      </c>
      <c r="L64" s="66"/>
      <c r="M64" s="67"/>
    </row>
    <row r="65" spans="1:13" s="71" customFormat="1" ht="16.5" customHeight="1" x14ac:dyDescent="0.25">
      <c r="A65" s="64">
        <v>58</v>
      </c>
      <c r="B65" s="69" t="s">
        <v>134</v>
      </c>
      <c r="C65" s="66">
        <f t="shared" si="0"/>
        <v>3579</v>
      </c>
      <c r="D65" s="66"/>
      <c r="E65" s="66">
        <v>3579</v>
      </c>
      <c r="F65" s="66">
        <v>303</v>
      </c>
      <c r="G65" s="66"/>
      <c r="H65" s="66"/>
      <c r="I65" s="66"/>
      <c r="J65" s="66"/>
      <c r="K65" s="66"/>
      <c r="L65" s="66"/>
      <c r="M65" s="70"/>
    </row>
    <row r="66" spans="1:13" ht="18" customHeight="1" x14ac:dyDescent="0.25">
      <c r="A66" s="64">
        <v>59</v>
      </c>
      <c r="B66" s="69" t="s">
        <v>46</v>
      </c>
      <c r="C66" s="66">
        <f t="shared" si="0"/>
        <v>756</v>
      </c>
      <c r="D66" s="66"/>
      <c r="E66" s="66">
        <v>756</v>
      </c>
      <c r="F66" s="66">
        <v>48</v>
      </c>
      <c r="G66" s="66"/>
      <c r="H66" s="66"/>
      <c r="I66" s="66"/>
      <c r="J66" s="66"/>
      <c r="K66" s="66"/>
      <c r="L66" s="66"/>
      <c r="M66" s="67"/>
    </row>
    <row r="67" spans="1:13" ht="19.5" customHeight="1" x14ac:dyDescent="0.25">
      <c r="A67" s="64">
        <v>60</v>
      </c>
      <c r="B67" s="69" t="s">
        <v>52</v>
      </c>
      <c r="C67" s="66">
        <f t="shared" si="0"/>
        <v>3123</v>
      </c>
      <c r="D67" s="66"/>
      <c r="E67" s="66">
        <v>3123</v>
      </c>
      <c r="F67" s="66">
        <v>711</v>
      </c>
      <c r="G67" s="66"/>
      <c r="H67" s="66"/>
      <c r="I67" s="66"/>
      <c r="J67" s="66">
        <v>8</v>
      </c>
      <c r="K67" s="66">
        <v>6</v>
      </c>
      <c r="L67" s="66"/>
      <c r="M67" s="67"/>
    </row>
    <row r="68" spans="1:13" ht="16.5" customHeight="1" x14ac:dyDescent="0.25">
      <c r="A68" s="64">
        <v>61</v>
      </c>
      <c r="B68" s="69" t="s">
        <v>48</v>
      </c>
      <c r="C68" s="66">
        <f t="shared" si="0"/>
        <v>1395</v>
      </c>
      <c r="D68" s="66"/>
      <c r="E68" s="66">
        <v>1395</v>
      </c>
      <c r="F68" s="66">
        <v>104</v>
      </c>
      <c r="G68" s="66"/>
      <c r="H68" s="66"/>
      <c r="I68" s="66"/>
      <c r="J68" s="66"/>
      <c r="K68" s="66">
        <f>0+4</f>
        <v>4</v>
      </c>
      <c r="L68" s="66"/>
      <c r="M68" s="67"/>
    </row>
    <row r="69" spans="1:13" ht="16.5" customHeight="1" x14ac:dyDescent="0.25">
      <c r="A69" s="64">
        <v>62</v>
      </c>
      <c r="B69" s="69" t="s">
        <v>49</v>
      </c>
      <c r="C69" s="66">
        <f t="shared" si="0"/>
        <v>2356</v>
      </c>
      <c r="D69" s="66"/>
      <c r="E69" s="66">
        <v>2356</v>
      </c>
      <c r="F69" s="66">
        <v>183</v>
      </c>
      <c r="G69" s="66"/>
      <c r="H69" s="66"/>
      <c r="I69" s="66"/>
      <c r="J69" s="66"/>
      <c r="K69" s="66">
        <f>0+3</f>
        <v>3</v>
      </c>
      <c r="L69" s="66"/>
      <c r="M69" s="67"/>
    </row>
    <row r="70" spans="1:13" ht="16.5" customHeight="1" x14ac:dyDescent="0.25">
      <c r="A70" s="64">
        <v>63</v>
      </c>
      <c r="B70" s="69" t="s">
        <v>50</v>
      </c>
      <c r="C70" s="66">
        <f t="shared" si="0"/>
        <v>1049</v>
      </c>
      <c r="D70" s="66"/>
      <c r="E70" s="66">
        <v>1049</v>
      </c>
      <c r="F70" s="66">
        <v>79</v>
      </c>
      <c r="G70" s="66"/>
      <c r="H70" s="66"/>
      <c r="I70" s="66"/>
      <c r="J70" s="66"/>
      <c r="K70" s="66"/>
      <c r="L70" s="66"/>
      <c r="M70" s="67"/>
    </row>
    <row r="71" spans="1:13" ht="16.5" customHeight="1" x14ac:dyDescent="0.25">
      <c r="A71" s="64">
        <v>64</v>
      </c>
      <c r="B71" s="69" t="s">
        <v>14</v>
      </c>
      <c r="C71" s="66">
        <f t="shared" si="0"/>
        <v>1112</v>
      </c>
      <c r="D71" s="66"/>
      <c r="E71" s="66">
        <v>1112</v>
      </c>
      <c r="F71" s="66">
        <v>86</v>
      </c>
      <c r="G71" s="66"/>
      <c r="H71" s="66"/>
      <c r="I71" s="66"/>
      <c r="J71" s="66"/>
      <c r="K71" s="66"/>
      <c r="L71" s="66"/>
      <c r="M71" s="67"/>
    </row>
    <row r="72" spans="1:13" ht="16.5" customHeight="1" x14ac:dyDescent="0.25">
      <c r="A72" s="64">
        <v>65</v>
      </c>
      <c r="B72" s="69" t="s">
        <v>51</v>
      </c>
      <c r="C72" s="66">
        <f t="shared" si="0"/>
        <v>2217</v>
      </c>
      <c r="D72" s="66"/>
      <c r="E72" s="66">
        <v>2217</v>
      </c>
      <c r="F72" s="66">
        <v>172</v>
      </c>
      <c r="G72" s="66"/>
      <c r="H72" s="66"/>
      <c r="I72" s="66"/>
      <c r="J72" s="66"/>
      <c r="K72" s="66"/>
      <c r="L72" s="66"/>
      <c r="M72" s="67"/>
    </row>
    <row r="73" spans="1:13" ht="30" customHeight="1" x14ac:dyDescent="0.25">
      <c r="A73" s="64">
        <v>66</v>
      </c>
      <c r="B73" s="69" t="s">
        <v>203</v>
      </c>
      <c r="C73" s="66">
        <f t="shared" ref="C73:C136" si="1">D73+E73+M73</f>
        <v>910</v>
      </c>
      <c r="D73" s="66"/>
      <c r="E73" s="66">
        <v>910</v>
      </c>
      <c r="F73" s="66">
        <v>145</v>
      </c>
      <c r="G73" s="66"/>
      <c r="H73" s="66"/>
      <c r="I73" s="66"/>
      <c r="J73" s="66"/>
      <c r="K73" s="66"/>
      <c r="L73" s="66"/>
      <c r="M73" s="67"/>
    </row>
    <row r="74" spans="1:13" ht="39" customHeight="1" x14ac:dyDescent="0.25">
      <c r="A74" s="64">
        <v>67</v>
      </c>
      <c r="B74" s="69" t="s">
        <v>204</v>
      </c>
      <c r="C74" s="66">
        <f t="shared" si="1"/>
        <v>1195</v>
      </c>
      <c r="D74" s="66"/>
      <c r="E74" s="66">
        <v>1195</v>
      </c>
      <c r="F74" s="66">
        <v>106</v>
      </c>
      <c r="G74" s="66"/>
      <c r="H74" s="66"/>
      <c r="I74" s="66"/>
      <c r="J74" s="66"/>
      <c r="K74" s="66"/>
      <c r="L74" s="66"/>
      <c r="M74" s="67"/>
    </row>
    <row r="75" spans="1:13" ht="37.5" customHeight="1" x14ac:dyDescent="0.25">
      <c r="A75" s="64">
        <v>68</v>
      </c>
      <c r="B75" s="69" t="s">
        <v>205</v>
      </c>
      <c r="C75" s="66">
        <f t="shared" si="1"/>
        <v>1544</v>
      </c>
      <c r="D75" s="66"/>
      <c r="E75" s="66">
        <v>1544</v>
      </c>
      <c r="F75" s="66">
        <v>1544</v>
      </c>
      <c r="G75" s="66"/>
      <c r="H75" s="66"/>
      <c r="I75" s="66"/>
      <c r="J75" s="66"/>
      <c r="K75" s="66">
        <f>0+6</f>
        <v>6</v>
      </c>
      <c r="L75" s="66"/>
      <c r="M75" s="67"/>
    </row>
    <row r="76" spans="1:13" ht="24" customHeight="1" x14ac:dyDescent="0.25">
      <c r="A76" s="64">
        <v>69</v>
      </c>
      <c r="B76" s="76" t="s">
        <v>206</v>
      </c>
      <c r="C76" s="66">
        <f t="shared" si="1"/>
        <v>1000</v>
      </c>
      <c r="D76" s="66"/>
      <c r="E76" s="66">
        <v>1000</v>
      </c>
      <c r="F76" s="66"/>
      <c r="G76" s="66"/>
      <c r="H76" s="66"/>
      <c r="I76" s="66"/>
      <c r="J76" s="66"/>
      <c r="K76" s="66"/>
      <c r="L76" s="66"/>
      <c r="M76" s="67"/>
    </row>
    <row r="77" spans="1:13" ht="37.5" customHeight="1" x14ac:dyDescent="0.25">
      <c r="A77" s="64">
        <v>70</v>
      </c>
      <c r="B77" s="69" t="s">
        <v>207</v>
      </c>
      <c r="C77" s="66">
        <f t="shared" si="1"/>
        <v>567</v>
      </c>
      <c r="D77" s="66"/>
      <c r="E77" s="66">
        <f>2265-1699+1</f>
        <v>567</v>
      </c>
      <c r="F77" s="66">
        <f>359-269-34</f>
        <v>56</v>
      </c>
      <c r="G77" s="66"/>
      <c r="H77" s="66"/>
      <c r="I77" s="66"/>
      <c r="J77" s="66"/>
      <c r="K77" s="66"/>
      <c r="L77" s="66"/>
      <c r="M77" s="67"/>
    </row>
    <row r="78" spans="1:13" ht="27" customHeight="1" x14ac:dyDescent="0.25">
      <c r="A78" s="64">
        <v>71</v>
      </c>
      <c r="B78" s="69" t="s">
        <v>208</v>
      </c>
      <c r="C78" s="66">
        <f t="shared" si="1"/>
        <v>3826</v>
      </c>
      <c r="D78" s="66"/>
      <c r="E78" s="66">
        <v>3826</v>
      </c>
      <c r="F78" s="66">
        <v>493</v>
      </c>
      <c r="G78" s="66"/>
      <c r="H78" s="66"/>
      <c r="I78" s="66"/>
      <c r="J78" s="66"/>
      <c r="K78" s="66"/>
      <c r="L78" s="66"/>
      <c r="M78" s="67"/>
    </row>
    <row r="79" spans="1:13" ht="17.25" customHeight="1" x14ac:dyDescent="0.25">
      <c r="A79" s="64">
        <v>72</v>
      </c>
      <c r="B79" s="69" t="s">
        <v>209</v>
      </c>
      <c r="C79" s="66">
        <f t="shared" si="1"/>
        <v>747</v>
      </c>
      <c r="D79" s="66"/>
      <c r="E79" s="66">
        <f>506+241</f>
        <v>747</v>
      </c>
      <c r="F79" s="66"/>
      <c r="G79" s="66">
        <f>506+241</f>
        <v>747</v>
      </c>
      <c r="H79" s="66"/>
      <c r="I79" s="66"/>
      <c r="J79" s="66"/>
      <c r="K79" s="66"/>
      <c r="L79" s="66"/>
      <c r="M79" s="67"/>
    </row>
    <row r="80" spans="1:13" ht="16.5" customHeight="1" x14ac:dyDescent="0.25">
      <c r="A80" s="64">
        <v>73</v>
      </c>
      <c r="B80" s="69" t="s">
        <v>210</v>
      </c>
      <c r="C80" s="66">
        <f t="shared" si="1"/>
        <v>18</v>
      </c>
      <c r="D80" s="66"/>
      <c r="E80" s="66">
        <f>20-2</f>
        <v>18</v>
      </c>
      <c r="F80" s="66"/>
      <c r="G80" s="66"/>
      <c r="H80" s="66"/>
      <c r="I80" s="66"/>
      <c r="J80" s="66"/>
      <c r="K80" s="66"/>
      <c r="L80" s="66"/>
      <c r="M80" s="67"/>
    </row>
    <row r="81" spans="1:13" ht="17.25" customHeight="1" x14ac:dyDescent="0.25">
      <c r="A81" s="64">
        <v>74</v>
      </c>
      <c r="B81" s="69" t="s">
        <v>211</v>
      </c>
      <c r="C81" s="66">
        <f t="shared" si="1"/>
        <v>18</v>
      </c>
      <c r="D81" s="66"/>
      <c r="E81" s="66">
        <f>20-2</f>
        <v>18</v>
      </c>
      <c r="F81" s="66"/>
      <c r="G81" s="66"/>
      <c r="H81" s="66"/>
      <c r="I81" s="66"/>
      <c r="J81" s="66"/>
      <c r="K81" s="66"/>
      <c r="L81" s="66"/>
      <c r="M81" s="67"/>
    </row>
    <row r="82" spans="1:13" ht="18" customHeight="1" x14ac:dyDescent="0.25">
      <c r="A82" s="64">
        <v>75</v>
      </c>
      <c r="B82" s="77" t="s">
        <v>212</v>
      </c>
      <c r="C82" s="66">
        <f t="shared" si="1"/>
        <v>18</v>
      </c>
      <c r="D82" s="66"/>
      <c r="E82" s="66">
        <f>20-2</f>
        <v>18</v>
      </c>
      <c r="F82" s="66"/>
      <c r="G82" s="66"/>
      <c r="H82" s="66"/>
      <c r="I82" s="66"/>
      <c r="J82" s="66"/>
      <c r="K82" s="66"/>
      <c r="L82" s="66"/>
      <c r="M82" s="67"/>
    </row>
    <row r="83" spans="1:13" ht="21" customHeight="1" x14ac:dyDescent="0.25">
      <c r="A83" s="64">
        <v>76</v>
      </c>
      <c r="B83" s="69" t="s">
        <v>213</v>
      </c>
      <c r="C83" s="66">
        <f t="shared" si="1"/>
        <v>169</v>
      </c>
      <c r="D83" s="66"/>
      <c r="E83" s="66">
        <f>150+19</f>
        <v>169</v>
      </c>
      <c r="F83" s="66"/>
      <c r="G83" s="66"/>
      <c r="H83" s="66"/>
      <c r="I83" s="66"/>
      <c r="J83" s="66"/>
      <c r="K83" s="66"/>
      <c r="L83" s="66">
        <f>150+19</f>
        <v>169</v>
      </c>
      <c r="M83" s="67"/>
    </row>
    <row r="84" spans="1:13" ht="16.5" customHeight="1" x14ac:dyDescent="0.25">
      <c r="A84" s="64">
        <v>77</v>
      </c>
      <c r="B84" s="69" t="s">
        <v>214</v>
      </c>
      <c r="C84" s="66">
        <f t="shared" si="1"/>
        <v>294</v>
      </c>
      <c r="D84" s="66"/>
      <c r="E84" s="66">
        <v>294</v>
      </c>
      <c r="F84" s="66"/>
      <c r="G84" s="66"/>
      <c r="H84" s="66"/>
      <c r="I84" s="66"/>
      <c r="J84" s="66"/>
      <c r="K84" s="66"/>
      <c r="L84" s="66">
        <v>80</v>
      </c>
      <c r="M84" s="67"/>
    </row>
    <row r="85" spans="1:13" ht="15" customHeight="1" x14ac:dyDescent="0.25">
      <c r="A85" s="64">
        <v>78</v>
      </c>
      <c r="B85" s="69" t="s">
        <v>215</v>
      </c>
      <c r="C85" s="66">
        <f t="shared" si="1"/>
        <v>18</v>
      </c>
      <c r="D85" s="66"/>
      <c r="E85" s="66">
        <f>20-2</f>
        <v>18</v>
      </c>
      <c r="F85" s="66"/>
      <c r="G85" s="66"/>
      <c r="H85" s="66"/>
      <c r="I85" s="66"/>
      <c r="J85" s="66"/>
      <c r="K85" s="66"/>
      <c r="L85" s="66"/>
      <c r="M85" s="67"/>
    </row>
    <row r="86" spans="1:13" ht="18.75" customHeight="1" x14ac:dyDescent="0.25">
      <c r="A86" s="64">
        <v>79</v>
      </c>
      <c r="B86" s="69" t="s">
        <v>216</v>
      </c>
      <c r="C86" s="66">
        <f t="shared" si="1"/>
        <v>1218</v>
      </c>
      <c r="D86" s="66"/>
      <c r="E86" s="66">
        <f>906+26+286</f>
        <v>1218</v>
      </c>
      <c r="F86" s="66"/>
      <c r="G86" s="66">
        <f>506+26</f>
        <v>532</v>
      </c>
      <c r="H86" s="66">
        <f>400+286</f>
        <v>686</v>
      </c>
      <c r="I86" s="66"/>
      <c r="J86" s="66"/>
      <c r="K86" s="66"/>
      <c r="L86" s="66"/>
      <c r="M86" s="67"/>
    </row>
    <row r="87" spans="1:13" ht="24" customHeight="1" x14ac:dyDescent="0.25">
      <c r="A87" s="64">
        <v>80</v>
      </c>
      <c r="B87" s="69" t="s">
        <v>217</v>
      </c>
      <c r="C87" s="66">
        <f t="shared" si="1"/>
        <v>18</v>
      </c>
      <c r="D87" s="66"/>
      <c r="E87" s="66">
        <f>20-2</f>
        <v>18</v>
      </c>
      <c r="F87" s="66"/>
      <c r="G87" s="66"/>
      <c r="H87" s="66"/>
      <c r="I87" s="66"/>
      <c r="J87" s="66"/>
      <c r="K87" s="66"/>
      <c r="L87" s="66"/>
      <c r="M87" s="67"/>
    </row>
    <row r="88" spans="1:13" ht="15.75" customHeight="1" x14ac:dyDescent="0.25">
      <c r="A88" s="64">
        <v>81</v>
      </c>
      <c r="B88" s="69" t="s">
        <v>218</v>
      </c>
      <c r="C88" s="66">
        <f t="shared" si="1"/>
        <v>27</v>
      </c>
      <c r="D88" s="66"/>
      <c r="E88" s="66">
        <f>30-3</f>
        <v>27</v>
      </c>
      <c r="F88" s="66"/>
      <c r="G88" s="66"/>
      <c r="H88" s="66"/>
      <c r="I88" s="66"/>
      <c r="J88" s="66"/>
      <c r="K88" s="66"/>
      <c r="L88" s="66"/>
      <c r="M88" s="67"/>
    </row>
    <row r="89" spans="1:13" ht="17.25" customHeight="1" x14ac:dyDescent="0.25">
      <c r="A89" s="64">
        <v>82</v>
      </c>
      <c r="B89" s="69" t="s">
        <v>219</v>
      </c>
      <c r="C89" s="66">
        <f t="shared" si="1"/>
        <v>18</v>
      </c>
      <c r="D89" s="66"/>
      <c r="E89" s="66">
        <f>20-2</f>
        <v>18</v>
      </c>
      <c r="F89" s="66"/>
      <c r="G89" s="66"/>
      <c r="H89" s="66"/>
      <c r="I89" s="66"/>
      <c r="J89" s="66"/>
      <c r="K89" s="66"/>
      <c r="L89" s="66"/>
      <c r="M89" s="67"/>
    </row>
    <row r="90" spans="1:13" ht="18.75" customHeight="1" x14ac:dyDescent="0.25">
      <c r="A90" s="64">
        <v>83</v>
      </c>
      <c r="B90" s="69" t="s">
        <v>220</v>
      </c>
      <c r="C90" s="66">
        <f t="shared" si="1"/>
        <v>18</v>
      </c>
      <c r="D90" s="66"/>
      <c r="E90" s="66">
        <f>20-2</f>
        <v>18</v>
      </c>
      <c r="F90" s="66"/>
      <c r="G90" s="66"/>
      <c r="H90" s="66"/>
      <c r="I90" s="66"/>
      <c r="J90" s="66"/>
      <c r="K90" s="66"/>
      <c r="L90" s="66"/>
      <c r="M90" s="67"/>
    </row>
    <row r="91" spans="1:13" ht="15.75" customHeight="1" x14ac:dyDescent="0.25">
      <c r="A91" s="64">
        <v>84</v>
      </c>
      <c r="B91" s="69" t="s">
        <v>221</v>
      </c>
      <c r="C91" s="66">
        <f t="shared" si="1"/>
        <v>478</v>
      </c>
      <c r="D91" s="66"/>
      <c r="E91" s="66">
        <f>586-108</f>
        <v>478</v>
      </c>
      <c r="F91" s="66"/>
      <c r="G91" s="66">
        <f>506-108</f>
        <v>398</v>
      </c>
      <c r="H91" s="66"/>
      <c r="I91" s="66"/>
      <c r="J91" s="66"/>
      <c r="K91" s="66"/>
      <c r="L91" s="66"/>
      <c r="M91" s="67"/>
    </row>
    <row r="92" spans="1:13" ht="15.75" customHeight="1" x14ac:dyDescent="0.25">
      <c r="A92" s="78">
        <v>85</v>
      </c>
      <c r="B92" s="69" t="s">
        <v>222</v>
      </c>
      <c r="C92" s="66">
        <f t="shared" si="1"/>
        <v>18</v>
      </c>
      <c r="D92" s="66"/>
      <c r="E92" s="66">
        <f>20-2</f>
        <v>18</v>
      </c>
      <c r="F92" s="66"/>
      <c r="G92" s="66"/>
      <c r="H92" s="66"/>
      <c r="I92" s="66"/>
      <c r="J92" s="66"/>
      <c r="K92" s="66"/>
      <c r="L92" s="66"/>
      <c r="M92" s="67"/>
    </row>
    <row r="93" spans="1:13" ht="17.25" customHeight="1" x14ac:dyDescent="0.25">
      <c r="A93" s="64">
        <v>86</v>
      </c>
      <c r="B93" s="69" t="s">
        <v>223</v>
      </c>
      <c r="C93" s="66">
        <f t="shared" si="1"/>
        <v>276</v>
      </c>
      <c r="D93" s="66"/>
      <c r="E93" s="66">
        <v>276</v>
      </c>
      <c r="F93" s="66"/>
      <c r="G93" s="66"/>
      <c r="H93" s="66"/>
      <c r="I93" s="66"/>
      <c r="J93" s="66"/>
      <c r="K93" s="66"/>
      <c r="L93" s="66"/>
      <c r="M93" s="67"/>
    </row>
    <row r="94" spans="1:13" ht="39" customHeight="1" x14ac:dyDescent="0.25">
      <c r="A94" s="64">
        <v>87</v>
      </c>
      <c r="B94" s="69" t="s">
        <v>224</v>
      </c>
      <c r="C94" s="66">
        <f t="shared" si="1"/>
        <v>869</v>
      </c>
      <c r="D94" s="66"/>
      <c r="E94" s="66">
        <v>869</v>
      </c>
      <c r="F94" s="66"/>
      <c r="G94" s="66"/>
      <c r="H94" s="66"/>
      <c r="I94" s="66"/>
      <c r="J94" s="66"/>
      <c r="K94" s="66"/>
      <c r="L94" s="66"/>
      <c r="M94" s="67"/>
    </row>
    <row r="95" spans="1:13" ht="18.75" customHeight="1" x14ac:dyDescent="0.25">
      <c r="A95" s="64">
        <v>88</v>
      </c>
      <c r="B95" s="69" t="s">
        <v>225</v>
      </c>
      <c r="C95" s="66">
        <f t="shared" si="1"/>
        <v>382</v>
      </c>
      <c r="D95" s="66"/>
      <c r="E95" s="66">
        <v>382</v>
      </c>
      <c r="F95" s="66"/>
      <c r="G95" s="66"/>
      <c r="H95" s="66"/>
      <c r="I95" s="66"/>
      <c r="J95" s="66"/>
      <c r="K95" s="66"/>
      <c r="L95" s="66"/>
      <c r="M95" s="67"/>
    </row>
    <row r="96" spans="1:13" ht="19.5" customHeight="1" x14ac:dyDescent="0.25">
      <c r="A96" s="64">
        <v>89</v>
      </c>
      <c r="B96" s="69" t="s">
        <v>85</v>
      </c>
      <c r="C96" s="66">
        <f t="shared" si="1"/>
        <v>1139</v>
      </c>
      <c r="D96" s="66"/>
      <c r="E96" s="66">
        <v>1139</v>
      </c>
      <c r="F96" s="66"/>
      <c r="G96" s="66"/>
      <c r="H96" s="66"/>
      <c r="I96" s="66">
        <v>168</v>
      </c>
      <c r="J96" s="66"/>
      <c r="K96" s="66"/>
      <c r="L96" s="66"/>
      <c r="M96" s="67"/>
    </row>
    <row r="97" spans="1:13" ht="15" customHeight="1" x14ac:dyDescent="0.25">
      <c r="A97" s="64">
        <v>90</v>
      </c>
      <c r="B97" s="69" t="s">
        <v>226</v>
      </c>
      <c r="C97" s="66">
        <f t="shared" si="1"/>
        <v>2269</v>
      </c>
      <c r="D97" s="66"/>
      <c r="E97" s="66">
        <v>2269</v>
      </c>
      <c r="F97" s="66">
        <v>2269</v>
      </c>
      <c r="G97" s="66"/>
      <c r="H97" s="66"/>
      <c r="I97" s="66"/>
      <c r="J97" s="66">
        <v>50</v>
      </c>
      <c r="K97" s="66"/>
      <c r="L97" s="66"/>
      <c r="M97" s="67"/>
    </row>
    <row r="98" spans="1:13" ht="15" customHeight="1" x14ac:dyDescent="0.25">
      <c r="A98" s="64">
        <v>91</v>
      </c>
      <c r="B98" s="69" t="s">
        <v>227</v>
      </c>
      <c r="C98" s="66">
        <f t="shared" si="1"/>
        <v>1939</v>
      </c>
      <c r="D98" s="66"/>
      <c r="E98" s="66">
        <v>1939</v>
      </c>
      <c r="F98" s="66">
        <v>1939</v>
      </c>
      <c r="G98" s="66"/>
      <c r="H98" s="66"/>
      <c r="I98" s="66"/>
      <c r="J98" s="66">
        <v>40</v>
      </c>
      <c r="K98" s="66"/>
      <c r="L98" s="66"/>
      <c r="M98" s="67"/>
    </row>
    <row r="99" spans="1:13" ht="15" customHeight="1" x14ac:dyDescent="0.25">
      <c r="A99" s="64">
        <v>92</v>
      </c>
      <c r="B99" s="69" t="s">
        <v>228</v>
      </c>
      <c r="C99" s="66">
        <f t="shared" si="1"/>
        <v>2673</v>
      </c>
      <c r="D99" s="66"/>
      <c r="E99" s="66">
        <v>2673</v>
      </c>
      <c r="F99" s="66">
        <v>2673</v>
      </c>
      <c r="G99" s="66"/>
      <c r="H99" s="66"/>
      <c r="I99" s="66"/>
      <c r="J99" s="66">
        <v>30</v>
      </c>
      <c r="K99" s="66"/>
      <c r="L99" s="66"/>
      <c r="M99" s="67"/>
    </row>
    <row r="100" spans="1:13" ht="15" customHeight="1" x14ac:dyDescent="0.25">
      <c r="A100" s="64">
        <v>93</v>
      </c>
      <c r="B100" s="69" t="s">
        <v>229</v>
      </c>
      <c r="C100" s="66">
        <f t="shared" si="1"/>
        <v>3257</v>
      </c>
      <c r="D100" s="66"/>
      <c r="E100" s="66">
        <v>3257</v>
      </c>
      <c r="F100" s="66">
        <v>3257</v>
      </c>
      <c r="G100" s="66"/>
      <c r="H100" s="66"/>
      <c r="I100" s="66"/>
      <c r="J100" s="66">
        <v>100</v>
      </c>
      <c r="K100" s="66"/>
      <c r="L100" s="66"/>
      <c r="M100" s="67"/>
    </row>
    <row r="101" spans="1:13" ht="15" customHeight="1" x14ac:dyDescent="0.25">
      <c r="A101" s="64">
        <v>94</v>
      </c>
      <c r="B101" s="69" t="s">
        <v>230</v>
      </c>
      <c r="C101" s="66">
        <f t="shared" si="1"/>
        <v>1219</v>
      </c>
      <c r="D101" s="66"/>
      <c r="E101" s="66">
        <v>1219</v>
      </c>
      <c r="F101" s="66">
        <v>1219</v>
      </c>
      <c r="G101" s="66"/>
      <c r="H101" s="66"/>
      <c r="I101" s="66"/>
      <c r="J101" s="66">
        <v>80</v>
      </c>
      <c r="K101" s="66"/>
      <c r="L101" s="66"/>
      <c r="M101" s="67"/>
    </row>
    <row r="102" spans="1:13" ht="18.75" customHeight="1" x14ac:dyDescent="0.25">
      <c r="A102" s="64">
        <v>95</v>
      </c>
      <c r="B102" s="69" t="s">
        <v>231</v>
      </c>
      <c r="C102" s="66">
        <f t="shared" si="1"/>
        <v>3469</v>
      </c>
      <c r="D102" s="66"/>
      <c r="E102" s="66">
        <f>3623-154</f>
        <v>3469</v>
      </c>
      <c r="F102" s="66"/>
      <c r="G102" s="75"/>
      <c r="H102" s="66">
        <f>454-154</f>
        <v>300</v>
      </c>
      <c r="I102" s="66"/>
      <c r="J102" s="75"/>
      <c r="K102" s="75"/>
      <c r="L102" s="75"/>
      <c r="M102" s="67"/>
    </row>
    <row r="103" spans="1:13" ht="18.75" customHeight="1" x14ac:dyDescent="0.25">
      <c r="A103" s="64">
        <v>96</v>
      </c>
      <c r="B103" s="69" t="s">
        <v>232</v>
      </c>
      <c r="C103" s="66">
        <f t="shared" si="1"/>
        <v>1703</v>
      </c>
      <c r="D103" s="66"/>
      <c r="E103" s="66">
        <v>1703</v>
      </c>
      <c r="F103" s="66"/>
      <c r="G103" s="66"/>
      <c r="H103" s="66"/>
      <c r="I103" s="66"/>
      <c r="J103" s="66"/>
      <c r="K103" s="66"/>
      <c r="L103" s="66"/>
      <c r="M103" s="67"/>
    </row>
    <row r="104" spans="1:13" ht="18.75" customHeight="1" x14ac:dyDescent="0.25">
      <c r="A104" s="64">
        <v>97</v>
      </c>
      <c r="B104" s="69" t="s">
        <v>233</v>
      </c>
      <c r="C104" s="66">
        <f t="shared" si="1"/>
        <v>2986</v>
      </c>
      <c r="D104" s="66"/>
      <c r="E104" s="66">
        <v>2986</v>
      </c>
      <c r="F104" s="66"/>
      <c r="G104" s="66"/>
      <c r="H104" s="66">
        <v>1412</v>
      </c>
      <c r="I104" s="66"/>
      <c r="J104" s="66"/>
      <c r="K104" s="66"/>
      <c r="L104" s="66"/>
      <c r="M104" s="67"/>
    </row>
    <row r="105" spans="1:13" ht="18.75" customHeight="1" x14ac:dyDescent="0.25">
      <c r="A105" s="79">
        <v>98</v>
      </c>
      <c r="B105" s="69" t="s">
        <v>234</v>
      </c>
      <c r="C105" s="66">
        <f t="shared" si="1"/>
        <v>1226</v>
      </c>
      <c r="D105" s="66"/>
      <c r="E105" s="66">
        <v>1226</v>
      </c>
      <c r="F105" s="66"/>
      <c r="G105" s="66"/>
      <c r="H105" s="66"/>
      <c r="I105" s="66"/>
      <c r="J105" s="66"/>
      <c r="K105" s="66"/>
      <c r="L105" s="66"/>
      <c r="M105" s="67"/>
    </row>
    <row r="106" spans="1:13" s="71" customFormat="1" ht="18.75" customHeight="1" x14ac:dyDescent="0.25">
      <c r="A106" s="79">
        <v>99</v>
      </c>
      <c r="B106" s="69" t="s">
        <v>235</v>
      </c>
      <c r="C106" s="66">
        <f t="shared" si="1"/>
        <v>4220</v>
      </c>
      <c r="D106" s="66"/>
      <c r="E106" s="66">
        <v>4220</v>
      </c>
      <c r="F106" s="66"/>
      <c r="G106" s="66"/>
      <c r="H106" s="66">
        <v>606</v>
      </c>
      <c r="I106" s="66"/>
      <c r="J106" s="66"/>
      <c r="K106" s="66"/>
      <c r="L106" s="66"/>
      <c r="M106" s="70"/>
    </row>
    <row r="107" spans="1:13" ht="18.75" customHeight="1" x14ac:dyDescent="0.25">
      <c r="A107" s="79">
        <v>100</v>
      </c>
      <c r="B107" s="69" t="s">
        <v>236</v>
      </c>
      <c r="C107" s="66">
        <f t="shared" si="1"/>
        <v>1961</v>
      </c>
      <c r="D107" s="66"/>
      <c r="E107" s="66">
        <v>1961</v>
      </c>
      <c r="F107" s="66"/>
      <c r="G107" s="66"/>
      <c r="H107" s="66"/>
      <c r="I107" s="66"/>
      <c r="J107" s="66"/>
      <c r="K107" s="66"/>
      <c r="L107" s="66"/>
      <c r="M107" s="67"/>
    </row>
    <row r="108" spans="1:13" ht="18.75" customHeight="1" x14ac:dyDescent="0.25">
      <c r="A108" s="79">
        <v>101</v>
      </c>
      <c r="B108" s="69" t="s">
        <v>237</v>
      </c>
      <c r="C108" s="66">
        <f t="shared" si="1"/>
        <v>1984</v>
      </c>
      <c r="D108" s="66"/>
      <c r="E108" s="66">
        <v>1984</v>
      </c>
      <c r="F108" s="66"/>
      <c r="G108" s="66"/>
      <c r="H108" s="66"/>
      <c r="I108" s="66"/>
      <c r="J108" s="66"/>
      <c r="K108" s="66"/>
      <c r="L108" s="66"/>
      <c r="M108" s="67"/>
    </row>
    <row r="109" spans="1:13" ht="18.75" customHeight="1" x14ac:dyDescent="0.25">
      <c r="A109" s="79">
        <v>102</v>
      </c>
      <c r="B109" s="69" t="s">
        <v>238</v>
      </c>
      <c r="C109" s="66">
        <f t="shared" si="1"/>
        <v>1175</v>
      </c>
      <c r="D109" s="66"/>
      <c r="E109" s="66">
        <v>1175</v>
      </c>
      <c r="F109" s="66"/>
      <c r="G109" s="66"/>
      <c r="H109" s="66"/>
      <c r="I109" s="66"/>
      <c r="J109" s="66"/>
      <c r="K109" s="66"/>
      <c r="L109" s="66"/>
      <c r="M109" s="67"/>
    </row>
    <row r="110" spans="1:13" ht="18.75" customHeight="1" x14ac:dyDescent="0.25">
      <c r="A110" s="79">
        <v>103</v>
      </c>
      <c r="B110" s="69" t="s">
        <v>239</v>
      </c>
      <c r="C110" s="66">
        <f t="shared" si="1"/>
        <v>4784</v>
      </c>
      <c r="D110" s="66"/>
      <c r="E110" s="66">
        <v>4784</v>
      </c>
      <c r="F110" s="66"/>
      <c r="G110" s="66"/>
      <c r="H110" s="66">
        <v>934</v>
      </c>
      <c r="I110" s="66"/>
      <c r="J110" s="66"/>
      <c r="K110" s="66"/>
      <c r="L110" s="66"/>
      <c r="M110" s="67"/>
    </row>
    <row r="111" spans="1:13" ht="18.75" customHeight="1" x14ac:dyDescent="0.25">
      <c r="A111" s="79">
        <v>104</v>
      </c>
      <c r="B111" s="69" t="s">
        <v>240</v>
      </c>
      <c r="C111" s="66">
        <f t="shared" si="1"/>
        <v>1580</v>
      </c>
      <c r="D111" s="66"/>
      <c r="E111" s="66">
        <v>1580</v>
      </c>
      <c r="F111" s="66"/>
      <c r="G111" s="66"/>
      <c r="H111" s="66"/>
      <c r="I111" s="66"/>
      <c r="J111" s="66"/>
      <c r="K111" s="66"/>
      <c r="L111" s="66"/>
      <c r="M111" s="67"/>
    </row>
    <row r="112" spans="1:13" ht="18.75" customHeight="1" x14ac:dyDescent="0.25">
      <c r="A112" s="79">
        <v>105</v>
      </c>
      <c r="B112" s="69" t="s">
        <v>241</v>
      </c>
      <c r="C112" s="66">
        <f t="shared" si="1"/>
        <v>1511</v>
      </c>
      <c r="D112" s="66"/>
      <c r="E112" s="66">
        <v>1511</v>
      </c>
      <c r="F112" s="66"/>
      <c r="G112" s="66"/>
      <c r="H112" s="66"/>
      <c r="I112" s="66"/>
      <c r="J112" s="66"/>
      <c r="K112" s="66"/>
      <c r="L112" s="66"/>
      <c r="M112" s="67"/>
    </row>
    <row r="113" spans="1:13" ht="21" customHeight="1" x14ac:dyDescent="0.25">
      <c r="A113" s="79">
        <v>106</v>
      </c>
      <c r="B113" s="69" t="s">
        <v>242</v>
      </c>
      <c r="C113" s="66">
        <f t="shared" si="1"/>
        <v>3372</v>
      </c>
      <c r="D113" s="66"/>
      <c r="E113" s="66">
        <v>3372</v>
      </c>
      <c r="F113" s="66">
        <v>642</v>
      </c>
      <c r="G113" s="66"/>
      <c r="H113" s="66"/>
      <c r="I113" s="66"/>
      <c r="J113" s="66">
        <v>40</v>
      </c>
      <c r="K113" s="66"/>
      <c r="L113" s="66"/>
      <c r="M113" s="67"/>
    </row>
    <row r="114" spans="1:13" ht="19.5" customHeight="1" x14ac:dyDescent="0.25">
      <c r="A114" s="79">
        <v>107</v>
      </c>
      <c r="B114" s="69" t="s">
        <v>243</v>
      </c>
      <c r="C114" s="66">
        <f t="shared" si="1"/>
        <v>2596</v>
      </c>
      <c r="D114" s="66"/>
      <c r="E114" s="66">
        <v>2596</v>
      </c>
      <c r="F114" s="66"/>
      <c r="G114" s="66"/>
      <c r="H114" s="66"/>
      <c r="I114" s="66">
        <v>259</v>
      </c>
      <c r="J114" s="66"/>
      <c r="K114" s="66"/>
      <c r="L114" s="66"/>
      <c r="M114" s="67"/>
    </row>
    <row r="115" spans="1:13" ht="18" customHeight="1" x14ac:dyDescent="0.25">
      <c r="A115" s="79">
        <v>108</v>
      </c>
      <c r="B115" s="69" t="s">
        <v>244</v>
      </c>
      <c r="C115" s="66">
        <f t="shared" si="1"/>
        <v>1826</v>
      </c>
      <c r="D115" s="66"/>
      <c r="E115" s="66">
        <v>1826</v>
      </c>
      <c r="F115" s="66"/>
      <c r="G115" s="66"/>
      <c r="H115" s="66"/>
      <c r="I115" s="66"/>
      <c r="J115" s="66"/>
      <c r="K115" s="66"/>
      <c r="L115" s="66"/>
      <c r="M115" s="67"/>
    </row>
    <row r="116" spans="1:13" ht="16.5" customHeight="1" x14ac:dyDescent="0.25">
      <c r="A116" s="79">
        <v>109</v>
      </c>
      <c r="B116" s="69" t="s">
        <v>245</v>
      </c>
      <c r="C116" s="66">
        <f t="shared" si="1"/>
        <v>1076</v>
      </c>
      <c r="D116" s="66"/>
      <c r="E116" s="66">
        <v>1076</v>
      </c>
      <c r="F116" s="66"/>
      <c r="G116" s="66"/>
      <c r="H116" s="66"/>
      <c r="I116" s="66"/>
      <c r="J116" s="66"/>
      <c r="K116" s="66"/>
      <c r="L116" s="66"/>
      <c r="M116" s="67"/>
    </row>
    <row r="117" spans="1:13" ht="18" customHeight="1" x14ac:dyDescent="0.25">
      <c r="A117" s="79">
        <v>110</v>
      </c>
      <c r="B117" s="69" t="s">
        <v>246</v>
      </c>
      <c r="C117" s="66">
        <f t="shared" si="1"/>
        <v>2119</v>
      </c>
      <c r="D117" s="66"/>
      <c r="E117" s="66">
        <v>2119</v>
      </c>
      <c r="F117" s="66"/>
      <c r="G117" s="66"/>
      <c r="H117" s="66"/>
      <c r="I117" s="66">
        <v>429</v>
      </c>
      <c r="J117" s="66"/>
      <c r="K117" s="66"/>
      <c r="L117" s="66"/>
      <c r="M117" s="67"/>
    </row>
    <row r="118" spans="1:13" ht="19.5" customHeight="1" x14ac:dyDescent="0.25">
      <c r="A118" s="79">
        <v>111</v>
      </c>
      <c r="B118" s="69" t="s">
        <v>247</v>
      </c>
      <c r="C118" s="66">
        <f t="shared" si="1"/>
        <v>70</v>
      </c>
      <c r="D118" s="66"/>
      <c r="E118" s="66">
        <f>845-704-71</f>
        <v>70</v>
      </c>
      <c r="F118" s="66"/>
      <c r="G118" s="66"/>
      <c r="H118" s="66"/>
      <c r="I118" s="66"/>
      <c r="J118" s="66"/>
      <c r="K118" s="66"/>
      <c r="L118" s="66"/>
      <c r="M118" s="67"/>
    </row>
    <row r="119" spans="1:13" ht="40.5" customHeight="1" x14ac:dyDescent="0.25">
      <c r="A119" s="446">
        <v>112</v>
      </c>
      <c r="B119" s="69" t="s">
        <v>248</v>
      </c>
      <c r="C119" s="66">
        <f t="shared" si="1"/>
        <v>775</v>
      </c>
      <c r="D119" s="66"/>
      <c r="E119" s="66">
        <f>0+704+71</f>
        <v>775</v>
      </c>
      <c r="F119" s="66"/>
      <c r="G119" s="66"/>
      <c r="H119" s="66"/>
      <c r="I119" s="66"/>
      <c r="J119" s="66"/>
      <c r="K119" s="66"/>
      <c r="L119" s="66"/>
      <c r="M119" s="67"/>
    </row>
    <row r="120" spans="1:13" ht="19.5" customHeight="1" x14ac:dyDescent="0.25">
      <c r="A120" s="445"/>
      <c r="B120" s="69" t="s">
        <v>249</v>
      </c>
      <c r="C120" s="66">
        <f t="shared" si="1"/>
        <v>6707</v>
      </c>
      <c r="D120" s="66"/>
      <c r="E120" s="66">
        <v>6707</v>
      </c>
      <c r="F120" s="66"/>
      <c r="G120" s="66"/>
      <c r="H120" s="66">
        <v>1220</v>
      </c>
      <c r="I120" s="66">
        <v>502</v>
      </c>
      <c r="J120" s="66"/>
      <c r="K120" s="66"/>
      <c r="L120" s="66"/>
      <c r="M120" s="67"/>
    </row>
    <row r="121" spans="1:13" ht="18.75" customHeight="1" x14ac:dyDescent="0.25">
      <c r="A121" s="79">
        <v>113</v>
      </c>
      <c r="B121" s="69" t="s">
        <v>250</v>
      </c>
      <c r="C121" s="66">
        <f t="shared" si="1"/>
        <v>1964</v>
      </c>
      <c r="D121" s="66"/>
      <c r="E121" s="66">
        <v>1964</v>
      </c>
      <c r="F121" s="66">
        <v>1964</v>
      </c>
      <c r="G121" s="66"/>
      <c r="H121" s="66"/>
      <c r="I121" s="66"/>
      <c r="J121" s="66">
        <v>200</v>
      </c>
      <c r="K121" s="66"/>
      <c r="L121" s="66"/>
      <c r="M121" s="67"/>
    </row>
    <row r="122" spans="1:13" ht="19.5" customHeight="1" x14ac:dyDescent="0.25">
      <c r="A122" s="79">
        <v>114</v>
      </c>
      <c r="B122" s="69" t="s">
        <v>251</v>
      </c>
      <c r="C122" s="66">
        <f t="shared" si="1"/>
        <v>2608</v>
      </c>
      <c r="D122" s="66"/>
      <c r="E122" s="66">
        <v>2608</v>
      </c>
      <c r="F122" s="66"/>
      <c r="G122" s="66"/>
      <c r="H122" s="66">
        <v>436</v>
      </c>
      <c r="I122" s="66">
        <v>175</v>
      </c>
      <c r="J122" s="66"/>
      <c r="K122" s="66"/>
      <c r="L122" s="66"/>
      <c r="M122" s="67"/>
    </row>
    <row r="123" spans="1:13" ht="15" customHeight="1" x14ac:dyDescent="0.25">
      <c r="A123" s="79">
        <v>115</v>
      </c>
      <c r="B123" s="69" t="s">
        <v>252</v>
      </c>
      <c r="C123" s="66">
        <f t="shared" si="1"/>
        <v>687</v>
      </c>
      <c r="D123" s="66"/>
      <c r="E123" s="66">
        <v>687</v>
      </c>
      <c r="F123" s="66"/>
      <c r="G123" s="66"/>
      <c r="H123" s="66"/>
      <c r="I123" s="66"/>
      <c r="J123" s="66"/>
      <c r="K123" s="66"/>
      <c r="L123" s="66"/>
      <c r="M123" s="67"/>
    </row>
    <row r="124" spans="1:13" ht="17.25" customHeight="1" x14ac:dyDescent="0.25">
      <c r="A124" s="80">
        <f t="shared" ref="A124:A137" si="2">A123+1</f>
        <v>116</v>
      </c>
      <c r="B124" s="69" t="s">
        <v>62</v>
      </c>
      <c r="C124" s="66">
        <f t="shared" si="1"/>
        <v>683</v>
      </c>
      <c r="D124" s="66"/>
      <c r="E124" s="66">
        <v>683</v>
      </c>
      <c r="F124" s="66"/>
      <c r="G124" s="66"/>
      <c r="H124" s="66">
        <v>268</v>
      </c>
      <c r="I124" s="66">
        <v>341</v>
      </c>
      <c r="J124" s="66"/>
      <c r="K124" s="66"/>
      <c r="L124" s="66"/>
      <c r="M124" s="67"/>
    </row>
    <row r="125" spans="1:13" ht="16.5" customHeight="1" x14ac:dyDescent="0.25">
      <c r="A125" s="80">
        <f t="shared" si="2"/>
        <v>117</v>
      </c>
      <c r="B125" s="69" t="s">
        <v>74</v>
      </c>
      <c r="C125" s="66">
        <f t="shared" si="1"/>
        <v>1232</v>
      </c>
      <c r="D125" s="66"/>
      <c r="E125" s="66">
        <v>1232</v>
      </c>
      <c r="F125" s="66"/>
      <c r="G125" s="66"/>
      <c r="H125" s="66"/>
      <c r="I125" s="66"/>
      <c r="J125" s="66"/>
      <c r="K125" s="66"/>
      <c r="L125" s="66">
        <v>70</v>
      </c>
      <c r="M125" s="67"/>
    </row>
    <row r="126" spans="1:13" ht="16.5" customHeight="1" x14ac:dyDescent="0.25">
      <c r="A126" s="80">
        <f t="shared" si="2"/>
        <v>118</v>
      </c>
      <c r="B126" s="69" t="s">
        <v>63</v>
      </c>
      <c r="C126" s="66">
        <f t="shared" si="1"/>
        <v>2852</v>
      </c>
      <c r="D126" s="66"/>
      <c r="E126" s="66">
        <v>2852</v>
      </c>
      <c r="F126" s="66">
        <v>2852</v>
      </c>
      <c r="G126" s="66"/>
      <c r="H126" s="66">
        <f>26+28</f>
        <v>54</v>
      </c>
      <c r="I126" s="66"/>
      <c r="J126" s="66">
        <v>872</v>
      </c>
      <c r="K126" s="66">
        <v>10</v>
      </c>
      <c r="L126" s="66"/>
      <c r="M126" s="67"/>
    </row>
    <row r="127" spans="1:13" ht="18" customHeight="1" x14ac:dyDescent="0.25">
      <c r="A127" s="80">
        <f t="shared" si="2"/>
        <v>119</v>
      </c>
      <c r="B127" s="69" t="s">
        <v>253</v>
      </c>
      <c r="C127" s="66">
        <f t="shared" si="1"/>
        <v>12725</v>
      </c>
      <c r="D127" s="66"/>
      <c r="E127" s="66">
        <f>11677+154+1180-286</f>
        <v>12725</v>
      </c>
      <c r="F127" s="66"/>
      <c r="G127" s="66"/>
      <c r="H127" s="66">
        <f>11677+154+1180-286</f>
        <v>12725</v>
      </c>
      <c r="I127" s="66"/>
      <c r="J127" s="66"/>
      <c r="K127" s="66"/>
      <c r="L127" s="66"/>
      <c r="M127" s="67"/>
    </row>
    <row r="128" spans="1:13" ht="16.5" customHeight="1" x14ac:dyDescent="0.25">
      <c r="A128" s="80">
        <f t="shared" si="2"/>
        <v>120</v>
      </c>
      <c r="B128" s="69" t="s">
        <v>80</v>
      </c>
      <c r="C128" s="66">
        <f t="shared" si="1"/>
        <v>360</v>
      </c>
      <c r="D128" s="66"/>
      <c r="E128" s="66">
        <v>360</v>
      </c>
      <c r="F128" s="66"/>
      <c r="G128" s="66"/>
      <c r="H128" s="66"/>
      <c r="I128" s="66"/>
      <c r="J128" s="66"/>
      <c r="K128" s="66"/>
      <c r="L128" s="66"/>
      <c r="M128" s="67"/>
    </row>
    <row r="129" spans="1:13" ht="15.75" customHeight="1" x14ac:dyDescent="0.25">
      <c r="A129" s="80">
        <f t="shared" si="2"/>
        <v>121</v>
      </c>
      <c r="B129" s="69" t="s">
        <v>75</v>
      </c>
      <c r="C129" s="66">
        <f t="shared" si="1"/>
        <v>6960</v>
      </c>
      <c r="D129" s="66"/>
      <c r="E129" s="66">
        <v>6960</v>
      </c>
      <c r="F129" s="66"/>
      <c r="G129" s="66"/>
      <c r="H129" s="66"/>
      <c r="I129" s="66"/>
      <c r="J129" s="66"/>
      <c r="K129" s="66"/>
      <c r="L129" s="66"/>
      <c r="M129" s="67"/>
    </row>
    <row r="130" spans="1:13" ht="18" customHeight="1" x14ac:dyDescent="0.25">
      <c r="A130" s="80">
        <f t="shared" si="2"/>
        <v>122</v>
      </c>
      <c r="B130" s="69" t="s">
        <v>137</v>
      </c>
      <c r="C130" s="66">
        <f t="shared" si="1"/>
        <v>1724</v>
      </c>
      <c r="D130" s="66"/>
      <c r="E130" s="66">
        <v>1724</v>
      </c>
      <c r="F130" s="66"/>
      <c r="G130" s="66"/>
      <c r="H130" s="66"/>
      <c r="I130" s="66"/>
      <c r="J130" s="66"/>
      <c r="K130" s="66"/>
      <c r="L130" s="66"/>
      <c r="M130" s="67"/>
    </row>
    <row r="131" spans="1:13" ht="15.75" customHeight="1" x14ac:dyDescent="0.25">
      <c r="A131" s="80">
        <f t="shared" si="2"/>
        <v>123</v>
      </c>
      <c r="B131" s="69" t="s">
        <v>76</v>
      </c>
      <c r="C131" s="66">
        <f t="shared" si="1"/>
        <v>2914</v>
      </c>
      <c r="D131" s="66"/>
      <c r="E131" s="66">
        <v>2914</v>
      </c>
      <c r="F131" s="66"/>
      <c r="G131" s="66"/>
      <c r="H131" s="66"/>
      <c r="I131" s="66"/>
      <c r="J131" s="66"/>
      <c r="K131" s="66"/>
      <c r="L131" s="66"/>
      <c r="M131" s="67"/>
    </row>
    <row r="132" spans="1:13" ht="15" customHeight="1" x14ac:dyDescent="0.25">
      <c r="A132" s="80">
        <f t="shared" si="2"/>
        <v>124</v>
      </c>
      <c r="B132" s="69" t="s">
        <v>254</v>
      </c>
      <c r="C132" s="66">
        <f t="shared" si="1"/>
        <v>305</v>
      </c>
      <c r="D132" s="66"/>
      <c r="E132" s="66">
        <f>507-202</f>
        <v>305</v>
      </c>
      <c r="F132" s="66"/>
      <c r="G132" s="66">
        <f>507-202</f>
        <v>305</v>
      </c>
      <c r="H132" s="66"/>
      <c r="I132" s="66"/>
      <c r="J132" s="66"/>
      <c r="K132" s="66"/>
      <c r="L132" s="66"/>
      <c r="M132" s="67"/>
    </row>
    <row r="133" spans="1:13" ht="16.5" customHeight="1" x14ac:dyDescent="0.25">
      <c r="A133" s="80">
        <f t="shared" si="2"/>
        <v>125</v>
      </c>
      <c r="B133" s="69" t="s">
        <v>255</v>
      </c>
      <c r="C133" s="66">
        <f t="shared" si="1"/>
        <v>1362</v>
      </c>
      <c r="D133" s="66"/>
      <c r="E133" s="66">
        <v>1362</v>
      </c>
      <c r="F133" s="66"/>
      <c r="G133" s="66"/>
      <c r="H133" s="66"/>
      <c r="I133" s="66">
        <v>1362</v>
      </c>
      <c r="J133" s="66"/>
      <c r="K133" s="66"/>
      <c r="L133" s="66"/>
      <c r="M133" s="67"/>
    </row>
    <row r="134" spans="1:13" ht="16.5" customHeight="1" x14ac:dyDescent="0.25">
      <c r="A134" s="80">
        <f t="shared" si="2"/>
        <v>126</v>
      </c>
      <c r="B134" s="69" t="s">
        <v>81</v>
      </c>
      <c r="C134" s="66">
        <f t="shared" si="1"/>
        <v>1407</v>
      </c>
      <c r="D134" s="66"/>
      <c r="E134" s="66">
        <v>1407</v>
      </c>
      <c r="F134" s="66"/>
      <c r="G134" s="66"/>
      <c r="H134" s="66"/>
      <c r="I134" s="66">
        <v>707</v>
      </c>
      <c r="J134" s="66"/>
      <c r="K134" s="66"/>
      <c r="L134" s="66"/>
      <c r="M134" s="67"/>
    </row>
    <row r="135" spans="1:13" ht="17.25" customHeight="1" x14ac:dyDescent="0.25">
      <c r="A135" s="80">
        <f t="shared" si="2"/>
        <v>127</v>
      </c>
      <c r="B135" s="74" t="s">
        <v>256</v>
      </c>
      <c r="C135" s="66">
        <f t="shared" si="1"/>
        <v>3798</v>
      </c>
      <c r="D135" s="66"/>
      <c r="E135" s="66">
        <v>3798</v>
      </c>
      <c r="F135" s="66"/>
      <c r="G135" s="66"/>
      <c r="H135" s="66">
        <v>639</v>
      </c>
      <c r="I135" s="66">
        <v>68</v>
      </c>
      <c r="J135" s="66"/>
      <c r="K135" s="66"/>
      <c r="L135" s="66"/>
      <c r="M135" s="67"/>
    </row>
    <row r="136" spans="1:13" ht="14.25" customHeight="1" x14ac:dyDescent="0.25">
      <c r="A136" s="80">
        <f t="shared" si="2"/>
        <v>128</v>
      </c>
      <c r="B136" s="69" t="s">
        <v>266</v>
      </c>
      <c r="C136" s="66">
        <f t="shared" si="1"/>
        <v>235</v>
      </c>
      <c r="D136" s="66"/>
      <c r="E136" s="66">
        <v>235</v>
      </c>
      <c r="F136" s="66"/>
      <c r="G136" s="66"/>
      <c r="H136" s="66"/>
      <c r="I136" s="66"/>
      <c r="J136" s="66"/>
      <c r="K136" s="66"/>
      <c r="L136" s="66"/>
      <c r="M136" s="67"/>
    </row>
    <row r="137" spans="1:13" s="71" customFormat="1" ht="19.5" customHeight="1" x14ac:dyDescent="0.25">
      <c r="A137" s="80">
        <f t="shared" si="2"/>
        <v>129</v>
      </c>
      <c r="B137" s="81" t="s">
        <v>257</v>
      </c>
      <c r="C137" s="75">
        <f>SUM(C138:C140)</f>
        <v>1981</v>
      </c>
      <c r="D137" s="75">
        <f t="shared" ref="D137:M137" si="3">SUM(D138:D140)</f>
        <v>15</v>
      </c>
      <c r="E137" s="75">
        <f t="shared" si="3"/>
        <v>1859</v>
      </c>
      <c r="F137" s="75">
        <f t="shared" si="3"/>
        <v>0</v>
      </c>
      <c r="G137" s="75">
        <f t="shared" si="3"/>
        <v>0</v>
      </c>
      <c r="H137" s="75">
        <f t="shared" si="3"/>
        <v>1859</v>
      </c>
      <c r="I137" s="75">
        <f t="shared" si="3"/>
        <v>0</v>
      </c>
      <c r="J137" s="75">
        <f t="shared" si="3"/>
        <v>0</v>
      </c>
      <c r="K137" s="75">
        <f t="shared" si="3"/>
        <v>0</v>
      </c>
      <c r="L137" s="75">
        <f t="shared" si="3"/>
        <v>0</v>
      </c>
      <c r="M137" s="75">
        <f t="shared" si="3"/>
        <v>107</v>
      </c>
    </row>
    <row r="138" spans="1:13" ht="13.5" customHeight="1" x14ac:dyDescent="0.25">
      <c r="A138" s="418"/>
      <c r="B138" s="82" t="s">
        <v>258</v>
      </c>
      <c r="C138" s="66">
        <f>D138+E138+M138</f>
        <v>1874</v>
      </c>
      <c r="D138" s="66">
        <f>90-75</f>
        <v>15</v>
      </c>
      <c r="E138" s="66">
        <f>4790-2931</f>
        <v>1859</v>
      </c>
      <c r="F138" s="66"/>
      <c r="G138" s="66"/>
      <c r="H138" s="66">
        <f>4790-2931</f>
        <v>1859</v>
      </c>
      <c r="I138" s="66"/>
      <c r="J138" s="66"/>
      <c r="K138" s="66"/>
      <c r="L138" s="66"/>
      <c r="M138" s="67"/>
    </row>
    <row r="139" spans="1:13" ht="24" customHeight="1" x14ac:dyDescent="0.25">
      <c r="A139" s="80"/>
      <c r="B139" s="83" t="s">
        <v>259</v>
      </c>
      <c r="C139" s="66">
        <f t="shared" ref="C139:C148" si="4">D139+E139+M139</f>
        <v>93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7">
        <f>360-267</f>
        <v>93</v>
      </c>
    </row>
    <row r="140" spans="1:13" ht="26.25" customHeight="1" x14ac:dyDescent="0.25">
      <c r="A140" s="418"/>
      <c r="B140" s="83" t="s">
        <v>260</v>
      </c>
      <c r="C140" s="66">
        <f t="shared" si="4"/>
        <v>14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7">
        <f>75-61</f>
        <v>14</v>
      </c>
    </row>
    <row r="141" spans="1:13" ht="26.25" customHeight="1" x14ac:dyDescent="0.25">
      <c r="A141" s="418"/>
      <c r="B141" s="81" t="s">
        <v>261</v>
      </c>
      <c r="C141" s="75">
        <f>SUM(C142:C144)</f>
        <v>3334</v>
      </c>
      <c r="D141" s="75">
        <f t="shared" ref="D141:M141" si="5">SUM(D142:D144)</f>
        <v>75</v>
      </c>
      <c r="E141" s="75">
        <f t="shared" si="5"/>
        <v>2931</v>
      </c>
      <c r="F141" s="75">
        <f t="shared" si="5"/>
        <v>0</v>
      </c>
      <c r="G141" s="75">
        <f t="shared" si="5"/>
        <v>0</v>
      </c>
      <c r="H141" s="75">
        <f t="shared" si="5"/>
        <v>2931</v>
      </c>
      <c r="I141" s="75">
        <f t="shared" si="5"/>
        <v>0</v>
      </c>
      <c r="J141" s="75">
        <f t="shared" si="5"/>
        <v>0</v>
      </c>
      <c r="K141" s="75">
        <f t="shared" si="5"/>
        <v>0</v>
      </c>
      <c r="L141" s="75">
        <f t="shared" si="5"/>
        <v>0</v>
      </c>
      <c r="M141" s="75">
        <f t="shared" si="5"/>
        <v>328</v>
      </c>
    </row>
    <row r="142" spans="1:13" ht="17.25" customHeight="1" x14ac:dyDescent="0.25">
      <c r="A142" s="418"/>
      <c r="B142" s="82" t="s">
        <v>258</v>
      </c>
      <c r="C142" s="66">
        <f>D142+E142+M142</f>
        <v>3006</v>
      </c>
      <c r="D142" s="66">
        <f>0+75</f>
        <v>75</v>
      </c>
      <c r="E142" s="66">
        <f>0+2931</f>
        <v>2931</v>
      </c>
      <c r="F142" s="66"/>
      <c r="G142" s="66"/>
      <c r="H142" s="66">
        <f>0+2931</f>
        <v>2931</v>
      </c>
      <c r="I142" s="66"/>
      <c r="J142" s="66"/>
      <c r="K142" s="66"/>
      <c r="L142" s="66"/>
      <c r="M142" s="67"/>
    </row>
    <row r="143" spans="1:13" ht="26.25" customHeight="1" x14ac:dyDescent="0.25">
      <c r="A143" s="418"/>
      <c r="B143" s="83" t="s">
        <v>259</v>
      </c>
      <c r="C143" s="66">
        <f t="shared" si="4"/>
        <v>267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7">
        <f>0+267</f>
        <v>267</v>
      </c>
    </row>
    <row r="144" spans="1:13" ht="26.25" customHeight="1" x14ac:dyDescent="0.25">
      <c r="A144" s="418"/>
      <c r="B144" s="83" t="s">
        <v>260</v>
      </c>
      <c r="C144" s="66">
        <f t="shared" si="4"/>
        <v>61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7">
        <f>0+61</f>
        <v>61</v>
      </c>
    </row>
    <row r="145" spans="1:13" ht="18.75" customHeight="1" x14ac:dyDescent="0.25">
      <c r="A145" s="418">
        <v>130</v>
      </c>
      <c r="B145" s="83" t="s">
        <v>262</v>
      </c>
      <c r="C145" s="84">
        <f t="shared" si="4"/>
        <v>25</v>
      </c>
      <c r="D145" s="66"/>
      <c r="E145" s="66">
        <f>0+25</f>
        <v>25</v>
      </c>
      <c r="F145" s="66"/>
      <c r="G145" s="66">
        <f>0+25</f>
        <v>25</v>
      </c>
      <c r="H145" s="66"/>
      <c r="I145" s="66"/>
      <c r="J145" s="66"/>
      <c r="K145" s="66"/>
      <c r="L145" s="66"/>
      <c r="M145" s="67"/>
    </row>
    <row r="146" spans="1:13" ht="52.5" customHeight="1" x14ac:dyDescent="0.25">
      <c r="A146" s="418">
        <v>131</v>
      </c>
      <c r="B146" s="73" t="s">
        <v>263</v>
      </c>
      <c r="C146" s="84">
        <f t="shared" si="4"/>
        <v>1698</v>
      </c>
      <c r="D146" s="66"/>
      <c r="E146" s="66">
        <f>0+1699-1</f>
        <v>1698</v>
      </c>
      <c r="F146" s="66">
        <f>0+269+34</f>
        <v>303</v>
      </c>
      <c r="G146" s="66"/>
      <c r="H146" s="66"/>
      <c r="I146" s="66"/>
      <c r="J146" s="66"/>
      <c r="K146" s="66"/>
      <c r="L146" s="66"/>
      <c r="M146" s="67"/>
    </row>
    <row r="147" spans="1:13" ht="50.25" customHeight="1" x14ac:dyDescent="0.25">
      <c r="A147" s="418">
        <v>132</v>
      </c>
      <c r="B147" s="85" t="s">
        <v>264</v>
      </c>
      <c r="C147" s="84">
        <f t="shared" si="4"/>
        <v>265</v>
      </c>
      <c r="D147" s="66"/>
      <c r="E147" s="66">
        <f>0+247+18</f>
        <v>265</v>
      </c>
      <c r="F147" s="66"/>
      <c r="G147" s="66"/>
      <c r="H147" s="66"/>
      <c r="I147" s="66"/>
      <c r="J147" s="66"/>
      <c r="K147" s="66"/>
      <c r="L147" s="66"/>
      <c r="M147" s="67"/>
    </row>
    <row r="148" spans="1:13" ht="16.5" customHeight="1" x14ac:dyDescent="0.25">
      <c r="A148" s="418"/>
      <c r="B148" s="69" t="s">
        <v>65</v>
      </c>
      <c r="C148" s="84">
        <f t="shared" si="4"/>
        <v>1079</v>
      </c>
      <c r="D148" s="66"/>
      <c r="E148" s="66">
        <f>1061+18+19-19</f>
        <v>1079</v>
      </c>
      <c r="F148" s="66"/>
      <c r="G148" s="66">
        <f>0+18</f>
        <v>18</v>
      </c>
      <c r="H148" s="66">
        <v>105</v>
      </c>
      <c r="I148" s="66"/>
      <c r="J148" s="66"/>
      <c r="K148" s="66"/>
      <c r="L148" s="66"/>
      <c r="M148" s="67"/>
    </row>
    <row r="149" spans="1:13" x14ac:dyDescent="0.25">
      <c r="A149" s="418"/>
      <c r="B149" s="81" t="s">
        <v>265</v>
      </c>
      <c r="C149" s="75">
        <f t="shared" ref="C149:M149" si="6">SUM(C7:C148)-C137-C141</f>
        <v>254024</v>
      </c>
      <c r="D149" s="75">
        <f t="shared" si="6"/>
        <v>90</v>
      </c>
      <c r="E149" s="75">
        <f t="shared" si="6"/>
        <v>253499</v>
      </c>
      <c r="F149" s="75">
        <f t="shared" si="6"/>
        <v>33072</v>
      </c>
      <c r="G149" s="75">
        <f t="shared" si="6"/>
        <v>2025</v>
      </c>
      <c r="H149" s="75">
        <f t="shared" si="6"/>
        <v>27922</v>
      </c>
      <c r="I149" s="75">
        <f t="shared" si="6"/>
        <v>4011</v>
      </c>
      <c r="J149" s="75">
        <f t="shared" si="6"/>
        <v>1962</v>
      </c>
      <c r="K149" s="75">
        <f t="shared" si="6"/>
        <v>161</v>
      </c>
      <c r="L149" s="75">
        <f t="shared" si="6"/>
        <v>319</v>
      </c>
      <c r="M149" s="75">
        <f t="shared" si="6"/>
        <v>435</v>
      </c>
    </row>
    <row r="150" spans="1:13" s="88" customFormat="1" x14ac:dyDescent="0.25">
      <c r="A150" s="86"/>
      <c r="B150" s="87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</row>
    <row r="151" spans="1:13" x14ac:dyDescent="0.25"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</row>
    <row r="152" spans="1:13" x14ac:dyDescent="0.25"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</row>
  </sheetData>
  <mergeCells count="18">
    <mergeCell ref="A32:A33"/>
    <mergeCell ref="A119:A120"/>
    <mergeCell ref="F5:F6"/>
    <mergeCell ref="G5:G6"/>
    <mergeCell ref="H5:H6"/>
    <mergeCell ref="I5:J5"/>
    <mergeCell ref="K5:K6"/>
    <mergeCell ref="L5:L6"/>
    <mergeCell ref="A1:M1"/>
    <mergeCell ref="L2:M2"/>
    <mergeCell ref="A3:A6"/>
    <mergeCell ref="B3:B6"/>
    <mergeCell ref="C3:C6"/>
    <mergeCell ref="E3:M3"/>
    <mergeCell ref="D4:D6"/>
    <mergeCell ref="E4:E6"/>
    <mergeCell ref="F4:L4"/>
    <mergeCell ref="M4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E59" sqref="E59"/>
    </sheetView>
  </sheetViews>
  <sheetFormatPr defaultRowHeight="12.75" x14ac:dyDescent="0.25"/>
  <cols>
    <col min="1" max="1" width="6.140625" style="91" customWidth="1"/>
    <col min="2" max="2" width="37.42578125" style="90" customWidth="1"/>
    <col min="3" max="3" width="10.28515625" style="90" customWidth="1"/>
    <col min="4" max="4" width="10.5703125" style="92" customWidth="1"/>
    <col min="5" max="5" width="11" style="92" customWidth="1"/>
    <col min="6" max="6" width="11.7109375" style="92" customWidth="1"/>
    <col min="7" max="7" width="10.85546875" style="92" customWidth="1"/>
    <col min="8" max="8" width="10.42578125" style="92" customWidth="1"/>
    <col min="9" max="9" width="9" style="92" customWidth="1"/>
    <col min="10" max="10" width="10.42578125" style="92" customWidth="1"/>
    <col min="11" max="11" width="13.85546875" style="92" customWidth="1"/>
    <col min="12" max="12" width="10.7109375" style="92" customWidth="1"/>
    <col min="13" max="13" width="9.5703125" style="90" bestFit="1" customWidth="1"/>
    <col min="14" max="14" width="11.85546875" style="90" customWidth="1"/>
    <col min="15" max="16384" width="9.140625" style="90"/>
  </cols>
  <sheetData>
    <row r="1" spans="1:13" ht="40.5" customHeight="1" x14ac:dyDescent="0.25">
      <c r="A1" s="447" t="s">
        <v>416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3" ht="13.5" thickBot="1" x14ac:dyDescent="0.3"/>
    <row r="3" spans="1:13" ht="15" x14ac:dyDescent="0.25">
      <c r="A3" s="448" t="s">
        <v>0</v>
      </c>
      <c r="B3" s="450" t="s">
        <v>82</v>
      </c>
      <c r="C3" s="452" t="s">
        <v>267</v>
      </c>
      <c r="D3" s="453"/>
      <c r="E3" s="453"/>
      <c r="F3" s="453"/>
      <c r="G3" s="454"/>
      <c r="H3" s="455" t="s">
        <v>268</v>
      </c>
      <c r="I3" s="456"/>
      <c r="J3" s="456"/>
      <c r="K3" s="457"/>
      <c r="L3" s="458" t="s">
        <v>265</v>
      </c>
    </row>
    <row r="4" spans="1:13" ht="26.25" thickBot="1" x14ac:dyDescent="0.3">
      <c r="A4" s="449"/>
      <c r="B4" s="451"/>
      <c r="C4" s="93" t="s">
        <v>269</v>
      </c>
      <c r="D4" s="94" t="s">
        <v>270</v>
      </c>
      <c r="E4" s="94" t="s">
        <v>271</v>
      </c>
      <c r="F4" s="95" t="s">
        <v>272</v>
      </c>
      <c r="G4" s="96" t="s">
        <v>110</v>
      </c>
      <c r="H4" s="97" t="s">
        <v>270</v>
      </c>
      <c r="I4" s="94" t="s">
        <v>271</v>
      </c>
      <c r="J4" s="95" t="s">
        <v>272</v>
      </c>
      <c r="K4" s="98" t="s">
        <v>110</v>
      </c>
      <c r="L4" s="459"/>
    </row>
    <row r="5" spans="1:13" x14ac:dyDescent="0.25">
      <c r="A5" s="99">
        <v>1</v>
      </c>
      <c r="B5" s="100" t="s">
        <v>6</v>
      </c>
      <c r="C5" s="101"/>
      <c r="D5" s="102">
        <v>698</v>
      </c>
      <c r="E5" s="102">
        <v>36</v>
      </c>
      <c r="F5" s="102">
        <v>127</v>
      </c>
      <c r="G5" s="103">
        <f>C5+D5+E5+F5</f>
        <v>861</v>
      </c>
      <c r="H5" s="104"/>
      <c r="I5" s="105"/>
      <c r="J5" s="105"/>
      <c r="K5" s="106">
        <f t="shared" ref="K5:K6" si="0">H5+I5+J5</f>
        <v>0</v>
      </c>
      <c r="L5" s="107">
        <f t="shared" ref="L5:L48" si="1">G5+K5</f>
        <v>861</v>
      </c>
      <c r="M5" s="108"/>
    </row>
    <row r="6" spans="1:13" x14ac:dyDescent="0.25">
      <c r="A6" s="109">
        <v>2</v>
      </c>
      <c r="B6" s="110" t="s">
        <v>9</v>
      </c>
      <c r="C6" s="111"/>
      <c r="D6" s="112">
        <v>984</v>
      </c>
      <c r="E6" s="112">
        <v>48</v>
      </c>
      <c r="F6" s="112"/>
      <c r="G6" s="103">
        <f t="shared" ref="G6:G48" si="2">C6+D6+E6+F6</f>
        <v>1032</v>
      </c>
      <c r="H6" s="113"/>
      <c r="I6" s="114"/>
      <c r="J6" s="114"/>
      <c r="K6" s="115">
        <f t="shared" si="0"/>
        <v>0</v>
      </c>
      <c r="L6" s="116">
        <f t="shared" si="1"/>
        <v>1032</v>
      </c>
      <c r="M6" s="108"/>
    </row>
    <row r="7" spans="1:13" x14ac:dyDescent="0.25">
      <c r="A7" s="109">
        <v>3</v>
      </c>
      <c r="B7" s="110" t="s">
        <v>11</v>
      </c>
      <c r="C7" s="111"/>
      <c r="D7" s="112">
        <v>2546</v>
      </c>
      <c r="E7" s="112"/>
      <c r="F7" s="112">
        <v>444</v>
      </c>
      <c r="G7" s="103">
        <f t="shared" si="2"/>
        <v>2990</v>
      </c>
      <c r="H7" s="113">
        <v>1621</v>
      </c>
      <c r="I7" s="114"/>
      <c r="J7" s="114"/>
      <c r="K7" s="115">
        <f>H7+I7+J7</f>
        <v>1621</v>
      </c>
      <c r="L7" s="116">
        <f t="shared" si="1"/>
        <v>4611</v>
      </c>
      <c r="M7" s="108"/>
    </row>
    <row r="8" spans="1:13" x14ac:dyDescent="0.25">
      <c r="A8" s="109">
        <v>4</v>
      </c>
      <c r="B8" s="110" t="s">
        <v>13</v>
      </c>
      <c r="C8" s="111"/>
      <c r="D8" s="112">
        <v>1751</v>
      </c>
      <c r="E8" s="112"/>
      <c r="F8" s="112">
        <v>300</v>
      </c>
      <c r="G8" s="103">
        <f t="shared" si="2"/>
        <v>2051</v>
      </c>
      <c r="H8" s="113"/>
      <c r="I8" s="114"/>
      <c r="J8" s="114"/>
      <c r="K8" s="115">
        <f t="shared" ref="K8:K48" si="3">H8+I8+J8</f>
        <v>0</v>
      </c>
      <c r="L8" s="116">
        <f t="shared" si="1"/>
        <v>2051</v>
      </c>
      <c r="M8" s="108"/>
    </row>
    <row r="9" spans="1:13" x14ac:dyDescent="0.25">
      <c r="A9" s="109">
        <v>5</v>
      </c>
      <c r="B9" s="110" t="s">
        <v>15</v>
      </c>
      <c r="C9" s="111"/>
      <c r="D9" s="112">
        <f>497-260</f>
        <v>237</v>
      </c>
      <c r="E9" s="112"/>
      <c r="F9" s="112"/>
      <c r="G9" s="103">
        <f t="shared" si="2"/>
        <v>237</v>
      </c>
      <c r="H9" s="113"/>
      <c r="I9" s="114"/>
      <c r="J9" s="114"/>
      <c r="K9" s="115">
        <f t="shared" si="3"/>
        <v>0</v>
      </c>
      <c r="L9" s="116">
        <f t="shared" si="1"/>
        <v>237</v>
      </c>
      <c r="M9" s="108"/>
    </row>
    <row r="10" spans="1:13" x14ac:dyDescent="0.25">
      <c r="A10" s="109">
        <v>6</v>
      </c>
      <c r="B10" s="110" t="s">
        <v>273</v>
      </c>
      <c r="C10" s="111"/>
      <c r="D10" s="112">
        <v>230</v>
      </c>
      <c r="E10" s="112"/>
      <c r="F10" s="112"/>
      <c r="G10" s="103">
        <f t="shared" si="2"/>
        <v>230</v>
      </c>
      <c r="H10" s="113"/>
      <c r="I10" s="114"/>
      <c r="J10" s="114"/>
      <c r="K10" s="115">
        <f t="shared" si="3"/>
        <v>0</v>
      </c>
      <c r="L10" s="116">
        <f t="shared" si="1"/>
        <v>230</v>
      </c>
      <c r="M10" s="108"/>
    </row>
    <row r="11" spans="1:13" x14ac:dyDescent="0.25">
      <c r="A11" s="109">
        <v>7</v>
      </c>
      <c r="B11" s="110" t="s">
        <v>22</v>
      </c>
      <c r="C11" s="111"/>
      <c r="D11" s="112">
        <v>963</v>
      </c>
      <c r="E11" s="112"/>
      <c r="F11" s="112"/>
      <c r="G11" s="103">
        <f t="shared" si="2"/>
        <v>963</v>
      </c>
      <c r="H11" s="113"/>
      <c r="I11" s="114"/>
      <c r="J11" s="114"/>
      <c r="K11" s="115">
        <f t="shared" si="3"/>
        <v>0</v>
      </c>
      <c r="L11" s="116">
        <f t="shared" si="1"/>
        <v>963</v>
      </c>
      <c r="M11" s="108"/>
    </row>
    <row r="12" spans="1:13" x14ac:dyDescent="0.25">
      <c r="A12" s="109">
        <v>8</v>
      </c>
      <c r="B12" s="110" t="s">
        <v>195</v>
      </c>
      <c r="C12" s="111"/>
      <c r="D12" s="112">
        <v>2091</v>
      </c>
      <c r="E12" s="112">
        <v>93</v>
      </c>
      <c r="F12" s="112">
        <v>253</v>
      </c>
      <c r="G12" s="103">
        <f t="shared" si="2"/>
        <v>2437</v>
      </c>
      <c r="H12" s="113">
        <v>2209</v>
      </c>
      <c r="I12" s="114">
        <v>58</v>
      </c>
      <c r="J12" s="114"/>
      <c r="K12" s="115">
        <f t="shared" si="3"/>
        <v>2267</v>
      </c>
      <c r="L12" s="116">
        <f t="shared" si="1"/>
        <v>4704</v>
      </c>
      <c r="M12" s="108"/>
    </row>
    <row r="13" spans="1:13" ht="25.5" x14ac:dyDescent="0.25">
      <c r="A13" s="109">
        <v>9</v>
      </c>
      <c r="B13" s="117" t="s">
        <v>198</v>
      </c>
      <c r="C13" s="118"/>
      <c r="D13" s="112">
        <v>1681</v>
      </c>
      <c r="E13" s="112">
        <v>68</v>
      </c>
      <c r="F13" s="112"/>
      <c r="G13" s="103">
        <f t="shared" si="2"/>
        <v>1749</v>
      </c>
      <c r="H13" s="113"/>
      <c r="I13" s="114"/>
      <c r="J13" s="114"/>
      <c r="K13" s="115">
        <f t="shared" si="3"/>
        <v>0</v>
      </c>
      <c r="L13" s="116">
        <f t="shared" si="1"/>
        <v>1749</v>
      </c>
      <c r="M13" s="108"/>
    </row>
    <row r="14" spans="1:13" x14ac:dyDescent="0.25">
      <c r="A14" s="109">
        <v>10</v>
      </c>
      <c r="B14" s="110" t="s">
        <v>36</v>
      </c>
      <c r="C14" s="111"/>
      <c r="D14" s="112">
        <v>1179</v>
      </c>
      <c r="E14" s="112">
        <f>57-57</f>
        <v>0</v>
      </c>
      <c r="F14" s="112">
        <f>0+39</f>
        <v>39</v>
      </c>
      <c r="G14" s="103">
        <f t="shared" si="2"/>
        <v>1218</v>
      </c>
      <c r="H14" s="113"/>
      <c r="I14" s="114"/>
      <c r="J14" s="114"/>
      <c r="K14" s="115">
        <f t="shared" si="3"/>
        <v>0</v>
      </c>
      <c r="L14" s="116">
        <f t="shared" si="1"/>
        <v>1218</v>
      </c>
      <c r="M14" s="108"/>
    </row>
    <row r="15" spans="1:13" x14ac:dyDescent="0.25">
      <c r="A15" s="109">
        <v>11</v>
      </c>
      <c r="B15" s="110" t="s">
        <v>274</v>
      </c>
      <c r="C15" s="111"/>
      <c r="D15" s="112">
        <f>2926-700</f>
        <v>2226</v>
      </c>
      <c r="E15" s="112"/>
      <c r="F15" s="112">
        <v>448</v>
      </c>
      <c r="G15" s="103">
        <f t="shared" si="2"/>
        <v>2674</v>
      </c>
      <c r="H15" s="113"/>
      <c r="I15" s="114"/>
      <c r="J15" s="114"/>
      <c r="K15" s="115">
        <f t="shared" si="3"/>
        <v>0</v>
      </c>
      <c r="L15" s="116">
        <f t="shared" si="1"/>
        <v>2674</v>
      </c>
      <c r="M15" s="108"/>
    </row>
    <row r="16" spans="1:13" x14ac:dyDescent="0.25">
      <c r="A16" s="109">
        <v>12</v>
      </c>
      <c r="B16" s="119" t="s">
        <v>275</v>
      </c>
      <c r="C16" s="120"/>
      <c r="D16" s="112">
        <v>1124</v>
      </c>
      <c r="E16" s="112">
        <v>56</v>
      </c>
      <c r="F16" s="112"/>
      <c r="G16" s="103">
        <f t="shared" si="2"/>
        <v>1180</v>
      </c>
      <c r="H16" s="113"/>
      <c r="I16" s="114"/>
      <c r="J16" s="114"/>
      <c r="K16" s="115">
        <f t="shared" si="3"/>
        <v>0</v>
      </c>
      <c r="L16" s="116">
        <f t="shared" si="1"/>
        <v>1180</v>
      </c>
      <c r="M16" s="108"/>
    </row>
    <row r="17" spans="1:13" x14ac:dyDescent="0.25">
      <c r="A17" s="109">
        <v>13</v>
      </c>
      <c r="B17" s="110" t="s">
        <v>53</v>
      </c>
      <c r="C17" s="111"/>
      <c r="D17" s="112">
        <v>2674</v>
      </c>
      <c r="E17" s="112">
        <v>88</v>
      </c>
      <c r="F17" s="112"/>
      <c r="G17" s="103">
        <f t="shared" si="2"/>
        <v>2762</v>
      </c>
      <c r="H17" s="113"/>
      <c r="I17" s="114"/>
      <c r="J17" s="114"/>
      <c r="K17" s="115">
        <f t="shared" si="3"/>
        <v>0</v>
      </c>
      <c r="L17" s="116">
        <f t="shared" si="1"/>
        <v>2762</v>
      </c>
      <c r="M17" s="108"/>
    </row>
    <row r="18" spans="1:13" x14ac:dyDescent="0.25">
      <c r="A18" s="109">
        <v>14</v>
      </c>
      <c r="B18" s="110" t="s">
        <v>28</v>
      </c>
      <c r="C18" s="111"/>
      <c r="D18" s="112">
        <f>889-200</f>
        <v>689</v>
      </c>
      <c r="E18" s="112">
        <v>44</v>
      </c>
      <c r="F18" s="112"/>
      <c r="G18" s="103">
        <f t="shared" si="2"/>
        <v>733</v>
      </c>
      <c r="H18" s="113"/>
      <c r="I18" s="114"/>
      <c r="J18" s="114"/>
      <c r="K18" s="115">
        <f t="shared" si="3"/>
        <v>0</v>
      </c>
      <c r="L18" s="116">
        <f t="shared" si="1"/>
        <v>733</v>
      </c>
      <c r="M18" s="108"/>
    </row>
    <row r="19" spans="1:13" x14ac:dyDescent="0.25">
      <c r="A19" s="109">
        <v>15</v>
      </c>
      <c r="B19" s="110" t="s">
        <v>37</v>
      </c>
      <c r="C19" s="111"/>
      <c r="D19" s="112">
        <v>1331</v>
      </c>
      <c r="E19" s="112"/>
      <c r="F19" s="112">
        <v>229</v>
      </c>
      <c r="G19" s="103">
        <f t="shared" si="2"/>
        <v>1560</v>
      </c>
      <c r="H19" s="113"/>
      <c r="I19" s="114"/>
      <c r="J19" s="114"/>
      <c r="K19" s="115">
        <f t="shared" si="3"/>
        <v>0</v>
      </c>
      <c r="L19" s="116">
        <f t="shared" si="1"/>
        <v>1560</v>
      </c>
      <c r="M19" s="108"/>
    </row>
    <row r="20" spans="1:13" x14ac:dyDescent="0.25">
      <c r="A20" s="109">
        <v>16</v>
      </c>
      <c r="B20" s="110" t="s">
        <v>21</v>
      </c>
      <c r="C20" s="111"/>
      <c r="D20" s="112">
        <v>902</v>
      </c>
      <c r="E20" s="112">
        <v>46</v>
      </c>
      <c r="F20" s="112"/>
      <c r="G20" s="103">
        <f t="shared" si="2"/>
        <v>948</v>
      </c>
      <c r="H20" s="113"/>
      <c r="I20" s="114"/>
      <c r="J20" s="114"/>
      <c r="K20" s="115">
        <f t="shared" si="3"/>
        <v>0</v>
      </c>
      <c r="L20" s="116">
        <f t="shared" si="1"/>
        <v>948</v>
      </c>
      <c r="M20" s="108"/>
    </row>
    <row r="21" spans="1:13" x14ac:dyDescent="0.25">
      <c r="A21" s="109">
        <v>17</v>
      </c>
      <c r="B21" s="121" t="s">
        <v>45</v>
      </c>
      <c r="C21" s="122"/>
      <c r="D21" s="112">
        <f>1882-300</f>
        <v>1582</v>
      </c>
      <c r="E21" s="112"/>
      <c r="F21" s="112"/>
      <c r="G21" s="103">
        <f t="shared" si="2"/>
        <v>1582</v>
      </c>
      <c r="H21" s="113"/>
      <c r="I21" s="114"/>
      <c r="J21" s="114"/>
      <c r="K21" s="115">
        <f t="shared" si="3"/>
        <v>0</v>
      </c>
      <c r="L21" s="116">
        <f t="shared" si="1"/>
        <v>1582</v>
      </c>
      <c r="M21" s="108"/>
    </row>
    <row r="22" spans="1:13" x14ac:dyDescent="0.25">
      <c r="A22" s="109">
        <v>18</v>
      </c>
      <c r="B22" s="121" t="s">
        <v>134</v>
      </c>
      <c r="C22" s="122"/>
      <c r="D22" s="112">
        <f>746-350</f>
        <v>396</v>
      </c>
      <c r="E22" s="112">
        <v>36</v>
      </c>
      <c r="F22" s="112"/>
      <c r="G22" s="103">
        <f t="shared" si="2"/>
        <v>432</v>
      </c>
      <c r="H22" s="113"/>
      <c r="I22" s="114"/>
      <c r="J22" s="114"/>
      <c r="K22" s="115">
        <f t="shared" si="3"/>
        <v>0</v>
      </c>
      <c r="L22" s="116">
        <f>G22+K22</f>
        <v>432</v>
      </c>
      <c r="M22" s="108"/>
    </row>
    <row r="23" spans="1:13" x14ac:dyDescent="0.25">
      <c r="A23" s="109">
        <v>19</v>
      </c>
      <c r="B23" s="110" t="s">
        <v>52</v>
      </c>
      <c r="C23" s="111"/>
      <c r="D23" s="112">
        <v>937</v>
      </c>
      <c r="E23" s="112">
        <v>49</v>
      </c>
      <c r="F23" s="112">
        <v>167</v>
      </c>
      <c r="G23" s="103">
        <f t="shared" si="2"/>
        <v>1153</v>
      </c>
      <c r="H23" s="113"/>
      <c r="I23" s="114"/>
      <c r="J23" s="114"/>
      <c r="K23" s="115">
        <f t="shared" si="3"/>
        <v>0</v>
      </c>
      <c r="L23" s="116">
        <f t="shared" si="1"/>
        <v>1153</v>
      </c>
      <c r="M23" s="108"/>
    </row>
    <row r="24" spans="1:13" x14ac:dyDescent="0.25">
      <c r="A24" s="109">
        <v>20</v>
      </c>
      <c r="B24" s="123" t="s">
        <v>276</v>
      </c>
      <c r="C24" s="124"/>
      <c r="D24" s="112"/>
      <c r="E24" s="112"/>
      <c r="F24" s="112"/>
      <c r="G24" s="103">
        <f t="shared" si="2"/>
        <v>0</v>
      </c>
      <c r="H24" s="113">
        <f>1130-283</f>
        <v>847</v>
      </c>
      <c r="I24" s="114"/>
      <c r="J24" s="114"/>
      <c r="K24" s="115">
        <f t="shared" si="3"/>
        <v>847</v>
      </c>
      <c r="L24" s="116">
        <f t="shared" si="1"/>
        <v>847</v>
      </c>
      <c r="M24" s="108"/>
    </row>
    <row r="25" spans="1:13" x14ac:dyDescent="0.25">
      <c r="A25" s="109">
        <v>21</v>
      </c>
      <c r="B25" s="123" t="s">
        <v>277</v>
      </c>
      <c r="C25" s="124"/>
      <c r="D25" s="112">
        <v>617</v>
      </c>
      <c r="E25" s="112">
        <v>32</v>
      </c>
      <c r="F25" s="112"/>
      <c r="G25" s="103">
        <f t="shared" si="2"/>
        <v>649</v>
      </c>
      <c r="H25" s="113">
        <f>1633+872-598</f>
        <v>1907</v>
      </c>
      <c r="I25" s="114">
        <f>34+22-35+88</f>
        <v>109</v>
      </c>
      <c r="J25" s="114">
        <f>0+21</f>
        <v>21</v>
      </c>
      <c r="K25" s="115">
        <f t="shared" si="3"/>
        <v>2037</v>
      </c>
      <c r="L25" s="116">
        <f t="shared" si="1"/>
        <v>2686</v>
      </c>
      <c r="M25" s="108"/>
    </row>
    <row r="26" spans="1:13" x14ac:dyDescent="0.25">
      <c r="A26" s="109">
        <v>22</v>
      </c>
      <c r="B26" s="110" t="s">
        <v>278</v>
      </c>
      <c r="C26" s="111"/>
      <c r="D26" s="112">
        <v>218</v>
      </c>
      <c r="E26" s="112">
        <v>8</v>
      </c>
      <c r="F26" s="112">
        <v>29</v>
      </c>
      <c r="G26" s="103">
        <f t="shared" si="2"/>
        <v>255</v>
      </c>
      <c r="H26" s="113"/>
      <c r="I26" s="114"/>
      <c r="J26" s="114"/>
      <c r="K26" s="115">
        <f t="shared" si="3"/>
        <v>0</v>
      </c>
      <c r="L26" s="116">
        <f t="shared" si="1"/>
        <v>255</v>
      </c>
      <c r="M26" s="108"/>
    </row>
    <row r="27" spans="1:13" x14ac:dyDescent="0.25">
      <c r="A27" s="109">
        <v>23</v>
      </c>
      <c r="B27" s="110" t="s">
        <v>279</v>
      </c>
      <c r="C27" s="111"/>
      <c r="D27" s="112"/>
      <c r="E27" s="112"/>
      <c r="F27" s="112"/>
      <c r="G27" s="103">
        <f t="shared" si="2"/>
        <v>0</v>
      </c>
      <c r="H27" s="113">
        <v>1045</v>
      </c>
      <c r="I27" s="114"/>
      <c r="J27" s="114"/>
      <c r="K27" s="115">
        <f t="shared" si="3"/>
        <v>1045</v>
      </c>
      <c r="L27" s="116">
        <f t="shared" si="1"/>
        <v>1045</v>
      </c>
      <c r="M27" s="108"/>
    </row>
    <row r="28" spans="1:13" x14ac:dyDescent="0.25">
      <c r="A28" s="109">
        <v>24</v>
      </c>
      <c r="B28" s="123" t="s">
        <v>280</v>
      </c>
      <c r="C28" s="124"/>
      <c r="D28" s="112"/>
      <c r="E28" s="112"/>
      <c r="F28" s="112"/>
      <c r="G28" s="103">
        <f t="shared" si="2"/>
        <v>0</v>
      </c>
      <c r="H28" s="113">
        <f>652+28+821</f>
        <v>1501</v>
      </c>
      <c r="I28" s="114">
        <f>37+30</f>
        <v>67</v>
      </c>
      <c r="J28" s="114"/>
      <c r="K28" s="115">
        <f t="shared" si="3"/>
        <v>1568</v>
      </c>
      <c r="L28" s="116">
        <f t="shared" si="1"/>
        <v>1568</v>
      </c>
      <c r="M28" s="108"/>
    </row>
    <row r="29" spans="1:13" x14ac:dyDescent="0.25">
      <c r="A29" s="109">
        <v>25</v>
      </c>
      <c r="B29" s="110" t="s">
        <v>281</v>
      </c>
      <c r="C29" s="111"/>
      <c r="D29" s="112">
        <f>303-8</f>
        <v>295</v>
      </c>
      <c r="E29" s="112">
        <f>15-1</f>
        <v>14</v>
      </c>
      <c r="F29" s="112"/>
      <c r="G29" s="103">
        <f t="shared" si="2"/>
        <v>309</v>
      </c>
      <c r="H29" s="113">
        <f>731-183</f>
        <v>548</v>
      </c>
      <c r="I29" s="114">
        <v>15</v>
      </c>
      <c r="J29" s="114"/>
      <c r="K29" s="115">
        <f t="shared" si="3"/>
        <v>563</v>
      </c>
      <c r="L29" s="116">
        <f t="shared" si="1"/>
        <v>872</v>
      </c>
      <c r="M29" s="108"/>
    </row>
    <row r="30" spans="1:13" x14ac:dyDescent="0.25">
      <c r="A30" s="109">
        <v>26</v>
      </c>
      <c r="B30" s="110" t="s">
        <v>282</v>
      </c>
      <c r="C30" s="111"/>
      <c r="D30" s="112"/>
      <c r="E30" s="112"/>
      <c r="F30" s="112"/>
      <c r="G30" s="103">
        <f t="shared" si="2"/>
        <v>0</v>
      </c>
      <c r="H30" s="113">
        <v>326</v>
      </c>
      <c r="I30" s="114">
        <v>7</v>
      </c>
      <c r="J30" s="114"/>
      <c r="K30" s="115">
        <f t="shared" si="3"/>
        <v>333</v>
      </c>
      <c r="L30" s="116">
        <f t="shared" si="1"/>
        <v>333</v>
      </c>
      <c r="M30" s="108"/>
    </row>
    <row r="31" spans="1:13" x14ac:dyDescent="0.25">
      <c r="A31" s="109">
        <v>27</v>
      </c>
      <c r="B31" s="125" t="s">
        <v>283</v>
      </c>
      <c r="C31" s="126"/>
      <c r="D31" s="112">
        <f>625-25+320</f>
        <v>920</v>
      </c>
      <c r="E31" s="112">
        <f>24+16</f>
        <v>40</v>
      </c>
      <c r="F31" s="112">
        <f>0+7</f>
        <v>7</v>
      </c>
      <c r="G31" s="103">
        <f t="shared" si="2"/>
        <v>967</v>
      </c>
      <c r="H31" s="113"/>
      <c r="I31" s="114"/>
      <c r="J31" s="114"/>
      <c r="K31" s="115">
        <f t="shared" si="3"/>
        <v>0</v>
      </c>
      <c r="L31" s="116">
        <f t="shared" si="1"/>
        <v>967</v>
      </c>
      <c r="M31" s="108"/>
    </row>
    <row r="32" spans="1:13" x14ac:dyDescent="0.25">
      <c r="A32" s="109">
        <v>28</v>
      </c>
      <c r="B32" s="110" t="s">
        <v>284</v>
      </c>
      <c r="C32" s="111"/>
      <c r="D32" s="112">
        <v>1091</v>
      </c>
      <c r="E32" s="112"/>
      <c r="F32" s="112"/>
      <c r="G32" s="103">
        <f t="shared" si="2"/>
        <v>1091</v>
      </c>
      <c r="H32" s="113"/>
      <c r="I32" s="114"/>
      <c r="J32" s="114"/>
      <c r="K32" s="115">
        <f t="shared" si="3"/>
        <v>0</v>
      </c>
      <c r="L32" s="116">
        <f t="shared" si="1"/>
        <v>1091</v>
      </c>
      <c r="M32" s="108"/>
    </row>
    <row r="33" spans="1:13" x14ac:dyDescent="0.25">
      <c r="A33" s="109">
        <v>29</v>
      </c>
      <c r="B33" s="110" t="s">
        <v>285</v>
      </c>
      <c r="C33" s="111"/>
      <c r="D33" s="112">
        <v>2975</v>
      </c>
      <c r="E33" s="112">
        <v>58</v>
      </c>
      <c r="F33" s="112">
        <v>89</v>
      </c>
      <c r="G33" s="103">
        <f t="shared" si="2"/>
        <v>3122</v>
      </c>
      <c r="H33" s="113"/>
      <c r="I33" s="114"/>
      <c r="J33" s="114"/>
      <c r="K33" s="115">
        <f t="shared" si="3"/>
        <v>0</v>
      </c>
      <c r="L33" s="116">
        <f t="shared" si="1"/>
        <v>3122</v>
      </c>
      <c r="M33" s="108"/>
    </row>
    <row r="34" spans="1:13" x14ac:dyDescent="0.25">
      <c r="A34" s="109">
        <v>30</v>
      </c>
      <c r="B34" s="127" t="s">
        <v>286</v>
      </c>
      <c r="C34" s="128"/>
      <c r="D34" s="112">
        <f>1908-320</f>
        <v>1588</v>
      </c>
      <c r="E34" s="112">
        <f>98-16</f>
        <v>82</v>
      </c>
      <c r="F34" s="112"/>
      <c r="G34" s="103">
        <f t="shared" si="2"/>
        <v>1670</v>
      </c>
      <c r="H34" s="113"/>
      <c r="I34" s="114"/>
      <c r="J34" s="114"/>
      <c r="K34" s="115">
        <f t="shared" si="3"/>
        <v>0</v>
      </c>
      <c r="L34" s="116">
        <f t="shared" si="1"/>
        <v>1670</v>
      </c>
      <c r="M34" s="108"/>
    </row>
    <row r="35" spans="1:13" x14ac:dyDescent="0.25">
      <c r="A35" s="109">
        <v>31</v>
      </c>
      <c r="B35" s="127" t="s">
        <v>56</v>
      </c>
      <c r="C35" s="128"/>
      <c r="D35" s="112">
        <f>573-96</f>
        <v>477</v>
      </c>
      <c r="E35" s="112">
        <f>22-4</f>
        <v>18</v>
      </c>
      <c r="F35" s="112"/>
      <c r="G35" s="103">
        <f t="shared" si="2"/>
        <v>495</v>
      </c>
      <c r="H35" s="113"/>
      <c r="I35" s="114"/>
      <c r="J35" s="114"/>
      <c r="K35" s="115">
        <f t="shared" si="3"/>
        <v>0</v>
      </c>
      <c r="L35" s="116">
        <f t="shared" si="1"/>
        <v>495</v>
      </c>
      <c r="M35" s="108"/>
    </row>
    <row r="36" spans="1:13" x14ac:dyDescent="0.25">
      <c r="A36" s="109">
        <v>32</v>
      </c>
      <c r="B36" s="127" t="s">
        <v>59</v>
      </c>
      <c r="C36" s="144">
        <v>2200</v>
      </c>
      <c r="D36" s="112">
        <f>3946+96-500</f>
        <v>3542</v>
      </c>
      <c r="E36" s="112">
        <f>199+4</f>
        <v>203</v>
      </c>
      <c r="F36" s="112">
        <v>520</v>
      </c>
      <c r="G36" s="103">
        <f t="shared" si="2"/>
        <v>6465</v>
      </c>
      <c r="H36" s="113"/>
      <c r="I36" s="114"/>
      <c r="J36" s="114"/>
      <c r="K36" s="115">
        <f t="shared" si="3"/>
        <v>0</v>
      </c>
      <c r="L36" s="116">
        <f t="shared" si="1"/>
        <v>6465</v>
      </c>
      <c r="M36" s="108"/>
    </row>
    <row r="37" spans="1:13" x14ac:dyDescent="0.25">
      <c r="A37" s="109">
        <v>33</v>
      </c>
      <c r="B37" s="127" t="s">
        <v>287</v>
      </c>
      <c r="C37" s="128"/>
      <c r="D37" s="112">
        <f>392+1810</f>
        <v>2202</v>
      </c>
      <c r="E37" s="112">
        <v>19</v>
      </c>
      <c r="F37" s="112">
        <v>64</v>
      </c>
      <c r="G37" s="103">
        <f t="shared" si="2"/>
        <v>2285</v>
      </c>
      <c r="H37" s="113"/>
      <c r="I37" s="114"/>
      <c r="J37" s="114"/>
      <c r="K37" s="115">
        <f t="shared" si="3"/>
        <v>0</v>
      </c>
      <c r="L37" s="116">
        <f t="shared" si="1"/>
        <v>2285</v>
      </c>
      <c r="M37" s="108"/>
    </row>
    <row r="38" spans="1:13" x14ac:dyDescent="0.25">
      <c r="A38" s="109">
        <v>34</v>
      </c>
      <c r="B38" s="127" t="s">
        <v>116</v>
      </c>
      <c r="C38" s="128"/>
      <c r="D38" s="112">
        <f>1936-295</f>
        <v>1641</v>
      </c>
      <c r="E38" s="112">
        <f>62-14</f>
        <v>48</v>
      </c>
      <c r="F38" s="112">
        <v>182</v>
      </c>
      <c r="G38" s="103">
        <f t="shared" si="2"/>
        <v>1871</v>
      </c>
      <c r="H38" s="113">
        <f>5993-578</f>
        <v>5415</v>
      </c>
      <c r="I38" s="114">
        <v>9</v>
      </c>
      <c r="J38" s="114">
        <f>245-5</f>
        <v>240</v>
      </c>
      <c r="K38" s="115">
        <f t="shared" si="3"/>
        <v>5664</v>
      </c>
      <c r="L38" s="116">
        <f t="shared" si="1"/>
        <v>7535</v>
      </c>
      <c r="M38" s="108"/>
    </row>
    <row r="39" spans="1:13" x14ac:dyDescent="0.25">
      <c r="A39" s="109">
        <v>35</v>
      </c>
      <c r="B39" s="127" t="s">
        <v>62</v>
      </c>
      <c r="C39" s="144">
        <v>3200</v>
      </c>
      <c r="D39" s="112">
        <f>7070-900</f>
        <v>6170</v>
      </c>
      <c r="E39" s="112"/>
      <c r="F39" s="112">
        <v>1009</v>
      </c>
      <c r="G39" s="103">
        <f t="shared" si="2"/>
        <v>10379</v>
      </c>
      <c r="H39" s="113">
        <v>2697</v>
      </c>
      <c r="I39" s="114">
        <v>67</v>
      </c>
      <c r="J39" s="114"/>
      <c r="K39" s="115">
        <f t="shared" si="3"/>
        <v>2764</v>
      </c>
      <c r="L39" s="116">
        <f>G39+K39</f>
        <v>13143</v>
      </c>
      <c r="M39" s="108"/>
    </row>
    <row r="40" spans="1:13" x14ac:dyDescent="0.25">
      <c r="A40" s="109">
        <v>36</v>
      </c>
      <c r="B40" s="127" t="s">
        <v>112</v>
      </c>
      <c r="C40" s="128"/>
      <c r="D40" s="112">
        <v>6256</v>
      </c>
      <c r="E40" s="112">
        <v>0</v>
      </c>
      <c r="F40" s="112">
        <v>2540</v>
      </c>
      <c r="G40" s="103">
        <f t="shared" si="2"/>
        <v>8796</v>
      </c>
      <c r="H40" s="113">
        <v>5500</v>
      </c>
      <c r="I40" s="114"/>
      <c r="J40" s="114">
        <v>1200</v>
      </c>
      <c r="K40" s="115">
        <f t="shared" si="3"/>
        <v>6700</v>
      </c>
      <c r="L40" s="116">
        <f t="shared" si="1"/>
        <v>15496</v>
      </c>
      <c r="M40" s="108"/>
    </row>
    <row r="41" spans="1:13" x14ac:dyDescent="0.25">
      <c r="A41" s="109">
        <v>37</v>
      </c>
      <c r="B41" s="110" t="s">
        <v>113</v>
      </c>
      <c r="C41" s="111"/>
      <c r="D41" s="112">
        <f>21900-4000</f>
        <v>17900</v>
      </c>
      <c r="E41" s="112"/>
      <c r="F41" s="112">
        <v>11300</v>
      </c>
      <c r="G41" s="103">
        <f t="shared" si="2"/>
        <v>29200</v>
      </c>
      <c r="H41" s="113">
        <v>11000</v>
      </c>
      <c r="I41" s="114"/>
      <c r="J41" s="114">
        <v>1800</v>
      </c>
      <c r="K41" s="115">
        <f t="shared" si="3"/>
        <v>12800</v>
      </c>
      <c r="L41" s="116">
        <f t="shared" si="1"/>
        <v>42000</v>
      </c>
      <c r="M41" s="108"/>
    </row>
    <row r="42" spans="1:13" x14ac:dyDescent="0.25">
      <c r="A42" s="109">
        <v>38</v>
      </c>
      <c r="B42" s="110" t="s">
        <v>80</v>
      </c>
      <c r="C42" s="111"/>
      <c r="D42" s="112">
        <f>500-80</f>
        <v>420</v>
      </c>
      <c r="E42" s="112"/>
      <c r="F42" s="112">
        <f>1900-320</f>
        <v>1580</v>
      </c>
      <c r="G42" s="103">
        <f t="shared" si="2"/>
        <v>2000</v>
      </c>
      <c r="H42" s="113"/>
      <c r="I42" s="114"/>
      <c r="J42" s="114"/>
      <c r="K42" s="115">
        <f t="shared" si="3"/>
        <v>0</v>
      </c>
      <c r="L42" s="116">
        <f t="shared" si="1"/>
        <v>2000</v>
      </c>
      <c r="M42" s="108"/>
    </row>
    <row r="43" spans="1:13" x14ac:dyDescent="0.25">
      <c r="A43" s="109">
        <v>39</v>
      </c>
      <c r="B43" s="110" t="s">
        <v>63</v>
      </c>
      <c r="C43" s="111"/>
      <c r="D43" s="112">
        <v>2200</v>
      </c>
      <c r="E43" s="112"/>
      <c r="F43" s="112"/>
      <c r="G43" s="103">
        <f t="shared" si="2"/>
        <v>2200</v>
      </c>
      <c r="H43" s="113">
        <v>2000</v>
      </c>
      <c r="I43" s="114"/>
      <c r="J43" s="114"/>
      <c r="K43" s="115">
        <f t="shared" si="3"/>
        <v>2000</v>
      </c>
      <c r="L43" s="116">
        <f t="shared" si="1"/>
        <v>4200</v>
      </c>
      <c r="M43" s="108"/>
    </row>
    <row r="44" spans="1:13" x14ac:dyDescent="0.25">
      <c r="A44" s="109">
        <v>40</v>
      </c>
      <c r="B44" s="110" t="s">
        <v>81</v>
      </c>
      <c r="C44" s="111"/>
      <c r="D44" s="112">
        <v>1320</v>
      </c>
      <c r="E44" s="112">
        <v>150</v>
      </c>
      <c r="F44" s="112">
        <v>500</v>
      </c>
      <c r="G44" s="103">
        <f t="shared" si="2"/>
        <v>1970</v>
      </c>
      <c r="H44" s="113"/>
      <c r="I44" s="114"/>
      <c r="J44" s="114"/>
      <c r="K44" s="115">
        <f t="shared" si="3"/>
        <v>0</v>
      </c>
      <c r="L44" s="116">
        <f t="shared" si="1"/>
        <v>1970</v>
      </c>
      <c r="M44" s="108"/>
    </row>
    <row r="45" spans="1:13" x14ac:dyDescent="0.25">
      <c r="A45" s="109">
        <v>41</v>
      </c>
      <c r="B45" s="123" t="s">
        <v>288</v>
      </c>
      <c r="C45" s="124"/>
      <c r="D45" s="112"/>
      <c r="E45" s="112"/>
      <c r="F45" s="112"/>
      <c r="G45" s="103">
        <f t="shared" si="2"/>
        <v>0</v>
      </c>
      <c r="H45" s="113">
        <v>2550</v>
      </c>
      <c r="I45" s="114"/>
      <c r="J45" s="114">
        <v>251</v>
      </c>
      <c r="K45" s="115">
        <f t="shared" si="3"/>
        <v>2801</v>
      </c>
      <c r="L45" s="116">
        <f t="shared" si="1"/>
        <v>2801</v>
      </c>
      <c r="M45" s="108"/>
    </row>
    <row r="46" spans="1:13" x14ac:dyDescent="0.25">
      <c r="A46" s="109">
        <v>42</v>
      </c>
      <c r="B46" s="119" t="s">
        <v>64</v>
      </c>
      <c r="C46" s="120"/>
      <c r="D46" s="112">
        <f>5200+303+80</f>
        <v>5583</v>
      </c>
      <c r="E46" s="112">
        <f>699+15</f>
        <v>714</v>
      </c>
      <c r="F46" s="112">
        <f>1000+320</f>
        <v>1320</v>
      </c>
      <c r="G46" s="103">
        <f t="shared" si="2"/>
        <v>7617</v>
      </c>
      <c r="H46" s="113">
        <f>4576-900+390</f>
        <v>4066</v>
      </c>
      <c r="I46" s="114">
        <f>445-22+5</f>
        <v>428</v>
      </c>
      <c r="J46" s="114">
        <f>100-21+5</f>
        <v>84</v>
      </c>
      <c r="K46" s="129">
        <f t="shared" si="3"/>
        <v>4578</v>
      </c>
      <c r="L46" s="130">
        <f t="shared" si="1"/>
        <v>12195</v>
      </c>
      <c r="M46" s="108"/>
    </row>
    <row r="47" spans="1:13" x14ac:dyDescent="0.25">
      <c r="A47" s="109">
        <v>43</v>
      </c>
      <c r="B47" s="119" t="s">
        <v>289</v>
      </c>
      <c r="C47" s="120"/>
      <c r="D47" s="112">
        <v>2138</v>
      </c>
      <c r="E47" s="112">
        <v>102</v>
      </c>
      <c r="F47" s="112">
        <v>355</v>
      </c>
      <c r="G47" s="103">
        <f t="shared" si="2"/>
        <v>2595</v>
      </c>
      <c r="H47" s="113"/>
      <c r="I47" s="114"/>
      <c r="J47" s="114"/>
      <c r="K47" s="129">
        <f t="shared" si="3"/>
        <v>0</v>
      </c>
      <c r="L47" s="130">
        <f t="shared" si="1"/>
        <v>2595</v>
      </c>
      <c r="M47" s="108"/>
    </row>
    <row r="48" spans="1:13" ht="13.5" thickBot="1" x14ac:dyDescent="0.3">
      <c r="A48" s="131"/>
      <c r="B48" s="132" t="s">
        <v>141</v>
      </c>
      <c r="C48" s="133"/>
      <c r="D48" s="134"/>
      <c r="E48" s="134"/>
      <c r="F48" s="134"/>
      <c r="G48" s="103">
        <f t="shared" si="2"/>
        <v>0</v>
      </c>
      <c r="H48" s="145">
        <f>431-88</f>
        <v>343</v>
      </c>
      <c r="I48" s="135"/>
      <c r="J48" s="135"/>
      <c r="K48" s="146">
        <f t="shared" si="3"/>
        <v>343</v>
      </c>
      <c r="L48" s="147">
        <f t="shared" si="1"/>
        <v>343</v>
      </c>
      <c r="M48" s="108"/>
    </row>
    <row r="49" spans="1:13" ht="13.5" thickBot="1" x14ac:dyDescent="0.3">
      <c r="A49" s="136"/>
      <c r="B49" s="137" t="s">
        <v>106</v>
      </c>
      <c r="C49" s="138">
        <f>SUM(C5:C48)</f>
        <v>5400</v>
      </c>
      <c r="D49" s="139">
        <f>SUM(D5:D48)</f>
        <v>81774</v>
      </c>
      <c r="E49" s="139">
        <f t="shared" ref="E49:L49" si="4">SUM(E5:E48)</f>
        <v>2052</v>
      </c>
      <c r="F49" s="139">
        <f t="shared" si="4"/>
        <v>21502</v>
      </c>
      <c r="G49" s="140">
        <f t="shared" si="4"/>
        <v>110728</v>
      </c>
      <c r="H49" s="141">
        <f t="shared" si="4"/>
        <v>43575</v>
      </c>
      <c r="I49" s="139">
        <f t="shared" si="4"/>
        <v>760</v>
      </c>
      <c r="J49" s="139">
        <f t="shared" si="4"/>
        <v>3596</v>
      </c>
      <c r="K49" s="142">
        <f t="shared" si="4"/>
        <v>47931</v>
      </c>
      <c r="L49" s="143">
        <f t="shared" si="4"/>
        <v>158659</v>
      </c>
      <c r="M49" s="108"/>
    </row>
  </sheetData>
  <mergeCells count="6">
    <mergeCell ref="A1:L1"/>
    <mergeCell ref="A3:A4"/>
    <mergeCell ref="B3:B4"/>
    <mergeCell ref="C3:G3"/>
    <mergeCell ref="H3:K3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zoomScale="90" zoomScaleNormal="90" workbookViewId="0">
      <pane xSplit="2" ySplit="4" topLeftCell="C68" activePane="bottomRight" state="frozen"/>
      <selection pane="topRight" activeCell="C1" sqref="C1"/>
      <selection pane="bottomLeft" activeCell="A5" sqref="A5"/>
      <selection pane="bottomRight" activeCell="E99" sqref="E99"/>
    </sheetView>
  </sheetViews>
  <sheetFormatPr defaultRowHeight="12.75" x14ac:dyDescent="0.25"/>
  <cols>
    <col min="1" max="1" width="4.5703125" style="92" customWidth="1"/>
    <col min="2" max="2" width="42" style="200" customWidth="1"/>
    <col min="3" max="3" width="15.140625" style="92" customWidth="1"/>
    <col min="4" max="4" width="16.28515625" style="92" customWidth="1"/>
    <col min="5" max="5" width="19.140625" style="92" customWidth="1"/>
    <col min="6" max="6" width="15.42578125" style="92" customWidth="1"/>
    <col min="7" max="249" width="9.140625" style="92"/>
    <col min="250" max="250" width="60.7109375" style="92" customWidth="1"/>
    <col min="251" max="251" width="17" style="92" customWidth="1"/>
    <col min="252" max="252" width="22.42578125" style="92" customWidth="1"/>
    <col min="253" max="253" width="18.140625" style="92" customWidth="1"/>
    <col min="254" max="254" width="19.42578125" style="92" customWidth="1"/>
    <col min="255" max="255" width="18.5703125" style="92" customWidth="1"/>
    <col min="256" max="256" width="13.7109375" style="92" customWidth="1"/>
    <col min="257" max="258" width="21" style="92" customWidth="1"/>
    <col min="259" max="259" width="28.28515625" style="92" customWidth="1"/>
    <col min="260" max="260" width="17.42578125" style="92" customWidth="1"/>
    <col min="261" max="505" width="9.140625" style="92"/>
    <col min="506" max="506" width="60.7109375" style="92" customWidth="1"/>
    <col min="507" max="507" width="17" style="92" customWidth="1"/>
    <col min="508" max="508" width="22.42578125" style="92" customWidth="1"/>
    <col min="509" max="509" width="18.140625" style="92" customWidth="1"/>
    <col min="510" max="510" width="19.42578125" style="92" customWidth="1"/>
    <col min="511" max="511" width="18.5703125" style="92" customWidth="1"/>
    <col min="512" max="512" width="13.7109375" style="92" customWidth="1"/>
    <col min="513" max="514" width="21" style="92" customWidth="1"/>
    <col min="515" max="515" width="28.28515625" style="92" customWidth="1"/>
    <col min="516" max="516" width="17.42578125" style="92" customWidth="1"/>
    <col min="517" max="761" width="9.140625" style="92"/>
    <col min="762" max="762" width="60.7109375" style="92" customWidth="1"/>
    <col min="763" max="763" width="17" style="92" customWidth="1"/>
    <col min="764" max="764" width="22.42578125" style="92" customWidth="1"/>
    <col min="765" max="765" width="18.140625" style="92" customWidth="1"/>
    <col min="766" max="766" width="19.42578125" style="92" customWidth="1"/>
    <col min="767" max="767" width="18.5703125" style="92" customWidth="1"/>
    <col min="768" max="768" width="13.7109375" style="92" customWidth="1"/>
    <col min="769" max="770" width="21" style="92" customWidth="1"/>
    <col min="771" max="771" width="28.28515625" style="92" customWidth="1"/>
    <col min="772" max="772" width="17.42578125" style="92" customWidth="1"/>
    <col min="773" max="1017" width="9.140625" style="92"/>
    <col min="1018" max="1018" width="60.7109375" style="92" customWidth="1"/>
    <col min="1019" max="1019" width="17" style="92" customWidth="1"/>
    <col min="1020" max="1020" width="22.42578125" style="92" customWidth="1"/>
    <col min="1021" max="1021" width="18.140625" style="92" customWidth="1"/>
    <col min="1022" max="1022" width="19.42578125" style="92" customWidth="1"/>
    <col min="1023" max="1023" width="18.5703125" style="92" customWidth="1"/>
    <col min="1024" max="1024" width="13.7109375" style="92" customWidth="1"/>
    <col min="1025" max="1026" width="21" style="92" customWidth="1"/>
    <col min="1027" max="1027" width="28.28515625" style="92" customWidth="1"/>
    <col min="1028" max="1028" width="17.42578125" style="92" customWidth="1"/>
    <col min="1029" max="1273" width="9.140625" style="92"/>
    <col min="1274" max="1274" width="60.7109375" style="92" customWidth="1"/>
    <col min="1275" max="1275" width="17" style="92" customWidth="1"/>
    <col min="1276" max="1276" width="22.42578125" style="92" customWidth="1"/>
    <col min="1277" max="1277" width="18.140625" style="92" customWidth="1"/>
    <col min="1278" max="1278" width="19.42578125" style="92" customWidth="1"/>
    <col min="1279" max="1279" width="18.5703125" style="92" customWidth="1"/>
    <col min="1280" max="1280" width="13.7109375" style="92" customWidth="1"/>
    <col min="1281" max="1282" width="21" style="92" customWidth="1"/>
    <col min="1283" max="1283" width="28.28515625" style="92" customWidth="1"/>
    <col min="1284" max="1284" width="17.42578125" style="92" customWidth="1"/>
    <col min="1285" max="1529" width="9.140625" style="92"/>
    <col min="1530" max="1530" width="60.7109375" style="92" customWidth="1"/>
    <col min="1531" max="1531" width="17" style="92" customWidth="1"/>
    <col min="1532" max="1532" width="22.42578125" style="92" customWidth="1"/>
    <col min="1533" max="1533" width="18.140625" style="92" customWidth="1"/>
    <col min="1534" max="1534" width="19.42578125" style="92" customWidth="1"/>
    <col min="1535" max="1535" width="18.5703125" style="92" customWidth="1"/>
    <col min="1536" max="1536" width="13.7109375" style="92" customWidth="1"/>
    <col min="1537" max="1538" width="21" style="92" customWidth="1"/>
    <col min="1539" max="1539" width="28.28515625" style="92" customWidth="1"/>
    <col min="1540" max="1540" width="17.42578125" style="92" customWidth="1"/>
    <col min="1541" max="1785" width="9.140625" style="92"/>
    <col min="1786" max="1786" width="60.7109375" style="92" customWidth="1"/>
    <col min="1787" max="1787" width="17" style="92" customWidth="1"/>
    <col min="1788" max="1788" width="22.42578125" style="92" customWidth="1"/>
    <col min="1789" max="1789" width="18.140625" style="92" customWidth="1"/>
    <col min="1790" max="1790" width="19.42578125" style="92" customWidth="1"/>
    <col min="1791" max="1791" width="18.5703125" style="92" customWidth="1"/>
    <col min="1792" max="1792" width="13.7109375" style="92" customWidth="1"/>
    <col min="1793" max="1794" width="21" style="92" customWidth="1"/>
    <col min="1795" max="1795" width="28.28515625" style="92" customWidth="1"/>
    <col min="1796" max="1796" width="17.42578125" style="92" customWidth="1"/>
    <col min="1797" max="2041" width="9.140625" style="92"/>
    <col min="2042" max="2042" width="60.7109375" style="92" customWidth="1"/>
    <col min="2043" max="2043" width="17" style="92" customWidth="1"/>
    <col min="2044" max="2044" width="22.42578125" style="92" customWidth="1"/>
    <col min="2045" max="2045" width="18.140625" style="92" customWidth="1"/>
    <col min="2046" max="2046" width="19.42578125" style="92" customWidth="1"/>
    <col min="2047" max="2047" width="18.5703125" style="92" customWidth="1"/>
    <col min="2048" max="2048" width="13.7109375" style="92" customWidth="1"/>
    <col min="2049" max="2050" width="21" style="92" customWidth="1"/>
    <col min="2051" max="2051" width="28.28515625" style="92" customWidth="1"/>
    <col min="2052" max="2052" width="17.42578125" style="92" customWidth="1"/>
    <col min="2053" max="2297" width="9.140625" style="92"/>
    <col min="2298" max="2298" width="60.7109375" style="92" customWidth="1"/>
    <col min="2299" max="2299" width="17" style="92" customWidth="1"/>
    <col min="2300" max="2300" width="22.42578125" style="92" customWidth="1"/>
    <col min="2301" max="2301" width="18.140625" style="92" customWidth="1"/>
    <col min="2302" max="2302" width="19.42578125" style="92" customWidth="1"/>
    <col min="2303" max="2303" width="18.5703125" style="92" customWidth="1"/>
    <col min="2304" max="2304" width="13.7109375" style="92" customWidth="1"/>
    <col min="2305" max="2306" width="21" style="92" customWidth="1"/>
    <col min="2307" max="2307" width="28.28515625" style="92" customWidth="1"/>
    <col min="2308" max="2308" width="17.42578125" style="92" customWidth="1"/>
    <col min="2309" max="2553" width="9.140625" style="92"/>
    <col min="2554" max="2554" width="60.7109375" style="92" customWidth="1"/>
    <col min="2555" max="2555" width="17" style="92" customWidth="1"/>
    <col min="2556" max="2556" width="22.42578125" style="92" customWidth="1"/>
    <col min="2557" max="2557" width="18.140625" style="92" customWidth="1"/>
    <col min="2558" max="2558" width="19.42578125" style="92" customWidth="1"/>
    <col min="2559" max="2559" width="18.5703125" style="92" customWidth="1"/>
    <col min="2560" max="2560" width="13.7109375" style="92" customWidth="1"/>
    <col min="2561" max="2562" width="21" style="92" customWidth="1"/>
    <col min="2563" max="2563" width="28.28515625" style="92" customWidth="1"/>
    <col min="2564" max="2564" width="17.42578125" style="92" customWidth="1"/>
    <col min="2565" max="2809" width="9.140625" style="92"/>
    <col min="2810" max="2810" width="60.7109375" style="92" customWidth="1"/>
    <col min="2811" max="2811" width="17" style="92" customWidth="1"/>
    <col min="2812" max="2812" width="22.42578125" style="92" customWidth="1"/>
    <col min="2813" max="2813" width="18.140625" style="92" customWidth="1"/>
    <col min="2814" max="2814" width="19.42578125" style="92" customWidth="1"/>
    <col min="2815" max="2815" width="18.5703125" style="92" customWidth="1"/>
    <col min="2816" max="2816" width="13.7109375" style="92" customWidth="1"/>
    <col min="2817" max="2818" width="21" style="92" customWidth="1"/>
    <col min="2819" max="2819" width="28.28515625" style="92" customWidth="1"/>
    <col min="2820" max="2820" width="17.42578125" style="92" customWidth="1"/>
    <col min="2821" max="3065" width="9.140625" style="92"/>
    <col min="3066" max="3066" width="60.7109375" style="92" customWidth="1"/>
    <col min="3067" max="3067" width="17" style="92" customWidth="1"/>
    <col min="3068" max="3068" width="22.42578125" style="92" customWidth="1"/>
    <col min="3069" max="3069" width="18.140625" style="92" customWidth="1"/>
    <col min="3070" max="3070" width="19.42578125" style="92" customWidth="1"/>
    <col min="3071" max="3071" width="18.5703125" style="92" customWidth="1"/>
    <col min="3072" max="3072" width="13.7109375" style="92" customWidth="1"/>
    <col min="3073" max="3074" width="21" style="92" customWidth="1"/>
    <col min="3075" max="3075" width="28.28515625" style="92" customWidth="1"/>
    <col min="3076" max="3076" width="17.42578125" style="92" customWidth="1"/>
    <col min="3077" max="3321" width="9.140625" style="92"/>
    <col min="3322" max="3322" width="60.7109375" style="92" customWidth="1"/>
    <col min="3323" max="3323" width="17" style="92" customWidth="1"/>
    <col min="3324" max="3324" width="22.42578125" style="92" customWidth="1"/>
    <col min="3325" max="3325" width="18.140625" style="92" customWidth="1"/>
    <col min="3326" max="3326" width="19.42578125" style="92" customWidth="1"/>
    <col min="3327" max="3327" width="18.5703125" style="92" customWidth="1"/>
    <col min="3328" max="3328" width="13.7109375" style="92" customWidth="1"/>
    <col min="3329" max="3330" width="21" style="92" customWidth="1"/>
    <col min="3331" max="3331" width="28.28515625" style="92" customWidth="1"/>
    <col min="3332" max="3332" width="17.42578125" style="92" customWidth="1"/>
    <col min="3333" max="3577" width="9.140625" style="92"/>
    <col min="3578" max="3578" width="60.7109375" style="92" customWidth="1"/>
    <col min="3579" max="3579" width="17" style="92" customWidth="1"/>
    <col min="3580" max="3580" width="22.42578125" style="92" customWidth="1"/>
    <col min="3581" max="3581" width="18.140625" style="92" customWidth="1"/>
    <col min="3582" max="3582" width="19.42578125" style="92" customWidth="1"/>
    <col min="3583" max="3583" width="18.5703125" style="92" customWidth="1"/>
    <col min="3584" max="3584" width="13.7109375" style="92" customWidth="1"/>
    <col min="3585" max="3586" width="21" style="92" customWidth="1"/>
    <col min="3587" max="3587" width="28.28515625" style="92" customWidth="1"/>
    <col min="3588" max="3588" width="17.42578125" style="92" customWidth="1"/>
    <col min="3589" max="3833" width="9.140625" style="92"/>
    <col min="3834" max="3834" width="60.7109375" style="92" customWidth="1"/>
    <col min="3835" max="3835" width="17" style="92" customWidth="1"/>
    <col min="3836" max="3836" width="22.42578125" style="92" customWidth="1"/>
    <col min="3837" max="3837" width="18.140625" style="92" customWidth="1"/>
    <col min="3838" max="3838" width="19.42578125" style="92" customWidth="1"/>
    <col min="3839" max="3839" width="18.5703125" style="92" customWidth="1"/>
    <col min="3840" max="3840" width="13.7109375" style="92" customWidth="1"/>
    <col min="3841" max="3842" width="21" style="92" customWidth="1"/>
    <col min="3843" max="3843" width="28.28515625" style="92" customWidth="1"/>
    <col min="3844" max="3844" width="17.42578125" style="92" customWidth="1"/>
    <col min="3845" max="4089" width="9.140625" style="92"/>
    <col min="4090" max="4090" width="60.7109375" style="92" customWidth="1"/>
    <col min="4091" max="4091" width="17" style="92" customWidth="1"/>
    <col min="4092" max="4092" width="22.42578125" style="92" customWidth="1"/>
    <col min="4093" max="4093" width="18.140625" style="92" customWidth="1"/>
    <col min="4094" max="4094" width="19.42578125" style="92" customWidth="1"/>
    <col min="4095" max="4095" width="18.5703125" style="92" customWidth="1"/>
    <col min="4096" max="4096" width="13.7109375" style="92" customWidth="1"/>
    <col min="4097" max="4098" width="21" style="92" customWidth="1"/>
    <col min="4099" max="4099" width="28.28515625" style="92" customWidth="1"/>
    <col min="4100" max="4100" width="17.42578125" style="92" customWidth="1"/>
    <col min="4101" max="4345" width="9.140625" style="92"/>
    <col min="4346" max="4346" width="60.7109375" style="92" customWidth="1"/>
    <col min="4347" max="4347" width="17" style="92" customWidth="1"/>
    <col min="4348" max="4348" width="22.42578125" style="92" customWidth="1"/>
    <col min="4349" max="4349" width="18.140625" style="92" customWidth="1"/>
    <col min="4350" max="4350" width="19.42578125" style="92" customWidth="1"/>
    <col min="4351" max="4351" width="18.5703125" style="92" customWidth="1"/>
    <col min="4352" max="4352" width="13.7109375" style="92" customWidth="1"/>
    <col min="4353" max="4354" width="21" style="92" customWidth="1"/>
    <col min="4355" max="4355" width="28.28515625" style="92" customWidth="1"/>
    <col min="4356" max="4356" width="17.42578125" style="92" customWidth="1"/>
    <col min="4357" max="4601" width="9.140625" style="92"/>
    <col min="4602" max="4602" width="60.7109375" style="92" customWidth="1"/>
    <col min="4603" max="4603" width="17" style="92" customWidth="1"/>
    <col min="4604" max="4604" width="22.42578125" style="92" customWidth="1"/>
    <col min="4605" max="4605" width="18.140625" style="92" customWidth="1"/>
    <col min="4606" max="4606" width="19.42578125" style="92" customWidth="1"/>
    <col min="4607" max="4607" width="18.5703125" style="92" customWidth="1"/>
    <col min="4608" max="4608" width="13.7109375" style="92" customWidth="1"/>
    <col min="4609" max="4610" width="21" style="92" customWidth="1"/>
    <col min="4611" max="4611" width="28.28515625" style="92" customWidth="1"/>
    <col min="4612" max="4612" width="17.42578125" style="92" customWidth="1"/>
    <col min="4613" max="4857" width="9.140625" style="92"/>
    <col min="4858" max="4858" width="60.7109375" style="92" customWidth="1"/>
    <col min="4859" max="4859" width="17" style="92" customWidth="1"/>
    <col min="4860" max="4860" width="22.42578125" style="92" customWidth="1"/>
    <col min="4861" max="4861" width="18.140625" style="92" customWidth="1"/>
    <col min="4862" max="4862" width="19.42578125" style="92" customWidth="1"/>
    <col min="4863" max="4863" width="18.5703125" style="92" customWidth="1"/>
    <col min="4864" max="4864" width="13.7109375" style="92" customWidth="1"/>
    <col min="4865" max="4866" width="21" style="92" customWidth="1"/>
    <col min="4867" max="4867" width="28.28515625" style="92" customWidth="1"/>
    <col min="4868" max="4868" width="17.42578125" style="92" customWidth="1"/>
    <col min="4869" max="5113" width="9.140625" style="92"/>
    <col min="5114" max="5114" width="60.7109375" style="92" customWidth="1"/>
    <col min="5115" max="5115" width="17" style="92" customWidth="1"/>
    <col min="5116" max="5116" width="22.42578125" style="92" customWidth="1"/>
    <col min="5117" max="5117" width="18.140625" style="92" customWidth="1"/>
    <col min="5118" max="5118" width="19.42578125" style="92" customWidth="1"/>
    <col min="5119" max="5119" width="18.5703125" style="92" customWidth="1"/>
    <col min="5120" max="5120" width="13.7109375" style="92" customWidth="1"/>
    <col min="5121" max="5122" width="21" style="92" customWidth="1"/>
    <col min="5123" max="5123" width="28.28515625" style="92" customWidth="1"/>
    <col min="5124" max="5124" width="17.42578125" style="92" customWidth="1"/>
    <col min="5125" max="5369" width="9.140625" style="92"/>
    <col min="5370" max="5370" width="60.7109375" style="92" customWidth="1"/>
    <col min="5371" max="5371" width="17" style="92" customWidth="1"/>
    <col min="5372" max="5372" width="22.42578125" style="92" customWidth="1"/>
    <col min="5373" max="5373" width="18.140625" style="92" customWidth="1"/>
    <col min="5374" max="5374" width="19.42578125" style="92" customWidth="1"/>
    <col min="5375" max="5375" width="18.5703125" style="92" customWidth="1"/>
    <col min="5376" max="5376" width="13.7109375" style="92" customWidth="1"/>
    <col min="5377" max="5378" width="21" style="92" customWidth="1"/>
    <col min="5379" max="5379" width="28.28515625" style="92" customWidth="1"/>
    <col min="5380" max="5380" width="17.42578125" style="92" customWidth="1"/>
    <col min="5381" max="5625" width="9.140625" style="92"/>
    <col min="5626" max="5626" width="60.7109375" style="92" customWidth="1"/>
    <col min="5627" max="5627" width="17" style="92" customWidth="1"/>
    <col min="5628" max="5628" width="22.42578125" style="92" customWidth="1"/>
    <col min="5629" max="5629" width="18.140625" style="92" customWidth="1"/>
    <col min="5630" max="5630" width="19.42578125" style="92" customWidth="1"/>
    <col min="5631" max="5631" width="18.5703125" style="92" customWidth="1"/>
    <col min="5632" max="5632" width="13.7109375" style="92" customWidth="1"/>
    <col min="5633" max="5634" width="21" style="92" customWidth="1"/>
    <col min="5635" max="5635" width="28.28515625" style="92" customWidth="1"/>
    <col min="5636" max="5636" width="17.42578125" style="92" customWidth="1"/>
    <col min="5637" max="5881" width="9.140625" style="92"/>
    <col min="5882" max="5882" width="60.7109375" style="92" customWidth="1"/>
    <col min="5883" max="5883" width="17" style="92" customWidth="1"/>
    <col min="5884" max="5884" width="22.42578125" style="92" customWidth="1"/>
    <col min="5885" max="5885" width="18.140625" style="92" customWidth="1"/>
    <col min="5886" max="5886" width="19.42578125" style="92" customWidth="1"/>
    <col min="5887" max="5887" width="18.5703125" style="92" customWidth="1"/>
    <col min="5888" max="5888" width="13.7109375" style="92" customWidth="1"/>
    <col min="5889" max="5890" width="21" style="92" customWidth="1"/>
    <col min="5891" max="5891" width="28.28515625" style="92" customWidth="1"/>
    <col min="5892" max="5892" width="17.42578125" style="92" customWidth="1"/>
    <col min="5893" max="6137" width="9.140625" style="92"/>
    <col min="6138" max="6138" width="60.7109375" style="92" customWidth="1"/>
    <col min="6139" max="6139" width="17" style="92" customWidth="1"/>
    <col min="6140" max="6140" width="22.42578125" style="92" customWidth="1"/>
    <col min="6141" max="6141" width="18.140625" style="92" customWidth="1"/>
    <col min="6142" max="6142" width="19.42578125" style="92" customWidth="1"/>
    <col min="6143" max="6143" width="18.5703125" style="92" customWidth="1"/>
    <col min="6144" max="6144" width="13.7109375" style="92" customWidth="1"/>
    <col min="6145" max="6146" width="21" style="92" customWidth="1"/>
    <col min="6147" max="6147" width="28.28515625" style="92" customWidth="1"/>
    <col min="6148" max="6148" width="17.42578125" style="92" customWidth="1"/>
    <col min="6149" max="6393" width="9.140625" style="92"/>
    <col min="6394" max="6394" width="60.7109375" style="92" customWidth="1"/>
    <col min="6395" max="6395" width="17" style="92" customWidth="1"/>
    <col min="6396" max="6396" width="22.42578125" style="92" customWidth="1"/>
    <col min="6397" max="6397" width="18.140625" style="92" customWidth="1"/>
    <col min="6398" max="6398" width="19.42578125" style="92" customWidth="1"/>
    <col min="6399" max="6399" width="18.5703125" style="92" customWidth="1"/>
    <col min="6400" max="6400" width="13.7109375" style="92" customWidth="1"/>
    <col min="6401" max="6402" width="21" style="92" customWidth="1"/>
    <col min="6403" max="6403" width="28.28515625" style="92" customWidth="1"/>
    <col min="6404" max="6404" width="17.42578125" style="92" customWidth="1"/>
    <col min="6405" max="6649" width="9.140625" style="92"/>
    <col min="6650" max="6650" width="60.7109375" style="92" customWidth="1"/>
    <col min="6651" max="6651" width="17" style="92" customWidth="1"/>
    <col min="6652" max="6652" width="22.42578125" style="92" customWidth="1"/>
    <col min="6653" max="6653" width="18.140625" style="92" customWidth="1"/>
    <col min="6654" max="6654" width="19.42578125" style="92" customWidth="1"/>
    <col min="6655" max="6655" width="18.5703125" style="92" customWidth="1"/>
    <col min="6656" max="6656" width="13.7109375" style="92" customWidth="1"/>
    <col min="6657" max="6658" width="21" style="92" customWidth="1"/>
    <col min="6659" max="6659" width="28.28515625" style="92" customWidth="1"/>
    <col min="6660" max="6660" width="17.42578125" style="92" customWidth="1"/>
    <col min="6661" max="6905" width="9.140625" style="92"/>
    <col min="6906" max="6906" width="60.7109375" style="92" customWidth="1"/>
    <col min="6907" max="6907" width="17" style="92" customWidth="1"/>
    <col min="6908" max="6908" width="22.42578125" style="92" customWidth="1"/>
    <col min="6909" max="6909" width="18.140625" style="92" customWidth="1"/>
    <col min="6910" max="6910" width="19.42578125" style="92" customWidth="1"/>
    <col min="6911" max="6911" width="18.5703125" style="92" customWidth="1"/>
    <col min="6912" max="6912" width="13.7109375" style="92" customWidth="1"/>
    <col min="6913" max="6914" width="21" style="92" customWidth="1"/>
    <col min="6915" max="6915" width="28.28515625" style="92" customWidth="1"/>
    <col min="6916" max="6916" width="17.42578125" style="92" customWidth="1"/>
    <col min="6917" max="7161" width="9.140625" style="92"/>
    <col min="7162" max="7162" width="60.7109375" style="92" customWidth="1"/>
    <col min="7163" max="7163" width="17" style="92" customWidth="1"/>
    <col min="7164" max="7164" width="22.42578125" style="92" customWidth="1"/>
    <col min="7165" max="7165" width="18.140625" style="92" customWidth="1"/>
    <col min="7166" max="7166" width="19.42578125" style="92" customWidth="1"/>
    <col min="7167" max="7167" width="18.5703125" style="92" customWidth="1"/>
    <col min="7168" max="7168" width="13.7109375" style="92" customWidth="1"/>
    <col min="7169" max="7170" width="21" style="92" customWidth="1"/>
    <col min="7171" max="7171" width="28.28515625" style="92" customWidth="1"/>
    <col min="7172" max="7172" width="17.42578125" style="92" customWidth="1"/>
    <col min="7173" max="7417" width="9.140625" style="92"/>
    <col min="7418" max="7418" width="60.7109375" style="92" customWidth="1"/>
    <col min="7419" max="7419" width="17" style="92" customWidth="1"/>
    <col min="7420" max="7420" width="22.42578125" style="92" customWidth="1"/>
    <col min="7421" max="7421" width="18.140625" style="92" customWidth="1"/>
    <col min="7422" max="7422" width="19.42578125" style="92" customWidth="1"/>
    <col min="7423" max="7423" width="18.5703125" style="92" customWidth="1"/>
    <col min="7424" max="7424" width="13.7109375" style="92" customWidth="1"/>
    <col min="7425" max="7426" width="21" style="92" customWidth="1"/>
    <col min="7427" max="7427" width="28.28515625" style="92" customWidth="1"/>
    <col min="7428" max="7428" width="17.42578125" style="92" customWidth="1"/>
    <col min="7429" max="7673" width="9.140625" style="92"/>
    <col min="7674" max="7674" width="60.7109375" style="92" customWidth="1"/>
    <col min="7675" max="7675" width="17" style="92" customWidth="1"/>
    <col min="7676" max="7676" width="22.42578125" style="92" customWidth="1"/>
    <col min="7677" max="7677" width="18.140625" style="92" customWidth="1"/>
    <col min="7678" max="7678" width="19.42578125" style="92" customWidth="1"/>
    <col min="7679" max="7679" width="18.5703125" style="92" customWidth="1"/>
    <col min="7680" max="7680" width="13.7109375" style="92" customWidth="1"/>
    <col min="7681" max="7682" width="21" style="92" customWidth="1"/>
    <col min="7683" max="7683" width="28.28515625" style="92" customWidth="1"/>
    <col min="7684" max="7684" width="17.42578125" style="92" customWidth="1"/>
    <col min="7685" max="7929" width="9.140625" style="92"/>
    <col min="7930" max="7930" width="60.7109375" style="92" customWidth="1"/>
    <col min="7931" max="7931" width="17" style="92" customWidth="1"/>
    <col min="7932" max="7932" width="22.42578125" style="92" customWidth="1"/>
    <col min="7933" max="7933" width="18.140625" style="92" customWidth="1"/>
    <col min="7934" max="7934" width="19.42578125" style="92" customWidth="1"/>
    <col min="7935" max="7935" width="18.5703125" style="92" customWidth="1"/>
    <col min="7936" max="7936" width="13.7109375" style="92" customWidth="1"/>
    <col min="7937" max="7938" width="21" style="92" customWidth="1"/>
    <col min="7939" max="7939" width="28.28515625" style="92" customWidth="1"/>
    <col min="7940" max="7940" width="17.42578125" style="92" customWidth="1"/>
    <col min="7941" max="8185" width="9.140625" style="92"/>
    <col min="8186" max="8186" width="60.7109375" style="92" customWidth="1"/>
    <col min="8187" max="8187" width="17" style="92" customWidth="1"/>
    <col min="8188" max="8188" width="22.42578125" style="92" customWidth="1"/>
    <col min="8189" max="8189" width="18.140625" style="92" customWidth="1"/>
    <col min="8190" max="8190" width="19.42578125" style="92" customWidth="1"/>
    <col min="8191" max="8191" width="18.5703125" style="92" customWidth="1"/>
    <col min="8192" max="8192" width="13.7109375" style="92" customWidth="1"/>
    <col min="8193" max="8194" width="21" style="92" customWidth="1"/>
    <col min="8195" max="8195" width="28.28515625" style="92" customWidth="1"/>
    <col min="8196" max="8196" width="17.42578125" style="92" customWidth="1"/>
    <col min="8197" max="8441" width="9.140625" style="92"/>
    <col min="8442" max="8442" width="60.7109375" style="92" customWidth="1"/>
    <col min="8443" max="8443" width="17" style="92" customWidth="1"/>
    <col min="8444" max="8444" width="22.42578125" style="92" customWidth="1"/>
    <col min="8445" max="8445" width="18.140625" style="92" customWidth="1"/>
    <col min="8446" max="8446" width="19.42578125" style="92" customWidth="1"/>
    <col min="8447" max="8447" width="18.5703125" style="92" customWidth="1"/>
    <col min="8448" max="8448" width="13.7109375" style="92" customWidth="1"/>
    <col min="8449" max="8450" width="21" style="92" customWidth="1"/>
    <col min="8451" max="8451" width="28.28515625" style="92" customWidth="1"/>
    <col min="8452" max="8452" width="17.42578125" style="92" customWidth="1"/>
    <col min="8453" max="8697" width="9.140625" style="92"/>
    <col min="8698" max="8698" width="60.7109375" style="92" customWidth="1"/>
    <col min="8699" max="8699" width="17" style="92" customWidth="1"/>
    <col min="8700" max="8700" width="22.42578125" style="92" customWidth="1"/>
    <col min="8701" max="8701" width="18.140625" style="92" customWidth="1"/>
    <col min="8702" max="8702" width="19.42578125" style="92" customWidth="1"/>
    <col min="8703" max="8703" width="18.5703125" style="92" customWidth="1"/>
    <col min="8704" max="8704" width="13.7109375" style="92" customWidth="1"/>
    <col min="8705" max="8706" width="21" style="92" customWidth="1"/>
    <col min="8707" max="8707" width="28.28515625" style="92" customWidth="1"/>
    <col min="8708" max="8708" width="17.42578125" style="92" customWidth="1"/>
    <col min="8709" max="8953" width="9.140625" style="92"/>
    <col min="8954" max="8954" width="60.7109375" style="92" customWidth="1"/>
    <col min="8955" max="8955" width="17" style="92" customWidth="1"/>
    <col min="8956" max="8956" width="22.42578125" style="92" customWidth="1"/>
    <col min="8957" max="8957" width="18.140625" style="92" customWidth="1"/>
    <col min="8958" max="8958" width="19.42578125" style="92" customWidth="1"/>
    <col min="8959" max="8959" width="18.5703125" style="92" customWidth="1"/>
    <col min="8960" max="8960" width="13.7109375" style="92" customWidth="1"/>
    <col min="8961" max="8962" width="21" style="92" customWidth="1"/>
    <col min="8963" max="8963" width="28.28515625" style="92" customWidth="1"/>
    <col min="8964" max="8964" width="17.42578125" style="92" customWidth="1"/>
    <col min="8965" max="9209" width="9.140625" style="92"/>
    <col min="9210" max="9210" width="60.7109375" style="92" customWidth="1"/>
    <col min="9211" max="9211" width="17" style="92" customWidth="1"/>
    <col min="9212" max="9212" width="22.42578125" style="92" customWidth="1"/>
    <col min="9213" max="9213" width="18.140625" style="92" customWidth="1"/>
    <col min="9214" max="9214" width="19.42578125" style="92" customWidth="1"/>
    <col min="9215" max="9215" width="18.5703125" style="92" customWidth="1"/>
    <col min="9216" max="9216" width="13.7109375" style="92" customWidth="1"/>
    <col min="9217" max="9218" width="21" style="92" customWidth="1"/>
    <col min="9219" max="9219" width="28.28515625" style="92" customWidth="1"/>
    <col min="9220" max="9220" width="17.42578125" style="92" customWidth="1"/>
    <col min="9221" max="9465" width="9.140625" style="92"/>
    <col min="9466" max="9466" width="60.7109375" style="92" customWidth="1"/>
    <col min="9467" max="9467" width="17" style="92" customWidth="1"/>
    <col min="9468" max="9468" width="22.42578125" style="92" customWidth="1"/>
    <col min="9469" max="9469" width="18.140625" style="92" customWidth="1"/>
    <col min="9470" max="9470" width="19.42578125" style="92" customWidth="1"/>
    <col min="9471" max="9471" width="18.5703125" style="92" customWidth="1"/>
    <col min="9472" max="9472" width="13.7109375" style="92" customWidth="1"/>
    <col min="9473" max="9474" width="21" style="92" customWidth="1"/>
    <col min="9475" max="9475" width="28.28515625" style="92" customWidth="1"/>
    <col min="9476" max="9476" width="17.42578125" style="92" customWidth="1"/>
    <col min="9477" max="9721" width="9.140625" style="92"/>
    <col min="9722" max="9722" width="60.7109375" style="92" customWidth="1"/>
    <col min="9723" max="9723" width="17" style="92" customWidth="1"/>
    <col min="9724" max="9724" width="22.42578125" style="92" customWidth="1"/>
    <col min="9725" max="9725" width="18.140625" style="92" customWidth="1"/>
    <col min="9726" max="9726" width="19.42578125" style="92" customWidth="1"/>
    <col min="9727" max="9727" width="18.5703125" style="92" customWidth="1"/>
    <col min="9728" max="9728" width="13.7109375" style="92" customWidth="1"/>
    <col min="9729" max="9730" width="21" style="92" customWidth="1"/>
    <col min="9731" max="9731" width="28.28515625" style="92" customWidth="1"/>
    <col min="9732" max="9732" width="17.42578125" style="92" customWidth="1"/>
    <col min="9733" max="9977" width="9.140625" style="92"/>
    <col min="9978" max="9978" width="60.7109375" style="92" customWidth="1"/>
    <col min="9979" max="9979" width="17" style="92" customWidth="1"/>
    <col min="9980" max="9980" width="22.42578125" style="92" customWidth="1"/>
    <col min="9981" max="9981" width="18.140625" style="92" customWidth="1"/>
    <col min="9982" max="9982" width="19.42578125" style="92" customWidth="1"/>
    <col min="9983" max="9983" width="18.5703125" style="92" customWidth="1"/>
    <col min="9984" max="9984" width="13.7109375" style="92" customWidth="1"/>
    <col min="9985" max="9986" width="21" style="92" customWidth="1"/>
    <col min="9987" max="9987" width="28.28515625" style="92" customWidth="1"/>
    <col min="9988" max="9988" width="17.42578125" style="92" customWidth="1"/>
    <col min="9989" max="10233" width="9.140625" style="92"/>
    <col min="10234" max="10234" width="60.7109375" style="92" customWidth="1"/>
    <col min="10235" max="10235" width="17" style="92" customWidth="1"/>
    <col min="10236" max="10236" width="22.42578125" style="92" customWidth="1"/>
    <col min="10237" max="10237" width="18.140625" style="92" customWidth="1"/>
    <col min="10238" max="10238" width="19.42578125" style="92" customWidth="1"/>
    <col min="10239" max="10239" width="18.5703125" style="92" customWidth="1"/>
    <col min="10240" max="10240" width="13.7109375" style="92" customWidth="1"/>
    <col min="10241" max="10242" width="21" style="92" customWidth="1"/>
    <col min="10243" max="10243" width="28.28515625" style="92" customWidth="1"/>
    <col min="10244" max="10244" width="17.42578125" style="92" customWidth="1"/>
    <col min="10245" max="10489" width="9.140625" style="92"/>
    <col min="10490" max="10490" width="60.7109375" style="92" customWidth="1"/>
    <col min="10491" max="10491" width="17" style="92" customWidth="1"/>
    <col min="10492" max="10492" width="22.42578125" style="92" customWidth="1"/>
    <col min="10493" max="10493" width="18.140625" style="92" customWidth="1"/>
    <col min="10494" max="10494" width="19.42578125" style="92" customWidth="1"/>
    <col min="10495" max="10495" width="18.5703125" style="92" customWidth="1"/>
    <col min="10496" max="10496" width="13.7109375" style="92" customWidth="1"/>
    <col min="10497" max="10498" width="21" style="92" customWidth="1"/>
    <col min="10499" max="10499" width="28.28515625" style="92" customWidth="1"/>
    <col min="10500" max="10500" width="17.42578125" style="92" customWidth="1"/>
    <col min="10501" max="10745" width="9.140625" style="92"/>
    <col min="10746" max="10746" width="60.7109375" style="92" customWidth="1"/>
    <col min="10747" max="10747" width="17" style="92" customWidth="1"/>
    <col min="10748" max="10748" width="22.42578125" style="92" customWidth="1"/>
    <col min="10749" max="10749" width="18.140625" style="92" customWidth="1"/>
    <col min="10750" max="10750" width="19.42578125" style="92" customWidth="1"/>
    <col min="10751" max="10751" width="18.5703125" style="92" customWidth="1"/>
    <col min="10752" max="10752" width="13.7109375" style="92" customWidth="1"/>
    <col min="10753" max="10754" width="21" style="92" customWidth="1"/>
    <col min="10755" max="10755" width="28.28515625" style="92" customWidth="1"/>
    <col min="10756" max="10756" width="17.42578125" style="92" customWidth="1"/>
    <col min="10757" max="11001" width="9.140625" style="92"/>
    <col min="11002" max="11002" width="60.7109375" style="92" customWidth="1"/>
    <col min="11003" max="11003" width="17" style="92" customWidth="1"/>
    <col min="11004" max="11004" width="22.42578125" style="92" customWidth="1"/>
    <col min="11005" max="11005" width="18.140625" style="92" customWidth="1"/>
    <col min="11006" max="11006" width="19.42578125" style="92" customWidth="1"/>
    <col min="11007" max="11007" width="18.5703125" style="92" customWidth="1"/>
    <col min="11008" max="11008" width="13.7109375" style="92" customWidth="1"/>
    <col min="11009" max="11010" width="21" style="92" customWidth="1"/>
    <col min="11011" max="11011" width="28.28515625" style="92" customWidth="1"/>
    <col min="11012" max="11012" width="17.42578125" style="92" customWidth="1"/>
    <col min="11013" max="11257" width="9.140625" style="92"/>
    <col min="11258" max="11258" width="60.7109375" style="92" customWidth="1"/>
    <col min="11259" max="11259" width="17" style="92" customWidth="1"/>
    <col min="11260" max="11260" width="22.42578125" style="92" customWidth="1"/>
    <col min="11261" max="11261" width="18.140625" style="92" customWidth="1"/>
    <col min="11262" max="11262" width="19.42578125" style="92" customWidth="1"/>
    <col min="11263" max="11263" width="18.5703125" style="92" customWidth="1"/>
    <col min="11264" max="11264" width="13.7109375" style="92" customWidth="1"/>
    <col min="11265" max="11266" width="21" style="92" customWidth="1"/>
    <col min="11267" max="11267" width="28.28515625" style="92" customWidth="1"/>
    <col min="11268" max="11268" width="17.42578125" style="92" customWidth="1"/>
    <col min="11269" max="11513" width="9.140625" style="92"/>
    <col min="11514" max="11514" width="60.7109375" style="92" customWidth="1"/>
    <col min="11515" max="11515" width="17" style="92" customWidth="1"/>
    <col min="11516" max="11516" width="22.42578125" style="92" customWidth="1"/>
    <col min="11517" max="11517" width="18.140625" style="92" customWidth="1"/>
    <col min="11518" max="11518" width="19.42578125" style="92" customWidth="1"/>
    <col min="11519" max="11519" width="18.5703125" style="92" customWidth="1"/>
    <col min="11520" max="11520" width="13.7109375" style="92" customWidth="1"/>
    <col min="11521" max="11522" width="21" style="92" customWidth="1"/>
    <col min="11523" max="11523" width="28.28515625" style="92" customWidth="1"/>
    <col min="11524" max="11524" width="17.42578125" style="92" customWidth="1"/>
    <col min="11525" max="11769" width="9.140625" style="92"/>
    <col min="11770" max="11770" width="60.7109375" style="92" customWidth="1"/>
    <col min="11771" max="11771" width="17" style="92" customWidth="1"/>
    <col min="11772" max="11772" width="22.42578125" style="92" customWidth="1"/>
    <col min="11773" max="11773" width="18.140625" style="92" customWidth="1"/>
    <col min="11774" max="11774" width="19.42578125" style="92" customWidth="1"/>
    <col min="11775" max="11775" width="18.5703125" style="92" customWidth="1"/>
    <col min="11776" max="11776" width="13.7109375" style="92" customWidth="1"/>
    <col min="11777" max="11778" width="21" style="92" customWidth="1"/>
    <col min="11779" max="11779" width="28.28515625" style="92" customWidth="1"/>
    <col min="11780" max="11780" width="17.42578125" style="92" customWidth="1"/>
    <col min="11781" max="12025" width="9.140625" style="92"/>
    <col min="12026" max="12026" width="60.7109375" style="92" customWidth="1"/>
    <col min="12027" max="12027" width="17" style="92" customWidth="1"/>
    <col min="12028" max="12028" width="22.42578125" style="92" customWidth="1"/>
    <col min="12029" max="12029" width="18.140625" style="92" customWidth="1"/>
    <col min="12030" max="12030" width="19.42578125" style="92" customWidth="1"/>
    <col min="12031" max="12031" width="18.5703125" style="92" customWidth="1"/>
    <col min="12032" max="12032" width="13.7109375" style="92" customWidth="1"/>
    <col min="12033" max="12034" width="21" style="92" customWidth="1"/>
    <col min="12035" max="12035" width="28.28515625" style="92" customWidth="1"/>
    <col min="12036" max="12036" width="17.42578125" style="92" customWidth="1"/>
    <col min="12037" max="12281" width="9.140625" style="92"/>
    <col min="12282" max="12282" width="60.7109375" style="92" customWidth="1"/>
    <col min="12283" max="12283" width="17" style="92" customWidth="1"/>
    <col min="12284" max="12284" width="22.42578125" style="92" customWidth="1"/>
    <col min="12285" max="12285" width="18.140625" style="92" customWidth="1"/>
    <col min="12286" max="12286" width="19.42578125" style="92" customWidth="1"/>
    <col min="12287" max="12287" width="18.5703125" style="92" customWidth="1"/>
    <col min="12288" max="12288" width="13.7109375" style="92" customWidth="1"/>
    <col min="12289" max="12290" width="21" style="92" customWidth="1"/>
    <col min="12291" max="12291" width="28.28515625" style="92" customWidth="1"/>
    <col min="12292" max="12292" width="17.42578125" style="92" customWidth="1"/>
    <col min="12293" max="12537" width="9.140625" style="92"/>
    <col min="12538" max="12538" width="60.7109375" style="92" customWidth="1"/>
    <col min="12539" max="12539" width="17" style="92" customWidth="1"/>
    <col min="12540" max="12540" width="22.42578125" style="92" customWidth="1"/>
    <col min="12541" max="12541" width="18.140625" style="92" customWidth="1"/>
    <col min="12542" max="12542" width="19.42578125" style="92" customWidth="1"/>
    <col min="12543" max="12543" width="18.5703125" style="92" customWidth="1"/>
    <col min="12544" max="12544" width="13.7109375" style="92" customWidth="1"/>
    <col min="12545" max="12546" width="21" style="92" customWidth="1"/>
    <col min="12547" max="12547" width="28.28515625" style="92" customWidth="1"/>
    <col min="12548" max="12548" width="17.42578125" style="92" customWidth="1"/>
    <col min="12549" max="12793" width="9.140625" style="92"/>
    <col min="12794" max="12794" width="60.7109375" style="92" customWidth="1"/>
    <col min="12795" max="12795" width="17" style="92" customWidth="1"/>
    <col min="12796" max="12796" width="22.42578125" style="92" customWidth="1"/>
    <col min="12797" max="12797" width="18.140625" style="92" customWidth="1"/>
    <col min="12798" max="12798" width="19.42578125" style="92" customWidth="1"/>
    <col min="12799" max="12799" width="18.5703125" style="92" customWidth="1"/>
    <col min="12800" max="12800" width="13.7109375" style="92" customWidth="1"/>
    <col min="12801" max="12802" width="21" style="92" customWidth="1"/>
    <col min="12803" max="12803" width="28.28515625" style="92" customWidth="1"/>
    <col min="12804" max="12804" width="17.42578125" style="92" customWidth="1"/>
    <col min="12805" max="13049" width="9.140625" style="92"/>
    <col min="13050" max="13050" width="60.7109375" style="92" customWidth="1"/>
    <col min="13051" max="13051" width="17" style="92" customWidth="1"/>
    <col min="13052" max="13052" width="22.42578125" style="92" customWidth="1"/>
    <col min="13053" max="13053" width="18.140625" style="92" customWidth="1"/>
    <col min="13054" max="13054" width="19.42578125" style="92" customWidth="1"/>
    <col min="13055" max="13055" width="18.5703125" style="92" customWidth="1"/>
    <col min="13056" max="13056" width="13.7109375" style="92" customWidth="1"/>
    <col min="13057" max="13058" width="21" style="92" customWidth="1"/>
    <col min="13059" max="13059" width="28.28515625" style="92" customWidth="1"/>
    <col min="13060" max="13060" width="17.42578125" style="92" customWidth="1"/>
    <col min="13061" max="13305" width="9.140625" style="92"/>
    <col min="13306" max="13306" width="60.7109375" style="92" customWidth="1"/>
    <col min="13307" max="13307" width="17" style="92" customWidth="1"/>
    <col min="13308" max="13308" width="22.42578125" style="92" customWidth="1"/>
    <col min="13309" max="13309" width="18.140625" style="92" customWidth="1"/>
    <col min="13310" max="13310" width="19.42578125" style="92" customWidth="1"/>
    <col min="13311" max="13311" width="18.5703125" style="92" customWidth="1"/>
    <col min="13312" max="13312" width="13.7109375" style="92" customWidth="1"/>
    <col min="13313" max="13314" width="21" style="92" customWidth="1"/>
    <col min="13315" max="13315" width="28.28515625" style="92" customWidth="1"/>
    <col min="13316" max="13316" width="17.42578125" style="92" customWidth="1"/>
    <col min="13317" max="13561" width="9.140625" style="92"/>
    <col min="13562" max="13562" width="60.7109375" style="92" customWidth="1"/>
    <col min="13563" max="13563" width="17" style="92" customWidth="1"/>
    <col min="13564" max="13564" width="22.42578125" style="92" customWidth="1"/>
    <col min="13565" max="13565" width="18.140625" style="92" customWidth="1"/>
    <col min="13566" max="13566" width="19.42578125" style="92" customWidth="1"/>
    <col min="13567" max="13567" width="18.5703125" style="92" customWidth="1"/>
    <col min="13568" max="13568" width="13.7109375" style="92" customWidth="1"/>
    <col min="13569" max="13570" width="21" style="92" customWidth="1"/>
    <col min="13571" max="13571" width="28.28515625" style="92" customWidth="1"/>
    <col min="13572" max="13572" width="17.42578125" style="92" customWidth="1"/>
    <col min="13573" max="13817" width="9.140625" style="92"/>
    <col min="13818" max="13818" width="60.7109375" style="92" customWidth="1"/>
    <col min="13819" max="13819" width="17" style="92" customWidth="1"/>
    <col min="13820" max="13820" width="22.42578125" style="92" customWidth="1"/>
    <col min="13821" max="13821" width="18.140625" style="92" customWidth="1"/>
    <col min="13822" max="13822" width="19.42578125" style="92" customWidth="1"/>
    <col min="13823" max="13823" width="18.5703125" style="92" customWidth="1"/>
    <col min="13824" max="13824" width="13.7109375" style="92" customWidth="1"/>
    <col min="13825" max="13826" width="21" style="92" customWidth="1"/>
    <col min="13827" max="13827" width="28.28515625" style="92" customWidth="1"/>
    <col min="13828" max="13828" width="17.42578125" style="92" customWidth="1"/>
    <col min="13829" max="14073" width="9.140625" style="92"/>
    <col min="14074" max="14074" width="60.7109375" style="92" customWidth="1"/>
    <col min="14075" max="14075" width="17" style="92" customWidth="1"/>
    <col min="14076" max="14076" width="22.42578125" style="92" customWidth="1"/>
    <col min="14077" max="14077" width="18.140625" style="92" customWidth="1"/>
    <col min="14078" max="14078" width="19.42578125" style="92" customWidth="1"/>
    <col min="14079" max="14079" width="18.5703125" style="92" customWidth="1"/>
    <col min="14080" max="14080" width="13.7109375" style="92" customWidth="1"/>
    <col min="14081" max="14082" width="21" style="92" customWidth="1"/>
    <col min="14083" max="14083" width="28.28515625" style="92" customWidth="1"/>
    <col min="14084" max="14084" width="17.42578125" style="92" customWidth="1"/>
    <col min="14085" max="14329" width="9.140625" style="92"/>
    <col min="14330" max="14330" width="60.7109375" style="92" customWidth="1"/>
    <col min="14331" max="14331" width="17" style="92" customWidth="1"/>
    <col min="14332" max="14332" width="22.42578125" style="92" customWidth="1"/>
    <col min="14333" max="14333" width="18.140625" style="92" customWidth="1"/>
    <col min="14334" max="14334" width="19.42578125" style="92" customWidth="1"/>
    <col min="14335" max="14335" width="18.5703125" style="92" customWidth="1"/>
    <col min="14336" max="14336" width="13.7109375" style="92" customWidth="1"/>
    <col min="14337" max="14338" width="21" style="92" customWidth="1"/>
    <col min="14339" max="14339" width="28.28515625" style="92" customWidth="1"/>
    <col min="14340" max="14340" width="17.42578125" style="92" customWidth="1"/>
    <col min="14341" max="14585" width="9.140625" style="92"/>
    <col min="14586" max="14586" width="60.7109375" style="92" customWidth="1"/>
    <col min="14587" max="14587" width="17" style="92" customWidth="1"/>
    <col min="14588" max="14588" width="22.42578125" style="92" customWidth="1"/>
    <col min="14589" max="14589" width="18.140625" style="92" customWidth="1"/>
    <col min="14590" max="14590" width="19.42578125" style="92" customWidth="1"/>
    <col min="14591" max="14591" width="18.5703125" style="92" customWidth="1"/>
    <col min="14592" max="14592" width="13.7109375" style="92" customWidth="1"/>
    <col min="14593" max="14594" width="21" style="92" customWidth="1"/>
    <col min="14595" max="14595" width="28.28515625" style="92" customWidth="1"/>
    <col min="14596" max="14596" width="17.42578125" style="92" customWidth="1"/>
    <col min="14597" max="14841" width="9.140625" style="92"/>
    <col min="14842" max="14842" width="60.7109375" style="92" customWidth="1"/>
    <col min="14843" max="14843" width="17" style="92" customWidth="1"/>
    <col min="14844" max="14844" width="22.42578125" style="92" customWidth="1"/>
    <col min="14845" max="14845" width="18.140625" style="92" customWidth="1"/>
    <col min="14846" max="14846" width="19.42578125" style="92" customWidth="1"/>
    <col min="14847" max="14847" width="18.5703125" style="92" customWidth="1"/>
    <col min="14848" max="14848" width="13.7109375" style="92" customWidth="1"/>
    <col min="14849" max="14850" width="21" style="92" customWidth="1"/>
    <col min="14851" max="14851" width="28.28515625" style="92" customWidth="1"/>
    <col min="14852" max="14852" width="17.42578125" style="92" customWidth="1"/>
    <col min="14853" max="15097" width="9.140625" style="92"/>
    <col min="15098" max="15098" width="60.7109375" style="92" customWidth="1"/>
    <col min="15099" max="15099" width="17" style="92" customWidth="1"/>
    <col min="15100" max="15100" width="22.42578125" style="92" customWidth="1"/>
    <col min="15101" max="15101" width="18.140625" style="92" customWidth="1"/>
    <col min="15102" max="15102" width="19.42578125" style="92" customWidth="1"/>
    <col min="15103" max="15103" width="18.5703125" style="92" customWidth="1"/>
    <col min="15104" max="15104" width="13.7109375" style="92" customWidth="1"/>
    <col min="15105" max="15106" width="21" style="92" customWidth="1"/>
    <col min="15107" max="15107" width="28.28515625" style="92" customWidth="1"/>
    <col min="15108" max="15108" width="17.42578125" style="92" customWidth="1"/>
    <col min="15109" max="15353" width="9.140625" style="92"/>
    <col min="15354" max="15354" width="60.7109375" style="92" customWidth="1"/>
    <col min="15355" max="15355" width="17" style="92" customWidth="1"/>
    <col min="15356" max="15356" width="22.42578125" style="92" customWidth="1"/>
    <col min="15357" max="15357" width="18.140625" style="92" customWidth="1"/>
    <col min="15358" max="15358" width="19.42578125" style="92" customWidth="1"/>
    <col min="15359" max="15359" width="18.5703125" style="92" customWidth="1"/>
    <col min="15360" max="15360" width="13.7109375" style="92" customWidth="1"/>
    <col min="15361" max="15362" width="21" style="92" customWidth="1"/>
    <col min="15363" max="15363" width="28.28515625" style="92" customWidth="1"/>
    <col min="15364" max="15364" width="17.42578125" style="92" customWidth="1"/>
    <col min="15365" max="15609" width="9.140625" style="92"/>
    <col min="15610" max="15610" width="60.7109375" style="92" customWidth="1"/>
    <col min="15611" max="15611" width="17" style="92" customWidth="1"/>
    <col min="15612" max="15612" width="22.42578125" style="92" customWidth="1"/>
    <col min="15613" max="15613" width="18.140625" style="92" customWidth="1"/>
    <col min="15614" max="15614" width="19.42578125" style="92" customWidth="1"/>
    <col min="15615" max="15615" width="18.5703125" style="92" customWidth="1"/>
    <col min="15616" max="15616" width="13.7109375" style="92" customWidth="1"/>
    <col min="15617" max="15618" width="21" style="92" customWidth="1"/>
    <col min="15619" max="15619" width="28.28515625" style="92" customWidth="1"/>
    <col min="15620" max="15620" width="17.42578125" style="92" customWidth="1"/>
    <col min="15621" max="15865" width="9.140625" style="92"/>
    <col min="15866" max="15866" width="60.7109375" style="92" customWidth="1"/>
    <col min="15867" max="15867" width="17" style="92" customWidth="1"/>
    <col min="15868" max="15868" width="22.42578125" style="92" customWidth="1"/>
    <col min="15869" max="15869" width="18.140625" style="92" customWidth="1"/>
    <col min="15870" max="15870" width="19.42578125" style="92" customWidth="1"/>
    <col min="15871" max="15871" width="18.5703125" style="92" customWidth="1"/>
    <col min="15872" max="15872" width="13.7109375" style="92" customWidth="1"/>
    <col min="15873" max="15874" width="21" style="92" customWidth="1"/>
    <col min="15875" max="15875" width="28.28515625" style="92" customWidth="1"/>
    <col min="15876" max="15876" width="17.42578125" style="92" customWidth="1"/>
    <col min="15877" max="16121" width="9.140625" style="92"/>
    <col min="16122" max="16122" width="60.7109375" style="92" customWidth="1"/>
    <col min="16123" max="16123" width="17" style="92" customWidth="1"/>
    <col min="16124" max="16124" width="22.42578125" style="92" customWidth="1"/>
    <col min="16125" max="16125" width="18.140625" style="92" customWidth="1"/>
    <col min="16126" max="16126" width="19.42578125" style="92" customWidth="1"/>
    <col min="16127" max="16127" width="18.5703125" style="92" customWidth="1"/>
    <col min="16128" max="16128" width="13.7109375" style="92" customWidth="1"/>
    <col min="16129" max="16130" width="21" style="92" customWidth="1"/>
    <col min="16131" max="16131" width="28.28515625" style="92" customWidth="1"/>
    <col min="16132" max="16132" width="17.42578125" style="92" customWidth="1"/>
    <col min="16133" max="16384" width="9.140625" style="92"/>
  </cols>
  <sheetData>
    <row r="1" spans="1:6" ht="39.75" customHeight="1" x14ac:dyDescent="0.25">
      <c r="A1" s="462" t="s">
        <v>316</v>
      </c>
      <c r="B1" s="463"/>
      <c r="C1" s="463"/>
      <c r="D1" s="463"/>
      <c r="E1" s="463"/>
      <c r="F1" s="463"/>
    </row>
    <row r="2" spans="1:6" ht="13.5" thickBot="1" x14ac:dyDescent="0.3"/>
    <row r="3" spans="1:6" x14ac:dyDescent="0.25">
      <c r="A3" s="464" t="s">
        <v>0</v>
      </c>
      <c r="B3" s="466" t="s">
        <v>317</v>
      </c>
      <c r="C3" s="468" t="s">
        <v>318</v>
      </c>
      <c r="D3" s="469"/>
      <c r="E3" s="469"/>
      <c r="F3" s="470"/>
    </row>
    <row r="4" spans="1:6" ht="39" thickBot="1" x14ac:dyDescent="0.3">
      <c r="A4" s="465"/>
      <c r="B4" s="467"/>
      <c r="C4" s="201" t="s">
        <v>319</v>
      </c>
      <c r="D4" s="202" t="s">
        <v>320</v>
      </c>
      <c r="E4" s="202" t="s">
        <v>321</v>
      </c>
      <c r="F4" s="146" t="s">
        <v>110</v>
      </c>
    </row>
    <row r="5" spans="1:6" x14ac:dyDescent="0.25">
      <c r="A5" s="203">
        <v>1</v>
      </c>
      <c r="B5" s="204" t="s">
        <v>4</v>
      </c>
      <c r="C5" s="205">
        <f>1144-64</f>
        <v>1080</v>
      </c>
      <c r="D5" s="206">
        <f>642-4</f>
        <v>638</v>
      </c>
      <c r="E5" s="206">
        <f>364-6</f>
        <v>358</v>
      </c>
      <c r="F5" s="207">
        <f t="shared" ref="F5:F77" si="0">SUM(C5:E5)</f>
        <v>2076</v>
      </c>
    </row>
    <row r="6" spans="1:6" x14ac:dyDescent="0.25">
      <c r="A6" s="208">
        <v>2</v>
      </c>
      <c r="B6" s="209" t="s">
        <v>3</v>
      </c>
      <c r="C6" s="210">
        <f>1012-56</f>
        <v>956</v>
      </c>
      <c r="D6" s="114">
        <f>573-3</f>
        <v>570</v>
      </c>
      <c r="E6" s="114">
        <f>325-5</f>
        <v>320</v>
      </c>
      <c r="F6" s="129">
        <f>SUM(C6:E6)</f>
        <v>1846</v>
      </c>
    </row>
    <row r="7" spans="1:6" x14ac:dyDescent="0.25">
      <c r="A7" s="208">
        <v>3</v>
      </c>
      <c r="B7" s="209" t="s">
        <v>322</v>
      </c>
      <c r="C7" s="210">
        <f>3227-179</f>
        <v>3048</v>
      </c>
      <c r="D7" s="114">
        <f>1715-10</f>
        <v>1705</v>
      </c>
      <c r="E7" s="114">
        <f>972-16</f>
        <v>956</v>
      </c>
      <c r="F7" s="129">
        <f>SUM(C7:E7)</f>
        <v>5709</v>
      </c>
    </row>
    <row r="8" spans="1:6" x14ac:dyDescent="0.25">
      <c r="A8" s="208">
        <v>4</v>
      </c>
      <c r="B8" s="209" t="s">
        <v>8</v>
      </c>
      <c r="C8" s="210">
        <f>1147-64</f>
        <v>1083</v>
      </c>
      <c r="D8" s="114">
        <f>667-4</f>
        <v>663</v>
      </c>
      <c r="E8" s="114">
        <f>378-6</f>
        <v>372</v>
      </c>
      <c r="F8" s="129">
        <f>SUM(C8:E8)</f>
        <v>2118</v>
      </c>
    </row>
    <row r="9" spans="1:6" x14ac:dyDescent="0.25">
      <c r="A9" s="208">
        <v>5</v>
      </c>
      <c r="B9" s="209" t="s">
        <v>9</v>
      </c>
      <c r="C9" s="210">
        <f>6928-1291</f>
        <v>5637</v>
      </c>
      <c r="D9" s="114">
        <f>4230-720</f>
        <v>3510</v>
      </c>
      <c r="E9" s="114">
        <f>2397-428</f>
        <v>1969</v>
      </c>
      <c r="F9" s="129">
        <f>SUM(C9:E9)</f>
        <v>11116</v>
      </c>
    </row>
    <row r="10" spans="1:6" x14ac:dyDescent="0.25">
      <c r="A10" s="208">
        <v>6</v>
      </c>
      <c r="B10" s="209" t="s">
        <v>323</v>
      </c>
      <c r="C10" s="210">
        <f>9321-1454+287</f>
        <v>8154</v>
      </c>
      <c r="D10" s="114">
        <f>5554-33-465</f>
        <v>5056</v>
      </c>
      <c r="E10" s="114">
        <f>3147-52-261</f>
        <v>2834</v>
      </c>
      <c r="F10" s="129">
        <f t="shared" si="0"/>
        <v>16044</v>
      </c>
    </row>
    <row r="11" spans="1:6" x14ac:dyDescent="0.25">
      <c r="A11" s="208">
        <v>7</v>
      </c>
      <c r="B11" s="209" t="s">
        <v>13</v>
      </c>
      <c r="C11" s="210">
        <f>4745-1503</f>
        <v>3242</v>
      </c>
      <c r="D11" s="114">
        <f>2655-770</f>
        <v>1885</v>
      </c>
      <c r="E11" s="114">
        <f>1936-455</f>
        <v>1481</v>
      </c>
      <c r="F11" s="129">
        <f t="shared" si="0"/>
        <v>6608</v>
      </c>
    </row>
    <row r="12" spans="1:6" x14ac:dyDescent="0.25">
      <c r="A12" s="208">
        <v>8</v>
      </c>
      <c r="B12" s="209" t="s">
        <v>15</v>
      </c>
      <c r="C12" s="210">
        <f>2828-158</f>
        <v>2670</v>
      </c>
      <c r="D12" s="114">
        <f>1545-9</f>
        <v>1536</v>
      </c>
      <c r="E12" s="114">
        <f>876-14</f>
        <v>862</v>
      </c>
      <c r="F12" s="129">
        <f t="shared" si="0"/>
        <v>5068</v>
      </c>
    </row>
    <row r="13" spans="1:6" x14ac:dyDescent="0.25">
      <c r="A13" s="208">
        <v>9</v>
      </c>
      <c r="B13" s="209" t="s">
        <v>16</v>
      </c>
      <c r="C13" s="210">
        <f>1566-87</f>
        <v>1479</v>
      </c>
      <c r="D13" s="114">
        <f>920-5</f>
        <v>915</v>
      </c>
      <c r="E13" s="114">
        <f>521-8</f>
        <v>513</v>
      </c>
      <c r="F13" s="129">
        <f t="shared" si="0"/>
        <v>2907</v>
      </c>
    </row>
    <row r="14" spans="1:6" x14ac:dyDescent="0.25">
      <c r="A14" s="208">
        <v>10</v>
      </c>
      <c r="B14" s="209" t="s">
        <v>17</v>
      </c>
      <c r="C14" s="210">
        <f>1042-58</f>
        <v>984</v>
      </c>
      <c r="D14" s="114">
        <f>761-4</f>
        <v>757</v>
      </c>
      <c r="E14" s="114">
        <v>0</v>
      </c>
      <c r="F14" s="129">
        <f t="shared" si="0"/>
        <v>1741</v>
      </c>
    </row>
    <row r="15" spans="1:6" x14ac:dyDescent="0.25">
      <c r="A15" s="208">
        <v>11</v>
      </c>
      <c r="B15" s="209" t="s">
        <v>44</v>
      </c>
      <c r="C15" s="210">
        <f>1368-76</f>
        <v>1292</v>
      </c>
      <c r="D15" s="114">
        <f>779-5</f>
        <v>774</v>
      </c>
      <c r="E15" s="114">
        <v>434</v>
      </c>
      <c r="F15" s="129">
        <f t="shared" si="0"/>
        <v>2500</v>
      </c>
    </row>
    <row r="16" spans="1:6" x14ac:dyDescent="0.25">
      <c r="A16" s="208">
        <v>12</v>
      </c>
      <c r="B16" s="209" t="s">
        <v>27</v>
      </c>
      <c r="C16" s="210">
        <f>1454-81</f>
        <v>1373</v>
      </c>
      <c r="D16" s="114">
        <v>0</v>
      </c>
      <c r="E16" s="114">
        <v>0</v>
      </c>
      <c r="F16" s="129">
        <f t="shared" si="0"/>
        <v>1373</v>
      </c>
    </row>
    <row r="17" spans="1:6" x14ac:dyDescent="0.25">
      <c r="A17" s="208">
        <v>13</v>
      </c>
      <c r="B17" s="209" t="s">
        <v>36</v>
      </c>
      <c r="C17" s="210">
        <f>5849-327</f>
        <v>5522</v>
      </c>
      <c r="D17" s="114">
        <f>4345-26</f>
        <v>4319</v>
      </c>
      <c r="E17" s="114">
        <f>2462-40</f>
        <v>2422</v>
      </c>
      <c r="F17" s="129">
        <f t="shared" si="0"/>
        <v>12263</v>
      </c>
    </row>
    <row r="18" spans="1:6" x14ac:dyDescent="0.25">
      <c r="A18" s="208">
        <v>14</v>
      </c>
      <c r="B18" s="209" t="s">
        <v>274</v>
      </c>
      <c r="C18" s="210">
        <f>8110-453</f>
        <v>7657</v>
      </c>
      <c r="D18" s="114">
        <f>5927-35</f>
        <v>5892</v>
      </c>
      <c r="E18" s="114">
        <f>4196-68</f>
        <v>4128</v>
      </c>
      <c r="F18" s="129">
        <f t="shared" si="0"/>
        <v>17677</v>
      </c>
    </row>
    <row r="19" spans="1:6" x14ac:dyDescent="0.25">
      <c r="A19" s="208">
        <v>15</v>
      </c>
      <c r="B19" s="209" t="s">
        <v>324</v>
      </c>
      <c r="C19" s="210">
        <f>7192-401</f>
        <v>6791</v>
      </c>
      <c r="D19" s="114">
        <f>6804-40</f>
        <v>6764</v>
      </c>
      <c r="E19" s="114">
        <f>3855-63</f>
        <v>3792</v>
      </c>
      <c r="F19" s="129">
        <f t="shared" si="0"/>
        <v>17347</v>
      </c>
    </row>
    <row r="20" spans="1:6" x14ac:dyDescent="0.25">
      <c r="A20" s="471">
        <v>16</v>
      </c>
      <c r="B20" s="211" t="s">
        <v>325</v>
      </c>
      <c r="C20" s="210">
        <f>2080+3480-2275</f>
        <v>3285</v>
      </c>
      <c r="D20" s="114">
        <f>4313-26</f>
        <v>4287</v>
      </c>
      <c r="E20" s="114">
        <f>2444-39</f>
        <v>2405</v>
      </c>
      <c r="F20" s="129">
        <f t="shared" si="0"/>
        <v>9977</v>
      </c>
    </row>
    <row r="21" spans="1:6" ht="38.25" x14ac:dyDescent="0.25">
      <c r="A21" s="472"/>
      <c r="B21" s="212" t="s">
        <v>196</v>
      </c>
      <c r="C21" s="210">
        <f>0+3343</f>
        <v>3343</v>
      </c>
      <c r="D21" s="114">
        <f>0+2678</f>
        <v>2678</v>
      </c>
      <c r="E21" s="114">
        <f>0+1495</f>
        <v>1495</v>
      </c>
      <c r="F21" s="129">
        <f t="shared" si="0"/>
        <v>7516</v>
      </c>
    </row>
    <row r="22" spans="1:6" x14ac:dyDescent="0.25">
      <c r="A22" s="208">
        <v>17</v>
      </c>
      <c r="B22" s="209" t="s">
        <v>326</v>
      </c>
      <c r="C22" s="210">
        <f>3725-208-3343</f>
        <v>174</v>
      </c>
      <c r="D22" s="114">
        <f>2723-16-2678</f>
        <v>29</v>
      </c>
      <c r="E22" s="114">
        <f>1543-25-1495</f>
        <v>23</v>
      </c>
      <c r="F22" s="129">
        <f t="shared" si="0"/>
        <v>226</v>
      </c>
    </row>
    <row r="23" spans="1:6" ht="25.5" x14ac:dyDescent="0.25">
      <c r="A23" s="208">
        <v>18</v>
      </c>
      <c r="B23" s="213" t="s">
        <v>198</v>
      </c>
      <c r="C23" s="210">
        <f>3434-192+3983+1069</f>
        <v>8294</v>
      </c>
      <c r="D23" s="114">
        <f>2510-15+1932+585</f>
        <v>5012</v>
      </c>
      <c r="E23" s="114">
        <f>1422-23+1083+112</f>
        <v>2594</v>
      </c>
      <c r="F23" s="129">
        <f t="shared" si="0"/>
        <v>15900</v>
      </c>
    </row>
    <row r="24" spans="1:6" x14ac:dyDescent="0.25">
      <c r="A24" s="208">
        <v>19</v>
      </c>
      <c r="B24" s="209" t="s">
        <v>327</v>
      </c>
      <c r="C24" s="210">
        <f>3544+1767-3983-1069</f>
        <v>259</v>
      </c>
      <c r="D24" s="114">
        <f>2591-15-1932-585</f>
        <v>59</v>
      </c>
      <c r="E24" s="114">
        <f>1468-24-1083-112</f>
        <v>249</v>
      </c>
      <c r="F24" s="129">
        <f t="shared" si="0"/>
        <v>567</v>
      </c>
    </row>
    <row r="25" spans="1:6" x14ac:dyDescent="0.25">
      <c r="A25" s="208">
        <v>20</v>
      </c>
      <c r="B25" s="209" t="s">
        <v>328</v>
      </c>
      <c r="C25" s="210">
        <f>6202-346</f>
        <v>5856</v>
      </c>
      <c r="D25" s="114">
        <f>3498-21</f>
        <v>3477</v>
      </c>
      <c r="E25" s="114">
        <f>1982-32</f>
        <v>1950</v>
      </c>
      <c r="F25" s="129">
        <f t="shared" si="0"/>
        <v>11283</v>
      </c>
    </row>
    <row r="26" spans="1:6" x14ac:dyDescent="0.25">
      <c r="A26" s="208">
        <v>21</v>
      </c>
      <c r="B26" s="209" t="s">
        <v>20</v>
      </c>
      <c r="C26" s="210">
        <f>2172-121</f>
        <v>2051</v>
      </c>
      <c r="D26" s="114">
        <f>1234-7</f>
        <v>1227</v>
      </c>
      <c r="E26" s="114">
        <f>700-11</f>
        <v>689</v>
      </c>
      <c r="F26" s="129">
        <f t="shared" si="0"/>
        <v>3967</v>
      </c>
    </row>
    <row r="27" spans="1:6" x14ac:dyDescent="0.25">
      <c r="A27" s="208">
        <v>22</v>
      </c>
      <c r="B27" s="209" t="s">
        <v>329</v>
      </c>
      <c r="C27" s="210">
        <f>5362-299</f>
        <v>5063</v>
      </c>
      <c r="D27" s="114">
        <v>0</v>
      </c>
      <c r="E27" s="114">
        <v>0</v>
      </c>
      <c r="F27" s="129">
        <f t="shared" si="0"/>
        <v>5063</v>
      </c>
    </row>
    <row r="28" spans="1:6" x14ac:dyDescent="0.25">
      <c r="A28" s="208">
        <v>23</v>
      </c>
      <c r="B28" s="209" t="s">
        <v>24</v>
      </c>
      <c r="C28" s="210">
        <f>1487-83</f>
        <v>1404</v>
      </c>
      <c r="D28" s="114">
        <f>815-5</f>
        <v>810</v>
      </c>
      <c r="E28" s="114">
        <f>462-8</f>
        <v>454</v>
      </c>
      <c r="F28" s="129">
        <f t="shared" si="0"/>
        <v>2668</v>
      </c>
    </row>
    <row r="29" spans="1:6" x14ac:dyDescent="0.25">
      <c r="A29" s="208">
        <v>24</v>
      </c>
      <c r="B29" s="209" t="s">
        <v>28</v>
      </c>
      <c r="C29" s="210">
        <f>3786-211</f>
        <v>3575</v>
      </c>
      <c r="D29" s="114">
        <v>0</v>
      </c>
      <c r="E29" s="114">
        <v>0</v>
      </c>
      <c r="F29" s="129">
        <f t="shared" si="0"/>
        <v>3575</v>
      </c>
    </row>
    <row r="30" spans="1:6" x14ac:dyDescent="0.25">
      <c r="A30" s="208">
        <v>25</v>
      </c>
      <c r="B30" s="209" t="s">
        <v>32</v>
      </c>
      <c r="C30" s="210">
        <f>724-40</f>
        <v>684</v>
      </c>
      <c r="D30" s="114">
        <v>0</v>
      </c>
      <c r="E30" s="114">
        <f>441-441</f>
        <v>0</v>
      </c>
      <c r="F30" s="129">
        <f t="shared" si="0"/>
        <v>684</v>
      </c>
    </row>
    <row r="31" spans="1:6" x14ac:dyDescent="0.25">
      <c r="A31" s="208">
        <v>26</v>
      </c>
      <c r="B31" s="209" t="s">
        <v>33</v>
      </c>
      <c r="C31" s="210">
        <f>1270-71</f>
        <v>1199</v>
      </c>
      <c r="D31" s="114">
        <f>928-5</f>
        <v>923</v>
      </c>
      <c r="E31" s="114">
        <f>526-9</f>
        <v>517</v>
      </c>
      <c r="F31" s="129">
        <f t="shared" si="0"/>
        <v>2639</v>
      </c>
    </row>
    <row r="32" spans="1:6" x14ac:dyDescent="0.25">
      <c r="A32" s="208">
        <v>27</v>
      </c>
      <c r="B32" s="209" t="s">
        <v>19</v>
      </c>
      <c r="C32" s="210">
        <f>1856-103</f>
        <v>1753</v>
      </c>
      <c r="D32" s="114">
        <f>1023-6</f>
        <v>1017</v>
      </c>
      <c r="E32" s="114">
        <f>580-9</f>
        <v>571</v>
      </c>
      <c r="F32" s="129">
        <f t="shared" si="0"/>
        <v>3341</v>
      </c>
    </row>
    <row r="33" spans="1:6" x14ac:dyDescent="0.25">
      <c r="A33" s="208">
        <v>28</v>
      </c>
      <c r="B33" s="209" t="s">
        <v>42</v>
      </c>
      <c r="C33" s="210">
        <f>1444-80</f>
        <v>1364</v>
      </c>
      <c r="D33" s="114">
        <f>791-5</f>
        <v>786</v>
      </c>
      <c r="E33" s="114">
        <f>448-7</f>
        <v>441</v>
      </c>
      <c r="F33" s="129">
        <f t="shared" si="0"/>
        <v>2591</v>
      </c>
    </row>
    <row r="34" spans="1:6" x14ac:dyDescent="0.25">
      <c r="A34" s="208">
        <v>29</v>
      </c>
      <c r="B34" s="209" t="s">
        <v>37</v>
      </c>
      <c r="C34" s="210">
        <f>4742-264</f>
        <v>4478</v>
      </c>
      <c r="D34" s="114">
        <f>2648-16</f>
        <v>2632</v>
      </c>
      <c r="E34" s="114">
        <f>1501-24</f>
        <v>1477</v>
      </c>
      <c r="F34" s="129">
        <f t="shared" si="0"/>
        <v>8587</v>
      </c>
    </row>
    <row r="35" spans="1:6" x14ac:dyDescent="0.25">
      <c r="A35" s="208">
        <v>30</v>
      </c>
      <c r="B35" s="209" t="s">
        <v>21</v>
      </c>
      <c r="C35" s="210">
        <f>3743-209</f>
        <v>3534</v>
      </c>
      <c r="D35" s="114">
        <f>2727-15</f>
        <v>2712</v>
      </c>
      <c r="E35" s="114">
        <f>1545-25</f>
        <v>1520</v>
      </c>
      <c r="F35" s="129">
        <f t="shared" si="0"/>
        <v>7766</v>
      </c>
    </row>
    <row r="36" spans="1:6" x14ac:dyDescent="0.25">
      <c r="A36" s="208">
        <v>31</v>
      </c>
      <c r="B36" s="209" t="s">
        <v>40</v>
      </c>
      <c r="C36" s="210">
        <v>0</v>
      </c>
      <c r="D36" s="114">
        <f>876-5</f>
        <v>871</v>
      </c>
      <c r="E36" s="114">
        <f>497-8</f>
        <v>489</v>
      </c>
      <c r="F36" s="129">
        <f t="shared" si="0"/>
        <v>1360</v>
      </c>
    </row>
    <row r="37" spans="1:6" x14ac:dyDescent="0.25">
      <c r="A37" s="208">
        <v>32</v>
      </c>
      <c r="B37" s="209" t="s">
        <v>39</v>
      </c>
      <c r="C37" s="210">
        <f>1300-73</f>
        <v>1227</v>
      </c>
      <c r="D37" s="114">
        <f>720-4</f>
        <v>716</v>
      </c>
      <c r="E37" s="114">
        <f>408-7</f>
        <v>401</v>
      </c>
      <c r="F37" s="129">
        <f t="shared" si="0"/>
        <v>2344</v>
      </c>
    </row>
    <row r="38" spans="1:6" x14ac:dyDescent="0.25">
      <c r="A38" s="208">
        <v>33</v>
      </c>
      <c r="B38" s="209" t="s">
        <v>34</v>
      </c>
      <c r="C38" s="210">
        <f>1715-96</f>
        <v>1619</v>
      </c>
      <c r="D38" s="114">
        <v>0</v>
      </c>
      <c r="E38" s="114">
        <v>0</v>
      </c>
      <c r="F38" s="129">
        <f t="shared" si="0"/>
        <v>1619</v>
      </c>
    </row>
    <row r="39" spans="1:6" x14ac:dyDescent="0.25">
      <c r="A39" s="208">
        <v>34</v>
      </c>
      <c r="B39" s="209" t="s">
        <v>2</v>
      </c>
      <c r="C39" s="210">
        <f>2251-126</f>
        <v>2125</v>
      </c>
      <c r="D39" s="114">
        <f>1291-8</f>
        <v>1283</v>
      </c>
      <c r="E39" s="114">
        <f>732-12</f>
        <v>720</v>
      </c>
      <c r="F39" s="129">
        <f t="shared" si="0"/>
        <v>4128</v>
      </c>
    </row>
    <row r="40" spans="1:6" x14ac:dyDescent="0.25">
      <c r="A40" s="208">
        <v>35</v>
      </c>
      <c r="B40" s="209" t="s">
        <v>5</v>
      </c>
      <c r="C40" s="210">
        <f>1539-86</f>
        <v>1453</v>
      </c>
      <c r="D40" s="114">
        <v>0</v>
      </c>
      <c r="E40" s="114">
        <v>0</v>
      </c>
      <c r="F40" s="129">
        <f t="shared" si="0"/>
        <v>1453</v>
      </c>
    </row>
    <row r="41" spans="1:6" x14ac:dyDescent="0.25">
      <c r="A41" s="208">
        <v>36</v>
      </c>
      <c r="B41" s="209" t="s">
        <v>45</v>
      </c>
      <c r="C41" s="210">
        <f>7041-393</f>
        <v>6648</v>
      </c>
      <c r="D41" s="114">
        <f>5147-30</f>
        <v>5117</v>
      </c>
      <c r="E41" s="114">
        <f>2917-47</f>
        <v>2870</v>
      </c>
      <c r="F41" s="129">
        <f t="shared" si="0"/>
        <v>14635</v>
      </c>
    </row>
    <row r="42" spans="1:6" x14ac:dyDescent="0.25">
      <c r="A42" s="208">
        <v>37</v>
      </c>
      <c r="B42" s="209" t="s">
        <v>358</v>
      </c>
      <c r="C42" s="210">
        <f>4178-233</f>
        <v>3945</v>
      </c>
      <c r="D42" s="114">
        <f>2319-14</f>
        <v>2305</v>
      </c>
      <c r="E42" s="114">
        <f>1314-21</f>
        <v>1293</v>
      </c>
      <c r="F42" s="129">
        <f t="shared" si="0"/>
        <v>7543</v>
      </c>
    </row>
    <row r="43" spans="1:6" x14ac:dyDescent="0.25">
      <c r="A43" s="208">
        <v>38</v>
      </c>
      <c r="B43" s="209" t="s">
        <v>330</v>
      </c>
      <c r="C43" s="210">
        <f>20178-14183-334</f>
        <v>5661</v>
      </c>
      <c r="D43" s="114">
        <f>3371-21</f>
        <v>3350</v>
      </c>
      <c r="E43" s="114">
        <f>1910-31</f>
        <v>1879</v>
      </c>
      <c r="F43" s="129">
        <f t="shared" si="0"/>
        <v>10890</v>
      </c>
    </row>
    <row r="44" spans="1:6" x14ac:dyDescent="0.25">
      <c r="A44" s="208">
        <v>39</v>
      </c>
      <c r="B44" s="209" t="s">
        <v>48</v>
      </c>
      <c r="C44" s="210">
        <f>1639-91</f>
        <v>1548</v>
      </c>
      <c r="D44" s="114">
        <f>944-6</f>
        <v>938</v>
      </c>
      <c r="E44" s="114">
        <f>535-9</f>
        <v>526</v>
      </c>
      <c r="F44" s="129">
        <f t="shared" si="0"/>
        <v>3012</v>
      </c>
    </row>
    <row r="45" spans="1:6" x14ac:dyDescent="0.25">
      <c r="A45" s="208">
        <v>40</v>
      </c>
      <c r="B45" s="209" t="s">
        <v>49</v>
      </c>
      <c r="C45" s="210">
        <f>3167-177</f>
        <v>2990</v>
      </c>
      <c r="D45" s="114">
        <f>2315-13</f>
        <v>2302</v>
      </c>
      <c r="E45" s="114">
        <f>1312-22</f>
        <v>1290</v>
      </c>
      <c r="F45" s="129">
        <f t="shared" si="0"/>
        <v>6582</v>
      </c>
    </row>
    <row r="46" spans="1:6" x14ac:dyDescent="0.25">
      <c r="A46" s="208">
        <v>41</v>
      </c>
      <c r="B46" s="209" t="s">
        <v>50</v>
      </c>
      <c r="C46" s="210">
        <f>1230-68</f>
        <v>1162</v>
      </c>
      <c r="D46" s="114">
        <f>708-4</f>
        <v>704</v>
      </c>
      <c r="E46" s="114">
        <f>401-7</f>
        <v>394</v>
      </c>
      <c r="F46" s="129">
        <f t="shared" si="0"/>
        <v>2260</v>
      </c>
    </row>
    <row r="47" spans="1:6" x14ac:dyDescent="0.25">
      <c r="A47" s="208">
        <v>42</v>
      </c>
      <c r="B47" s="209" t="s">
        <v>51</v>
      </c>
      <c r="C47" s="210">
        <f>2594-145</f>
        <v>2449</v>
      </c>
      <c r="D47" s="114">
        <f>1478-9</f>
        <v>1469</v>
      </c>
      <c r="E47" s="114">
        <v>0</v>
      </c>
      <c r="F47" s="129">
        <f t="shared" si="0"/>
        <v>3918</v>
      </c>
    </row>
    <row r="48" spans="1:6" x14ac:dyDescent="0.25">
      <c r="A48" s="208">
        <v>43</v>
      </c>
      <c r="B48" s="209" t="s">
        <v>331</v>
      </c>
      <c r="C48" s="210">
        <f>931-52</f>
        <v>879</v>
      </c>
      <c r="D48" s="114">
        <f>681-4</f>
        <v>677</v>
      </c>
      <c r="E48" s="114">
        <f>387-6</f>
        <v>381</v>
      </c>
      <c r="F48" s="129">
        <f t="shared" si="0"/>
        <v>1937</v>
      </c>
    </row>
    <row r="49" spans="1:6" x14ac:dyDescent="0.25">
      <c r="A49" s="208">
        <v>44</v>
      </c>
      <c r="B49" s="214" t="s">
        <v>332</v>
      </c>
      <c r="C49" s="210">
        <f>389-22</f>
        <v>367</v>
      </c>
      <c r="D49" s="114">
        <f>284-2</f>
        <v>282</v>
      </c>
      <c r="E49" s="114">
        <f>161-3</f>
        <v>158</v>
      </c>
      <c r="F49" s="129">
        <f t="shared" si="0"/>
        <v>807</v>
      </c>
    </row>
    <row r="50" spans="1:6" x14ac:dyDescent="0.25">
      <c r="A50" s="208">
        <v>45</v>
      </c>
      <c r="B50" s="209" t="s">
        <v>333</v>
      </c>
      <c r="C50" s="210">
        <f>641-36</f>
        <v>605</v>
      </c>
      <c r="D50" s="114">
        <f>0+465</f>
        <v>465</v>
      </c>
      <c r="E50" s="114">
        <f>0+261</f>
        <v>261</v>
      </c>
      <c r="F50" s="129">
        <f t="shared" si="0"/>
        <v>1331</v>
      </c>
    </row>
    <row r="51" spans="1:6" x14ac:dyDescent="0.25">
      <c r="A51" s="208">
        <v>46</v>
      </c>
      <c r="B51" s="209" t="s">
        <v>334</v>
      </c>
      <c r="C51" s="210">
        <f>485-27</f>
        <v>458</v>
      </c>
      <c r="D51" s="114">
        <f>355-2</f>
        <v>353</v>
      </c>
      <c r="E51" s="114">
        <f>201-3</f>
        <v>198</v>
      </c>
      <c r="F51" s="129">
        <f t="shared" si="0"/>
        <v>1009</v>
      </c>
    </row>
    <row r="52" spans="1:6" x14ac:dyDescent="0.25">
      <c r="A52" s="208">
        <v>47</v>
      </c>
      <c r="B52" s="209" t="s">
        <v>335</v>
      </c>
      <c r="C52" s="210">
        <f>8692-2288</f>
        <v>6404</v>
      </c>
      <c r="D52" s="114">
        <f>7416-1430</f>
        <v>5986</v>
      </c>
      <c r="E52" s="114">
        <f>4201-848</f>
        <v>3353</v>
      </c>
      <c r="F52" s="129">
        <f t="shared" si="0"/>
        <v>15743</v>
      </c>
    </row>
    <row r="53" spans="1:6" x14ac:dyDescent="0.25">
      <c r="A53" s="208">
        <v>48</v>
      </c>
      <c r="B53" s="209" t="s">
        <v>336</v>
      </c>
      <c r="C53" s="210">
        <f>2388-133</f>
        <v>2255</v>
      </c>
      <c r="D53" s="114">
        <v>0</v>
      </c>
      <c r="E53" s="114">
        <v>0</v>
      </c>
      <c r="F53" s="129">
        <f t="shared" si="0"/>
        <v>2255</v>
      </c>
    </row>
    <row r="54" spans="1:6" x14ac:dyDescent="0.25">
      <c r="A54" s="208">
        <v>49</v>
      </c>
      <c r="B54" s="209" t="s">
        <v>337</v>
      </c>
      <c r="C54" s="210">
        <f>2040-114</f>
        <v>1926</v>
      </c>
      <c r="D54" s="114">
        <v>0</v>
      </c>
      <c r="E54" s="114">
        <v>0</v>
      </c>
      <c r="F54" s="129">
        <f t="shared" si="0"/>
        <v>1926</v>
      </c>
    </row>
    <row r="55" spans="1:6" x14ac:dyDescent="0.25">
      <c r="A55" s="215">
        <v>50</v>
      </c>
      <c r="B55" s="209" t="s">
        <v>338</v>
      </c>
      <c r="C55" s="210">
        <f>2812-157</f>
        <v>2655</v>
      </c>
      <c r="D55" s="114">
        <v>0</v>
      </c>
      <c r="E55" s="114">
        <v>0</v>
      </c>
      <c r="F55" s="129">
        <f t="shared" si="0"/>
        <v>2655</v>
      </c>
    </row>
    <row r="56" spans="1:6" x14ac:dyDescent="0.25">
      <c r="A56" s="215">
        <v>51</v>
      </c>
      <c r="B56" s="209" t="s">
        <v>339</v>
      </c>
      <c r="C56" s="210">
        <f>3426-191</f>
        <v>3235</v>
      </c>
      <c r="D56" s="114">
        <v>0</v>
      </c>
      <c r="E56" s="114">
        <v>0</v>
      </c>
      <c r="F56" s="129">
        <f t="shared" si="0"/>
        <v>3235</v>
      </c>
    </row>
    <row r="57" spans="1:6" x14ac:dyDescent="0.25">
      <c r="A57" s="215">
        <v>52</v>
      </c>
      <c r="B57" s="209" t="s">
        <v>340</v>
      </c>
      <c r="C57" s="210">
        <f>1282-72</f>
        <v>1210</v>
      </c>
      <c r="D57" s="114">
        <v>0</v>
      </c>
      <c r="E57" s="114">
        <v>0</v>
      </c>
      <c r="F57" s="129">
        <f t="shared" si="0"/>
        <v>1210</v>
      </c>
    </row>
    <row r="58" spans="1:6" x14ac:dyDescent="0.25">
      <c r="A58" s="208">
        <v>53</v>
      </c>
      <c r="B58" s="209" t="s">
        <v>341</v>
      </c>
      <c r="C58" s="210">
        <f>4447-248</f>
        <v>4199</v>
      </c>
      <c r="D58" s="114">
        <f>2970-17</f>
        <v>2953</v>
      </c>
      <c r="E58" s="114">
        <f>1683-27</f>
        <v>1656</v>
      </c>
      <c r="F58" s="129">
        <f t="shared" si="0"/>
        <v>8808</v>
      </c>
    </row>
    <row r="59" spans="1:6" x14ac:dyDescent="0.25">
      <c r="A59" s="208">
        <v>54</v>
      </c>
      <c r="B59" s="209" t="s">
        <v>342</v>
      </c>
      <c r="C59" s="210">
        <f>2626-147</f>
        <v>2479</v>
      </c>
      <c r="D59" s="114">
        <f>1920-11</f>
        <v>1909</v>
      </c>
      <c r="E59" s="114">
        <f>1088-18</f>
        <v>1070</v>
      </c>
      <c r="F59" s="129">
        <f t="shared" si="0"/>
        <v>5458</v>
      </c>
    </row>
    <row r="60" spans="1:6" x14ac:dyDescent="0.25">
      <c r="A60" s="208">
        <v>55</v>
      </c>
      <c r="B60" s="209" t="s">
        <v>343</v>
      </c>
      <c r="C60" s="210">
        <f>2531-141</f>
        <v>2390</v>
      </c>
      <c r="D60" s="114">
        <f>1850-11</f>
        <v>1839</v>
      </c>
      <c r="E60" s="114">
        <f>1048-17</f>
        <v>1031</v>
      </c>
      <c r="F60" s="129">
        <f t="shared" si="0"/>
        <v>5260</v>
      </c>
    </row>
    <row r="61" spans="1:6" x14ac:dyDescent="0.25">
      <c r="A61" s="208">
        <v>56</v>
      </c>
      <c r="B61" s="209" t="s">
        <v>344</v>
      </c>
      <c r="C61" s="210">
        <f>4975-278</f>
        <v>4697</v>
      </c>
      <c r="D61" s="114">
        <f>3636-21</f>
        <v>3615</v>
      </c>
      <c r="E61" s="114">
        <f>2061-34</f>
        <v>2027</v>
      </c>
      <c r="F61" s="129">
        <f t="shared" si="0"/>
        <v>10339</v>
      </c>
    </row>
    <row r="62" spans="1:6" x14ac:dyDescent="0.25">
      <c r="A62" s="208">
        <v>57</v>
      </c>
      <c r="B62" s="209" t="s">
        <v>345</v>
      </c>
      <c r="C62" s="210">
        <f>2536-142</f>
        <v>2394</v>
      </c>
      <c r="D62" s="114">
        <f>1854-11</f>
        <v>1843</v>
      </c>
      <c r="E62" s="114">
        <f>1050-17</f>
        <v>1033</v>
      </c>
      <c r="F62" s="129">
        <f t="shared" si="0"/>
        <v>5270</v>
      </c>
    </row>
    <row r="63" spans="1:6" x14ac:dyDescent="0.25">
      <c r="A63" s="208">
        <v>58</v>
      </c>
      <c r="B63" s="209" t="s">
        <v>346</v>
      </c>
      <c r="C63" s="210">
        <f>2867-160</f>
        <v>2707</v>
      </c>
      <c r="D63" s="114">
        <f>2096-12</f>
        <v>2084</v>
      </c>
      <c r="E63" s="114">
        <f>1188-19</f>
        <v>1169</v>
      </c>
      <c r="F63" s="129">
        <f t="shared" si="0"/>
        <v>5960</v>
      </c>
    </row>
    <row r="64" spans="1:6" x14ac:dyDescent="0.25">
      <c r="A64" s="208">
        <v>59</v>
      </c>
      <c r="B64" s="209" t="s">
        <v>347</v>
      </c>
      <c r="C64" s="210">
        <f>4857-271</f>
        <v>4586</v>
      </c>
      <c r="D64" s="114">
        <f>3550-21</f>
        <v>3529</v>
      </c>
      <c r="E64" s="114">
        <f>2012-33</f>
        <v>1979</v>
      </c>
      <c r="F64" s="129">
        <f t="shared" si="0"/>
        <v>10094</v>
      </c>
    </row>
    <row r="65" spans="1:6" x14ac:dyDescent="0.25">
      <c r="A65" s="208">
        <v>60</v>
      </c>
      <c r="B65" s="209" t="s">
        <v>348</v>
      </c>
      <c r="C65" s="210">
        <f>2238-125</f>
        <v>2113</v>
      </c>
      <c r="D65" s="114">
        <f>1636-10</f>
        <v>1626</v>
      </c>
      <c r="E65" s="114">
        <f>927-15</f>
        <v>912</v>
      </c>
      <c r="F65" s="129">
        <f t="shared" si="0"/>
        <v>4651</v>
      </c>
    </row>
    <row r="66" spans="1:6" x14ac:dyDescent="0.25">
      <c r="A66" s="208">
        <v>61</v>
      </c>
      <c r="B66" s="209" t="s">
        <v>349</v>
      </c>
      <c r="C66" s="210">
        <f>2176-121</f>
        <v>2055</v>
      </c>
      <c r="D66" s="114">
        <f>1590-9</f>
        <v>1581</v>
      </c>
      <c r="E66" s="114">
        <f>901-15</f>
        <v>886</v>
      </c>
      <c r="F66" s="129">
        <f t="shared" si="0"/>
        <v>4522</v>
      </c>
    </row>
    <row r="67" spans="1:6" x14ac:dyDescent="0.25">
      <c r="A67" s="208">
        <v>62</v>
      </c>
      <c r="B67" s="209" t="s">
        <v>350</v>
      </c>
      <c r="C67" s="210">
        <f>4151-232</f>
        <v>3919</v>
      </c>
      <c r="D67" s="114">
        <f>2132-13</f>
        <v>2119</v>
      </c>
      <c r="E67" s="114">
        <f>1208-20</f>
        <v>1188</v>
      </c>
      <c r="F67" s="129">
        <f t="shared" si="0"/>
        <v>7226</v>
      </c>
    </row>
    <row r="68" spans="1:6" x14ac:dyDescent="0.25">
      <c r="A68" s="208">
        <v>63</v>
      </c>
      <c r="B68" s="209" t="s">
        <v>351</v>
      </c>
      <c r="C68" s="210">
        <f>2806-157</f>
        <v>2649</v>
      </c>
      <c r="D68" s="114">
        <f>2051-12</f>
        <v>2039</v>
      </c>
      <c r="E68" s="114">
        <f>1162-19</f>
        <v>1143</v>
      </c>
      <c r="F68" s="129">
        <f t="shared" si="0"/>
        <v>5831</v>
      </c>
    </row>
    <row r="69" spans="1:6" x14ac:dyDescent="0.25">
      <c r="A69" s="208">
        <v>64</v>
      </c>
      <c r="B69" s="209" t="s">
        <v>352</v>
      </c>
      <c r="C69" s="210">
        <f>2437-136</f>
        <v>2301</v>
      </c>
      <c r="D69" s="114">
        <f>1782-10</f>
        <v>1772</v>
      </c>
      <c r="E69" s="114">
        <f>1010-16</f>
        <v>994</v>
      </c>
      <c r="F69" s="129">
        <f t="shared" si="0"/>
        <v>5067</v>
      </c>
    </row>
    <row r="70" spans="1:6" x14ac:dyDescent="0.25">
      <c r="A70" s="208">
        <v>65</v>
      </c>
      <c r="B70" s="209" t="s">
        <v>353</v>
      </c>
      <c r="C70" s="210">
        <f>1397-78</f>
        <v>1319</v>
      </c>
      <c r="D70" s="114">
        <f>1021-6</f>
        <v>1015</v>
      </c>
      <c r="E70" s="114">
        <f>578-9</f>
        <v>569</v>
      </c>
      <c r="F70" s="129">
        <f t="shared" si="0"/>
        <v>2903</v>
      </c>
    </row>
    <row r="71" spans="1:6" x14ac:dyDescent="0.25">
      <c r="A71" s="208">
        <v>66</v>
      </c>
      <c r="B71" s="209" t="s">
        <v>354</v>
      </c>
      <c r="C71" s="210">
        <f>647-36</f>
        <v>611</v>
      </c>
      <c r="D71" s="114">
        <f>473-3</f>
        <v>470</v>
      </c>
      <c r="E71" s="114">
        <f>268-4</f>
        <v>264</v>
      </c>
      <c r="F71" s="129">
        <f t="shared" si="0"/>
        <v>1345</v>
      </c>
    </row>
    <row r="72" spans="1:6" x14ac:dyDescent="0.25">
      <c r="A72" s="208">
        <v>67</v>
      </c>
      <c r="B72" s="209" t="s">
        <v>355</v>
      </c>
      <c r="C72" s="210">
        <f>1167-973-194</f>
        <v>0</v>
      </c>
      <c r="D72" s="114">
        <v>0</v>
      </c>
      <c r="E72" s="114">
        <v>0</v>
      </c>
      <c r="F72" s="129">
        <f t="shared" si="0"/>
        <v>0</v>
      </c>
    </row>
    <row r="73" spans="1:6" ht="38.25" x14ac:dyDescent="0.25">
      <c r="A73" s="460">
        <v>68</v>
      </c>
      <c r="B73" s="214" t="s">
        <v>248</v>
      </c>
      <c r="C73" s="210">
        <f>0+973-48+194</f>
        <v>1119</v>
      </c>
      <c r="D73" s="114">
        <v>0</v>
      </c>
      <c r="E73" s="114">
        <v>0</v>
      </c>
      <c r="F73" s="129">
        <f t="shared" si="0"/>
        <v>1119</v>
      </c>
    </row>
    <row r="74" spans="1:6" x14ac:dyDescent="0.25">
      <c r="A74" s="461"/>
      <c r="B74" s="209" t="s">
        <v>249</v>
      </c>
      <c r="C74" s="210">
        <f>10437-599</f>
        <v>9838</v>
      </c>
      <c r="D74" s="114">
        <f>8482-51</f>
        <v>8431</v>
      </c>
      <c r="E74" s="114">
        <f>4806-79</f>
        <v>4727</v>
      </c>
      <c r="F74" s="129">
        <f t="shared" si="0"/>
        <v>22996</v>
      </c>
    </row>
    <row r="75" spans="1:6" x14ac:dyDescent="0.25">
      <c r="A75" s="208">
        <v>69</v>
      </c>
      <c r="B75" s="209" t="s">
        <v>114</v>
      </c>
      <c r="C75" s="210">
        <f>2067-115</f>
        <v>1952</v>
      </c>
      <c r="D75" s="114">
        <v>0</v>
      </c>
      <c r="E75" s="114">
        <v>0</v>
      </c>
      <c r="F75" s="129">
        <f>SUM(C75:E75)</f>
        <v>1952</v>
      </c>
    </row>
    <row r="76" spans="1:6" x14ac:dyDescent="0.25">
      <c r="A76" s="208">
        <v>70</v>
      </c>
      <c r="B76" s="209" t="s">
        <v>356</v>
      </c>
      <c r="C76" s="210">
        <f>2763-154</f>
        <v>2609</v>
      </c>
      <c r="D76" s="114">
        <f>2020-12</f>
        <v>2008</v>
      </c>
      <c r="E76" s="114">
        <f>1145-19</f>
        <v>1126</v>
      </c>
      <c r="F76" s="129">
        <f t="shared" si="0"/>
        <v>5743</v>
      </c>
    </row>
    <row r="77" spans="1:6" x14ac:dyDescent="0.25">
      <c r="A77" s="208">
        <v>71</v>
      </c>
      <c r="B77" s="209" t="s">
        <v>62</v>
      </c>
      <c r="C77" s="210">
        <f>445-25</f>
        <v>420</v>
      </c>
      <c r="D77" s="114">
        <f>325-2</f>
        <v>323</v>
      </c>
      <c r="E77" s="114">
        <f>184-4</f>
        <v>180</v>
      </c>
      <c r="F77" s="129">
        <f t="shared" si="0"/>
        <v>923</v>
      </c>
    </row>
    <row r="78" spans="1:6" x14ac:dyDescent="0.25">
      <c r="A78" s="208">
        <v>72</v>
      </c>
      <c r="B78" s="216" t="s">
        <v>74</v>
      </c>
      <c r="C78" s="210">
        <f>2041-114</f>
        <v>1927</v>
      </c>
      <c r="D78" s="114">
        <f>1492-9</f>
        <v>1483</v>
      </c>
      <c r="E78" s="114">
        <f>845-14</f>
        <v>831</v>
      </c>
      <c r="F78" s="129">
        <f>SUM(C78:E78)</f>
        <v>4241</v>
      </c>
    </row>
    <row r="79" spans="1:6" x14ac:dyDescent="0.25">
      <c r="A79" s="208">
        <v>73</v>
      </c>
      <c r="B79" s="209" t="s">
        <v>63</v>
      </c>
      <c r="C79" s="210">
        <f>11598-390</f>
        <v>11208</v>
      </c>
      <c r="D79" s="114">
        <v>0</v>
      </c>
      <c r="E79" s="114">
        <v>0</v>
      </c>
      <c r="F79" s="129">
        <f>SUM(C79:E79)</f>
        <v>11208</v>
      </c>
    </row>
    <row r="80" spans="1:6" x14ac:dyDescent="0.25">
      <c r="A80" s="208">
        <v>74</v>
      </c>
      <c r="B80" s="209" t="s">
        <v>256</v>
      </c>
      <c r="C80" s="210">
        <f>7228-403</f>
        <v>6825</v>
      </c>
      <c r="D80" s="114">
        <f>4235-25</f>
        <v>4210</v>
      </c>
      <c r="E80" s="114">
        <f>2400-39</f>
        <v>2361</v>
      </c>
      <c r="F80" s="129">
        <f>SUM(C80:E80)</f>
        <v>13396</v>
      </c>
    </row>
    <row r="81" spans="1:6" x14ac:dyDescent="0.25">
      <c r="A81" s="208">
        <v>75</v>
      </c>
      <c r="B81" s="209" t="s">
        <v>80</v>
      </c>
      <c r="C81" s="210">
        <v>8500</v>
      </c>
      <c r="D81" s="114"/>
      <c r="E81" s="114">
        <v>755</v>
      </c>
      <c r="F81" s="129">
        <f>C81+D81+E81</f>
        <v>9255</v>
      </c>
    </row>
    <row r="82" spans="1:6" x14ac:dyDescent="0.25">
      <c r="A82" s="208">
        <v>76</v>
      </c>
      <c r="B82" s="209" t="s">
        <v>81</v>
      </c>
      <c r="C82" s="210">
        <v>400</v>
      </c>
      <c r="D82" s="114">
        <v>800</v>
      </c>
      <c r="E82" s="114">
        <v>500</v>
      </c>
      <c r="F82" s="129">
        <f t="shared" ref="F82:F88" si="1">C82+D82+E82</f>
        <v>1700</v>
      </c>
    </row>
    <row r="83" spans="1:6" x14ac:dyDescent="0.25">
      <c r="A83" s="208">
        <v>77</v>
      </c>
      <c r="B83" s="209" t="s">
        <v>113</v>
      </c>
      <c r="C83" s="210">
        <v>3500</v>
      </c>
      <c r="D83" s="114"/>
      <c r="E83" s="114"/>
      <c r="F83" s="129">
        <f t="shared" si="1"/>
        <v>3500</v>
      </c>
    </row>
    <row r="84" spans="1:6" x14ac:dyDescent="0.25">
      <c r="A84" s="208">
        <v>78</v>
      </c>
      <c r="B84" s="209" t="s">
        <v>76</v>
      </c>
      <c r="C84" s="210">
        <v>1000</v>
      </c>
      <c r="D84" s="114"/>
      <c r="E84" s="114"/>
      <c r="F84" s="129">
        <f t="shared" si="1"/>
        <v>1000</v>
      </c>
    </row>
    <row r="85" spans="1:6" x14ac:dyDescent="0.25">
      <c r="A85" s="208">
        <v>79</v>
      </c>
      <c r="B85" s="209" t="s">
        <v>18</v>
      </c>
      <c r="C85" s="210">
        <f>934-287</f>
        <v>647</v>
      </c>
      <c r="D85" s="114"/>
      <c r="E85" s="114"/>
      <c r="F85" s="129">
        <f t="shared" si="1"/>
        <v>647</v>
      </c>
    </row>
    <row r="86" spans="1:6" x14ac:dyDescent="0.25">
      <c r="A86" s="208">
        <v>80</v>
      </c>
      <c r="B86" s="209" t="s">
        <v>12</v>
      </c>
      <c r="C86" s="210">
        <v>904</v>
      </c>
      <c r="D86" s="114">
        <v>695</v>
      </c>
      <c r="E86" s="114">
        <v>390</v>
      </c>
      <c r="F86" s="129">
        <f t="shared" si="1"/>
        <v>1989</v>
      </c>
    </row>
    <row r="87" spans="1:6" x14ac:dyDescent="0.25">
      <c r="A87" s="208">
        <v>81</v>
      </c>
      <c r="B87" s="211" t="s">
        <v>30</v>
      </c>
      <c r="C87" s="210">
        <v>980</v>
      </c>
      <c r="D87" s="114">
        <v>755</v>
      </c>
      <c r="E87" s="114">
        <v>423</v>
      </c>
      <c r="F87" s="129">
        <f t="shared" si="1"/>
        <v>2158</v>
      </c>
    </row>
    <row r="88" spans="1:6" ht="13.5" thickBot="1" x14ac:dyDescent="0.3">
      <c r="A88" s="217">
        <v>82</v>
      </c>
      <c r="B88" s="218" t="s">
        <v>357</v>
      </c>
      <c r="C88" s="210">
        <v>1803</v>
      </c>
      <c r="D88" s="114">
        <v>1388</v>
      </c>
      <c r="E88" s="114">
        <v>778</v>
      </c>
      <c r="F88" s="129">
        <f t="shared" si="1"/>
        <v>3969</v>
      </c>
    </row>
    <row r="89" spans="1:6" ht="13.5" thickBot="1" x14ac:dyDescent="0.3">
      <c r="A89" s="219"/>
      <c r="B89" s="220" t="s">
        <v>106</v>
      </c>
      <c r="C89" s="138">
        <f>SUM(C5:C88)</f>
        <v>240156</v>
      </c>
      <c r="D89" s="139">
        <f>SUM(D5:D88)</f>
        <v>135938</v>
      </c>
      <c r="E89" s="139">
        <f>SUM(E5:E88)</f>
        <v>77031</v>
      </c>
      <c r="F89" s="140">
        <f>SUM(F5:F88)</f>
        <v>453125</v>
      </c>
    </row>
  </sheetData>
  <mergeCells count="6">
    <mergeCell ref="A73:A74"/>
    <mergeCell ref="A1:F1"/>
    <mergeCell ref="A3:A4"/>
    <mergeCell ref="B3:B4"/>
    <mergeCell ref="C3:F3"/>
    <mergeCell ref="A20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zoomScale="90" zoomScaleNormal="9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G113" sqref="G113"/>
    </sheetView>
  </sheetViews>
  <sheetFormatPr defaultRowHeight="12" x14ac:dyDescent="0.25"/>
  <cols>
    <col min="1" max="1" width="3.85546875" style="222" customWidth="1"/>
    <col min="2" max="2" width="36" style="221" customWidth="1"/>
    <col min="3" max="3" width="7.7109375" style="223" customWidth="1"/>
    <col min="4" max="4" width="8.5703125" style="223" customWidth="1"/>
    <col min="5" max="5" width="12.42578125" style="223" customWidth="1"/>
    <col min="6" max="6" width="6.85546875" style="223" customWidth="1"/>
    <col min="7" max="7" width="8.140625" style="223" customWidth="1"/>
    <col min="8" max="9" width="8.85546875" style="223" customWidth="1"/>
    <col min="10" max="10" width="8.5703125" style="223" customWidth="1"/>
    <col min="11" max="11" width="8.42578125" style="223" customWidth="1"/>
    <col min="12" max="12" width="9.7109375" style="223" customWidth="1"/>
    <col min="13" max="13" width="8.42578125" style="223" customWidth="1"/>
    <col min="14" max="15" width="8.7109375" style="223" customWidth="1"/>
    <col min="16" max="16" width="13.140625" style="223" customWidth="1"/>
    <col min="17" max="17" width="12.42578125" style="222" customWidth="1"/>
    <col min="18" max="18" width="13.5703125" style="222" customWidth="1"/>
    <col min="19" max="20" width="13.28515625" style="222" customWidth="1"/>
    <col min="21" max="21" width="11.85546875" style="222" customWidth="1"/>
    <col min="22" max="22" width="16.85546875" style="222" customWidth="1"/>
    <col min="23" max="23" width="9.28515625" style="222" customWidth="1"/>
    <col min="24" max="16384" width="9.140625" style="221"/>
  </cols>
  <sheetData>
    <row r="1" spans="1:23" ht="26.25" customHeight="1" x14ac:dyDescent="0.25">
      <c r="A1" s="447" t="s">
        <v>359</v>
      </c>
      <c r="B1" s="447"/>
      <c r="C1" s="447"/>
      <c r="D1" s="447"/>
      <c r="E1" s="447"/>
      <c r="F1" s="447"/>
      <c r="G1" s="447"/>
      <c r="H1" s="447"/>
      <c r="I1" s="447"/>
      <c r="J1" s="447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</row>
    <row r="2" spans="1:23" ht="16.5" customHeight="1" thickBot="1" x14ac:dyDescent="0.3"/>
    <row r="3" spans="1:23" s="160" customFormat="1" ht="18" customHeight="1" x14ac:dyDescent="0.25">
      <c r="A3" s="474" t="s">
        <v>0</v>
      </c>
      <c r="B3" s="477" t="s">
        <v>82</v>
      </c>
      <c r="C3" s="480" t="s">
        <v>360</v>
      </c>
      <c r="D3" s="481"/>
      <c r="E3" s="481"/>
      <c r="F3" s="481"/>
      <c r="G3" s="481"/>
      <c r="H3" s="481"/>
      <c r="I3" s="481"/>
      <c r="J3" s="481"/>
      <c r="K3" s="480" t="s">
        <v>361</v>
      </c>
      <c r="L3" s="482"/>
      <c r="M3" s="482"/>
      <c r="N3" s="482"/>
      <c r="O3" s="483"/>
      <c r="P3" s="484" t="s">
        <v>362</v>
      </c>
      <c r="Q3" s="485"/>
      <c r="R3" s="485"/>
      <c r="S3" s="485"/>
      <c r="T3" s="485"/>
      <c r="U3" s="485"/>
      <c r="V3" s="485"/>
      <c r="W3" s="486"/>
    </row>
    <row r="4" spans="1:23" s="160" customFormat="1" ht="40.5" customHeight="1" x14ac:dyDescent="0.25">
      <c r="A4" s="475"/>
      <c r="B4" s="478"/>
      <c r="C4" s="487" t="s">
        <v>363</v>
      </c>
      <c r="D4" s="489" t="s">
        <v>364</v>
      </c>
      <c r="E4" s="224" t="s">
        <v>365</v>
      </c>
      <c r="F4" s="491" t="s">
        <v>366</v>
      </c>
      <c r="G4" s="492"/>
      <c r="H4" s="493"/>
      <c r="I4" s="494" t="s">
        <v>367</v>
      </c>
      <c r="J4" s="502" t="s">
        <v>110</v>
      </c>
      <c r="K4" s="504" t="s">
        <v>368</v>
      </c>
      <c r="L4" s="506" t="s">
        <v>369</v>
      </c>
      <c r="M4" s="506" t="s">
        <v>370</v>
      </c>
      <c r="N4" s="506" t="s">
        <v>371</v>
      </c>
      <c r="O4" s="508" t="s">
        <v>110</v>
      </c>
      <c r="P4" s="501" t="s">
        <v>372</v>
      </c>
      <c r="Q4" s="496" t="s">
        <v>373</v>
      </c>
      <c r="R4" s="496" t="s">
        <v>374</v>
      </c>
      <c r="S4" s="496" t="s">
        <v>375</v>
      </c>
      <c r="T4" s="496" t="s">
        <v>376</v>
      </c>
      <c r="U4" s="496" t="s">
        <v>377</v>
      </c>
      <c r="V4" s="496" t="s">
        <v>378</v>
      </c>
      <c r="W4" s="497" t="s">
        <v>110</v>
      </c>
    </row>
    <row r="5" spans="1:23" s="160" customFormat="1" ht="72" customHeight="1" thickBot="1" x14ac:dyDescent="0.3">
      <c r="A5" s="476"/>
      <c r="B5" s="479"/>
      <c r="C5" s="488"/>
      <c r="D5" s="490"/>
      <c r="E5" s="225" t="s">
        <v>379</v>
      </c>
      <c r="F5" s="226" t="s">
        <v>380</v>
      </c>
      <c r="G5" s="226" t="s">
        <v>381</v>
      </c>
      <c r="H5" s="226" t="s">
        <v>382</v>
      </c>
      <c r="I5" s="495"/>
      <c r="J5" s="503"/>
      <c r="K5" s="505"/>
      <c r="L5" s="507"/>
      <c r="M5" s="507"/>
      <c r="N5" s="507"/>
      <c r="O5" s="509"/>
      <c r="P5" s="488"/>
      <c r="Q5" s="490"/>
      <c r="R5" s="490"/>
      <c r="S5" s="490"/>
      <c r="T5" s="490"/>
      <c r="U5" s="490"/>
      <c r="V5" s="490"/>
      <c r="W5" s="498"/>
    </row>
    <row r="6" spans="1:23" ht="12" customHeight="1" x14ac:dyDescent="0.25">
      <c r="A6" s="227">
        <v>1</v>
      </c>
      <c r="B6" s="228" t="s">
        <v>358</v>
      </c>
      <c r="C6" s="229">
        <f>77+23</f>
        <v>100</v>
      </c>
      <c r="D6" s="230">
        <f>2153+186</f>
        <v>2339</v>
      </c>
      <c r="E6" s="230">
        <f>271-20</f>
        <v>251</v>
      </c>
      <c r="F6" s="245">
        <f>93+17</f>
        <v>110</v>
      </c>
      <c r="G6" s="245">
        <f>14+1</f>
        <v>15</v>
      </c>
      <c r="H6" s="245">
        <f>20+2</f>
        <v>22</v>
      </c>
      <c r="I6" s="245">
        <f>SUM(E6:H6)</f>
        <v>398</v>
      </c>
      <c r="J6" s="231">
        <f t="shared" ref="J6:J69" si="0">C6+D6+I6</f>
        <v>2837</v>
      </c>
      <c r="K6" s="232">
        <v>36</v>
      </c>
      <c r="L6" s="233">
        <v>772</v>
      </c>
      <c r="M6" s="233">
        <v>2282</v>
      </c>
      <c r="N6" s="233">
        <v>421</v>
      </c>
      <c r="O6" s="234">
        <f>SUM(K6:N6)</f>
        <v>3511</v>
      </c>
      <c r="P6" s="232"/>
      <c r="Q6" s="235"/>
      <c r="R6" s="235"/>
      <c r="S6" s="235"/>
      <c r="T6" s="235"/>
      <c r="U6" s="235"/>
      <c r="V6" s="235"/>
      <c r="W6" s="236"/>
    </row>
    <row r="7" spans="1:23" ht="12" customHeight="1" x14ac:dyDescent="0.25">
      <c r="A7" s="237">
        <v>2</v>
      </c>
      <c r="B7" s="238" t="s">
        <v>47</v>
      </c>
      <c r="C7" s="239"/>
      <c r="D7" s="240">
        <f>878+76</f>
        <v>954</v>
      </c>
      <c r="E7" s="230">
        <f>110-7</f>
        <v>103</v>
      </c>
      <c r="F7" s="245">
        <f>82+7</f>
        <v>89</v>
      </c>
      <c r="G7" s="245"/>
      <c r="H7" s="245"/>
      <c r="I7" s="245">
        <f t="shared" ref="I7:I71" si="1">SUM(E7:H7)</f>
        <v>192</v>
      </c>
      <c r="J7" s="231">
        <f t="shared" si="0"/>
        <v>1146</v>
      </c>
      <c r="K7" s="241"/>
      <c r="L7" s="242"/>
      <c r="M7" s="242"/>
      <c r="N7" s="242"/>
      <c r="O7" s="234">
        <f t="shared" ref="O7:O71" si="2">SUM(K7:N7)</f>
        <v>0</v>
      </c>
      <c r="P7" s="241"/>
      <c r="Q7" s="243"/>
      <c r="R7" s="243"/>
      <c r="S7" s="243"/>
      <c r="T7" s="243"/>
      <c r="U7" s="243"/>
      <c r="V7" s="243"/>
      <c r="W7" s="244"/>
    </row>
    <row r="8" spans="1:23" ht="12" customHeight="1" x14ac:dyDescent="0.25">
      <c r="A8" s="237">
        <v>3</v>
      </c>
      <c r="B8" s="238" t="s">
        <v>1</v>
      </c>
      <c r="C8" s="239"/>
      <c r="D8" s="240">
        <f>1161+101</f>
        <v>1262</v>
      </c>
      <c r="E8" s="230">
        <v>137</v>
      </c>
      <c r="F8" s="245"/>
      <c r="G8" s="245"/>
      <c r="H8" s="245"/>
      <c r="I8" s="245">
        <f t="shared" si="1"/>
        <v>137</v>
      </c>
      <c r="J8" s="231">
        <f t="shared" si="0"/>
        <v>1399</v>
      </c>
      <c r="K8" s="241"/>
      <c r="L8" s="242"/>
      <c r="M8" s="242"/>
      <c r="N8" s="242"/>
      <c r="O8" s="234">
        <f t="shared" si="2"/>
        <v>0</v>
      </c>
      <c r="P8" s="241"/>
      <c r="Q8" s="243"/>
      <c r="R8" s="243"/>
      <c r="S8" s="243"/>
      <c r="T8" s="243"/>
      <c r="U8" s="243"/>
      <c r="V8" s="243"/>
      <c r="W8" s="244"/>
    </row>
    <row r="9" spans="1:23" ht="12" customHeight="1" x14ac:dyDescent="0.25">
      <c r="A9" s="237">
        <v>4</v>
      </c>
      <c r="B9" s="238" t="s">
        <v>4</v>
      </c>
      <c r="C9" s="239"/>
      <c r="D9" s="240">
        <f>596+52</f>
        <v>648</v>
      </c>
      <c r="E9" s="230"/>
      <c r="F9" s="245"/>
      <c r="G9" s="245"/>
      <c r="H9" s="245"/>
      <c r="I9" s="245">
        <f t="shared" si="1"/>
        <v>0</v>
      </c>
      <c r="J9" s="231">
        <f t="shared" si="0"/>
        <v>648</v>
      </c>
      <c r="K9" s="241"/>
      <c r="L9" s="242"/>
      <c r="M9" s="242"/>
      <c r="N9" s="242"/>
      <c r="O9" s="234">
        <f t="shared" si="2"/>
        <v>0</v>
      </c>
      <c r="P9" s="241"/>
      <c r="Q9" s="243"/>
      <c r="R9" s="243"/>
      <c r="S9" s="243"/>
      <c r="T9" s="243"/>
      <c r="U9" s="243"/>
      <c r="V9" s="243"/>
      <c r="W9" s="244"/>
    </row>
    <row r="10" spans="1:23" x14ac:dyDescent="0.25">
      <c r="A10" s="237">
        <v>5</v>
      </c>
      <c r="B10" s="246" t="s">
        <v>3</v>
      </c>
      <c r="C10" s="241">
        <f>19+6</f>
        <v>25</v>
      </c>
      <c r="D10" s="242">
        <f>532+46</f>
        <v>578</v>
      </c>
      <c r="E10" s="230"/>
      <c r="F10" s="245"/>
      <c r="G10" s="245"/>
      <c r="H10" s="245"/>
      <c r="I10" s="245">
        <f t="shared" si="1"/>
        <v>0</v>
      </c>
      <c r="J10" s="231">
        <f t="shared" si="0"/>
        <v>603</v>
      </c>
      <c r="K10" s="241"/>
      <c r="L10" s="242"/>
      <c r="M10" s="242"/>
      <c r="N10" s="242"/>
      <c r="O10" s="234">
        <f t="shared" si="2"/>
        <v>0</v>
      </c>
      <c r="P10" s="241"/>
      <c r="Q10" s="243"/>
      <c r="R10" s="243"/>
      <c r="S10" s="243"/>
      <c r="T10" s="243"/>
      <c r="U10" s="243"/>
      <c r="V10" s="243"/>
      <c r="W10" s="244"/>
    </row>
    <row r="11" spans="1:23" x14ac:dyDescent="0.25">
      <c r="A11" s="237">
        <v>6</v>
      </c>
      <c r="B11" s="247" t="s">
        <v>6</v>
      </c>
      <c r="C11" s="239">
        <f>58+17</f>
        <v>75</v>
      </c>
      <c r="D11" s="240">
        <f>1592+138</f>
        <v>1730</v>
      </c>
      <c r="E11" s="230">
        <v>186</v>
      </c>
      <c r="F11" s="245"/>
      <c r="G11" s="245"/>
      <c r="H11" s="245"/>
      <c r="I11" s="245">
        <f t="shared" si="1"/>
        <v>186</v>
      </c>
      <c r="J11" s="231">
        <f t="shared" si="0"/>
        <v>1991</v>
      </c>
      <c r="K11" s="241"/>
      <c r="L11" s="242"/>
      <c r="M11" s="242"/>
      <c r="N11" s="242"/>
      <c r="O11" s="234">
        <f t="shared" si="2"/>
        <v>0</v>
      </c>
      <c r="P11" s="241"/>
      <c r="Q11" s="243"/>
      <c r="R11" s="243"/>
      <c r="S11" s="243"/>
      <c r="T11" s="243"/>
      <c r="U11" s="243"/>
      <c r="V11" s="243"/>
      <c r="W11" s="244"/>
    </row>
    <row r="12" spans="1:23" x14ac:dyDescent="0.25">
      <c r="A12" s="237">
        <v>7</v>
      </c>
      <c r="B12" s="247" t="s">
        <v>7</v>
      </c>
      <c r="C12" s="239"/>
      <c r="D12" s="240">
        <f>840+73</f>
        <v>913</v>
      </c>
      <c r="E12" s="230">
        <v>98</v>
      </c>
      <c r="F12" s="245"/>
      <c r="G12" s="245"/>
      <c r="H12" s="245"/>
      <c r="I12" s="245">
        <f t="shared" si="1"/>
        <v>98</v>
      </c>
      <c r="J12" s="231">
        <f t="shared" si="0"/>
        <v>1011</v>
      </c>
      <c r="K12" s="241"/>
      <c r="L12" s="242"/>
      <c r="M12" s="242"/>
      <c r="N12" s="242"/>
      <c r="O12" s="234">
        <f t="shared" si="2"/>
        <v>0</v>
      </c>
      <c r="P12" s="241"/>
      <c r="Q12" s="243"/>
      <c r="R12" s="243"/>
      <c r="S12" s="243"/>
      <c r="T12" s="243"/>
      <c r="U12" s="243"/>
      <c r="V12" s="243"/>
      <c r="W12" s="244"/>
    </row>
    <row r="13" spans="1:23" x14ac:dyDescent="0.25">
      <c r="A13" s="237">
        <v>8</v>
      </c>
      <c r="B13" s="247" t="s">
        <v>8</v>
      </c>
      <c r="C13" s="239"/>
      <c r="D13" s="240">
        <f>619+54</f>
        <v>673</v>
      </c>
      <c r="E13" s="230"/>
      <c r="F13" s="245"/>
      <c r="G13" s="245"/>
      <c r="H13" s="245"/>
      <c r="I13" s="245">
        <f t="shared" si="1"/>
        <v>0</v>
      </c>
      <c r="J13" s="231">
        <f t="shared" si="0"/>
        <v>673</v>
      </c>
      <c r="K13" s="241"/>
      <c r="L13" s="242"/>
      <c r="M13" s="242"/>
      <c r="N13" s="242"/>
      <c r="O13" s="234">
        <f t="shared" si="2"/>
        <v>0</v>
      </c>
      <c r="P13" s="241"/>
      <c r="Q13" s="243"/>
      <c r="R13" s="243"/>
      <c r="S13" s="243"/>
      <c r="T13" s="243"/>
      <c r="U13" s="243"/>
      <c r="V13" s="243"/>
      <c r="W13" s="244"/>
    </row>
    <row r="14" spans="1:23" x14ac:dyDescent="0.25">
      <c r="A14" s="237">
        <v>9</v>
      </c>
      <c r="B14" s="247" t="s">
        <v>9</v>
      </c>
      <c r="C14" s="239">
        <f>120+35</f>
        <v>155</v>
      </c>
      <c r="D14" s="240">
        <f>2850+247</f>
        <v>3097</v>
      </c>
      <c r="E14" s="230">
        <v>333</v>
      </c>
      <c r="F14" s="245"/>
      <c r="G14" s="245"/>
      <c r="H14" s="245"/>
      <c r="I14" s="245">
        <f t="shared" si="1"/>
        <v>333</v>
      </c>
      <c r="J14" s="231">
        <f t="shared" si="0"/>
        <v>3585</v>
      </c>
      <c r="K14" s="241">
        <v>52</v>
      </c>
      <c r="L14" s="242">
        <v>1129</v>
      </c>
      <c r="M14" s="242">
        <v>3336</v>
      </c>
      <c r="N14" s="242">
        <v>615</v>
      </c>
      <c r="O14" s="234">
        <f t="shared" si="2"/>
        <v>5132</v>
      </c>
      <c r="P14" s="241"/>
      <c r="Q14" s="243"/>
      <c r="R14" s="243"/>
      <c r="S14" s="243"/>
      <c r="T14" s="243"/>
      <c r="U14" s="243"/>
      <c r="V14" s="243"/>
      <c r="W14" s="244"/>
    </row>
    <row r="15" spans="1:23" x14ac:dyDescent="0.25">
      <c r="A15" s="237">
        <v>10</v>
      </c>
      <c r="B15" s="247" t="s">
        <v>10</v>
      </c>
      <c r="C15" s="239"/>
      <c r="D15" s="240">
        <f>542+47</f>
        <v>589</v>
      </c>
      <c r="E15" s="230">
        <v>63</v>
      </c>
      <c r="F15" s="245"/>
      <c r="G15" s="245"/>
      <c r="H15" s="245"/>
      <c r="I15" s="245">
        <f t="shared" si="1"/>
        <v>63</v>
      </c>
      <c r="J15" s="231">
        <f t="shared" si="0"/>
        <v>652</v>
      </c>
      <c r="K15" s="241"/>
      <c r="L15" s="242"/>
      <c r="M15" s="242"/>
      <c r="N15" s="242"/>
      <c r="O15" s="234">
        <f t="shared" si="2"/>
        <v>0</v>
      </c>
      <c r="P15" s="241"/>
      <c r="Q15" s="243"/>
      <c r="R15" s="243"/>
      <c r="S15" s="243"/>
      <c r="T15" s="243"/>
      <c r="U15" s="243"/>
      <c r="V15" s="243"/>
      <c r="W15" s="244"/>
    </row>
    <row r="16" spans="1:23" x14ac:dyDescent="0.25">
      <c r="A16" s="237">
        <v>11</v>
      </c>
      <c r="B16" s="247" t="s">
        <v>11</v>
      </c>
      <c r="C16" s="239">
        <f>171+50</f>
        <v>221</v>
      </c>
      <c r="D16" s="240">
        <f>3096+268</f>
        <v>3364</v>
      </c>
      <c r="E16" s="230">
        <f>502-87</f>
        <v>415</v>
      </c>
      <c r="F16" s="245">
        <f>273+71</f>
        <v>344</v>
      </c>
      <c r="G16" s="245">
        <f>40+6</f>
        <v>46</v>
      </c>
      <c r="H16" s="245">
        <f>59+10</f>
        <v>69</v>
      </c>
      <c r="I16" s="245">
        <f t="shared" si="1"/>
        <v>874</v>
      </c>
      <c r="J16" s="231">
        <f t="shared" si="0"/>
        <v>4459</v>
      </c>
      <c r="K16" s="241">
        <v>86</v>
      </c>
      <c r="L16" s="242">
        <v>1878</v>
      </c>
      <c r="M16" s="242">
        <v>5550</v>
      </c>
      <c r="N16" s="242">
        <v>1024</v>
      </c>
      <c r="O16" s="234">
        <f t="shared" si="2"/>
        <v>8538</v>
      </c>
      <c r="P16" s="241"/>
      <c r="Q16" s="243"/>
      <c r="R16" s="243"/>
      <c r="S16" s="243"/>
      <c r="T16" s="243"/>
      <c r="U16" s="243"/>
      <c r="V16" s="243"/>
      <c r="W16" s="244"/>
    </row>
    <row r="17" spans="1:23" x14ac:dyDescent="0.25">
      <c r="A17" s="237">
        <v>12</v>
      </c>
      <c r="B17" s="247" t="s">
        <v>12</v>
      </c>
      <c r="C17" s="239"/>
      <c r="D17" s="240">
        <f>649+56</f>
        <v>705</v>
      </c>
      <c r="E17" s="230">
        <v>76</v>
      </c>
      <c r="F17" s="245"/>
      <c r="G17" s="245"/>
      <c r="H17" s="245"/>
      <c r="I17" s="245">
        <f t="shared" si="1"/>
        <v>76</v>
      </c>
      <c r="J17" s="231">
        <f t="shared" si="0"/>
        <v>781</v>
      </c>
      <c r="K17" s="241"/>
      <c r="L17" s="242"/>
      <c r="M17" s="242"/>
      <c r="N17" s="242"/>
      <c r="O17" s="234">
        <f t="shared" si="2"/>
        <v>0</v>
      </c>
      <c r="P17" s="241"/>
      <c r="Q17" s="243"/>
      <c r="R17" s="243"/>
      <c r="S17" s="243"/>
      <c r="T17" s="243"/>
      <c r="U17" s="243"/>
      <c r="V17" s="243"/>
      <c r="W17" s="244"/>
    </row>
    <row r="18" spans="1:23" x14ac:dyDescent="0.25">
      <c r="A18" s="237">
        <v>13</v>
      </c>
      <c r="B18" s="247" t="s">
        <v>13</v>
      </c>
      <c r="C18" s="239">
        <f>135+39</f>
        <v>174</v>
      </c>
      <c r="D18" s="240">
        <f>1761+152</f>
        <v>1913</v>
      </c>
      <c r="E18" s="230">
        <v>348</v>
      </c>
      <c r="F18" s="245"/>
      <c r="G18" s="245"/>
      <c r="H18" s="245"/>
      <c r="I18" s="245">
        <f t="shared" si="1"/>
        <v>348</v>
      </c>
      <c r="J18" s="231">
        <f t="shared" si="0"/>
        <v>2435</v>
      </c>
      <c r="K18" s="241">
        <v>51</v>
      </c>
      <c r="L18" s="242">
        <v>1111</v>
      </c>
      <c r="M18" s="242">
        <v>3282</v>
      </c>
      <c r="N18" s="242">
        <v>606</v>
      </c>
      <c r="O18" s="234">
        <f t="shared" si="2"/>
        <v>5050</v>
      </c>
      <c r="P18" s="241"/>
      <c r="Q18" s="243"/>
      <c r="R18" s="243"/>
      <c r="S18" s="243"/>
      <c r="T18" s="243"/>
      <c r="U18" s="243"/>
      <c r="V18" s="243"/>
      <c r="W18" s="244"/>
    </row>
    <row r="19" spans="1:23" x14ac:dyDescent="0.25">
      <c r="A19" s="237">
        <v>14</v>
      </c>
      <c r="B19" s="247" t="s">
        <v>15</v>
      </c>
      <c r="C19" s="239"/>
      <c r="D19" s="240">
        <f>1435+124</f>
        <v>1559</v>
      </c>
      <c r="E19" s="230">
        <v>167</v>
      </c>
      <c r="F19" s="245"/>
      <c r="G19" s="245"/>
      <c r="H19" s="245"/>
      <c r="I19" s="245">
        <f t="shared" si="1"/>
        <v>167</v>
      </c>
      <c r="J19" s="231">
        <f t="shared" si="0"/>
        <v>1726</v>
      </c>
      <c r="K19" s="241"/>
      <c r="L19" s="242"/>
      <c r="M19" s="242"/>
      <c r="N19" s="242"/>
      <c r="O19" s="234">
        <f t="shared" si="2"/>
        <v>0</v>
      </c>
      <c r="P19" s="241"/>
      <c r="Q19" s="243"/>
      <c r="R19" s="243"/>
      <c r="S19" s="243"/>
      <c r="T19" s="243"/>
      <c r="U19" s="243"/>
      <c r="V19" s="243"/>
      <c r="W19" s="244"/>
    </row>
    <row r="20" spans="1:23" x14ac:dyDescent="0.25">
      <c r="A20" s="237">
        <v>15</v>
      </c>
      <c r="B20" s="247" t="s">
        <v>273</v>
      </c>
      <c r="C20" s="239">
        <f>24+7</f>
        <v>31</v>
      </c>
      <c r="D20" s="240">
        <f>663+57</f>
        <v>720</v>
      </c>
      <c r="E20" s="230">
        <v>77</v>
      </c>
      <c r="F20" s="245"/>
      <c r="G20" s="245"/>
      <c r="H20" s="245"/>
      <c r="I20" s="245">
        <f t="shared" si="1"/>
        <v>77</v>
      </c>
      <c r="J20" s="231">
        <f t="shared" si="0"/>
        <v>828</v>
      </c>
      <c r="K20" s="241"/>
      <c r="L20" s="242"/>
      <c r="M20" s="242"/>
      <c r="N20" s="242"/>
      <c r="O20" s="234">
        <f t="shared" si="2"/>
        <v>0</v>
      </c>
      <c r="P20" s="241"/>
      <c r="Q20" s="243"/>
      <c r="R20" s="243"/>
      <c r="S20" s="243"/>
      <c r="T20" s="243"/>
      <c r="U20" s="243"/>
      <c r="V20" s="243"/>
      <c r="W20" s="244"/>
    </row>
    <row r="21" spans="1:23" x14ac:dyDescent="0.25">
      <c r="A21" s="237">
        <v>16</v>
      </c>
      <c r="B21" s="247" t="s">
        <v>16</v>
      </c>
      <c r="C21" s="239">
        <f>31+9</f>
        <v>40</v>
      </c>
      <c r="D21" s="240">
        <f>854+74</f>
        <v>928</v>
      </c>
      <c r="E21" s="230"/>
      <c r="F21" s="245"/>
      <c r="G21" s="245"/>
      <c r="H21" s="245"/>
      <c r="I21" s="245">
        <f t="shared" si="1"/>
        <v>0</v>
      </c>
      <c r="J21" s="231">
        <f t="shared" si="0"/>
        <v>968</v>
      </c>
      <c r="K21" s="241"/>
      <c r="L21" s="242"/>
      <c r="M21" s="242"/>
      <c r="N21" s="242"/>
      <c r="O21" s="234">
        <f t="shared" si="2"/>
        <v>0</v>
      </c>
      <c r="P21" s="241"/>
      <c r="Q21" s="243"/>
      <c r="R21" s="243"/>
      <c r="S21" s="243"/>
      <c r="T21" s="243"/>
      <c r="U21" s="243"/>
      <c r="V21" s="243"/>
      <c r="W21" s="244"/>
    </row>
    <row r="22" spans="1:23" x14ac:dyDescent="0.25">
      <c r="A22" s="237">
        <v>17</v>
      </c>
      <c r="B22" s="247" t="s">
        <v>17</v>
      </c>
      <c r="C22" s="239"/>
      <c r="D22" s="240">
        <f>707+61</f>
        <v>768</v>
      </c>
      <c r="E22" s="230"/>
      <c r="F22" s="245"/>
      <c r="G22" s="245"/>
      <c r="H22" s="245"/>
      <c r="I22" s="245">
        <f t="shared" si="1"/>
        <v>0</v>
      </c>
      <c r="J22" s="231">
        <f t="shared" si="0"/>
        <v>768</v>
      </c>
      <c r="K22" s="241"/>
      <c r="L22" s="242"/>
      <c r="M22" s="242"/>
      <c r="N22" s="242"/>
      <c r="O22" s="234">
        <f t="shared" si="2"/>
        <v>0</v>
      </c>
      <c r="P22" s="241"/>
      <c r="Q22" s="243"/>
      <c r="R22" s="243"/>
      <c r="S22" s="243"/>
      <c r="T22" s="243"/>
      <c r="U22" s="243"/>
      <c r="V22" s="243"/>
      <c r="W22" s="244"/>
    </row>
    <row r="23" spans="1:23" x14ac:dyDescent="0.25">
      <c r="A23" s="237">
        <v>18</v>
      </c>
      <c r="B23" s="247" t="s">
        <v>18</v>
      </c>
      <c r="C23" s="239"/>
      <c r="D23" s="240">
        <f>465+40</f>
        <v>505</v>
      </c>
      <c r="E23" s="230"/>
      <c r="F23" s="245"/>
      <c r="G23" s="245"/>
      <c r="H23" s="245"/>
      <c r="I23" s="245">
        <f t="shared" si="1"/>
        <v>0</v>
      </c>
      <c r="J23" s="231">
        <f t="shared" si="0"/>
        <v>505</v>
      </c>
      <c r="K23" s="241"/>
      <c r="L23" s="242"/>
      <c r="M23" s="242"/>
      <c r="N23" s="242"/>
      <c r="O23" s="234">
        <f t="shared" si="2"/>
        <v>0</v>
      </c>
      <c r="P23" s="241"/>
      <c r="Q23" s="243"/>
      <c r="R23" s="243"/>
      <c r="S23" s="243"/>
      <c r="T23" s="243"/>
      <c r="U23" s="243"/>
      <c r="V23" s="243"/>
      <c r="W23" s="244"/>
    </row>
    <row r="24" spans="1:23" x14ac:dyDescent="0.25">
      <c r="A24" s="237">
        <v>19</v>
      </c>
      <c r="B24" s="247" t="s">
        <v>44</v>
      </c>
      <c r="C24" s="239">
        <f>26+8</f>
        <v>34</v>
      </c>
      <c r="D24" s="240">
        <f>723+63</f>
        <v>786</v>
      </c>
      <c r="E24" s="230">
        <v>84</v>
      </c>
      <c r="F24" s="245"/>
      <c r="G24" s="245"/>
      <c r="H24" s="245"/>
      <c r="I24" s="245">
        <f t="shared" si="1"/>
        <v>84</v>
      </c>
      <c r="J24" s="231">
        <f t="shared" si="0"/>
        <v>904</v>
      </c>
      <c r="K24" s="241"/>
      <c r="L24" s="242"/>
      <c r="M24" s="242"/>
      <c r="N24" s="242"/>
      <c r="O24" s="234">
        <f t="shared" si="2"/>
        <v>0</v>
      </c>
      <c r="P24" s="241"/>
      <c r="Q24" s="243"/>
      <c r="R24" s="243"/>
      <c r="S24" s="243"/>
      <c r="T24" s="243"/>
      <c r="U24" s="243"/>
      <c r="V24" s="243"/>
      <c r="W24" s="244"/>
    </row>
    <row r="25" spans="1:23" x14ac:dyDescent="0.25">
      <c r="A25" s="237">
        <v>20</v>
      </c>
      <c r="B25" s="247" t="s">
        <v>27</v>
      </c>
      <c r="C25" s="239">
        <f>36+10</f>
        <v>46</v>
      </c>
      <c r="D25" s="240">
        <f>987+85</f>
        <v>1072</v>
      </c>
      <c r="E25" s="230">
        <v>115</v>
      </c>
      <c r="F25" s="245"/>
      <c r="G25" s="245"/>
      <c r="H25" s="245"/>
      <c r="I25" s="245">
        <f t="shared" si="1"/>
        <v>115</v>
      </c>
      <c r="J25" s="231">
        <f t="shared" si="0"/>
        <v>1233</v>
      </c>
      <c r="K25" s="241"/>
      <c r="L25" s="242"/>
      <c r="M25" s="242"/>
      <c r="N25" s="242"/>
      <c r="O25" s="234">
        <f t="shared" si="2"/>
        <v>0</v>
      </c>
      <c r="P25" s="241"/>
      <c r="Q25" s="243"/>
      <c r="R25" s="243"/>
      <c r="S25" s="243"/>
      <c r="T25" s="243"/>
      <c r="U25" s="243"/>
      <c r="V25" s="243"/>
      <c r="W25" s="244"/>
    </row>
    <row r="26" spans="1:23" x14ac:dyDescent="0.25">
      <c r="A26" s="237">
        <v>21</v>
      </c>
      <c r="B26" s="247" t="s">
        <v>36</v>
      </c>
      <c r="C26" s="239">
        <f>115+33</f>
        <v>148</v>
      </c>
      <c r="D26" s="240">
        <f>3149+273</f>
        <v>3422</v>
      </c>
      <c r="E26" s="230">
        <f>404-37</f>
        <v>367</v>
      </c>
      <c r="F26" s="245">
        <f>307+28</f>
        <v>335</v>
      </c>
      <c r="G26" s="245">
        <f>42+3</f>
        <v>45</v>
      </c>
      <c r="H26" s="245">
        <f>61+6</f>
        <v>67</v>
      </c>
      <c r="I26" s="245">
        <f t="shared" si="1"/>
        <v>814</v>
      </c>
      <c r="J26" s="231">
        <f t="shared" si="0"/>
        <v>4384</v>
      </c>
      <c r="K26" s="241">
        <v>41</v>
      </c>
      <c r="L26" s="242">
        <v>916</v>
      </c>
      <c r="M26" s="242">
        <v>2707</v>
      </c>
      <c r="N26" s="242">
        <v>500</v>
      </c>
      <c r="O26" s="234">
        <f t="shared" si="2"/>
        <v>4164</v>
      </c>
      <c r="P26" s="241"/>
      <c r="Q26" s="243"/>
      <c r="R26" s="243"/>
      <c r="S26" s="243"/>
      <c r="T26" s="243"/>
      <c r="U26" s="243"/>
      <c r="V26" s="243"/>
      <c r="W26" s="244"/>
    </row>
    <row r="27" spans="1:23" x14ac:dyDescent="0.25">
      <c r="A27" s="237">
        <v>22</v>
      </c>
      <c r="B27" s="247" t="s">
        <v>274</v>
      </c>
      <c r="C27" s="239">
        <f>231+67</f>
        <v>298</v>
      </c>
      <c r="D27" s="240">
        <f>4755+412</f>
        <v>5167</v>
      </c>
      <c r="E27" s="230">
        <f>790-134</f>
        <v>656</v>
      </c>
      <c r="F27" s="245">
        <f>319+106</f>
        <v>425</v>
      </c>
      <c r="G27" s="245">
        <f>42+15</f>
        <v>57</v>
      </c>
      <c r="H27" s="245">
        <f>73+13</f>
        <v>86</v>
      </c>
      <c r="I27" s="245">
        <f t="shared" si="1"/>
        <v>1224</v>
      </c>
      <c r="J27" s="231">
        <f t="shared" si="0"/>
        <v>6689</v>
      </c>
      <c r="K27" s="241">
        <v>113</v>
      </c>
      <c r="L27" s="242">
        <v>2462</v>
      </c>
      <c r="M27" s="242">
        <v>7274</v>
      </c>
      <c r="N27" s="242">
        <v>1342</v>
      </c>
      <c r="O27" s="234">
        <f t="shared" si="2"/>
        <v>11191</v>
      </c>
      <c r="P27" s="241"/>
      <c r="Q27" s="243"/>
      <c r="R27" s="243"/>
      <c r="S27" s="243"/>
      <c r="T27" s="243"/>
      <c r="U27" s="243"/>
      <c r="V27" s="243"/>
      <c r="W27" s="244"/>
    </row>
    <row r="28" spans="1:23" x14ac:dyDescent="0.25">
      <c r="A28" s="237">
        <v>23</v>
      </c>
      <c r="B28" s="248" t="s">
        <v>275</v>
      </c>
      <c r="C28" s="239">
        <f>149+43</f>
        <v>192</v>
      </c>
      <c r="D28" s="240">
        <f>3248+281</f>
        <v>3529</v>
      </c>
      <c r="E28" s="230">
        <f>535-156</f>
        <v>379</v>
      </c>
      <c r="F28" s="245">
        <f>518+118</f>
        <v>636</v>
      </c>
      <c r="G28" s="245">
        <f>64+22</f>
        <v>86</v>
      </c>
      <c r="H28" s="245">
        <f>111+16</f>
        <v>127</v>
      </c>
      <c r="I28" s="245">
        <f t="shared" si="1"/>
        <v>1228</v>
      </c>
      <c r="J28" s="231">
        <f t="shared" si="0"/>
        <v>4949</v>
      </c>
      <c r="K28" s="241">
        <v>53</v>
      </c>
      <c r="L28" s="242">
        <v>1146</v>
      </c>
      <c r="M28" s="242">
        <v>3387</v>
      </c>
      <c r="N28" s="242">
        <v>625</v>
      </c>
      <c r="O28" s="234">
        <f t="shared" si="2"/>
        <v>5211</v>
      </c>
      <c r="P28" s="241"/>
      <c r="Q28" s="243"/>
      <c r="R28" s="243"/>
      <c r="S28" s="243"/>
      <c r="T28" s="243"/>
      <c r="U28" s="243"/>
      <c r="V28" s="243"/>
      <c r="W28" s="244"/>
    </row>
    <row r="29" spans="1:23" x14ac:dyDescent="0.25">
      <c r="A29" s="237">
        <v>24</v>
      </c>
      <c r="B29" s="247" t="s">
        <v>53</v>
      </c>
      <c r="C29" s="239">
        <f>136+40</f>
        <v>176</v>
      </c>
      <c r="D29" s="240">
        <f>3748+325</f>
        <v>4073</v>
      </c>
      <c r="E29" s="230">
        <f>531-93</f>
        <v>438</v>
      </c>
      <c r="F29" s="245">
        <f>281+73</f>
        <v>354</v>
      </c>
      <c r="G29" s="245">
        <f>43+5</f>
        <v>48</v>
      </c>
      <c r="H29" s="245">
        <f>56+15</f>
        <v>71</v>
      </c>
      <c r="I29" s="245">
        <f t="shared" si="1"/>
        <v>911</v>
      </c>
      <c r="J29" s="231">
        <f t="shared" si="0"/>
        <v>5160</v>
      </c>
      <c r="K29" s="241">
        <v>69</v>
      </c>
      <c r="L29" s="242">
        <v>1494</v>
      </c>
      <c r="M29" s="242">
        <v>4416</v>
      </c>
      <c r="N29" s="242">
        <v>815</v>
      </c>
      <c r="O29" s="234">
        <f t="shared" si="2"/>
        <v>6794</v>
      </c>
      <c r="P29" s="241"/>
      <c r="Q29" s="243"/>
      <c r="R29" s="243"/>
      <c r="S29" s="243"/>
      <c r="T29" s="243"/>
      <c r="U29" s="243"/>
      <c r="V29" s="243"/>
      <c r="W29" s="244"/>
    </row>
    <row r="30" spans="1:23" x14ac:dyDescent="0.25">
      <c r="A30" s="499">
        <v>25</v>
      </c>
      <c r="B30" s="275" t="s">
        <v>195</v>
      </c>
      <c r="C30" s="239">
        <f>98+28</f>
        <v>126</v>
      </c>
      <c r="D30" s="240">
        <f>2362+205</f>
        <v>2567</v>
      </c>
      <c r="E30" s="230">
        <f>737-136</f>
        <v>601</v>
      </c>
      <c r="F30" s="245">
        <f>361+113</f>
        <v>474</v>
      </c>
      <c r="G30" s="245">
        <f>58+5</f>
        <v>63</v>
      </c>
      <c r="H30" s="245">
        <f>75+18</f>
        <v>93</v>
      </c>
      <c r="I30" s="245">
        <f t="shared" si="1"/>
        <v>1231</v>
      </c>
      <c r="J30" s="231">
        <f t="shared" si="0"/>
        <v>3924</v>
      </c>
      <c r="K30" s="241">
        <v>185</v>
      </c>
      <c r="L30" s="242">
        <v>4081</v>
      </c>
      <c r="M30" s="242">
        <v>12058</v>
      </c>
      <c r="N30" s="242">
        <v>2226</v>
      </c>
      <c r="O30" s="234">
        <f t="shared" si="2"/>
        <v>18550</v>
      </c>
      <c r="P30" s="241"/>
      <c r="Q30" s="243"/>
      <c r="R30" s="243"/>
      <c r="S30" s="243"/>
      <c r="T30" s="243"/>
      <c r="U30" s="243"/>
      <c r="V30" s="243"/>
      <c r="W30" s="244"/>
    </row>
    <row r="31" spans="1:23" ht="42" customHeight="1" x14ac:dyDescent="0.25">
      <c r="A31" s="500"/>
      <c r="B31" s="72" t="s">
        <v>196</v>
      </c>
      <c r="C31" s="239">
        <f>0+116</f>
        <v>116</v>
      </c>
      <c r="D31" s="240">
        <f>0+2352</f>
        <v>2352</v>
      </c>
      <c r="E31" s="230">
        <f>0+274</f>
        <v>274</v>
      </c>
      <c r="F31" s="245"/>
      <c r="G31" s="245"/>
      <c r="H31" s="245"/>
      <c r="I31" s="245">
        <f t="shared" si="1"/>
        <v>274</v>
      </c>
      <c r="J31" s="231">
        <f t="shared" si="0"/>
        <v>2742</v>
      </c>
      <c r="K31" s="241"/>
      <c r="L31" s="242"/>
      <c r="M31" s="242"/>
      <c r="N31" s="242"/>
      <c r="O31" s="234"/>
      <c r="P31" s="241"/>
      <c r="Q31" s="243"/>
      <c r="R31" s="243"/>
      <c r="S31" s="243"/>
      <c r="T31" s="243"/>
      <c r="U31" s="243"/>
      <c r="V31" s="243"/>
      <c r="W31" s="244"/>
    </row>
    <row r="32" spans="1:23" x14ac:dyDescent="0.25">
      <c r="A32" s="237">
        <v>26</v>
      </c>
      <c r="B32" s="247" t="s">
        <v>326</v>
      </c>
      <c r="C32" s="239">
        <f>92+27-116</f>
        <v>3</v>
      </c>
      <c r="D32" s="240">
        <f>2529+219-2352</f>
        <v>396</v>
      </c>
      <c r="E32" s="230">
        <f>295-274</f>
        <v>21</v>
      </c>
      <c r="F32" s="245"/>
      <c r="G32" s="245"/>
      <c r="H32" s="245"/>
      <c r="I32" s="245">
        <f t="shared" si="1"/>
        <v>21</v>
      </c>
      <c r="J32" s="231">
        <f t="shared" si="0"/>
        <v>420</v>
      </c>
      <c r="K32" s="241"/>
      <c r="L32" s="242"/>
      <c r="M32" s="242"/>
      <c r="N32" s="242"/>
      <c r="O32" s="234">
        <f t="shared" si="2"/>
        <v>0</v>
      </c>
      <c r="P32" s="241"/>
      <c r="Q32" s="243"/>
      <c r="R32" s="243"/>
      <c r="S32" s="243"/>
      <c r="T32" s="243"/>
      <c r="U32" s="243"/>
      <c r="V32" s="243"/>
      <c r="W32" s="244"/>
    </row>
    <row r="33" spans="1:23" ht="24" x14ac:dyDescent="0.25">
      <c r="A33" s="237">
        <v>27</v>
      </c>
      <c r="B33" s="180" t="s">
        <v>198</v>
      </c>
      <c r="C33" s="239">
        <f>85+25+118</f>
        <v>228</v>
      </c>
      <c r="D33" s="240">
        <f>2331+202+1960</f>
        <v>4493</v>
      </c>
      <c r="E33" s="230">
        <f>272+314+38</f>
        <v>624</v>
      </c>
      <c r="F33" s="245">
        <f>0+167+77</f>
        <v>244</v>
      </c>
      <c r="G33" s="245">
        <f>0+23+9</f>
        <v>32</v>
      </c>
      <c r="H33" s="245">
        <f>0+34+15</f>
        <v>49</v>
      </c>
      <c r="I33" s="245">
        <f t="shared" si="1"/>
        <v>949</v>
      </c>
      <c r="J33" s="231">
        <f t="shared" si="0"/>
        <v>5670</v>
      </c>
      <c r="K33" s="241"/>
      <c r="L33" s="242"/>
      <c r="M33" s="242"/>
      <c r="N33" s="242"/>
      <c r="O33" s="234">
        <f t="shared" si="2"/>
        <v>0</v>
      </c>
      <c r="P33" s="241"/>
      <c r="Q33" s="243"/>
      <c r="R33" s="243"/>
      <c r="S33" s="243"/>
      <c r="T33" s="243"/>
      <c r="U33" s="243"/>
      <c r="V33" s="243"/>
      <c r="W33" s="244"/>
    </row>
    <row r="34" spans="1:23" x14ac:dyDescent="0.25">
      <c r="A34" s="237">
        <v>28</v>
      </c>
      <c r="B34" s="247" t="s">
        <v>327</v>
      </c>
      <c r="C34" s="239">
        <f>122+35-118</f>
        <v>39</v>
      </c>
      <c r="D34" s="240">
        <f>2405+208-1960</f>
        <v>653</v>
      </c>
      <c r="E34" s="230">
        <f>419-314-65</f>
        <v>40</v>
      </c>
      <c r="F34" s="245">
        <f>223-167-56</f>
        <v>0</v>
      </c>
      <c r="G34" s="245">
        <f>30-23-7</f>
        <v>0</v>
      </c>
      <c r="H34" s="245">
        <f>45-34-11</f>
        <v>0</v>
      </c>
      <c r="I34" s="245">
        <f t="shared" si="1"/>
        <v>40</v>
      </c>
      <c r="J34" s="231">
        <f t="shared" si="0"/>
        <v>732</v>
      </c>
      <c r="K34" s="241"/>
      <c r="L34" s="242"/>
      <c r="M34" s="242"/>
      <c r="N34" s="242"/>
      <c r="O34" s="234">
        <f t="shared" si="2"/>
        <v>0</v>
      </c>
      <c r="P34" s="241"/>
      <c r="Q34" s="243"/>
      <c r="R34" s="243"/>
      <c r="S34" s="243"/>
      <c r="T34" s="243"/>
      <c r="U34" s="243"/>
      <c r="V34" s="243"/>
      <c r="W34" s="244"/>
    </row>
    <row r="35" spans="1:23" x14ac:dyDescent="0.25">
      <c r="A35" s="237">
        <v>29</v>
      </c>
      <c r="B35" s="249" t="s">
        <v>20</v>
      </c>
      <c r="C35" s="239">
        <f>42+12</f>
        <v>54</v>
      </c>
      <c r="D35" s="240">
        <f>1146+99</f>
        <v>1245</v>
      </c>
      <c r="E35" s="230">
        <v>134</v>
      </c>
      <c r="F35" s="245"/>
      <c r="G35" s="245"/>
      <c r="H35" s="245"/>
      <c r="I35" s="245">
        <f t="shared" si="1"/>
        <v>134</v>
      </c>
      <c r="J35" s="231">
        <f t="shared" si="0"/>
        <v>1433</v>
      </c>
      <c r="K35" s="241">
        <v>37</v>
      </c>
      <c r="L35" s="242">
        <v>818</v>
      </c>
      <c r="M35" s="242">
        <v>2416</v>
      </c>
      <c r="N35" s="242">
        <v>446</v>
      </c>
      <c r="O35" s="234">
        <f t="shared" si="2"/>
        <v>3717</v>
      </c>
      <c r="P35" s="241"/>
      <c r="Q35" s="243"/>
      <c r="R35" s="243"/>
      <c r="S35" s="243"/>
      <c r="T35" s="243"/>
      <c r="U35" s="243"/>
      <c r="V35" s="243"/>
      <c r="W35" s="244"/>
    </row>
    <row r="36" spans="1:23" ht="13.5" customHeight="1" x14ac:dyDescent="0.25">
      <c r="A36" s="237">
        <v>30</v>
      </c>
      <c r="B36" s="246" t="s">
        <v>383</v>
      </c>
      <c r="C36" s="241">
        <f>111-111</f>
        <v>0</v>
      </c>
      <c r="D36" s="242">
        <v>3020</v>
      </c>
      <c r="E36" s="230"/>
      <c r="F36" s="245"/>
      <c r="G36" s="245"/>
      <c r="H36" s="245"/>
      <c r="I36" s="245">
        <f t="shared" si="1"/>
        <v>0</v>
      </c>
      <c r="J36" s="231">
        <f t="shared" si="0"/>
        <v>3020</v>
      </c>
      <c r="K36" s="241"/>
      <c r="L36" s="242"/>
      <c r="M36" s="242"/>
      <c r="N36" s="242"/>
      <c r="O36" s="234">
        <f t="shared" si="2"/>
        <v>0</v>
      </c>
      <c r="P36" s="241"/>
      <c r="Q36" s="243"/>
      <c r="R36" s="243"/>
      <c r="S36" s="243"/>
      <c r="T36" s="243"/>
      <c r="U36" s="243"/>
      <c r="V36" s="243"/>
      <c r="W36" s="244"/>
    </row>
    <row r="37" spans="1:23" x14ac:dyDescent="0.25">
      <c r="A37" s="227">
        <v>31</v>
      </c>
      <c r="B37" s="247" t="s">
        <v>22</v>
      </c>
      <c r="C37" s="239">
        <f>65+19</f>
        <v>84</v>
      </c>
      <c r="D37" s="240">
        <f>1795+155</f>
        <v>1950</v>
      </c>
      <c r="E37" s="230">
        <v>210</v>
      </c>
      <c r="F37" s="245"/>
      <c r="G37" s="245"/>
      <c r="H37" s="245"/>
      <c r="I37" s="245">
        <f t="shared" si="1"/>
        <v>210</v>
      </c>
      <c r="J37" s="231">
        <f t="shared" si="0"/>
        <v>2244</v>
      </c>
      <c r="K37" s="241">
        <v>28</v>
      </c>
      <c r="L37" s="242">
        <v>627</v>
      </c>
      <c r="M37" s="242">
        <v>1852</v>
      </c>
      <c r="N37" s="242">
        <v>342</v>
      </c>
      <c r="O37" s="234">
        <f t="shared" si="2"/>
        <v>2849</v>
      </c>
      <c r="P37" s="241"/>
      <c r="Q37" s="243"/>
      <c r="R37" s="243"/>
      <c r="S37" s="243"/>
      <c r="T37" s="243"/>
      <c r="U37" s="243"/>
      <c r="V37" s="243"/>
      <c r="W37" s="244"/>
    </row>
    <row r="38" spans="1:23" x14ac:dyDescent="0.25">
      <c r="A38" s="227">
        <v>32</v>
      </c>
      <c r="B38" s="238" t="s">
        <v>23</v>
      </c>
      <c r="C38" s="239"/>
      <c r="D38" s="240">
        <f>429+37</f>
        <v>466</v>
      </c>
      <c r="E38" s="230">
        <v>50</v>
      </c>
      <c r="F38" s="245"/>
      <c r="G38" s="245"/>
      <c r="H38" s="245"/>
      <c r="I38" s="245">
        <f t="shared" si="1"/>
        <v>50</v>
      </c>
      <c r="J38" s="231">
        <f t="shared" si="0"/>
        <v>516</v>
      </c>
      <c r="K38" s="241"/>
      <c r="L38" s="242"/>
      <c r="M38" s="242"/>
      <c r="N38" s="242"/>
      <c r="O38" s="234">
        <f t="shared" si="2"/>
        <v>0</v>
      </c>
      <c r="P38" s="241"/>
      <c r="Q38" s="243"/>
      <c r="R38" s="243"/>
      <c r="S38" s="243"/>
      <c r="T38" s="243"/>
      <c r="U38" s="243"/>
      <c r="V38" s="243"/>
      <c r="W38" s="244"/>
    </row>
    <row r="39" spans="1:23" x14ac:dyDescent="0.25">
      <c r="A39" s="237">
        <v>33</v>
      </c>
      <c r="B39" s="238" t="s">
        <v>25</v>
      </c>
      <c r="C39" s="239"/>
      <c r="D39" s="240">
        <f>423+37</f>
        <v>460</v>
      </c>
      <c r="E39" s="230">
        <v>49</v>
      </c>
      <c r="F39" s="245"/>
      <c r="G39" s="245"/>
      <c r="H39" s="245"/>
      <c r="I39" s="245">
        <f t="shared" si="1"/>
        <v>49</v>
      </c>
      <c r="J39" s="231">
        <f t="shared" si="0"/>
        <v>509</v>
      </c>
      <c r="K39" s="241"/>
      <c r="L39" s="242"/>
      <c r="M39" s="242"/>
      <c r="N39" s="242"/>
      <c r="O39" s="234">
        <f t="shared" si="2"/>
        <v>0</v>
      </c>
      <c r="P39" s="241"/>
      <c r="Q39" s="243"/>
      <c r="R39" s="243"/>
      <c r="S39" s="243"/>
      <c r="T39" s="243"/>
      <c r="U39" s="243"/>
      <c r="V39" s="243"/>
      <c r="W39" s="244"/>
    </row>
    <row r="40" spans="1:23" x14ac:dyDescent="0.25">
      <c r="A40" s="237">
        <v>34</v>
      </c>
      <c r="B40" s="249" t="s">
        <v>26</v>
      </c>
      <c r="C40" s="239">
        <f>55+16</f>
        <v>71</v>
      </c>
      <c r="D40" s="240">
        <f>1510+131</f>
        <v>1641</v>
      </c>
      <c r="E40" s="230"/>
      <c r="F40" s="245"/>
      <c r="G40" s="245"/>
      <c r="H40" s="245"/>
      <c r="I40" s="245">
        <f t="shared" si="1"/>
        <v>0</v>
      </c>
      <c r="J40" s="231">
        <f t="shared" si="0"/>
        <v>1712</v>
      </c>
      <c r="K40" s="241"/>
      <c r="L40" s="242"/>
      <c r="M40" s="242"/>
      <c r="N40" s="242"/>
      <c r="O40" s="234">
        <f t="shared" si="2"/>
        <v>0</v>
      </c>
      <c r="P40" s="241"/>
      <c r="Q40" s="243"/>
      <c r="R40" s="243"/>
      <c r="S40" s="243"/>
      <c r="T40" s="243"/>
      <c r="U40" s="243"/>
      <c r="V40" s="243"/>
      <c r="W40" s="244"/>
    </row>
    <row r="41" spans="1:23" ht="11.25" customHeight="1" x14ac:dyDescent="0.25">
      <c r="A41" s="250">
        <v>35</v>
      </c>
      <c r="B41" s="249" t="s">
        <v>24</v>
      </c>
      <c r="C41" s="239">
        <f>27+8</f>
        <v>35</v>
      </c>
      <c r="D41" s="240">
        <f>757+66</f>
        <v>823</v>
      </c>
      <c r="E41" s="230">
        <v>88</v>
      </c>
      <c r="F41" s="245"/>
      <c r="G41" s="245"/>
      <c r="H41" s="245"/>
      <c r="I41" s="245">
        <f t="shared" si="1"/>
        <v>88</v>
      </c>
      <c r="J41" s="231">
        <f t="shared" si="0"/>
        <v>946</v>
      </c>
      <c r="K41" s="241"/>
      <c r="L41" s="242"/>
      <c r="M41" s="242"/>
      <c r="N41" s="242"/>
      <c r="O41" s="234">
        <f t="shared" si="2"/>
        <v>0</v>
      </c>
      <c r="P41" s="241"/>
      <c r="Q41" s="243"/>
      <c r="R41" s="243"/>
      <c r="S41" s="243"/>
      <c r="T41" s="243"/>
      <c r="U41" s="243"/>
      <c r="V41" s="243"/>
      <c r="W41" s="244"/>
    </row>
    <row r="42" spans="1:23" x14ac:dyDescent="0.25">
      <c r="A42" s="250">
        <v>36</v>
      </c>
      <c r="B42" s="247" t="s">
        <v>28</v>
      </c>
      <c r="C42" s="239">
        <f>93+27</f>
        <v>120</v>
      </c>
      <c r="D42" s="240">
        <f>2570+223</f>
        <v>2793</v>
      </c>
      <c r="E42" s="230">
        <v>300</v>
      </c>
      <c r="F42" s="245"/>
      <c r="G42" s="245"/>
      <c r="H42" s="245"/>
      <c r="I42" s="245">
        <f t="shared" si="1"/>
        <v>300</v>
      </c>
      <c r="J42" s="231">
        <f t="shared" si="0"/>
        <v>3213</v>
      </c>
      <c r="K42" s="241">
        <v>41</v>
      </c>
      <c r="L42" s="242">
        <v>907</v>
      </c>
      <c r="M42" s="242">
        <v>2679</v>
      </c>
      <c r="N42" s="242">
        <v>495</v>
      </c>
      <c r="O42" s="234">
        <f t="shared" si="2"/>
        <v>4122</v>
      </c>
      <c r="P42" s="241"/>
      <c r="Q42" s="243"/>
      <c r="R42" s="243"/>
      <c r="S42" s="243"/>
      <c r="T42" s="243"/>
      <c r="U42" s="243"/>
      <c r="V42" s="243"/>
      <c r="W42" s="244"/>
    </row>
    <row r="43" spans="1:23" x14ac:dyDescent="0.25">
      <c r="A43" s="250">
        <v>37</v>
      </c>
      <c r="B43" s="247" t="s">
        <v>29</v>
      </c>
      <c r="C43" s="239"/>
      <c r="D43" s="240">
        <f>750+65</f>
        <v>815</v>
      </c>
      <c r="E43" s="230">
        <v>88</v>
      </c>
      <c r="F43" s="245"/>
      <c r="G43" s="245"/>
      <c r="H43" s="245"/>
      <c r="I43" s="245">
        <f t="shared" si="1"/>
        <v>88</v>
      </c>
      <c r="J43" s="231">
        <f t="shared" si="0"/>
        <v>903</v>
      </c>
      <c r="K43" s="241"/>
      <c r="L43" s="242"/>
      <c r="M43" s="242"/>
      <c r="N43" s="242"/>
      <c r="O43" s="234">
        <f t="shared" si="2"/>
        <v>0</v>
      </c>
      <c r="P43" s="241"/>
      <c r="Q43" s="243"/>
      <c r="R43" s="243"/>
      <c r="S43" s="243"/>
      <c r="T43" s="243"/>
      <c r="U43" s="243"/>
      <c r="V43" s="243"/>
      <c r="W43" s="244"/>
    </row>
    <row r="44" spans="1:23" x14ac:dyDescent="0.25">
      <c r="A44" s="250">
        <v>38</v>
      </c>
      <c r="B44" s="247" t="s">
        <v>30</v>
      </c>
      <c r="C44" s="239"/>
      <c r="D44" s="240">
        <f>704+61</f>
        <v>765</v>
      </c>
      <c r="E44" s="230">
        <v>82</v>
      </c>
      <c r="F44" s="245"/>
      <c r="G44" s="245"/>
      <c r="H44" s="245"/>
      <c r="I44" s="245">
        <f t="shared" si="1"/>
        <v>82</v>
      </c>
      <c r="J44" s="231">
        <f t="shared" si="0"/>
        <v>847</v>
      </c>
      <c r="K44" s="241"/>
      <c r="L44" s="242"/>
      <c r="M44" s="242"/>
      <c r="N44" s="242"/>
      <c r="O44" s="234">
        <f t="shared" si="2"/>
        <v>0</v>
      </c>
      <c r="P44" s="241"/>
      <c r="Q44" s="243"/>
      <c r="R44" s="243"/>
      <c r="S44" s="243"/>
      <c r="T44" s="243"/>
      <c r="U44" s="243"/>
      <c r="V44" s="243"/>
      <c r="W44" s="244"/>
    </row>
    <row r="45" spans="1:23" x14ac:dyDescent="0.25">
      <c r="A45" s="250">
        <v>39</v>
      </c>
      <c r="B45" s="247" t="s">
        <v>31</v>
      </c>
      <c r="C45" s="239"/>
      <c r="D45" s="240">
        <f>1385+120</f>
        <v>1505</v>
      </c>
      <c r="E45" s="230">
        <v>162</v>
      </c>
      <c r="F45" s="245"/>
      <c r="G45" s="245"/>
      <c r="H45" s="245"/>
      <c r="I45" s="245">
        <f t="shared" si="1"/>
        <v>162</v>
      </c>
      <c r="J45" s="231">
        <f t="shared" si="0"/>
        <v>1667</v>
      </c>
      <c r="K45" s="241"/>
      <c r="L45" s="242"/>
      <c r="M45" s="242"/>
      <c r="N45" s="242"/>
      <c r="O45" s="234">
        <f t="shared" si="2"/>
        <v>0</v>
      </c>
      <c r="P45" s="241"/>
      <c r="Q45" s="243"/>
      <c r="R45" s="243"/>
      <c r="S45" s="243"/>
      <c r="T45" s="243"/>
      <c r="U45" s="243"/>
      <c r="V45" s="243"/>
      <c r="W45" s="244"/>
    </row>
    <row r="46" spans="1:23" x14ac:dyDescent="0.25">
      <c r="A46" s="237">
        <v>40</v>
      </c>
      <c r="B46" s="247" t="s">
        <v>32</v>
      </c>
      <c r="C46" s="239">
        <f>18+5</f>
        <v>23</v>
      </c>
      <c r="D46" s="240">
        <f>492+43</f>
        <v>535</v>
      </c>
      <c r="E46" s="230">
        <v>57</v>
      </c>
      <c r="F46" s="245"/>
      <c r="G46" s="245"/>
      <c r="H46" s="245"/>
      <c r="I46" s="245">
        <f t="shared" si="1"/>
        <v>57</v>
      </c>
      <c r="J46" s="231">
        <f t="shared" si="0"/>
        <v>615</v>
      </c>
      <c r="K46" s="241"/>
      <c r="L46" s="242"/>
      <c r="M46" s="242"/>
      <c r="N46" s="242"/>
      <c r="O46" s="234">
        <f t="shared" si="2"/>
        <v>0</v>
      </c>
      <c r="P46" s="241"/>
      <c r="Q46" s="243"/>
      <c r="R46" s="243"/>
      <c r="S46" s="243"/>
      <c r="T46" s="243"/>
      <c r="U46" s="243"/>
      <c r="V46" s="243"/>
      <c r="W46" s="244"/>
    </row>
    <row r="47" spans="1:23" x14ac:dyDescent="0.25">
      <c r="A47" s="237">
        <v>41</v>
      </c>
      <c r="B47" s="247" t="s">
        <v>33</v>
      </c>
      <c r="C47" s="239"/>
      <c r="D47" s="240">
        <f>862+75</f>
        <v>937</v>
      </c>
      <c r="E47" s="230"/>
      <c r="F47" s="245"/>
      <c r="G47" s="245"/>
      <c r="H47" s="245"/>
      <c r="I47" s="245">
        <f t="shared" si="1"/>
        <v>0</v>
      </c>
      <c r="J47" s="231">
        <f t="shared" si="0"/>
        <v>937</v>
      </c>
      <c r="K47" s="241"/>
      <c r="L47" s="242"/>
      <c r="M47" s="242"/>
      <c r="N47" s="242"/>
      <c r="O47" s="234">
        <f t="shared" si="2"/>
        <v>0</v>
      </c>
      <c r="P47" s="241"/>
      <c r="Q47" s="243"/>
      <c r="R47" s="243"/>
      <c r="S47" s="243"/>
      <c r="T47" s="243"/>
      <c r="U47" s="243"/>
      <c r="V47" s="243"/>
      <c r="W47" s="244"/>
    </row>
    <row r="48" spans="1:23" x14ac:dyDescent="0.25">
      <c r="A48" s="237">
        <v>42</v>
      </c>
      <c r="B48" s="247" t="s">
        <v>19</v>
      </c>
      <c r="C48" s="239"/>
      <c r="D48" s="240">
        <f>950+82</f>
        <v>1032</v>
      </c>
      <c r="E48" s="230"/>
      <c r="F48" s="245"/>
      <c r="G48" s="245"/>
      <c r="H48" s="245"/>
      <c r="I48" s="245">
        <f t="shared" si="1"/>
        <v>0</v>
      </c>
      <c r="J48" s="231">
        <f t="shared" si="0"/>
        <v>1032</v>
      </c>
      <c r="K48" s="241"/>
      <c r="L48" s="242"/>
      <c r="M48" s="242"/>
      <c r="N48" s="242"/>
      <c r="O48" s="234">
        <f t="shared" si="2"/>
        <v>0</v>
      </c>
      <c r="P48" s="241"/>
      <c r="Q48" s="243"/>
      <c r="R48" s="243"/>
      <c r="S48" s="243"/>
      <c r="T48" s="243"/>
      <c r="U48" s="243"/>
      <c r="V48" s="243"/>
      <c r="W48" s="244"/>
    </row>
    <row r="49" spans="1:23" x14ac:dyDescent="0.25">
      <c r="A49" s="237">
        <v>43</v>
      </c>
      <c r="B49" s="247" t="s">
        <v>35</v>
      </c>
      <c r="C49" s="239">
        <f>29+8</f>
        <v>37</v>
      </c>
      <c r="D49" s="240">
        <f>794+69</f>
        <v>863</v>
      </c>
      <c r="E49" s="230"/>
      <c r="F49" s="245"/>
      <c r="G49" s="245"/>
      <c r="H49" s="245"/>
      <c r="I49" s="245">
        <f t="shared" si="1"/>
        <v>0</v>
      </c>
      <c r="J49" s="231">
        <f t="shared" si="0"/>
        <v>900</v>
      </c>
      <c r="K49" s="241"/>
      <c r="L49" s="242"/>
      <c r="M49" s="242"/>
      <c r="N49" s="242"/>
      <c r="O49" s="234">
        <f t="shared" si="2"/>
        <v>0</v>
      </c>
      <c r="P49" s="241"/>
      <c r="Q49" s="243"/>
      <c r="R49" s="243"/>
      <c r="S49" s="243"/>
      <c r="T49" s="243"/>
      <c r="U49" s="243"/>
      <c r="V49" s="243"/>
      <c r="W49" s="244"/>
    </row>
    <row r="50" spans="1:23" x14ac:dyDescent="0.25">
      <c r="A50" s="237">
        <v>44</v>
      </c>
      <c r="B50" s="248" t="s">
        <v>42</v>
      </c>
      <c r="C50" s="239">
        <f>27+8</f>
        <v>35</v>
      </c>
      <c r="D50" s="240">
        <f>735+64</f>
        <v>799</v>
      </c>
      <c r="E50" s="230">
        <v>86</v>
      </c>
      <c r="F50" s="245"/>
      <c r="G50" s="245"/>
      <c r="H50" s="245"/>
      <c r="I50" s="245">
        <f t="shared" si="1"/>
        <v>86</v>
      </c>
      <c r="J50" s="231">
        <f t="shared" si="0"/>
        <v>920</v>
      </c>
      <c r="K50" s="241"/>
      <c r="L50" s="242"/>
      <c r="M50" s="242"/>
      <c r="N50" s="242"/>
      <c r="O50" s="234">
        <f t="shared" si="2"/>
        <v>0</v>
      </c>
      <c r="P50" s="241"/>
      <c r="Q50" s="243"/>
      <c r="R50" s="243"/>
      <c r="S50" s="243"/>
      <c r="T50" s="243"/>
      <c r="U50" s="243"/>
      <c r="V50" s="243"/>
      <c r="W50" s="244"/>
    </row>
    <row r="51" spans="1:23" x14ac:dyDescent="0.25">
      <c r="A51" s="237">
        <v>45</v>
      </c>
      <c r="B51" s="247" t="s">
        <v>37</v>
      </c>
      <c r="C51" s="239">
        <f>120+35</f>
        <v>155</v>
      </c>
      <c r="D51" s="240">
        <f>3346+290</f>
        <v>3636</v>
      </c>
      <c r="E51" s="230">
        <v>390</v>
      </c>
      <c r="F51" s="245"/>
      <c r="G51" s="245"/>
      <c r="H51" s="245"/>
      <c r="I51" s="245">
        <f t="shared" si="1"/>
        <v>390</v>
      </c>
      <c r="J51" s="231">
        <f t="shared" si="0"/>
        <v>4181</v>
      </c>
      <c r="K51" s="241">
        <v>40</v>
      </c>
      <c r="L51" s="242">
        <v>876</v>
      </c>
      <c r="M51" s="242">
        <v>2590</v>
      </c>
      <c r="N51" s="242">
        <v>478</v>
      </c>
      <c r="O51" s="234">
        <f t="shared" si="2"/>
        <v>3984</v>
      </c>
      <c r="P51" s="241"/>
      <c r="Q51" s="243"/>
      <c r="R51" s="243"/>
      <c r="S51" s="243"/>
      <c r="T51" s="243"/>
      <c r="U51" s="243"/>
      <c r="V51" s="243"/>
      <c r="W51" s="244"/>
    </row>
    <row r="52" spans="1:23" x14ac:dyDescent="0.25">
      <c r="A52" s="237">
        <v>46</v>
      </c>
      <c r="B52" s="247" t="s">
        <v>21</v>
      </c>
      <c r="C52" s="239">
        <f>50+15</f>
        <v>65</v>
      </c>
      <c r="D52" s="240">
        <f>835+72</f>
        <v>907</v>
      </c>
      <c r="E52" s="230">
        <v>98</v>
      </c>
      <c r="F52" s="245"/>
      <c r="G52" s="245"/>
      <c r="H52" s="245"/>
      <c r="I52" s="245">
        <f t="shared" si="1"/>
        <v>98</v>
      </c>
      <c r="J52" s="231">
        <f t="shared" si="0"/>
        <v>1070</v>
      </c>
      <c r="K52" s="241"/>
      <c r="L52" s="242"/>
      <c r="M52" s="242"/>
      <c r="N52" s="242"/>
      <c r="O52" s="234">
        <f t="shared" si="2"/>
        <v>0</v>
      </c>
      <c r="P52" s="241"/>
      <c r="Q52" s="243"/>
      <c r="R52" s="243"/>
      <c r="S52" s="243"/>
      <c r="T52" s="243"/>
      <c r="U52" s="243"/>
      <c r="V52" s="243"/>
      <c r="W52" s="244"/>
    </row>
    <row r="53" spans="1:23" x14ac:dyDescent="0.25">
      <c r="A53" s="237">
        <v>47</v>
      </c>
      <c r="B53" s="247" t="s">
        <v>39</v>
      </c>
      <c r="C53" s="239"/>
      <c r="D53" s="240">
        <f>669+58</f>
        <v>727</v>
      </c>
      <c r="E53" s="230">
        <v>78</v>
      </c>
      <c r="F53" s="245"/>
      <c r="G53" s="245"/>
      <c r="H53" s="245"/>
      <c r="I53" s="245">
        <f t="shared" si="1"/>
        <v>78</v>
      </c>
      <c r="J53" s="231">
        <f t="shared" si="0"/>
        <v>805</v>
      </c>
      <c r="K53" s="241"/>
      <c r="L53" s="242"/>
      <c r="M53" s="242"/>
      <c r="N53" s="242"/>
      <c r="O53" s="234">
        <f t="shared" si="2"/>
        <v>0</v>
      </c>
      <c r="P53" s="241"/>
      <c r="Q53" s="243"/>
      <c r="R53" s="243"/>
      <c r="S53" s="243"/>
      <c r="T53" s="243"/>
      <c r="U53" s="243"/>
      <c r="V53" s="243"/>
      <c r="W53" s="244"/>
    </row>
    <row r="54" spans="1:23" x14ac:dyDescent="0.25">
      <c r="A54" s="237">
        <v>48</v>
      </c>
      <c r="B54" s="247" t="s">
        <v>40</v>
      </c>
      <c r="C54" s="239">
        <f>30+9</f>
        <v>39</v>
      </c>
      <c r="D54" s="240">
        <f>814+70</f>
        <v>884</v>
      </c>
      <c r="E54" s="230"/>
      <c r="F54" s="245"/>
      <c r="G54" s="245"/>
      <c r="H54" s="245"/>
      <c r="I54" s="245">
        <f t="shared" si="1"/>
        <v>0</v>
      </c>
      <c r="J54" s="231">
        <f t="shared" si="0"/>
        <v>923</v>
      </c>
      <c r="K54" s="241"/>
      <c r="L54" s="242"/>
      <c r="M54" s="242"/>
      <c r="N54" s="242"/>
      <c r="O54" s="234">
        <f t="shared" si="2"/>
        <v>0</v>
      </c>
      <c r="P54" s="241"/>
      <c r="Q54" s="243"/>
      <c r="R54" s="243"/>
      <c r="S54" s="243"/>
      <c r="T54" s="243"/>
      <c r="U54" s="243"/>
      <c r="V54" s="243"/>
      <c r="W54" s="244"/>
    </row>
    <row r="55" spans="1:23" x14ac:dyDescent="0.25">
      <c r="A55" s="237">
        <v>49</v>
      </c>
      <c r="B55" s="247" t="s">
        <v>41</v>
      </c>
      <c r="C55" s="239"/>
      <c r="D55" s="240">
        <f>562+49</f>
        <v>611</v>
      </c>
      <c r="E55" s="230"/>
      <c r="F55" s="245"/>
      <c r="G55" s="245"/>
      <c r="H55" s="245"/>
      <c r="I55" s="245">
        <f t="shared" si="1"/>
        <v>0</v>
      </c>
      <c r="J55" s="231">
        <f t="shared" si="0"/>
        <v>611</v>
      </c>
      <c r="K55" s="241"/>
      <c r="L55" s="242"/>
      <c r="M55" s="242"/>
      <c r="N55" s="242"/>
      <c r="O55" s="234">
        <f t="shared" si="2"/>
        <v>0</v>
      </c>
      <c r="P55" s="241"/>
      <c r="Q55" s="243"/>
      <c r="R55" s="243"/>
      <c r="S55" s="243"/>
      <c r="T55" s="243"/>
      <c r="U55" s="243"/>
      <c r="V55" s="243"/>
      <c r="W55" s="244"/>
    </row>
    <row r="56" spans="1:23" ht="12" customHeight="1" x14ac:dyDescent="0.25">
      <c r="A56" s="227">
        <v>50</v>
      </c>
      <c r="B56" s="238" t="s">
        <v>2</v>
      </c>
      <c r="C56" s="239">
        <f>44+13</f>
        <v>57</v>
      </c>
      <c r="D56" s="240">
        <f>1199+104</f>
        <v>1303</v>
      </c>
      <c r="E56" s="230">
        <v>140</v>
      </c>
      <c r="F56" s="245"/>
      <c r="G56" s="245"/>
      <c r="H56" s="245"/>
      <c r="I56" s="245">
        <f t="shared" si="1"/>
        <v>140</v>
      </c>
      <c r="J56" s="231">
        <f t="shared" si="0"/>
        <v>1500</v>
      </c>
      <c r="K56" s="241"/>
      <c r="L56" s="242"/>
      <c r="M56" s="242"/>
      <c r="N56" s="242"/>
      <c r="O56" s="234">
        <f t="shared" si="2"/>
        <v>0</v>
      </c>
      <c r="P56" s="241"/>
      <c r="Q56" s="243"/>
      <c r="R56" s="243"/>
      <c r="S56" s="243"/>
      <c r="T56" s="243"/>
      <c r="U56" s="243"/>
      <c r="V56" s="243"/>
      <c r="W56" s="244"/>
    </row>
    <row r="57" spans="1:23" ht="12" customHeight="1" x14ac:dyDescent="0.25">
      <c r="A57" s="227">
        <v>51</v>
      </c>
      <c r="B57" s="238" t="s">
        <v>43</v>
      </c>
      <c r="C57" s="239">
        <f>21+6</f>
        <v>27</v>
      </c>
      <c r="D57" s="240">
        <f>598+52</f>
        <v>650</v>
      </c>
      <c r="E57" s="230"/>
      <c r="F57" s="245"/>
      <c r="G57" s="245"/>
      <c r="H57" s="245"/>
      <c r="I57" s="245">
        <f t="shared" si="1"/>
        <v>0</v>
      </c>
      <c r="J57" s="231">
        <f t="shared" si="0"/>
        <v>677</v>
      </c>
      <c r="K57" s="241"/>
      <c r="L57" s="242"/>
      <c r="M57" s="242"/>
      <c r="N57" s="242"/>
      <c r="O57" s="234">
        <f t="shared" si="2"/>
        <v>0</v>
      </c>
      <c r="P57" s="241"/>
      <c r="Q57" s="243"/>
      <c r="R57" s="243"/>
      <c r="S57" s="243"/>
      <c r="T57" s="243"/>
      <c r="U57" s="243"/>
      <c r="V57" s="243"/>
      <c r="W57" s="244"/>
    </row>
    <row r="58" spans="1:23" ht="12" customHeight="1" x14ac:dyDescent="0.25">
      <c r="A58" s="227">
        <v>52</v>
      </c>
      <c r="B58" s="238" t="s">
        <v>5</v>
      </c>
      <c r="C58" s="239">
        <f>38+11</f>
        <v>49</v>
      </c>
      <c r="D58" s="240">
        <f>1045+90</f>
        <v>1135</v>
      </c>
      <c r="E58" s="230"/>
      <c r="F58" s="245"/>
      <c r="G58" s="245"/>
      <c r="H58" s="245"/>
      <c r="I58" s="245">
        <f t="shared" si="1"/>
        <v>0</v>
      </c>
      <c r="J58" s="231">
        <f t="shared" si="0"/>
        <v>1184</v>
      </c>
      <c r="K58" s="241"/>
      <c r="L58" s="242"/>
      <c r="M58" s="242"/>
      <c r="N58" s="242"/>
      <c r="O58" s="234">
        <f t="shared" si="2"/>
        <v>0</v>
      </c>
      <c r="P58" s="241"/>
      <c r="Q58" s="243"/>
      <c r="R58" s="243"/>
      <c r="S58" s="243"/>
      <c r="T58" s="243"/>
      <c r="U58" s="243"/>
      <c r="V58" s="243"/>
      <c r="W58" s="244"/>
    </row>
    <row r="59" spans="1:23" ht="12" customHeight="1" x14ac:dyDescent="0.25">
      <c r="A59" s="237">
        <v>53</v>
      </c>
      <c r="B59" s="238" t="s">
        <v>45</v>
      </c>
      <c r="C59" s="239"/>
      <c r="D59" s="240">
        <f>3939+341</f>
        <v>4280</v>
      </c>
      <c r="E59" s="230">
        <v>460</v>
      </c>
      <c r="F59" s="245"/>
      <c r="G59" s="245"/>
      <c r="H59" s="245"/>
      <c r="I59" s="245">
        <f t="shared" si="1"/>
        <v>460</v>
      </c>
      <c r="J59" s="231">
        <f t="shared" si="0"/>
        <v>4740</v>
      </c>
      <c r="K59" s="241">
        <v>64</v>
      </c>
      <c r="L59" s="242">
        <v>1406</v>
      </c>
      <c r="M59" s="242">
        <v>4154</v>
      </c>
      <c r="N59" s="242">
        <v>767</v>
      </c>
      <c r="O59" s="234">
        <f t="shared" si="2"/>
        <v>6391</v>
      </c>
      <c r="P59" s="241"/>
      <c r="Q59" s="243"/>
      <c r="R59" s="243"/>
      <c r="S59" s="243"/>
      <c r="T59" s="243"/>
      <c r="U59" s="243"/>
      <c r="V59" s="243"/>
      <c r="W59" s="244"/>
    </row>
    <row r="60" spans="1:23" x14ac:dyDescent="0.25">
      <c r="A60" s="237">
        <v>54</v>
      </c>
      <c r="B60" s="247" t="s">
        <v>52</v>
      </c>
      <c r="C60" s="239">
        <f>113+32</f>
        <v>145</v>
      </c>
      <c r="D60" s="240">
        <f>1829+158</f>
        <v>1987</v>
      </c>
      <c r="E60" s="230">
        <f>224-10</f>
        <v>214</v>
      </c>
      <c r="F60" s="245">
        <f>110+10</f>
        <v>120</v>
      </c>
      <c r="G60" s="245"/>
      <c r="H60" s="245"/>
      <c r="I60" s="245">
        <f t="shared" si="1"/>
        <v>334</v>
      </c>
      <c r="J60" s="231">
        <f t="shared" si="0"/>
        <v>2466</v>
      </c>
      <c r="K60" s="241">
        <v>31</v>
      </c>
      <c r="L60" s="242">
        <v>672</v>
      </c>
      <c r="M60" s="242">
        <v>1986</v>
      </c>
      <c r="N60" s="242">
        <v>367</v>
      </c>
      <c r="O60" s="234">
        <f t="shared" si="2"/>
        <v>3056</v>
      </c>
      <c r="P60" s="241"/>
      <c r="Q60" s="243"/>
      <c r="R60" s="243"/>
      <c r="S60" s="243"/>
      <c r="T60" s="243"/>
      <c r="U60" s="243"/>
      <c r="V60" s="243"/>
      <c r="W60" s="244"/>
    </row>
    <row r="61" spans="1:23" ht="12" customHeight="1" x14ac:dyDescent="0.25">
      <c r="A61" s="237">
        <v>55</v>
      </c>
      <c r="B61" s="247" t="s">
        <v>48</v>
      </c>
      <c r="C61" s="239">
        <f>32+9</f>
        <v>41</v>
      </c>
      <c r="D61" s="240">
        <f>877+76</f>
        <v>953</v>
      </c>
      <c r="E61" s="230">
        <v>102</v>
      </c>
      <c r="F61" s="245"/>
      <c r="G61" s="245"/>
      <c r="H61" s="245"/>
      <c r="I61" s="245">
        <f t="shared" si="1"/>
        <v>102</v>
      </c>
      <c r="J61" s="231">
        <f t="shared" si="0"/>
        <v>1096</v>
      </c>
      <c r="K61" s="241"/>
      <c r="L61" s="242"/>
      <c r="M61" s="242"/>
      <c r="N61" s="242"/>
      <c r="O61" s="234">
        <f t="shared" si="2"/>
        <v>0</v>
      </c>
      <c r="P61" s="241"/>
      <c r="Q61" s="243"/>
      <c r="R61" s="243"/>
      <c r="S61" s="243"/>
      <c r="T61" s="243"/>
      <c r="U61" s="243"/>
      <c r="V61" s="243"/>
      <c r="W61" s="244"/>
    </row>
    <row r="62" spans="1:23" ht="12" customHeight="1" x14ac:dyDescent="0.25">
      <c r="A62" s="237">
        <v>56</v>
      </c>
      <c r="B62" s="247" t="s">
        <v>49</v>
      </c>
      <c r="C62" s="239">
        <f>53+15</f>
        <v>68</v>
      </c>
      <c r="D62" s="240">
        <f>1460+126</f>
        <v>1586</v>
      </c>
      <c r="E62" s="230">
        <v>170</v>
      </c>
      <c r="F62" s="245"/>
      <c r="G62" s="245"/>
      <c r="H62" s="245"/>
      <c r="I62" s="245">
        <f t="shared" si="1"/>
        <v>170</v>
      </c>
      <c r="J62" s="231">
        <f t="shared" si="0"/>
        <v>1824</v>
      </c>
      <c r="K62" s="241"/>
      <c r="L62" s="242"/>
      <c r="M62" s="242"/>
      <c r="N62" s="242"/>
      <c r="O62" s="234">
        <f t="shared" si="2"/>
        <v>0</v>
      </c>
      <c r="P62" s="241"/>
      <c r="Q62" s="243"/>
      <c r="R62" s="243"/>
      <c r="S62" s="243"/>
      <c r="T62" s="243"/>
      <c r="U62" s="243"/>
      <c r="V62" s="243"/>
      <c r="W62" s="244"/>
    </row>
    <row r="63" spans="1:23" ht="12" customHeight="1" x14ac:dyDescent="0.25">
      <c r="A63" s="237">
        <v>57</v>
      </c>
      <c r="B63" s="247" t="s">
        <v>50</v>
      </c>
      <c r="C63" s="239"/>
      <c r="D63" s="240">
        <f>658+57</f>
        <v>715</v>
      </c>
      <c r="E63" s="230">
        <v>77</v>
      </c>
      <c r="F63" s="245"/>
      <c r="G63" s="245"/>
      <c r="H63" s="245"/>
      <c r="I63" s="245">
        <f t="shared" si="1"/>
        <v>77</v>
      </c>
      <c r="J63" s="231">
        <f t="shared" si="0"/>
        <v>792</v>
      </c>
      <c r="K63" s="241"/>
      <c r="L63" s="242"/>
      <c r="M63" s="242"/>
      <c r="N63" s="242"/>
      <c r="O63" s="234">
        <f t="shared" si="2"/>
        <v>0</v>
      </c>
      <c r="P63" s="241"/>
      <c r="Q63" s="243"/>
      <c r="R63" s="243"/>
      <c r="S63" s="243"/>
      <c r="T63" s="243"/>
      <c r="U63" s="243"/>
      <c r="V63" s="243"/>
      <c r="W63" s="244"/>
    </row>
    <row r="64" spans="1:23" ht="12" customHeight="1" x14ac:dyDescent="0.25">
      <c r="A64" s="237">
        <v>58</v>
      </c>
      <c r="B64" s="247" t="s">
        <v>14</v>
      </c>
      <c r="C64" s="239"/>
      <c r="D64" s="240">
        <f>690+60</f>
        <v>750</v>
      </c>
      <c r="E64" s="230"/>
      <c r="F64" s="245"/>
      <c r="G64" s="245"/>
      <c r="H64" s="245"/>
      <c r="I64" s="245">
        <f t="shared" si="1"/>
        <v>0</v>
      </c>
      <c r="J64" s="231">
        <f t="shared" si="0"/>
        <v>750</v>
      </c>
      <c r="K64" s="241"/>
      <c r="L64" s="242"/>
      <c r="M64" s="242"/>
      <c r="N64" s="242"/>
      <c r="O64" s="234">
        <f t="shared" si="2"/>
        <v>0</v>
      </c>
      <c r="P64" s="241"/>
      <c r="Q64" s="243"/>
      <c r="R64" s="243"/>
      <c r="S64" s="243"/>
      <c r="T64" s="243"/>
      <c r="U64" s="243"/>
      <c r="V64" s="243"/>
      <c r="W64" s="244"/>
    </row>
    <row r="65" spans="1:23" x14ac:dyDescent="0.25">
      <c r="A65" s="237">
        <v>59</v>
      </c>
      <c r="B65" s="251" t="s">
        <v>51</v>
      </c>
      <c r="C65" s="241">
        <f>50+15</f>
        <v>65</v>
      </c>
      <c r="D65" s="242">
        <f>1372+119</f>
        <v>1491</v>
      </c>
      <c r="E65" s="230">
        <v>160</v>
      </c>
      <c r="F65" s="245"/>
      <c r="G65" s="245"/>
      <c r="H65" s="245"/>
      <c r="I65" s="245">
        <f t="shared" si="1"/>
        <v>160</v>
      </c>
      <c r="J65" s="231">
        <f t="shared" si="0"/>
        <v>1716</v>
      </c>
      <c r="K65" s="241"/>
      <c r="L65" s="242"/>
      <c r="M65" s="242"/>
      <c r="N65" s="242"/>
      <c r="O65" s="234">
        <f t="shared" si="2"/>
        <v>0</v>
      </c>
      <c r="P65" s="241"/>
      <c r="Q65" s="243"/>
      <c r="R65" s="243"/>
      <c r="S65" s="243"/>
      <c r="T65" s="243"/>
      <c r="U65" s="243"/>
      <c r="V65" s="243"/>
      <c r="W65" s="244"/>
    </row>
    <row r="66" spans="1:23" x14ac:dyDescent="0.25">
      <c r="A66" s="237">
        <v>60</v>
      </c>
      <c r="B66" s="246" t="s">
        <v>214</v>
      </c>
      <c r="C66" s="241">
        <f>23+7</f>
        <v>30</v>
      </c>
      <c r="D66" s="242">
        <f>632+60</f>
        <v>692</v>
      </c>
      <c r="E66" s="230">
        <v>74</v>
      </c>
      <c r="F66" s="245"/>
      <c r="G66" s="245"/>
      <c r="H66" s="245"/>
      <c r="I66" s="245">
        <f t="shared" si="1"/>
        <v>74</v>
      </c>
      <c r="J66" s="231">
        <f t="shared" si="0"/>
        <v>796</v>
      </c>
      <c r="K66" s="241">
        <v>8</v>
      </c>
      <c r="L66" s="242">
        <v>172</v>
      </c>
      <c r="M66" s="242">
        <v>509</v>
      </c>
      <c r="N66" s="242">
        <v>94</v>
      </c>
      <c r="O66" s="234">
        <f t="shared" si="2"/>
        <v>783</v>
      </c>
      <c r="P66" s="241"/>
      <c r="Q66" s="243"/>
      <c r="R66" s="243"/>
      <c r="S66" s="243"/>
      <c r="T66" s="243"/>
      <c r="U66" s="243"/>
      <c r="V66" s="243"/>
      <c r="W66" s="244"/>
    </row>
    <row r="67" spans="1:23" x14ac:dyDescent="0.25">
      <c r="A67" s="237">
        <v>61</v>
      </c>
      <c r="B67" s="247" t="s">
        <v>384</v>
      </c>
      <c r="C67" s="239"/>
      <c r="D67" s="240">
        <f>435+38</f>
        <v>473</v>
      </c>
      <c r="E67" s="230">
        <v>51</v>
      </c>
      <c r="F67" s="245"/>
      <c r="G67" s="245"/>
      <c r="H67" s="245"/>
      <c r="I67" s="245">
        <f t="shared" si="1"/>
        <v>51</v>
      </c>
      <c r="J67" s="231">
        <f t="shared" si="0"/>
        <v>524</v>
      </c>
      <c r="K67" s="241"/>
      <c r="L67" s="242"/>
      <c r="M67" s="242"/>
      <c r="N67" s="242"/>
      <c r="O67" s="234">
        <f t="shared" si="2"/>
        <v>0</v>
      </c>
      <c r="P67" s="241"/>
      <c r="Q67" s="243"/>
      <c r="R67" s="243"/>
      <c r="S67" s="243"/>
      <c r="T67" s="243"/>
      <c r="U67" s="243"/>
      <c r="V67" s="243"/>
      <c r="W67" s="244"/>
    </row>
    <row r="68" spans="1:23" ht="15.75" customHeight="1" x14ac:dyDescent="0.25">
      <c r="A68" s="237">
        <v>62</v>
      </c>
      <c r="B68" s="247" t="s">
        <v>332</v>
      </c>
      <c r="C68" s="239"/>
      <c r="D68" s="240">
        <f>264+23</f>
        <v>287</v>
      </c>
      <c r="E68" s="230"/>
      <c r="F68" s="245"/>
      <c r="G68" s="245"/>
      <c r="H68" s="245"/>
      <c r="I68" s="245">
        <f t="shared" si="1"/>
        <v>0</v>
      </c>
      <c r="J68" s="231">
        <f t="shared" si="0"/>
        <v>287</v>
      </c>
      <c r="K68" s="241"/>
      <c r="L68" s="242"/>
      <c r="M68" s="242"/>
      <c r="N68" s="242"/>
      <c r="O68" s="234">
        <f t="shared" si="2"/>
        <v>0</v>
      </c>
      <c r="P68" s="241"/>
      <c r="Q68" s="243"/>
      <c r="R68" s="243"/>
      <c r="S68" s="243"/>
      <c r="T68" s="243"/>
      <c r="U68" s="243"/>
      <c r="V68" s="243"/>
      <c r="W68" s="244"/>
    </row>
    <row r="69" spans="1:23" x14ac:dyDescent="0.25">
      <c r="A69" s="237">
        <v>63</v>
      </c>
      <c r="B69" s="252" t="s">
        <v>283</v>
      </c>
      <c r="C69" s="239">
        <f>65+19</f>
        <v>84</v>
      </c>
      <c r="D69" s="240">
        <f>856+74</f>
        <v>930</v>
      </c>
      <c r="E69" s="230">
        <f>150-19</f>
        <v>131</v>
      </c>
      <c r="F69" s="245">
        <f>44+13</f>
        <v>57</v>
      </c>
      <c r="G69" s="245">
        <f>5+3</f>
        <v>8</v>
      </c>
      <c r="H69" s="245">
        <f>9+3</f>
        <v>12</v>
      </c>
      <c r="I69" s="245">
        <f t="shared" si="1"/>
        <v>208</v>
      </c>
      <c r="J69" s="231">
        <f t="shared" si="0"/>
        <v>1222</v>
      </c>
      <c r="K69" s="241"/>
      <c r="L69" s="242"/>
      <c r="M69" s="242"/>
      <c r="N69" s="242"/>
      <c r="O69" s="234">
        <f t="shared" si="2"/>
        <v>0</v>
      </c>
      <c r="P69" s="241"/>
      <c r="Q69" s="243"/>
      <c r="R69" s="243"/>
      <c r="S69" s="243"/>
      <c r="T69" s="243"/>
      <c r="U69" s="243"/>
      <c r="V69" s="243"/>
      <c r="W69" s="244"/>
    </row>
    <row r="70" spans="1:23" x14ac:dyDescent="0.25">
      <c r="A70" s="237">
        <v>64</v>
      </c>
      <c r="B70" s="247" t="s">
        <v>385</v>
      </c>
      <c r="C70" s="239"/>
      <c r="D70" s="240">
        <f>329+29</f>
        <v>358</v>
      </c>
      <c r="E70" s="230"/>
      <c r="F70" s="245"/>
      <c r="G70" s="245"/>
      <c r="H70" s="245"/>
      <c r="I70" s="245">
        <f t="shared" si="1"/>
        <v>0</v>
      </c>
      <c r="J70" s="231">
        <f t="shared" ref="J70:J104" si="3">C70+D70+I70</f>
        <v>358</v>
      </c>
      <c r="K70" s="241"/>
      <c r="L70" s="242"/>
      <c r="M70" s="242"/>
      <c r="N70" s="242"/>
      <c r="O70" s="234">
        <f t="shared" si="2"/>
        <v>0</v>
      </c>
      <c r="P70" s="241"/>
      <c r="Q70" s="243"/>
      <c r="R70" s="243"/>
      <c r="S70" s="243"/>
      <c r="T70" s="243"/>
      <c r="U70" s="243"/>
      <c r="V70" s="243"/>
      <c r="W70" s="244"/>
    </row>
    <row r="71" spans="1:23" ht="13.5" customHeight="1" x14ac:dyDescent="0.25">
      <c r="A71" s="237">
        <v>65</v>
      </c>
      <c r="B71" s="246" t="s">
        <v>386</v>
      </c>
      <c r="C71" s="241"/>
      <c r="D71" s="242">
        <v>1621</v>
      </c>
      <c r="E71" s="230"/>
      <c r="F71" s="245"/>
      <c r="G71" s="245"/>
      <c r="H71" s="245"/>
      <c r="I71" s="245">
        <f t="shared" si="1"/>
        <v>0</v>
      </c>
      <c r="J71" s="231">
        <f t="shared" si="3"/>
        <v>1621</v>
      </c>
      <c r="K71" s="241"/>
      <c r="L71" s="242"/>
      <c r="M71" s="242"/>
      <c r="N71" s="242"/>
      <c r="O71" s="234">
        <f t="shared" si="2"/>
        <v>0</v>
      </c>
      <c r="P71" s="241"/>
      <c r="Q71" s="243"/>
      <c r="R71" s="243"/>
      <c r="S71" s="243"/>
      <c r="T71" s="243"/>
      <c r="U71" s="243"/>
      <c r="V71" s="243"/>
      <c r="W71" s="244"/>
    </row>
    <row r="72" spans="1:23" ht="13.5" customHeight="1" x14ac:dyDescent="0.25">
      <c r="A72" s="237">
        <v>66</v>
      </c>
      <c r="B72" s="246" t="s">
        <v>387</v>
      </c>
      <c r="C72" s="241"/>
      <c r="D72" s="242">
        <v>1385</v>
      </c>
      <c r="E72" s="230"/>
      <c r="F72" s="245"/>
      <c r="G72" s="245"/>
      <c r="H72" s="245"/>
      <c r="I72" s="245">
        <f t="shared" ref="I72:I104" si="4">SUM(E72:H72)</f>
        <v>0</v>
      </c>
      <c r="J72" s="231">
        <f t="shared" si="3"/>
        <v>1385</v>
      </c>
      <c r="K72" s="241"/>
      <c r="L72" s="242"/>
      <c r="M72" s="242"/>
      <c r="N72" s="242"/>
      <c r="O72" s="234">
        <f t="shared" ref="O72:O104" si="5">SUM(K72:N72)</f>
        <v>0</v>
      </c>
      <c r="P72" s="241"/>
      <c r="Q72" s="243"/>
      <c r="R72" s="243"/>
      <c r="S72" s="243"/>
      <c r="T72" s="243"/>
      <c r="U72" s="243"/>
      <c r="V72" s="243"/>
      <c r="W72" s="244"/>
    </row>
    <row r="73" spans="1:23" ht="13.5" customHeight="1" x14ac:dyDescent="0.25">
      <c r="A73" s="237">
        <v>67</v>
      </c>
      <c r="B73" s="246" t="s">
        <v>388</v>
      </c>
      <c r="C73" s="241"/>
      <c r="D73" s="242">
        <v>1909</v>
      </c>
      <c r="E73" s="230"/>
      <c r="F73" s="245"/>
      <c r="G73" s="245"/>
      <c r="H73" s="245"/>
      <c r="I73" s="245">
        <f t="shared" si="4"/>
        <v>0</v>
      </c>
      <c r="J73" s="231">
        <f t="shared" si="3"/>
        <v>1909</v>
      </c>
      <c r="K73" s="241"/>
      <c r="L73" s="242"/>
      <c r="M73" s="242"/>
      <c r="N73" s="242"/>
      <c r="O73" s="234">
        <f t="shared" si="5"/>
        <v>0</v>
      </c>
      <c r="P73" s="241"/>
      <c r="Q73" s="243"/>
      <c r="R73" s="243"/>
      <c r="S73" s="243"/>
      <c r="T73" s="243"/>
      <c r="U73" s="243"/>
      <c r="V73" s="243"/>
      <c r="W73" s="244"/>
    </row>
    <row r="74" spans="1:23" ht="13.5" customHeight="1" x14ac:dyDescent="0.25">
      <c r="A74" s="237">
        <v>68</v>
      </c>
      <c r="B74" s="246" t="s">
        <v>389</v>
      </c>
      <c r="C74" s="241"/>
      <c r="D74" s="242">
        <v>2326</v>
      </c>
      <c r="E74" s="230"/>
      <c r="F74" s="245"/>
      <c r="G74" s="245"/>
      <c r="H74" s="245"/>
      <c r="I74" s="245">
        <f t="shared" si="4"/>
        <v>0</v>
      </c>
      <c r="J74" s="231">
        <f t="shared" si="3"/>
        <v>2326</v>
      </c>
      <c r="K74" s="241"/>
      <c r="L74" s="242"/>
      <c r="M74" s="242"/>
      <c r="N74" s="242"/>
      <c r="O74" s="234">
        <f t="shared" si="5"/>
        <v>0</v>
      </c>
      <c r="P74" s="241"/>
      <c r="Q74" s="243"/>
      <c r="R74" s="243"/>
      <c r="S74" s="243"/>
      <c r="T74" s="243"/>
      <c r="U74" s="243"/>
      <c r="V74" s="243"/>
      <c r="W74" s="244"/>
    </row>
    <row r="75" spans="1:23" ht="13.5" customHeight="1" x14ac:dyDescent="0.25">
      <c r="A75" s="237">
        <v>69</v>
      </c>
      <c r="B75" s="246" t="s">
        <v>390</v>
      </c>
      <c r="C75" s="241"/>
      <c r="D75" s="242">
        <v>870</v>
      </c>
      <c r="E75" s="230"/>
      <c r="F75" s="245"/>
      <c r="G75" s="245"/>
      <c r="H75" s="245"/>
      <c r="I75" s="245">
        <f t="shared" si="4"/>
        <v>0</v>
      </c>
      <c r="J75" s="231">
        <f t="shared" si="3"/>
        <v>870</v>
      </c>
      <c r="K75" s="241"/>
      <c r="L75" s="242"/>
      <c r="M75" s="242"/>
      <c r="N75" s="242"/>
      <c r="O75" s="234">
        <f t="shared" si="5"/>
        <v>0</v>
      </c>
      <c r="P75" s="241"/>
      <c r="Q75" s="243"/>
      <c r="R75" s="243"/>
      <c r="S75" s="243"/>
      <c r="T75" s="243"/>
      <c r="U75" s="243"/>
      <c r="V75" s="243"/>
      <c r="W75" s="244"/>
    </row>
    <row r="76" spans="1:23" x14ac:dyDescent="0.25">
      <c r="A76" s="237">
        <v>70</v>
      </c>
      <c r="B76" s="247" t="s">
        <v>341</v>
      </c>
      <c r="C76" s="239"/>
      <c r="D76" s="240">
        <f>2758+239</f>
        <v>2997</v>
      </c>
      <c r="E76" s="230"/>
      <c r="F76" s="245"/>
      <c r="G76" s="245"/>
      <c r="H76" s="245"/>
      <c r="I76" s="245">
        <f t="shared" si="4"/>
        <v>0</v>
      </c>
      <c r="J76" s="231">
        <f t="shared" si="3"/>
        <v>2997</v>
      </c>
      <c r="K76" s="241"/>
      <c r="L76" s="242"/>
      <c r="M76" s="242"/>
      <c r="N76" s="242"/>
      <c r="O76" s="234">
        <f t="shared" si="5"/>
        <v>0</v>
      </c>
      <c r="P76" s="241"/>
      <c r="Q76" s="243"/>
      <c r="R76" s="243"/>
      <c r="S76" s="243"/>
      <c r="T76" s="243"/>
      <c r="U76" s="243"/>
      <c r="V76" s="243"/>
      <c r="W76" s="244"/>
    </row>
    <row r="77" spans="1:23" x14ac:dyDescent="0.25">
      <c r="A77" s="237">
        <v>71</v>
      </c>
      <c r="B77" s="247" t="s">
        <v>342</v>
      </c>
      <c r="C77" s="239"/>
      <c r="D77" s="240">
        <f>1783+154</f>
        <v>1937</v>
      </c>
      <c r="E77" s="230"/>
      <c r="F77" s="245"/>
      <c r="G77" s="245"/>
      <c r="H77" s="245"/>
      <c r="I77" s="245">
        <f t="shared" si="4"/>
        <v>0</v>
      </c>
      <c r="J77" s="231">
        <f t="shared" si="3"/>
        <v>1937</v>
      </c>
      <c r="K77" s="241"/>
      <c r="L77" s="242"/>
      <c r="M77" s="242"/>
      <c r="N77" s="242"/>
      <c r="O77" s="234">
        <f t="shared" si="5"/>
        <v>0</v>
      </c>
      <c r="P77" s="241"/>
      <c r="Q77" s="243"/>
      <c r="R77" s="243"/>
      <c r="S77" s="243"/>
      <c r="T77" s="243"/>
      <c r="U77" s="243"/>
      <c r="V77" s="243"/>
      <c r="W77" s="244"/>
    </row>
    <row r="78" spans="1:23" x14ac:dyDescent="0.25">
      <c r="A78" s="237">
        <v>72</v>
      </c>
      <c r="B78" s="247" t="s">
        <v>343</v>
      </c>
      <c r="C78" s="239"/>
      <c r="D78" s="240">
        <f>1718+149</f>
        <v>1867</v>
      </c>
      <c r="E78" s="230">
        <v>200</v>
      </c>
      <c r="F78" s="245"/>
      <c r="G78" s="245"/>
      <c r="H78" s="245"/>
      <c r="I78" s="245">
        <f t="shared" si="4"/>
        <v>200</v>
      </c>
      <c r="J78" s="231">
        <f t="shared" si="3"/>
        <v>2067</v>
      </c>
      <c r="K78" s="241"/>
      <c r="L78" s="242"/>
      <c r="M78" s="242"/>
      <c r="N78" s="242"/>
      <c r="O78" s="234">
        <f t="shared" si="5"/>
        <v>0</v>
      </c>
      <c r="P78" s="241"/>
      <c r="Q78" s="243"/>
      <c r="R78" s="243"/>
      <c r="S78" s="243"/>
      <c r="T78" s="243"/>
      <c r="U78" s="243"/>
      <c r="V78" s="243"/>
      <c r="W78" s="244"/>
    </row>
    <row r="79" spans="1:23" x14ac:dyDescent="0.25">
      <c r="A79" s="237">
        <v>73</v>
      </c>
      <c r="B79" s="247" t="s">
        <v>391</v>
      </c>
      <c r="C79" s="239"/>
      <c r="D79" s="240">
        <f>1297+112</f>
        <v>1409</v>
      </c>
      <c r="E79" s="230"/>
      <c r="F79" s="245"/>
      <c r="G79" s="245"/>
      <c r="H79" s="245"/>
      <c r="I79" s="245">
        <f t="shared" si="4"/>
        <v>0</v>
      </c>
      <c r="J79" s="231">
        <f t="shared" si="3"/>
        <v>1409</v>
      </c>
      <c r="K79" s="241"/>
      <c r="L79" s="242"/>
      <c r="M79" s="242"/>
      <c r="N79" s="242"/>
      <c r="O79" s="234">
        <f t="shared" si="5"/>
        <v>0</v>
      </c>
      <c r="P79" s="241"/>
      <c r="Q79" s="243"/>
      <c r="R79" s="243"/>
      <c r="S79" s="243"/>
      <c r="T79" s="243"/>
      <c r="U79" s="243"/>
      <c r="V79" s="243"/>
      <c r="W79" s="244"/>
    </row>
    <row r="80" spans="1:23" x14ac:dyDescent="0.25">
      <c r="A80" s="237">
        <v>74</v>
      </c>
      <c r="B80" s="247" t="s">
        <v>344</v>
      </c>
      <c r="C80" s="239"/>
      <c r="D80" s="240">
        <f>3377+292</f>
        <v>3669</v>
      </c>
      <c r="E80" s="230">
        <v>394</v>
      </c>
      <c r="F80" s="245"/>
      <c r="G80" s="245"/>
      <c r="H80" s="245"/>
      <c r="I80" s="245">
        <f t="shared" si="4"/>
        <v>394</v>
      </c>
      <c r="J80" s="231">
        <f t="shared" si="3"/>
        <v>4063</v>
      </c>
      <c r="K80" s="241"/>
      <c r="L80" s="242"/>
      <c r="M80" s="242"/>
      <c r="N80" s="242"/>
      <c r="O80" s="234">
        <f t="shared" si="5"/>
        <v>0</v>
      </c>
      <c r="P80" s="241"/>
      <c r="Q80" s="243"/>
      <c r="R80" s="243"/>
      <c r="S80" s="243"/>
      <c r="T80" s="243"/>
      <c r="U80" s="243"/>
      <c r="V80" s="243"/>
      <c r="W80" s="244"/>
    </row>
    <row r="81" spans="1:23" x14ac:dyDescent="0.25">
      <c r="A81" s="237">
        <v>75</v>
      </c>
      <c r="B81" s="247" t="s">
        <v>345</v>
      </c>
      <c r="C81" s="239"/>
      <c r="D81" s="240">
        <f>1721+149</f>
        <v>1870</v>
      </c>
      <c r="E81" s="230"/>
      <c r="F81" s="245"/>
      <c r="G81" s="245"/>
      <c r="H81" s="245"/>
      <c r="I81" s="245">
        <f t="shared" si="4"/>
        <v>0</v>
      </c>
      <c r="J81" s="231">
        <f t="shared" si="3"/>
        <v>1870</v>
      </c>
      <c r="K81" s="241"/>
      <c r="L81" s="242"/>
      <c r="M81" s="242"/>
      <c r="N81" s="242"/>
      <c r="O81" s="234">
        <f t="shared" si="5"/>
        <v>0</v>
      </c>
      <c r="P81" s="241"/>
      <c r="Q81" s="243"/>
      <c r="R81" s="243"/>
      <c r="S81" s="243"/>
      <c r="T81" s="243"/>
      <c r="U81" s="243"/>
      <c r="V81" s="243"/>
      <c r="W81" s="244"/>
    </row>
    <row r="82" spans="1:23" x14ac:dyDescent="0.25">
      <c r="A82" s="237">
        <v>76</v>
      </c>
      <c r="B82" s="247" t="s">
        <v>346</v>
      </c>
      <c r="C82" s="239"/>
      <c r="D82" s="240">
        <f>1946+169</f>
        <v>2115</v>
      </c>
      <c r="E82" s="230"/>
      <c r="F82" s="245"/>
      <c r="G82" s="245"/>
      <c r="H82" s="245"/>
      <c r="I82" s="245">
        <f t="shared" si="4"/>
        <v>0</v>
      </c>
      <c r="J82" s="231">
        <f t="shared" si="3"/>
        <v>2115</v>
      </c>
      <c r="K82" s="241"/>
      <c r="L82" s="242"/>
      <c r="M82" s="242"/>
      <c r="N82" s="242"/>
      <c r="O82" s="234">
        <f t="shared" si="5"/>
        <v>0</v>
      </c>
      <c r="P82" s="241"/>
      <c r="Q82" s="243"/>
      <c r="R82" s="243"/>
      <c r="S82" s="243"/>
      <c r="T82" s="243"/>
      <c r="U82" s="243"/>
      <c r="V82" s="243"/>
      <c r="W82" s="244"/>
    </row>
    <row r="83" spans="1:23" ht="12" customHeight="1" x14ac:dyDescent="0.25">
      <c r="A83" s="237">
        <v>77</v>
      </c>
      <c r="B83" s="247" t="s">
        <v>392</v>
      </c>
      <c r="C83" s="239">
        <f>42+12</f>
        <v>54</v>
      </c>
      <c r="D83" s="240">
        <f>1158+100</f>
        <v>1258</v>
      </c>
      <c r="E83" s="230">
        <v>362</v>
      </c>
      <c r="F83" s="245"/>
      <c r="G83" s="245"/>
      <c r="H83" s="245"/>
      <c r="I83" s="245">
        <f t="shared" si="4"/>
        <v>362</v>
      </c>
      <c r="J83" s="231">
        <f t="shared" si="3"/>
        <v>1674</v>
      </c>
      <c r="K83" s="241"/>
      <c r="L83" s="242"/>
      <c r="M83" s="242"/>
      <c r="N83" s="242"/>
      <c r="O83" s="234">
        <f t="shared" si="5"/>
        <v>0</v>
      </c>
      <c r="P83" s="241"/>
      <c r="Q83" s="243"/>
      <c r="R83" s="243"/>
      <c r="S83" s="243"/>
      <c r="T83" s="243"/>
      <c r="U83" s="243"/>
      <c r="V83" s="243"/>
      <c r="W83" s="244"/>
    </row>
    <row r="84" spans="1:23" ht="12" customHeight="1" x14ac:dyDescent="0.25">
      <c r="A84" s="237">
        <v>78</v>
      </c>
      <c r="B84" s="238" t="s">
        <v>347</v>
      </c>
      <c r="C84" s="239">
        <f>120+35</f>
        <v>155</v>
      </c>
      <c r="D84" s="240">
        <f>3296+285</f>
        <v>3581</v>
      </c>
      <c r="E84" s="230">
        <v>557</v>
      </c>
      <c r="F84" s="245"/>
      <c r="G84" s="245"/>
      <c r="H84" s="245"/>
      <c r="I84" s="245">
        <f t="shared" si="4"/>
        <v>557</v>
      </c>
      <c r="J84" s="231">
        <f t="shared" si="3"/>
        <v>4293</v>
      </c>
      <c r="K84" s="241"/>
      <c r="L84" s="242"/>
      <c r="M84" s="242"/>
      <c r="N84" s="242"/>
      <c r="O84" s="234">
        <f t="shared" si="5"/>
        <v>0</v>
      </c>
      <c r="P84" s="241"/>
      <c r="Q84" s="243"/>
      <c r="R84" s="243"/>
      <c r="S84" s="243"/>
      <c r="T84" s="243"/>
      <c r="U84" s="243"/>
      <c r="V84" s="243"/>
      <c r="W84" s="244"/>
    </row>
    <row r="85" spans="1:23" ht="12" customHeight="1" x14ac:dyDescent="0.25">
      <c r="A85" s="237">
        <v>79</v>
      </c>
      <c r="B85" s="238" t="s">
        <v>348</v>
      </c>
      <c r="C85" s="239"/>
      <c r="D85" s="240">
        <f>1519+132</f>
        <v>1651</v>
      </c>
      <c r="E85" s="230">
        <v>177</v>
      </c>
      <c r="F85" s="245"/>
      <c r="G85" s="245"/>
      <c r="H85" s="245"/>
      <c r="I85" s="245">
        <f t="shared" si="4"/>
        <v>177</v>
      </c>
      <c r="J85" s="231">
        <f t="shared" si="3"/>
        <v>1828</v>
      </c>
      <c r="K85" s="241"/>
      <c r="L85" s="242"/>
      <c r="M85" s="242"/>
      <c r="N85" s="242"/>
      <c r="O85" s="234">
        <f t="shared" si="5"/>
        <v>0</v>
      </c>
      <c r="P85" s="241"/>
      <c r="Q85" s="243"/>
      <c r="R85" s="243"/>
      <c r="S85" s="243"/>
      <c r="T85" s="243"/>
      <c r="U85" s="243"/>
      <c r="V85" s="243"/>
      <c r="W85" s="244"/>
    </row>
    <row r="86" spans="1:23" ht="12" customHeight="1" x14ac:dyDescent="0.25">
      <c r="A86" s="237">
        <v>80</v>
      </c>
      <c r="B86" s="238" t="s">
        <v>349</v>
      </c>
      <c r="C86" s="239"/>
      <c r="D86" s="240">
        <f>1477+128</f>
        <v>1605</v>
      </c>
      <c r="E86" s="230"/>
      <c r="F86" s="245"/>
      <c r="G86" s="245"/>
      <c r="H86" s="245"/>
      <c r="I86" s="245">
        <f t="shared" si="4"/>
        <v>0</v>
      </c>
      <c r="J86" s="231">
        <f t="shared" si="3"/>
        <v>1605</v>
      </c>
      <c r="K86" s="241"/>
      <c r="L86" s="242"/>
      <c r="M86" s="242"/>
      <c r="N86" s="242"/>
      <c r="O86" s="234">
        <f t="shared" si="5"/>
        <v>0</v>
      </c>
      <c r="P86" s="241"/>
      <c r="Q86" s="243"/>
      <c r="R86" s="243"/>
      <c r="S86" s="243"/>
      <c r="T86" s="243"/>
      <c r="U86" s="243"/>
      <c r="V86" s="243"/>
      <c r="W86" s="244"/>
    </row>
    <row r="87" spans="1:23" x14ac:dyDescent="0.25">
      <c r="A87" s="237">
        <v>81</v>
      </c>
      <c r="B87" s="247" t="s">
        <v>286</v>
      </c>
      <c r="C87" s="239">
        <f>72+21</f>
        <v>93</v>
      </c>
      <c r="D87" s="240">
        <f>1980+171</f>
        <v>2151</v>
      </c>
      <c r="E87" s="230">
        <v>231</v>
      </c>
      <c r="F87" s="245"/>
      <c r="G87" s="245"/>
      <c r="H87" s="245"/>
      <c r="I87" s="245">
        <f t="shared" si="4"/>
        <v>231</v>
      </c>
      <c r="J87" s="231">
        <f t="shared" si="3"/>
        <v>2475</v>
      </c>
      <c r="K87" s="241"/>
      <c r="L87" s="242"/>
      <c r="M87" s="242"/>
      <c r="N87" s="242"/>
      <c r="O87" s="234">
        <f t="shared" si="5"/>
        <v>0</v>
      </c>
      <c r="P87" s="241"/>
      <c r="Q87" s="243"/>
      <c r="R87" s="243"/>
      <c r="S87" s="243"/>
      <c r="T87" s="243"/>
      <c r="U87" s="243"/>
      <c r="V87" s="243"/>
      <c r="W87" s="244"/>
    </row>
    <row r="88" spans="1:23" x14ac:dyDescent="0.25">
      <c r="A88" s="237">
        <v>82</v>
      </c>
      <c r="B88" s="247" t="s">
        <v>351</v>
      </c>
      <c r="C88" s="239">
        <f>69+20</f>
        <v>89</v>
      </c>
      <c r="D88" s="240">
        <f>1905+165</f>
        <v>2070</v>
      </c>
      <c r="E88" s="230">
        <v>222</v>
      </c>
      <c r="F88" s="245"/>
      <c r="G88" s="245"/>
      <c r="H88" s="245"/>
      <c r="I88" s="245">
        <f t="shared" si="4"/>
        <v>222</v>
      </c>
      <c r="J88" s="231">
        <f t="shared" si="3"/>
        <v>2381</v>
      </c>
      <c r="K88" s="241"/>
      <c r="L88" s="242"/>
      <c r="M88" s="242"/>
      <c r="N88" s="242"/>
      <c r="O88" s="234">
        <f t="shared" si="5"/>
        <v>0</v>
      </c>
      <c r="P88" s="241"/>
      <c r="Q88" s="243"/>
      <c r="R88" s="243"/>
      <c r="S88" s="243"/>
      <c r="T88" s="243"/>
      <c r="U88" s="243"/>
      <c r="V88" s="243"/>
      <c r="W88" s="244"/>
    </row>
    <row r="89" spans="1:23" x14ac:dyDescent="0.25">
      <c r="A89" s="237">
        <v>83</v>
      </c>
      <c r="B89" s="247" t="s">
        <v>56</v>
      </c>
      <c r="C89" s="239">
        <f>60+18</f>
        <v>78</v>
      </c>
      <c r="D89" s="240">
        <f>1654+143</f>
        <v>1797</v>
      </c>
      <c r="E89" s="230">
        <f>214-21</f>
        <v>193</v>
      </c>
      <c r="F89" s="245">
        <f>63+19</f>
        <v>82</v>
      </c>
      <c r="G89" s="245">
        <f>10+1</f>
        <v>11</v>
      </c>
      <c r="H89" s="245">
        <f>16+1</f>
        <v>17</v>
      </c>
      <c r="I89" s="245">
        <f t="shared" si="4"/>
        <v>303</v>
      </c>
      <c r="J89" s="231">
        <f t="shared" si="3"/>
        <v>2178</v>
      </c>
      <c r="K89" s="241"/>
      <c r="L89" s="242"/>
      <c r="M89" s="242"/>
      <c r="N89" s="242"/>
      <c r="O89" s="234">
        <f t="shared" si="5"/>
        <v>0</v>
      </c>
      <c r="P89" s="241"/>
      <c r="Q89" s="243"/>
      <c r="R89" s="243"/>
      <c r="S89" s="243"/>
      <c r="T89" s="243"/>
      <c r="U89" s="243"/>
      <c r="V89" s="243"/>
      <c r="W89" s="244"/>
    </row>
    <row r="90" spans="1:23" x14ac:dyDescent="0.25">
      <c r="A90" s="237">
        <v>84</v>
      </c>
      <c r="B90" s="238" t="s">
        <v>353</v>
      </c>
      <c r="C90" s="239"/>
      <c r="D90" s="240">
        <f>948+82</f>
        <v>1030</v>
      </c>
      <c r="E90" s="230"/>
      <c r="F90" s="245"/>
      <c r="G90" s="245"/>
      <c r="H90" s="245"/>
      <c r="I90" s="245">
        <f t="shared" si="4"/>
        <v>0</v>
      </c>
      <c r="J90" s="231">
        <f t="shared" si="3"/>
        <v>1030</v>
      </c>
      <c r="K90" s="241"/>
      <c r="L90" s="242"/>
      <c r="M90" s="242"/>
      <c r="N90" s="242"/>
      <c r="O90" s="234">
        <f t="shared" si="5"/>
        <v>0</v>
      </c>
      <c r="P90" s="241"/>
      <c r="Q90" s="243"/>
      <c r="R90" s="243"/>
      <c r="S90" s="243"/>
      <c r="T90" s="243"/>
      <c r="U90" s="243"/>
      <c r="V90" s="243"/>
      <c r="W90" s="244"/>
    </row>
    <row r="91" spans="1:23" x14ac:dyDescent="0.25">
      <c r="A91" s="237">
        <v>85</v>
      </c>
      <c r="B91" s="249" t="s">
        <v>354</v>
      </c>
      <c r="C91" s="239">
        <f>16+5</f>
        <v>21</v>
      </c>
      <c r="D91" s="240">
        <f>439+38</f>
        <v>477</v>
      </c>
      <c r="E91" s="230">
        <v>51</v>
      </c>
      <c r="F91" s="245"/>
      <c r="G91" s="245"/>
      <c r="H91" s="245"/>
      <c r="I91" s="245">
        <f t="shared" si="4"/>
        <v>51</v>
      </c>
      <c r="J91" s="231">
        <f t="shared" si="3"/>
        <v>549</v>
      </c>
      <c r="K91" s="241"/>
      <c r="L91" s="242"/>
      <c r="M91" s="242"/>
      <c r="N91" s="242"/>
      <c r="O91" s="234">
        <f t="shared" si="5"/>
        <v>0</v>
      </c>
      <c r="P91" s="241"/>
      <c r="Q91" s="243"/>
      <c r="R91" s="243"/>
      <c r="S91" s="243"/>
      <c r="T91" s="243"/>
      <c r="U91" s="243"/>
      <c r="V91" s="243"/>
      <c r="W91" s="244"/>
    </row>
    <row r="92" spans="1:23" x14ac:dyDescent="0.25">
      <c r="A92" s="237">
        <v>86</v>
      </c>
      <c r="B92" s="249" t="s">
        <v>355</v>
      </c>
      <c r="C92" s="239"/>
      <c r="D92" s="240">
        <f>792-660-132</f>
        <v>0</v>
      </c>
      <c r="E92" s="230"/>
      <c r="F92" s="245"/>
      <c r="G92" s="245"/>
      <c r="H92" s="245"/>
      <c r="I92" s="245">
        <f t="shared" si="4"/>
        <v>0</v>
      </c>
      <c r="J92" s="231">
        <f t="shared" si="3"/>
        <v>0</v>
      </c>
      <c r="K92" s="241"/>
      <c r="L92" s="242"/>
      <c r="M92" s="242"/>
      <c r="N92" s="242"/>
      <c r="O92" s="234">
        <f t="shared" si="5"/>
        <v>0</v>
      </c>
      <c r="P92" s="241"/>
      <c r="Q92" s="243"/>
      <c r="R92" s="243"/>
      <c r="S92" s="243"/>
      <c r="T92" s="243"/>
      <c r="U92" s="243"/>
      <c r="V92" s="243"/>
      <c r="W92" s="244"/>
    </row>
    <row r="93" spans="1:23" ht="38.25" x14ac:dyDescent="0.25">
      <c r="A93" s="499">
        <v>87</v>
      </c>
      <c r="B93" s="253" t="s">
        <v>248</v>
      </c>
      <c r="C93" s="239"/>
      <c r="D93" s="240">
        <f>0+660+70+132</f>
        <v>862</v>
      </c>
      <c r="E93" s="230">
        <v>112</v>
      </c>
      <c r="F93" s="245"/>
      <c r="G93" s="245"/>
      <c r="H93" s="245"/>
      <c r="I93" s="245">
        <f t="shared" si="4"/>
        <v>112</v>
      </c>
      <c r="J93" s="231">
        <f t="shared" si="3"/>
        <v>974</v>
      </c>
      <c r="K93" s="241"/>
      <c r="L93" s="242"/>
      <c r="M93" s="242"/>
      <c r="N93" s="242"/>
      <c r="O93" s="234">
        <f t="shared" si="5"/>
        <v>0</v>
      </c>
      <c r="P93" s="241"/>
      <c r="Q93" s="243"/>
      <c r="R93" s="243"/>
      <c r="S93" s="243"/>
      <c r="T93" s="243"/>
      <c r="U93" s="243"/>
      <c r="V93" s="243"/>
      <c r="W93" s="244"/>
    </row>
    <row r="94" spans="1:23" x14ac:dyDescent="0.25">
      <c r="A94" s="500"/>
      <c r="B94" s="247" t="s">
        <v>59</v>
      </c>
      <c r="C94" s="239">
        <f>273+79</f>
        <v>352</v>
      </c>
      <c r="D94" s="240">
        <f>5012+433</f>
        <v>5445</v>
      </c>
      <c r="E94" s="230">
        <f>956-132</f>
        <v>824</v>
      </c>
      <c r="F94" s="245">
        <f>508+97</f>
        <v>605</v>
      </c>
      <c r="G94" s="245">
        <f>66+16</f>
        <v>82</v>
      </c>
      <c r="H94" s="245">
        <f>102+19</f>
        <v>121</v>
      </c>
      <c r="I94" s="245">
        <f t="shared" si="4"/>
        <v>1632</v>
      </c>
      <c r="J94" s="231">
        <f t="shared" si="3"/>
        <v>7429</v>
      </c>
      <c r="K94" s="241">
        <v>512</v>
      </c>
      <c r="L94" s="242">
        <v>11348</v>
      </c>
      <c r="M94" s="242">
        <v>33523</v>
      </c>
      <c r="N94" s="242">
        <v>6191</v>
      </c>
      <c r="O94" s="234">
        <f t="shared" si="5"/>
        <v>51574</v>
      </c>
      <c r="P94" s="241"/>
      <c r="Q94" s="243"/>
      <c r="R94" s="243"/>
      <c r="S94" s="243"/>
      <c r="T94" s="243"/>
      <c r="U94" s="243"/>
      <c r="V94" s="243"/>
      <c r="W94" s="244"/>
    </row>
    <row r="95" spans="1:23" x14ac:dyDescent="0.25">
      <c r="A95" s="237">
        <v>88</v>
      </c>
      <c r="B95" s="247" t="s">
        <v>287</v>
      </c>
      <c r="C95" s="239">
        <f>51-51</f>
        <v>0</v>
      </c>
      <c r="D95" s="240">
        <v>1403</v>
      </c>
      <c r="E95" s="230"/>
      <c r="F95" s="245"/>
      <c r="G95" s="245"/>
      <c r="H95" s="245"/>
      <c r="I95" s="245">
        <f t="shared" si="4"/>
        <v>0</v>
      </c>
      <c r="J95" s="231">
        <f t="shared" si="3"/>
        <v>1403</v>
      </c>
      <c r="K95" s="241"/>
      <c r="L95" s="242"/>
      <c r="M95" s="242"/>
      <c r="N95" s="242"/>
      <c r="O95" s="234">
        <f t="shared" si="5"/>
        <v>0</v>
      </c>
      <c r="P95" s="241"/>
      <c r="Q95" s="243"/>
      <c r="R95" s="243"/>
      <c r="S95" s="243"/>
      <c r="T95" s="243"/>
      <c r="U95" s="243"/>
      <c r="V95" s="243"/>
      <c r="W95" s="244"/>
    </row>
    <row r="96" spans="1:23" x14ac:dyDescent="0.25">
      <c r="A96" s="237">
        <v>89</v>
      </c>
      <c r="B96" s="247" t="s">
        <v>116</v>
      </c>
      <c r="C96" s="239">
        <f>200+59</f>
        <v>259</v>
      </c>
      <c r="D96" s="240">
        <f>1876+162</f>
        <v>2038</v>
      </c>
      <c r="E96" s="230">
        <f>950-171</f>
        <v>779</v>
      </c>
      <c r="F96" s="245">
        <f>381+127</f>
        <v>508</v>
      </c>
      <c r="G96" s="245">
        <f>51+18</f>
        <v>69</v>
      </c>
      <c r="H96" s="245">
        <f>76+26</f>
        <v>102</v>
      </c>
      <c r="I96" s="245">
        <f t="shared" si="4"/>
        <v>1458</v>
      </c>
      <c r="J96" s="231">
        <f t="shared" si="3"/>
        <v>3755</v>
      </c>
      <c r="K96" s="241"/>
      <c r="L96" s="242"/>
      <c r="M96" s="242"/>
      <c r="N96" s="242"/>
      <c r="O96" s="234">
        <f t="shared" si="5"/>
        <v>0</v>
      </c>
      <c r="P96" s="241"/>
      <c r="Q96" s="243"/>
      <c r="R96" s="243"/>
      <c r="S96" s="243"/>
      <c r="T96" s="243"/>
      <c r="U96" s="243"/>
      <c r="V96" s="243"/>
      <c r="W96" s="244"/>
    </row>
    <row r="97" spans="1:23" x14ac:dyDescent="0.25">
      <c r="A97" s="237">
        <v>90</v>
      </c>
      <c r="B97" s="247" t="s">
        <v>62</v>
      </c>
      <c r="C97" s="239">
        <f>137+40</f>
        <v>177</v>
      </c>
      <c r="D97" s="240">
        <f>302+26</f>
        <v>328</v>
      </c>
      <c r="E97" s="230">
        <v>146</v>
      </c>
      <c r="F97" s="245"/>
      <c r="G97" s="245"/>
      <c r="H97" s="245"/>
      <c r="I97" s="245">
        <f t="shared" si="4"/>
        <v>146</v>
      </c>
      <c r="J97" s="231">
        <f t="shared" si="3"/>
        <v>651</v>
      </c>
      <c r="K97" s="241"/>
      <c r="L97" s="242"/>
      <c r="M97" s="242"/>
      <c r="N97" s="242"/>
      <c r="O97" s="234">
        <f t="shared" si="5"/>
        <v>0</v>
      </c>
      <c r="P97" s="241"/>
      <c r="Q97" s="243"/>
      <c r="R97" s="243"/>
      <c r="S97" s="243"/>
      <c r="T97" s="243"/>
      <c r="U97" s="243"/>
      <c r="V97" s="243"/>
      <c r="W97" s="244"/>
    </row>
    <row r="98" spans="1:23" x14ac:dyDescent="0.25">
      <c r="A98" s="237">
        <v>91</v>
      </c>
      <c r="B98" s="247" t="s">
        <v>112</v>
      </c>
      <c r="C98" s="254">
        <f>332+97</f>
        <v>429</v>
      </c>
      <c r="D98" s="240"/>
      <c r="E98" s="230">
        <f>610-209</f>
        <v>401</v>
      </c>
      <c r="F98" s="245">
        <f>509+167</f>
        <v>676</v>
      </c>
      <c r="G98" s="245">
        <f>69+23</f>
        <v>92</v>
      </c>
      <c r="H98" s="245">
        <f>118+19</f>
        <v>137</v>
      </c>
      <c r="I98" s="245">
        <f t="shared" si="4"/>
        <v>1306</v>
      </c>
      <c r="J98" s="231">
        <f t="shared" si="3"/>
        <v>1735</v>
      </c>
      <c r="K98" s="241">
        <v>290</v>
      </c>
      <c r="L98" s="242">
        <v>6342</v>
      </c>
      <c r="M98" s="242">
        <v>18737</v>
      </c>
      <c r="N98" s="242">
        <v>3460</v>
      </c>
      <c r="O98" s="234">
        <f t="shared" si="5"/>
        <v>28829</v>
      </c>
      <c r="P98" s="241"/>
      <c r="Q98" s="243"/>
      <c r="R98" s="243"/>
      <c r="S98" s="243"/>
      <c r="T98" s="243"/>
      <c r="U98" s="243"/>
      <c r="V98" s="243"/>
      <c r="W98" s="244"/>
    </row>
    <row r="99" spans="1:23" ht="12.75" customHeight="1" x14ac:dyDescent="0.25">
      <c r="A99" s="237">
        <v>92</v>
      </c>
      <c r="B99" s="247" t="s">
        <v>63</v>
      </c>
      <c r="C99" s="254">
        <f>1174-1174</f>
        <v>0</v>
      </c>
      <c r="D99" s="240">
        <f>24238-12238</f>
        <v>12000</v>
      </c>
      <c r="E99" s="230"/>
      <c r="F99" s="245"/>
      <c r="G99" s="245"/>
      <c r="H99" s="245"/>
      <c r="I99" s="245">
        <f t="shared" si="4"/>
        <v>0</v>
      </c>
      <c r="J99" s="231">
        <f t="shared" si="3"/>
        <v>12000</v>
      </c>
      <c r="K99" s="241"/>
      <c r="L99" s="242"/>
      <c r="M99" s="242"/>
      <c r="N99" s="242"/>
      <c r="O99" s="234">
        <f t="shared" si="5"/>
        <v>0</v>
      </c>
      <c r="P99" s="241"/>
      <c r="Q99" s="243"/>
      <c r="R99" s="243"/>
      <c r="S99" s="243"/>
      <c r="T99" s="243"/>
      <c r="U99" s="243"/>
      <c r="V99" s="243"/>
      <c r="W99" s="244"/>
    </row>
    <row r="100" spans="1:23" ht="12" customHeight="1" x14ac:dyDescent="0.25">
      <c r="A100" s="237">
        <v>93</v>
      </c>
      <c r="B100" s="248" t="s">
        <v>64</v>
      </c>
      <c r="C100" s="254">
        <f>100+29</f>
        <v>129</v>
      </c>
      <c r="D100" s="240"/>
      <c r="E100" s="230">
        <v>322</v>
      </c>
      <c r="F100" s="245"/>
      <c r="G100" s="245"/>
      <c r="H100" s="245"/>
      <c r="I100" s="245">
        <f t="shared" si="4"/>
        <v>322</v>
      </c>
      <c r="J100" s="231">
        <f t="shared" si="3"/>
        <v>451</v>
      </c>
      <c r="K100" s="241"/>
      <c r="L100" s="242"/>
      <c r="M100" s="242"/>
      <c r="N100" s="242"/>
      <c r="O100" s="234">
        <f t="shared" si="5"/>
        <v>0</v>
      </c>
      <c r="P100" s="241"/>
      <c r="Q100" s="243"/>
      <c r="R100" s="243"/>
      <c r="S100" s="243"/>
      <c r="T100" s="243"/>
      <c r="U100" s="243"/>
      <c r="V100" s="243"/>
      <c r="W100" s="244"/>
    </row>
    <row r="101" spans="1:23" x14ac:dyDescent="0.25">
      <c r="A101" s="237">
        <v>94</v>
      </c>
      <c r="B101" s="248" t="s">
        <v>289</v>
      </c>
      <c r="C101" s="254">
        <f>444+130</f>
        <v>574</v>
      </c>
      <c r="D101" s="240">
        <f>3933+341</f>
        <v>4274</v>
      </c>
      <c r="E101" s="230">
        <f>636-177</f>
        <v>459</v>
      </c>
      <c r="F101" s="245">
        <f>507+124</f>
        <v>631</v>
      </c>
      <c r="G101" s="245">
        <f>63+21</f>
        <v>84</v>
      </c>
      <c r="H101" s="245">
        <f>94+32</f>
        <v>126</v>
      </c>
      <c r="I101" s="245">
        <f t="shared" si="4"/>
        <v>1300</v>
      </c>
      <c r="J101" s="231">
        <f t="shared" si="3"/>
        <v>6148</v>
      </c>
      <c r="K101" s="241">
        <v>130</v>
      </c>
      <c r="L101" s="242">
        <v>2855</v>
      </c>
      <c r="M101" s="242">
        <v>8436</v>
      </c>
      <c r="N101" s="242">
        <v>1558</v>
      </c>
      <c r="O101" s="231">
        <f t="shared" si="5"/>
        <v>12979</v>
      </c>
      <c r="P101" s="241"/>
      <c r="Q101" s="243"/>
      <c r="R101" s="243"/>
      <c r="S101" s="243"/>
      <c r="T101" s="243"/>
      <c r="U101" s="243"/>
      <c r="V101" s="243"/>
      <c r="W101" s="244"/>
    </row>
    <row r="102" spans="1:23" x14ac:dyDescent="0.25">
      <c r="A102" s="237">
        <v>95</v>
      </c>
      <c r="B102" s="255" t="s">
        <v>393</v>
      </c>
      <c r="C102" s="239"/>
      <c r="D102" s="240"/>
      <c r="E102" s="240">
        <f>188-188</f>
        <v>0</v>
      </c>
      <c r="F102" s="276">
        <f>562+139</f>
        <v>701</v>
      </c>
      <c r="G102" s="276">
        <f>82+13</f>
        <v>95</v>
      </c>
      <c r="H102" s="276">
        <f>107+36</f>
        <v>143</v>
      </c>
      <c r="I102" s="276">
        <f t="shared" si="4"/>
        <v>939</v>
      </c>
      <c r="J102" s="256">
        <f t="shared" si="3"/>
        <v>939</v>
      </c>
      <c r="K102" s="257">
        <v>153</v>
      </c>
      <c r="L102" s="242">
        <v>3381</v>
      </c>
      <c r="M102" s="242">
        <v>9989</v>
      </c>
      <c r="N102" s="242">
        <v>1844</v>
      </c>
      <c r="O102" s="231">
        <f t="shared" si="5"/>
        <v>15367</v>
      </c>
      <c r="P102" s="241"/>
      <c r="Q102" s="243"/>
      <c r="R102" s="243"/>
      <c r="S102" s="243"/>
      <c r="T102" s="243"/>
      <c r="U102" s="243"/>
      <c r="V102" s="243"/>
      <c r="W102" s="244"/>
    </row>
    <row r="103" spans="1:23" x14ac:dyDescent="0.25">
      <c r="A103" s="258">
        <v>96</v>
      </c>
      <c r="B103" s="259" t="s">
        <v>254</v>
      </c>
      <c r="C103" s="260"/>
      <c r="D103" s="261"/>
      <c r="E103" s="230"/>
      <c r="F103" s="245"/>
      <c r="G103" s="245"/>
      <c r="H103" s="245"/>
      <c r="I103" s="245">
        <f t="shared" si="4"/>
        <v>0</v>
      </c>
      <c r="J103" s="234">
        <f t="shared" si="3"/>
        <v>0</v>
      </c>
      <c r="K103" s="257"/>
      <c r="L103" s="242"/>
      <c r="M103" s="242"/>
      <c r="N103" s="242"/>
      <c r="O103" s="231">
        <f t="shared" si="5"/>
        <v>0</v>
      </c>
      <c r="P103" s="241">
        <v>300</v>
      </c>
      <c r="Q103" s="243">
        <v>300</v>
      </c>
      <c r="R103" s="243">
        <v>300</v>
      </c>
      <c r="S103" s="243">
        <v>140</v>
      </c>
      <c r="T103" s="243">
        <v>300</v>
      </c>
      <c r="U103" s="243">
        <v>400</v>
      </c>
      <c r="V103" s="243">
        <v>1079</v>
      </c>
      <c r="W103" s="256">
        <f>SUM(P103:V103)</f>
        <v>2819</v>
      </c>
    </row>
    <row r="104" spans="1:23" ht="12.75" thickBot="1" x14ac:dyDescent="0.3">
      <c r="A104" s="262">
        <v>97</v>
      </c>
      <c r="B104" s="259" t="s">
        <v>81</v>
      </c>
      <c r="C104" s="260"/>
      <c r="D104" s="261">
        <v>1300</v>
      </c>
      <c r="E104" s="261"/>
      <c r="F104" s="261"/>
      <c r="G104" s="261"/>
      <c r="H104" s="261"/>
      <c r="I104" s="261">
        <f t="shared" si="4"/>
        <v>0</v>
      </c>
      <c r="J104" s="263">
        <f t="shared" si="3"/>
        <v>1300</v>
      </c>
      <c r="K104" s="264"/>
      <c r="L104" s="265"/>
      <c r="M104" s="265"/>
      <c r="N104" s="265"/>
      <c r="O104" s="266">
        <f t="shared" si="5"/>
        <v>0</v>
      </c>
      <c r="P104" s="267"/>
      <c r="Q104" s="262"/>
      <c r="R104" s="262"/>
      <c r="S104" s="262"/>
      <c r="T104" s="262"/>
      <c r="U104" s="262"/>
      <c r="V104" s="262"/>
      <c r="W104" s="263"/>
    </row>
    <row r="105" spans="1:23" ht="12.75" thickBot="1" x14ac:dyDescent="0.3">
      <c r="A105" s="268"/>
      <c r="B105" s="269" t="s">
        <v>106</v>
      </c>
      <c r="C105" s="270">
        <f>SUM(C6:C104)</f>
        <v>5921</v>
      </c>
      <c r="D105" s="271">
        <f t="shared" ref="D105:W105" si="6">SUM(D6:D104)</f>
        <v>163004</v>
      </c>
      <c r="E105" s="271">
        <f t="shared" si="6"/>
        <v>14734</v>
      </c>
      <c r="F105" s="271">
        <f t="shared" si="6"/>
        <v>6391</v>
      </c>
      <c r="G105" s="271">
        <f t="shared" si="6"/>
        <v>833</v>
      </c>
      <c r="H105" s="271">
        <f t="shared" si="6"/>
        <v>1242</v>
      </c>
      <c r="I105" s="271">
        <f>SUM(I6:I104)</f>
        <v>23200</v>
      </c>
      <c r="J105" s="272">
        <f t="shared" si="6"/>
        <v>192125</v>
      </c>
      <c r="K105" s="273">
        <f t="shared" si="6"/>
        <v>2020</v>
      </c>
      <c r="L105" s="271">
        <f t="shared" si="6"/>
        <v>44393</v>
      </c>
      <c r="M105" s="271">
        <f t="shared" si="6"/>
        <v>131163</v>
      </c>
      <c r="N105" s="271">
        <f t="shared" si="6"/>
        <v>24216</v>
      </c>
      <c r="O105" s="274">
        <f t="shared" si="6"/>
        <v>201792</v>
      </c>
      <c r="P105" s="270">
        <f t="shared" si="6"/>
        <v>300</v>
      </c>
      <c r="Q105" s="271">
        <f t="shared" si="6"/>
        <v>300</v>
      </c>
      <c r="R105" s="271">
        <f t="shared" si="6"/>
        <v>300</v>
      </c>
      <c r="S105" s="271">
        <f t="shared" si="6"/>
        <v>140</v>
      </c>
      <c r="T105" s="271">
        <f t="shared" si="6"/>
        <v>300</v>
      </c>
      <c r="U105" s="271">
        <f t="shared" si="6"/>
        <v>400</v>
      </c>
      <c r="V105" s="271">
        <f t="shared" si="6"/>
        <v>1079</v>
      </c>
      <c r="W105" s="272">
        <f t="shared" si="6"/>
        <v>2819</v>
      </c>
    </row>
  </sheetData>
  <mergeCells count="26">
    <mergeCell ref="A30:A31"/>
    <mergeCell ref="A93:A94"/>
    <mergeCell ref="P4:P5"/>
    <mergeCell ref="Q4:Q5"/>
    <mergeCell ref="R4:R5"/>
    <mergeCell ref="J4:J5"/>
    <mergeCell ref="K4:K5"/>
    <mergeCell ref="L4:L5"/>
    <mergeCell ref="M4:M5"/>
    <mergeCell ref="N4:N5"/>
    <mergeCell ref="O4:O5"/>
    <mergeCell ref="A1:W1"/>
    <mergeCell ref="A3:A5"/>
    <mergeCell ref="B3:B5"/>
    <mergeCell ref="C3:J3"/>
    <mergeCell ref="K3:O3"/>
    <mergeCell ref="P3:W3"/>
    <mergeCell ref="C4:C5"/>
    <mergeCell ref="D4:D5"/>
    <mergeCell ref="F4:H4"/>
    <mergeCell ref="I4:I5"/>
    <mergeCell ref="V4:V5"/>
    <mergeCell ref="W4:W5"/>
    <mergeCell ref="S4:S5"/>
    <mergeCell ref="T4:T5"/>
    <mergeCell ref="U4: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N31" sqref="N31"/>
    </sheetView>
  </sheetViews>
  <sheetFormatPr defaultRowHeight="11.25" x14ac:dyDescent="0.25"/>
  <cols>
    <col min="1" max="1" width="3.42578125" style="160" customWidth="1"/>
    <col min="2" max="2" width="25.140625" style="159" customWidth="1"/>
    <col min="3" max="3" width="8.7109375" style="161" customWidth="1"/>
    <col min="4" max="4" width="8.28515625" style="161" customWidth="1"/>
    <col min="5" max="5" width="9" style="161" customWidth="1"/>
    <col min="6" max="6" width="9.85546875" style="161" customWidth="1"/>
    <col min="7" max="7" width="11" style="161" customWidth="1"/>
    <col min="8" max="8" width="8.5703125" style="161" customWidth="1"/>
    <col min="9" max="9" width="8.85546875" style="161" customWidth="1"/>
    <col min="10" max="10" width="6.42578125" style="161" customWidth="1"/>
    <col min="11" max="11" width="7" style="161" customWidth="1"/>
    <col min="12" max="12" width="8.42578125" style="161" customWidth="1"/>
    <col min="13" max="13" width="10" style="161" customWidth="1"/>
    <col min="14" max="15" width="9.85546875" style="161" customWidth="1"/>
    <col min="16" max="16" width="10.140625" style="161" customWidth="1"/>
    <col min="17" max="17" width="9.5703125" style="161" customWidth="1"/>
    <col min="18" max="18" width="9.140625" style="161" customWidth="1"/>
    <col min="19" max="19" width="11.85546875" style="159" customWidth="1"/>
    <col min="20" max="16384" width="9.140625" style="159"/>
  </cols>
  <sheetData>
    <row r="1" spans="1:18" ht="16.5" x14ac:dyDescent="0.25">
      <c r="A1" s="447" t="s">
        <v>295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2" thickBot="1" x14ac:dyDescent="0.3"/>
    <row r="3" spans="1:18" x14ac:dyDescent="0.25">
      <c r="A3" s="510" t="s">
        <v>0</v>
      </c>
      <c r="B3" s="512" t="s">
        <v>82</v>
      </c>
      <c r="C3" s="514" t="s">
        <v>296</v>
      </c>
      <c r="D3" s="515"/>
      <c r="E3" s="515"/>
      <c r="F3" s="515"/>
      <c r="G3" s="515"/>
      <c r="H3" s="515"/>
      <c r="I3" s="515"/>
      <c r="J3" s="516"/>
      <c r="K3" s="517"/>
      <c r="L3" s="480" t="s">
        <v>297</v>
      </c>
      <c r="M3" s="480" t="s">
        <v>298</v>
      </c>
      <c r="N3" s="514" t="s">
        <v>299</v>
      </c>
      <c r="O3" s="520"/>
      <c r="P3" s="520"/>
      <c r="Q3" s="521"/>
      <c r="R3" s="522" t="s">
        <v>265</v>
      </c>
    </row>
    <row r="4" spans="1:18" x14ac:dyDescent="0.25">
      <c r="A4" s="475"/>
      <c r="B4" s="478"/>
      <c r="C4" s="525" t="s">
        <v>300</v>
      </c>
      <c r="D4" s="492"/>
      <c r="E4" s="492"/>
      <c r="F4" s="492"/>
      <c r="G4" s="492"/>
      <c r="H4" s="492"/>
      <c r="I4" s="493"/>
      <c r="J4" s="494" t="s">
        <v>301</v>
      </c>
      <c r="K4" s="526" t="s">
        <v>110</v>
      </c>
      <c r="L4" s="518"/>
      <c r="M4" s="518"/>
      <c r="N4" s="487" t="s">
        <v>302</v>
      </c>
      <c r="O4" s="489" t="s">
        <v>303</v>
      </c>
      <c r="P4" s="489" t="s">
        <v>304</v>
      </c>
      <c r="Q4" s="528" t="s">
        <v>110</v>
      </c>
      <c r="R4" s="523"/>
    </row>
    <row r="5" spans="1:18" ht="130.5" customHeight="1" thickBot="1" x14ac:dyDescent="0.3">
      <c r="A5" s="511"/>
      <c r="B5" s="513"/>
      <c r="C5" s="162" t="s">
        <v>305</v>
      </c>
      <c r="D5" s="163" t="s">
        <v>306</v>
      </c>
      <c r="E5" s="163" t="s">
        <v>307</v>
      </c>
      <c r="F5" s="163" t="s">
        <v>308</v>
      </c>
      <c r="G5" s="163" t="s">
        <v>309</v>
      </c>
      <c r="H5" s="163" t="s">
        <v>310</v>
      </c>
      <c r="I5" s="163" t="s">
        <v>110</v>
      </c>
      <c r="J5" s="495"/>
      <c r="K5" s="527"/>
      <c r="L5" s="519"/>
      <c r="M5" s="519"/>
      <c r="N5" s="488"/>
      <c r="O5" s="490"/>
      <c r="P5" s="490"/>
      <c r="Q5" s="498"/>
      <c r="R5" s="524"/>
    </row>
    <row r="6" spans="1:18" x14ac:dyDescent="0.25">
      <c r="A6" s="164">
        <v>1</v>
      </c>
      <c r="B6" s="165" t="s">
        <v>11</v>
      </c>
      <c r="C6" s="166"/>
      <c r="D6" s="167"/>
      <c r="E6" s="167"/>
      <c r="F6" s="167"/>
      <c r="G6" s="167"/>
      <c r="H6" s="167"/>
      <c r="I6" s="167">
        <f>SUM(C6:H6)</f>
        <v>0</v>
      </c>
      <c r="J6" s="168"/>
      <c r="K6" s="169">
        <f>I6+J6</f>
        <v>0</v>
      </c>
      <c r="L6" s="170"/>
      <c r="M6" s="170"/>
      <c r="N6" s="166">
        <v>2000</v>
      </c>
      <c r="O6" s="168">
        <f>2000-100</f>
        <v>1900</v>
      </c>
      <c r="P6" s="168">
        <f>2000-200</f>
        <v>1800</v>
      </c>
      <c r="Q6" s="171">
        <f>N6+O6+P6</f>
        <v>5700</v>
      </c>
      <c r="R6" s="172">
        <f>K6+L6+M6+Q6</f>
        <v>5700</v>
      </c>
    </row>
    <row r="7" spans="1:18" x14ac:dyDescent="0.25">
      <c r="A7" s="173">
        <v>2</v>
      </c>
      <c r="B7" s="174" t="s">
        <v>13</v>
      </c>
      <c r="C7" s="175"/>
      <c r="D7" s="176"/>
      <c r="E7" s="176"/>
      <c r="F7" s="176"/>
      <c r="G7" s="176"/>
      <c r="H7" s="176"/>
      <c r="I7" s="167">
        <f t="shared" ref="I7:I29" si="0">SUM(C7:H7)</f>
        <v>0</v>
      </c>
      <c r="J7" s="177"/>
      <c r="K7" s="169">
        <f t="shared" ref="K7:K29" si="1">I7+J7</f>
        <v>0</v>
      </c>
      <c r="L7" s="178"/>
      <c r="M7" s="178"/>
      <c r="N7" s="175">
        <f>1200-300</f>
        <v>900</v>
      </c>
      <c r="O7" s="177">
        <f>1200-350</f>
        <v>850</v>
      </c>
      <c r="P7" s="177">
        <f>1200-400</f>
        <v>800</v>
      </c>
      <c r="Q7" s="179">
        <f t="shared" ref="Q7:Q29" si="2">N7+O7+P7</f>
        <v>2550</v>
      </c>
      <c r="R7" s="172">
        <f t="shared" ref="R7:R29" si="3">K7+L7+M7+Q7</f>
        <v>2550</v>
      </c>
    </row>
    <row r="8" spans="1:18" x14ac:dyDescent="0.25">
      <c r="A8" s="173">
        <v>3</v>
      </c>
      <c r="B8" s="174" t="s">
        <v>195</v>
      </c>
      <c r="C8" s="175"/>
      <c r="D8" s="176"/>
      <c r="E8" s="176"/>
      <c r="F8" s="176"/>
      <c r="G8" s="176"/>
      <c r="H8" s="176"/>
      <c r="I8" s="167">
        <f t="shared" si="0"/>
        <v>0</v>
      </c>
      <c r="J8" s="177"/>
      <c r="K8" s="169">
        <f t="shared" si="1"/>
        <v>0</v>
      </c>
      <c r="L8" s="178">
        <v>9500</v>
      </c>
      <c r="M8" s="178"/>
      <c r="N8" s="175"/>
      <c r="O8" s="177"/>
      <c r="P8" s="177"/>
      <c r="Q8" s="179">
        <f t="shared" si="2"/>
        <v>0</v>
      </c>
      <c r="R8" s="172">
        <f t="shared" si="3"/>
        <v>9500</v>
      </c>
    </row>
    <row r="9" spans="1:18" ht="24" x14ac:dyDescent="0.25">
      <c r="A9" s="173">
        <v>4</v>
      </c>
      <c r="B9" s="180" t="s">
        <v>198</v>
      </c>
      <c r="C9" s="175"/>
      <c r="D9" s="176"/>
      <c r="E9" s="176"/>
      <c r="F9" s="176"/>
      <c r="G9" s="176"/>
      <c r="H9" s="176"/>
      <c r="I9" s="167">
        <f t="shared" si="0"/>
        <v>0</v>
      </c>
      <c r="J9" s="177"/>
      <c r="K9" s="169">
        <f t="shared" si="1"/>
        <v>0</v>
      </c>
      <c r="L9" s="178"/>
      <c r="M9" s="178"/>
      <c r="N9" s="175">
        <v>4000</v>
      </c>
      <c r="O9" s="177">
        <f>4000-200</f>
        <v>3800</v>
      </c>
      <c r="P9" s="177">
        <f>4000-300</f>
        <v>3700</v>
      </c>
      <c r="Q9" s="179">
        <f t="shared" si="2"/>
        <v>11500</v>
      </c>
      <c r="R9" s="172">
        <f t="shared" si="3"/>
        <v>11500</v>
      </c>
    </row>
    <row r="10" spans="1:18" x14ac:dyDescent="0.25">
      <c r="A10" s="173">
        <v>5</v>
      </c>
      <c r="B10" s="174" t="s">
        <v>36</v>
      </c>
      <c r="C10" s="175"/>
      <c r="D10" s="176"/>
      <c r="E10" s="176"/>
      <c r="F10" s="176"/>
      <c r="G10" s="176"/>
      <c r="H10" s="176"/>
      <c r="I10" s="167">
        <f t="shared" si="0"/>
        <v>0</v>
      </c>
      <c r="J10" s="177"/>
      <c r="K10" s="169">
        <f t="shared" si="1"/>
        <v>0</v>
      </c>
      <c r="L10" s="178"/>
      <c r="M10" s="178"/>
      <c r="N10" s="175">
        <v>1400</v>
      </c>
      <c r="O10" s="177">
        <f>1400-100</f>
        <v>1300</v>
      </c>
      <c r="P10" s="177">
        <f>1400-200</f>
        <v>1200</v>
      </c>
      <c r="Q10" s="179">
        <f t="shared" si="2"/>
        <v>3900</v>
      </c>
      <c r="R10" s="172">
        <f t="shared" si="3"/>
        <v>3900</v>
      </c>
    </row>
    <row r="11" spans="1:18" x14ac:dyDescent="0.25">
      <c r="A11" s="173">
        <v>6</v>
      </c>
      <c r="B11" s="174" t="s">
        <v>274</v>
      </c>
      <c r="C11" s="175"/>
      <c r="D11" s="176"/>
      <c r="E11" s="176"/>
      <c r="F11" s="176"/>
      <c r="G11" s="176"/>
      <c r="H11" s="176"/>
      <c r="I11" s="167">
        <f t="shared" si="0"/>
        <v>0</v>
      </c>
      <c r="J11" s="177"/>
      <c r="K11" s="169">
        <f t="shared" si="1"/>
        <v>0</v>
      </c>
      <c r="L11" s="178"/>
      <c r="M11" s="178"/>
      <c r="N11" s="175">
        <f>2500-200</f>
        <v>2300</v>
      </c>
      <c r="O11" s="177">
        <f>2500-250</f>
        <v>2250</v>
      </c>
      <c r="P11" s="177">
        <f>2500-300</f>
        <v>2200</v>
      </c>
      <c r="Q11" s="179">
        <f t="shared" si="2"/>
        <v>6750</v>
      </c>
      <c r="R11" s="172">
        <f t="shared" si="3"/>
        <v>6750</v>
      </c>
    </row>
    <row r="12" spans="1:18" x14ac:dyDescent="0.25">
      <c r="A12" s="173">
        <v>7</v>
      </c>
      <c r="B12" s="181" t="s">
        <v>275</v>
      </c>
      <c r="C12" s="175"/>
      <c r="D12" s="176"/>
      <c r="E12" s="176"/>
      <c r="F12" s="176"/>
      <c r="G12" s="176"/>
      <c r="H12" s="176"/>
      <c r="I12" s="167">
        <f t="shared" si="0"/>
        <v>0</v>
      </c>
      <c r="J12" s="177"/>
      <c r="K12" s="169">
        <f t="shared" si="1"/>
        <v>0</v>
      </c>
      <c r="L12" s="178"/>
      <c r="M12" s="178"/>
      <c r="N12" s="175">
        <f>2000-200</f>
        <v>1800</v>
      </c>
      <c r="O12" s="177">
        <f>2000-250</f>
        <v>1750</v>
      </c>
      <c r="P12" s="177">
        <f>2000-300</f>
        <v>1700</v>
      </c>
      <c r="Q12" s="179">
        <f t="shared" si="2"/>
        <v>5250</v>
      </c>
      <c r="R12" s="172">
        <f t="shared" si="3"/>
        <v>5250</v>
      </c>
    </row>
    <row r="13" spans="1:18" x14ac:dyDescent="0.25">
      <c r="A13" s="173">
        <v>8</v>
      </c>
      <c r="B13" s="174" t="s">
        <v>53</v>
      </c>
      <c r="C13" s="175"/>
      <c r="D13" s="176"/>
      <c r="E13" s="176"/>
      <c r="F13" s="176"/>
      <c r="G13" s="176"/>
      <c r="H13" s="176"/>
      <c r="I13" s="167">
        <f t="shared" si="0"/>
        <v>0</v>
      </c>
      <c r="J13" s="177"/>
      <c r="K13" s="169">
        <f t="shared" si="1"/>
        <v>0</v>
      </c>
      <c r="L13" s="178"/>
      <c r="M13" s="178"/>
      <c r="N13" s="175">
        <f>2200-300</f>
        <v>1900</v>
      </c>
      <c r="O13" s="177">
        <f>2200-400</f>
        <v>1800</v>
      </c>
      <c r="P13" s="177">
        <f>2200-450</f>
        <v>1750</v>
      </c>
      <c r="Q13" s="179">
        <f t="shared" si="2"/>
        <v>5450</v>
      </c>
      <c r="R13" s="172">
        <f t="shared" si="3"/>
        <v>5450</v>
      </c>
    </row>
    <row r="14" spans="1:18" x14ac:dyDescent="0.25">
      <c r="A14" s="173">
        <v>9</v>
      </c>
      <c r="B14" s="174" t="s">
        <v>21</v>
      </c>
      <c r="C14" s="175"/>
      <c r="D14" s="176"/>
      <c r="E14" s="176"/>
      <c r="F14" s="176"/>
      <c r="G14" s="176"/>
      <c r="H14" s="176"/>
      <c r="I14" s="167">
        <f t="shared" si="0"/>
        <v>0</v>
      </c>
      <c r="J14" s="177"/>
      <c r="K14" s="169">
        <f t="shared" si="1"/>
        <v>0</v>
      </c>
      <c r="L14" s="178"/>
      <c r="M14" s="178"/>
      <c r="N14" s="175">
        <v>1000</v>
      </c>
      <c r="O14" s="177">
        <f>1000-50</f>
        <v>950</v>
      </c>
      <c r="P14" s="177">
        <f>1000-100</f>
        <v>900</v>
      </c>
      <c r="Q14" s="179">
        <f t="shared" si="2"/>
        <v>2850</v>
      </c>
      <c r="R14" s="172">
        <f t="shared" si="3"/>
        <v>2850</v>
      </c>
    </row>
    <row r="15" spans="1:18" x14ac:dyDescent="0.25">
      <c r="A15" s="173">
        <v>10</v>
      </c>
      <c r="B15" s="182" t="s">
        <v>45</v>
      </c>
      <c r="C15" s="175"/>
      <c r="D15" s="176"/>
      <c r="E15" s="176"/>
      <c r="F15" s="176"/>
      <c r="G15" s="176"/>
      <c r="H15" s="176"/>
      <c r="I15" s="167">
        <f t="shared" si="0"/>
        <v>0</v>
      </c>
      <c r="J15" s="177"/>
      <c r="K15" s="169">
        <f t="shared" si="1"/>
        <v>0</v>
      </c>
      <c r="L15" s="178"/>
      <c r="M15" s="178"/>
      <c r="N15" s="175">
        <f>1200-100</f>
        <v>1100</v>
      </c>
      <c r="O15" s="177">
        <f>1200-150</f>
        <v>1050</v>
      </c>
      <c r="P15" s="177">
        <f>1200-200</f>
        <v>1000</v>
      </c>
      <c r="Q15" s="179">
        <f t="shared" si="2"/>
        <v>3150</v>
      </c>
      <c r="R15" s="172">
        <f t="shared" si="3"/>
        <v>3150</v>
      </c>
    </row>
    <row r="16" spans="1:18" x14ac:dyDescent="0.25">
      <c r="A16" s="173">
        <v>11</v>
      </c>
      <c r="B16" s="174" t="s">
        <v>52</v>
      </c>
      <c r="C16" s="175"/>
      <c r="D16" s="176"/>
      <c r="E16" s="176"/>
      <c r="F16" s="176"/>
      <c r="G16" s="176"/>
      <c r="H16" s="176"/>
      <c r="I16" s="167">
        <f t="shared" si="0"/>
        <v>0</v>
      </c>
      <c r="J16" s="177"/>
      <c r="K16" s="169">
        <f t="shared" si="1"/>
        <v>0</v>
      </c>
      <c r="L16" s="178"/>
      <c r="M16" s="178"/>
      <c r="N16" s="175">
        <f>1600-100</f>
        <v>1500</v>
      </c>
      <c r="O16" s="177">
        <f>1600-100</f>
        <v>1500</v>
      </c>
      <c r="P16" s="177">
        <f>1600-200</f>
        <v>1400</v>
      </c>
      <c r="Q16" s="179">
        <f t="shared" si="2"/>
        <v>4400</v>
      </c>
      <c r="R16" s="172">
        <f t="shared" si="3"/>
        <v>4400</v>
      </c>
    </row>
    <row r="17" spans="1:18" x14ac:dyDescent="0.25">
      <c r="A17" s="173">
        <v>12</v>
      </c>
      <c r="B17" s="174" t="s">
        <v>59</v>
      </c>
      <c r="C17" s="175"/>
      <c r="D17" s="176"/>
      <c r="E17" s="176"/>
      <c r="F17" s="176"/>
      <c r="G17" s="176"/>
      <c r="H17" s="176"/>
      <c r="I17" s="167">
        <f t="shared" si="0"/>
        <v>0</v>
      </c>
      <c r="J17" s="177"/>
      <c r="K17" s="169">
        <f t="shared" si="1"/>
        <v>0</v>
      </c>
      <c r="L17" s="178"/>
      <c r="M17" s="178"/>
      <c r="N17" s="175">
        <f>2200-400</f>
        <v>1800</v>
      </c>
      <c r="O17" s="177">
        <f>2200-400</f>
        <v>1800</v>
      </c>
      <c r="P17" s="177">
        <f>2200-500</f>
        <v>1700</v>
      </c>
      <c r="Q17" s="179">
        <f t="shared" si="2"/>
        <v>5300</v>
      </c>
      <c r="R17" s="172">
        <f t="shared" si="3"/>
        <v>5300</v>
      </c>
    </row>
    <row r="18" spans="1:18" ht="22.5" x14ac:dyDescent="0.25">
      <c r="A18" s="173">
        <v>13</v>
      </c>
      <c r="B18" s="183" t="s">
        <v>311</v>
      </c>
      <c r="C18" s="175"/>
      <c r="D18" s="176"/>
      <c r="E18" s="176"/>
      <c r="F18" s="176"/>
      <c r="G18" s="176"/>
      <c r="H18" s="176"/>
      <c r="I18" s="167">
        <f t="shared" si="0"/>
        <v>0</v>
      </c>
      <c r="J18" s="177"/>
      <c r="K18" s="169">
        <f t="shared" si="1"/>
        <v>0</v>
      </c>
      <c r="L18" s="178"/>
      <c r="M18" s="178"/>
      <c r="N18" s="175">
        <f>2000-150</f>
        <v>1850</v>
      </c>
      <c r="O18" s="177">
        <f>2000-100</f>
        <v>1900</v>
      </c>
      <c r="P18" s="177">
        <f>2000-150</f>
        <v>1850</v>
      </c>
      <c r="Q18" s="179">
        <f t="shared" si="2"/>
        <v>5600</v>
      </c>
      <c r="R18" s="172">
        <f t="shared" si="3"/>
        <v>5600</v>
      </c>
    </row>
    <row r="19" spans="1:18" ht="22.5" x14ac:dyDescent="0.25">
      <c r="A19" s="173">
        <v>14</v>
      </c>
      <c r="B19" s="174" t="s">
        <v>312</v>
      </c>
      <c r="C19" s="175"/>
      <c r="D19" s="176"/>
      <c r="E19" s="176"/>
      <c r="F19" s="176"/>
      <c r="G19" s="176"/>
      <c r="H19" s="176"/>
      <c r="I19" s="167">
        <f t="shared" si="0"/>
        <v>0</v>
      </c>
      <c r="J19" s="177"/>
      <c r="K19" s="169">
        <f t="shared" si="1"/>
        <v>0</v>
      </c>
      <c r="L19" s="178"/>
      <c r="M19" s="178"/>
      <c r="N19" s="175">
        <v>1600</v>
      </c>
      <c r="O19" s="177">
        <f>1600-100</f>
        <v>1500</v>
      </c>
      <c r="P19" s="177">
        <f>1600-200</f>
        <v>1400</v>
      </c>
      <c r="Q19" s="179">
        <f t="shared" si="2"/>
        <v>4500</v>
      </c>
      <c r="R19" s="172">
        <f t="shared" si="3"/>
        <v>4500</v>
      </c>
    </row>
    <row r="20" spans="1:18" x14ac:dyDescent="0.25">
      <c r="A20" s="173">
        <v>15</v>
      </c>
      <c r="B20" s="174" t="s">
        <v>313</v>
      </c>
      <c r="C20" s="175"/>
      <c r="D20" s="176"/>
      <c r="E20" s="176"/>
      <c r="F20" s="176"/>
      <c r="G20" s="176"/>
      <c r="H20" s="176"/>
      <c r="I20" s="167">
        <f t="shared" si="0"/>
        <v>0</v>
      </c>
      <c r="J20" s="177"/>
      <c r="K20" s="169">
        <f t="shared" si="1"/>
        <v>0</v>
      </c>
      <c r="L20" s="178"/>
      <c r="M20" s="178">
        <f>6245-5844</f>
        <v>401</v>
      </c>
      <c r="N20" s="175"/>
      <c r="O20" s="177"/>
      <c r="P20" s="177"/>
      <c r="Q20" s="179">
        <f t="shared" si="2"/>
        <v>0</v>
      </c>
      <c r="R20" s="172">
        <f t="shared" si="3"/>
        <v>401</v>
      </c>
    </row>
    <row r="21" spans="1:18" x14ac:dyDescent="0.25">
      <c r="A21" s="173">
        <v>16</v>
      </c>
      <c r="B21" s="174" t="s">
        <v>314</v>
      </c>
      <c r="C21" s="175"/>
      <c r="D21" s="176"/>
      <c r="E21" s="176"/>
      <c r="F21" s="176"/>
      <c r="G21" s="176"/>
      <c r="H21" s="176"/>
      <c r="I21" s="167">
        <f t="shared" si="0"/>
        <v>0</v>
      </c>
      <c r="J21" s="177"/>
      <c r="K21" s="169">
        <f t="shared" si="1"/>
        <v>0</v>
      </c>
      <c r="L21" s="178"/>
      <c r="M21" s="178">
        <f>0+5844</f>
        <v>5844</v>
      </c>
      <c r="N21" s="175"/>
      <c r="O21" s="177"/>
      <c r="P21" s="177"/>
      <c r="Q21" s="179">
        <f t="shared" si="2"/>
        <v>0</v>
      </c>
      <c r="R21" s="172">
        <f t="shared" si="3"/>
        <v>5844</v>
      </c>
    </row>
    <row r="22" spans="1:18" ht="22.5" x14ac:dyDescent="0.25">
      <c r="A22" s="173">
        <v>17</v>
      </c>
      <c r="B22" s="174" t="s">
        <v>62</v>
      </c>
      <c r="C22" s="175">
        <v>810</v>
      </c>
      <c r="D22" s="176">
        <f>50+193</f>
        <v>243</v>
      </c>
      <c r="E22" s="176">
        <f>300-200</f>
        <v>100</v>
      </c>
      <c r="F22" s="176"/>
      <c r="G22" s="176">
        <v>340</v>
      </c>
      <c r="H22" s="176"/>
      <c r="I22" s="167">
        <f t="shared" si="0"/>
        <v>1493</v>
      </c>
      <c r="J22" s="177"/>
      <c r="K22" s="169">
        <f t="shared" si="1"/>
        <v>1493</v>
      </c>
      <c r="L22" s="178"/>
      <c r="M22" s="178"/>
      <c r="N22" s="175"/>
      <c r="O22" s="177"/>
      <c r="P22" s="177"/>
      <c r="Q22" s="179">
        <f t="shared" si="2"/>
        <v>0</v>
      </c>
      <c r="R22" s="172">
        <f t="shared" si="3"/>
        <v>1493</v>
      </c>
    </row>
    <row r="23" spans="1:18" ht="22.5" x14ac:dyDescent="0.25">
      <c r="A23" s="173">
        <v>18</v>
      </c>
      <c r="B23" s="183" t="s">
        <v>315</v>
      </c>
      <c r="C23" s="175"/>
      <c r="D23" s="176"/>
      <c r="E23" s="176"/>
      <c r="F23" s="176"/>
      <c r="G23" s="176"/>
      <c r="H23" s="176"/>
      <c r="I23" s="167">
        <f t="shared" si="0"/>
        <v>0</v>
      </c>
      <c r="J23" s="177"/>
      <c r="K23" s="169">
        <f t="shared" si="1"/>
        <v>0</v>
      </c>
      <c r="L23" s="178"/>
      <c r="M23" s="178"/>
      <c r="N23" s="175">
        <f>1600-100</f>
        <v>1500</v>
      </c>
      <c r="O23" s="177">
        <f>1600-100</f>
        <v>1500</v>
      </c>
      <c r="P23" s="177">
        <f>1600-150</f>
        <v>1450</v>
      </c>
      <c r="Q23" s="179">
        <f t="shared" si="2"/>
        <v>4450</v>
      </c>
      <c r="R23" s="172">
        <f t="shared" si="3"/>
        <v>4450</v>
      </c>
    </row>
    <row r="24" spans="1:18" x14ac:dyDescent="0.25">
      <c r="A24" s="173">
        <v>19</v>
      </c>
      <c r="B24" s="174" t="s">
        <v>112</v>
      </c>
      <c r="C24" s="175">
        <v>400</v>
      </c>
      <c r="D24" s="176">
        <v>1900</v>
      </c>
      <c r="E24" s="176">
        <v>900</v>
      </c>
      <c r="F24" s="176">
        <v>450</v>
      </c>
      <c r="G24" s="176"/>
      <c r="H24" s="176">
        <v>150</v>
      </c>
      <c r="I24" s="167">
        <f t="shared" si="0"/>
        <v>3800</v>
      </c>
      <c r="J24" s="177">
        <v>1500</v>
      </c>
      <c r="K24" s="169">
        <f t="shared" si="1"/>
        <v>5300</v>
      </c>
      <c r="L24" s="178"/>
      <c r="M24" s="178"/>
      <c r="N24" s="175"/>
      <c r="O24" s="177"/>
      <c r="P24" s="177"/>
      <c r="Q24" s="179">
        <f t="shared" si="2"/>
        <v>0</v>
      </c>
      <c r="R24" s="172">
        <f t="shared" si="3"/>
        <v>5300</v>
      </c>
    </row>
    <row r="25" spans="1:18" x14ac:dyDescent="0.25">
      <c r="A25" s="173">
        <v>20</v>
      </c>
      <c r="B25" s="174" t="s">
        <v>113</v>
      </c>
      <c r="C25" s="175">
        <f>4700-1100</f>
        <v>3600</v>
      </c>
      <c r="D25" s="176">
        <f>100+1102</f>
        <v>1202</v>
      </c>
      <c r="E25" s="176">
        <f>200+200</f>
        <v>400</v>
      </c>
      <c r="F25" s="176">
        <f>0+35</f>
        <v>35</v>
      </c>
      <c r="G25" s="176">
        <f>1300-125</f>
        <v>1175</v>
      </c>
      <c r="H25" s="176">
        <f>0+41</f>
        <v>41</v>
      </c>
      <c r="I25" s="167">
        <f t="shared" si="0"/>
        <v>6453</v>
      </c>
      <c r="J25" s="177"/>
      <c r="K25" s="169">
        <f t="shared" si="1"/>
        <v>6453</v>
      </c>
      <c r="L25" s="178">
        <v>12000</v>
      </c>
      <c r="M25" s="178"/>
      <c r="N25" s="175"/>
      <c r="O25" s="177"/>
      <c r="P25" s="177"/>
      <c r="Q25" s="179">
        <f t="shared" si="2"/>
        <v>0</v>
      </c>
      <c r="R25" s="172">
        <f t="shared" si="3"/>
        <v>18453</v>
      </c>
    </row>
    <row r="26" spans="1:18" x14ac:dyDescent="0.25">
      <c r="A26" s="173">
        <v>21</v>
      </c>
      <c r="B26" s="174" t="s">
        <v>80</v>
      </c>
      <c r="C26" s="175"/>
      <c r="D26" s="176">
        <v>295</v>
      </c>
      <c r="E26" s="176">
        <v>140</v>
      </c>
      <c r="F26" s="176">
        <v>765</v>
      </c>
      <c r="G26" s="176"/>
      <c r="H26" s="176"/>
      <c r="I26" s="167">
        <f t="shared" si="0"/>
        <v>1200</v>
      </c>
      <c r="J26" s="177"/>
      <c r="K26" s="169">
        <f t="shared" si="1"/>
        <v>1200</v>
      </c>
      <c r="L26" s="178"/>
      <c r="M26" s="178"/>
      <c r="N26" s="175"/>
      <c r="O26" s="177"/>
      <c r="P26" s="177"/>
      <c r="Q26" s="179">
        <f t="shared" si="2"/>
        <v>0</v>
      </c>
      <c r="R26" s="172">
        <f t="shared" si="3"/>
        <v>1200</v>
      </c>
    </row>
    <row r="27" spans="1:18" x14ac:dyDescent="0.25">
      <c r="A27" s="173">
        <v>22</v>
      </c>
      <c r="B27" s="184" t="s">
        <v>288</v>
      </c>
      <c r="C27" s="175"/>
      <c r="D27" s="176"/>
      <c r="E27" s="176"/>
      <c r="F27" s="176"/>
      <c r="G27" s="176"/>
      <c r="H27" s="176"/>
      <c r="I27" s="167">
        <f t="shared" si="0"/>
        <v>0</v>
      </c>
      <c r="J27" s="177"/>
      <c r="K27" s="169">
        <f t="shared" si="1"/>
        <v>0</v>
      </c>
      <c r="L27" s="178"/>
      <c r="M27" s="178"/>
      <c r="N27" s="175">
        <v>6000</v>
      </c>
      <c r="O27" s="177">
        <f>6000-500</f>
        <v>5500</v>
      </c>
      <c r="P27" s="177">
        <f>6000-1000</f>
        <v>5000</v>
      </c>
      <c r="Q27" s="179">
        <f t="shared" si="2"/>
        <v>16500</v>
      </c>
      <c r="R27" s="172">
        <f t="shared" si="3"/>
        <v>16500</v>
      </c>
    </row>
    <row r="28" spans="1:18" x14ac:dyDescent="0.25">
      <c r="A28" s="173">
        <v>23</v>
      </c>
      <c r="B28" s="181" t="s">
        <v>289</v>
      </c>
      <c r="C28" s="175"/>
      <c r="D28" s="176"/>
      <c r="E28" s="176">
        <v>2000</v>
      </c>
      <c r="F28" s="176"/>
      <c r="G28" s="176"/>
      <c r="H28" s="176"/>
      <c r="I28" s="167">
        <f t="shared" si="0"/>
        <v>2000</v>
      </c>
      <c r="J28" s="177"/>
      <c r="K28" s="169">
        <f t="shared" si="1"/>
        <v>2000</v>
      </c>
      <c r="L28" s="178"/>
      <c r="M28" s="178"/>
      <c r="N28" s="175"/>
      <c r="O28" s="177"/>
      <c r="P28" s="177"/>
      <c r="Q28" s="179">
        <f t="shared" si="2"/>
        <v>0</v>
      </c>
      <c r="R28" s="172">
        <f t="shared" si="3"/>
        <v>2000</v>
      </c>
    </row>
    <row r="29" spans="1:18" ht="12" thickBot="1" x14ac:dyDescent="0.3">
      <c r="A29" s="185">
        <v>24</v>
      </c>
      <c r="B29" s="186" t="s">
        <v>254</v>
      </c>
      <c r="C29" s="187"/>
      <c r="D29" s="188"/>
      <c r="E29" s="188"/>
      <c r="F29" s="188"/>
      <c r="G29" s="188"/>
      <c r="H29" s="188"/>
      <c r="I29" s="167">
        <f t="shared" si="0"/>
        <v>0</v>
      </c>
      <c r="J29" s="189"/>
      <c r="K29" s="169">
        <f t="shared" si="1"/>
        <v>0</v>
      </c>
      <c r="L29" s="190"/>
      <c r="M29" s="190"/>
      <c r="N29" s="187">
        <f>4500-1500</f>
        <v>3000</v>
      </c>
      <c r="O29" s="189">
        <v>4500</v>
      </c>
      <c r="P29" s="189">
        <f>4500-1800</f>
        <v>2700</v>
      </c>
      <c r="Q29" s="191">
        <f t="shared" si="2"/>
        <v>10200</v>
      </c>
      <c r="R29" s="172">
        <f t="shared" si="3"/>
        <v>10200</v>
      </c>
    </row>
    <row r="30" spans="1:18" ht="12" thickBot="1" x14ac:dyDescent="0.3">
      <c r="A30" s="192"/>
      <c r="B30" s="193" t="s">
        <v>106</v>
      </c>
      <c r="C30" s="194">
        <f t="shared" ref="C30:R30" si="4">SUM(C6:C29)</f>
        <v>4810</v>
      </c>
      <c r="D30" s="195">
        <f t="shared" si="4"/>
        <v>3640</v>
      </c>
      <c r="E30" s="195">
        <f t="shared" si="4"/>
        <v>3540</v>
      </c>
      <c r="F30" s="195">
        <f t="shared" si="4"/>
        <v>1250</v>
      </c>
      <c r="G30" s="195">
        <f t="shared" si="4"/>
        <v>1515</v>
      </c>
      <c r="H30" s="195">
        <f t="shared" si="4"/>
        <v>191</v>
      </c>
      <c r="I30" s="195">
        <f t="shared" si="4"/>
        <v>14946</v>
      </c>
      <c r="J30" s="195">
        <f t="shared" si="4"/>
        <v>1500</v>
      </c>
      <c r="K30" s="196">
        <f t="shared" si="4"/>
        <v>16446</v>
      </c>
      <c r="L30" s="197">
        <f t="shared" si="4"/>
        <v>21500</v>
      </c>
      <c r="M30" s="197">
        <f t="shared" si="4"/>
        <v>6245</v>
      </c>
      <c r="N30" s="194">
        <f t="shared" si="4"/>
        <v>33650</v>
      </c>
      <c r="O30" s="195">
        <f t="shared" si="4"/>
        <v>33850</v>
      </c>
      <c r="P30" s="195">
        <f t="shared" si="4"/>
        <v>30550</v>
      </c>
      <c r="Q30" s="198">
        <f t="shared" si="4"/>
        <v>98050</v>
      </c>
      <c r="R30" s="199">
        <f t="shared" si="4"/>
        <v>142241</v>
      </c>
    </row>
  </sheetData>
  <mergeCells count="15">
    <mergeCell ref="A1:R1"/>
    <mergeCell ref="A3:A5"/>
    <mergeCell ref="B3:B5"/>
    <mergeCell ref="C3:K3"/>
    <mergeCell ref="L3:L5"/>
    <mergeCell ref="M3:M5"/>
    <mergeCell ref="N3:Q3"/>
    <mergeCell ref="R3:R5"/>
    <mergeCell ref="C4:I4"/>
    <mergeCell ref="J4:J5"/>
    <mergeCell ref="K4:K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"/>
    </sheetView>
  </sheetViews>
  <sheetFormatPr defaultRowHeight="12.75" x14ac:dyDescent="0.25"/>
  <cols>
    <col min="1" max="1" width="43.42578125" style="148" customWidth="1"/>
    <col min="2" max="2" width="23.28515625" style="158" customWidth="1"/>
    <col min="3" max="16384" width="9.140625" style="148"/>
  </cols>
  <sheetData>
    <row r="1" spans="1:2" ht="81.75" customHeight="1" x14ac:dyDescent="0.25">
      <c r="A1" s="529" t="s">
        <v>767</v>
      </c>
      <c r="B1" s="529"/>
    </row>
    <row r="2" spans="1:2" ht="25.5" x14ac:dyDescent="0.25">
      <c r="A2" s="149" t="s">
        <v>82</v>
      </c>
      <c r="B2" s="150" t="s">
        <v>290</v>
      </c>
    </row>
    <row r="3" spans="1:2" x14ac:dyDescent="0.25">
      <c r="A3" s="151" t="s">
        <v>291</v>
      </c>
      <c r="B3" s="152">
        <v>33035</v>
      </c>
    </row>
    <row r="4" spans="1:2" x14ac:dyDescent="0.25">
      <c r="A4" s="153" t="s">
        <v>254</v>
      </c>
      <c r="B4" s="152">
        <v>72677</v>
      </c>
    </row>
    <row r="5" spans="1:2" x14ac:dyDescent="0.25">
      <c r="A5" s="153" t="s">
        <v>137</v>
      </c>
      <c r="B5" s="154">
        <v>39642</v>
      </c>
    </row>
    <row r="6" spans="1:2" x14ac:dyDescent="0.25">
      <c r="A6" s="153" t="s">
        <v>66</v>
      </c>
      <c r="B6" s="154">
        <v>26428</v>
      </c>
    </row>
    <row r="7" spans="1:2" x14ac:dyDescent="0.25">
      <c r="A7" s="155" t="s">
        <v>292</v>
      </c>
      <c r="B7" s="152">
        <v>52856</v>
      </c>
    </row>
    <row r="8" spans="1:2" x14ac:dyDescent="0.25">
      <c r="A8" s="153" t="s">
        <v>256</v>
      </c>
      <c r="B8" s="154">
        <v>118926</v>
      </c>
    </row>
    <row r="9" spans="1:2" x14ac:dyDescent="0.25">
      <c r="A9" s="153" t="s">
        <v>293</v>
      </c>
      <c r="B9" s="154">
        <v>105712</v>
      </c>
    </row>
    <row r="10" spans="1:2" x14ac:dyDescent="0.25">
      <c r="A10" s="153" t="s">
        <v>294</v>
      </c>
      <c r="B10" s="152">
        <v>46249</v>
      </c>
    </row>
    <row r="11" spans="1:2" x14ac:dyDescent="0.25">
      <c r="A11" s="153" t="s">
        <v>113</v>
      </c>
      <c r="B11" s="154">
        <v>72677</v>
      </c>
    </row>
    <row r="12" spans="1:2" x14ac:dyDescent="0.25">
      <c r="A12" s="155" t="s">
        <v>11</v>
      </c>
      <c r="B12" s="154">
        <v>39642</v>
      </c>
    </row>
    <row r="13" spans="1:2" x14ac:dyDescent="0.25">
      <c r="A13" s="155" t="s">
        <v>74</v>
      </c>
      <c r="B13" s="154">
        <v>19821</v>
      </c>
    </row>
    <row r="14" spans="1:2" x14ac:dyDescent="0.25">
      <c r="A14" s="155" t="s">
        <v>141</v>
      </c>
      <c r="B14" s="154">
        <v>33035</v>
      </c>
    </row>
    <row r="15" spans="1:2" x14ac:dyDescent="0.25">
      <c r="A15" s="156" t="s">
        <v>106</v>
      </c>
      <c r="B15" s="157">
        <f>SUM(B3:B14)</f>
        <v>660700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" sqref="C1"/>
    </sheetView>
  </sheetViews>
  <sheetFormatPr defaultRowHeight="12.75" x14ac:dyDescent="0.2"/>
  <cols>
    <col min="1" max="1" width="4" style="277" customWidth="1"/>
    <col min="2" max="2" width="34.5703125" style="277" customWidth="1"/>
    <col min="3" max="3" width="10.28515625" style="300" customWidth="1"/>
    <col min="4" max="4" width="16.7109375" style="300" customWidth="1"/>
    <col min="5" max="5" width="14.28515625" style="300" customWidth="1"/>
    <col min="6" max="6" width="16.42578125" style="300" customWidth="1"/>
    <col min="7" max="7" width="14.28515625" style="300" customWidth="1"/>
    <col min="8" max="8" width="17.5703125" style="300" customWidth="1"/>
    <col min="9" max="9" width="9.7109375" style="300" customWidth="1"/>
    <col min="10" max="10" width="16" style="300" customWidth="1"/>
    <col min="11" max="11" width="16.42578125" style="300" customWidth="1"/>
    <col min="12" max="12" width="10.85546875" style="300" customWidth="1"/>
    <col min="13" max="13" width="16.28515625" style="300" customWidth="1"/>
    <col min="14" max="14" width="16.42578125" style="300" customWidth="1"/>
    <col min="15" max="15" width="16" style="300" customWidth="1"/>
    <col min="16" max="16" width="14.7109375" style="300" customWidth="1"/>
    <col min="17" max="17" width="9.140625" style="277"/>
    <col min="18" max="18" width="11.28515625" style="277" bestFit="1" customWidth="1"/>
    <col min="19" max="16384" width="9.140625" style="277"/>
  </cols>
  <sheetData>
    <row r="1" spans="1:18" ht="15.75" x14ac:dyDescent="0.25">
      <c r="C1" s="278" t="s">
        <v>394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</row>
    <row r="3" spans="1:18" s="281" customFormat="1" ht="12" customHeight="1" x14ac:dyDescent="0.2">
      <c r="A3" s="530" t="s">
        <v>0</v>
      </c>
      <c r="B3" s="531" t="s">
        <v>395</v>
      </c>
      <c r="C3" s="301" t="s">
        <v>396</v>
      </c>
      <c r="D3" s="534" t="s">
        <v>397</v>
      </c>
      <c r="E3" s="535"/>
      <c r="F3" s="535"/>
      <c r="G3" s="535"/>
      <c r="H3" s="536"/>
      <c r="I3" s="537" t="s">
        <v>398</v>
      </c>
      <c r="J3" s="537"/>
      <c r="K3" s="537"/>
      <c r="L3" s="537"/>
      <c r="M3" s="537"/>
      <c r="N3" s="537"/>
      <c r="O3" s="537"/>
      <c r="P3" s="537"/>
    </row>
    <row r="4" spans="1:18" s="281" customFormat="1" ht="12" x14ac:dyDescent="0.2">
      <c r="A4" s="530"/>
      <c r="B4" s="532"/>
      <c r="C4" s="538" t="s">
        <v>265</v>
      </c>
      <c r="D4" s="541" t="s">
        <v>399</v>
      </c>
      <c r="E4" s="542" t="s">
        <v>400</v>
      </c>
      <c r="F4" s="542"/>
      <c r="G4" s="542"/>
      <c r="H4" s="542"/>
      <c r="I4" s="543" t="s">
        <v>110</v>
      </c>
      <c r="J4" s="546" t="s">
        <v>401</v>
      </c>
      <c r="K4" s="547"/>
      <c r="L4" s="548" t="s">
        <v>399</v>
      </c>
      <c r="M4" s="549"/>
      <c r="N4" s="549"/>
      <c r="O4" s="549"/>
      <c r="P4" s="550"/>
    </row>
    <row r="5" spans="1:18" s="283" customFormat="1" ht="24" customHeight="1" x14ac:dyDescent="0.25">
      <c r="A5" s="530"/>
      <c r="B5" s="532"/>
      <c r="C5" s="539"/>
      <c r="D5" s="541"/>
      <c r="E5" s="542"/>
      <c r="F5" s="542"/>
      <c r="G5" s="542"/>
      <c r="H5" s="542"/>
      <c r="I5" s="544"/>
      <c r="J5" s="282" t="s">
        <v>402</v>
      </c>
      <c r="K5" s="282" t="s">
        <v>400</v>
      </c>
      <c r="L5" s="551"/>
      <c r="M5" s="552"/>
      <c r="N5" s="552"/>
      <c r="O5" s="552"/>
      <c r="P5" s="553"/>
    </row>
    <row r="6" spans="1:18" s="281" customFormat="1" ht="12" x14ac:dyDescent="0.2">
      <c r="A6" s="530"/>
      <c r="B6" s="532"/>
      <c r="C6" s="539"/>
      <c r="D6" s="554" t="s">
        <v>403</v>
      </c>
      <c r="E6" s="554" t="s">
        <v>404</v>
      </c>
      <c r="F6" s="541" t="s">
        <v>403</v>
      </c>
      <c r="G6" s="541" t="s">
        <v>405</v>
      </c>
      <c r="H6" s="541"/>
      <c r="I6" s="544"/>
      <c r="J6" s="556" t="s">
        <v>403</v>
      </c>
      <c r="K6" s="556" t="s">
        <v>403</v>
      </c>
      <c r="L6" s="557" t="s">
        <v>265</v>
      </c>
      <c r="M6" s="556" t="s">
        <v>406</v>
      </c>
      <c r="N6" s="556" t="s">
        <v>403</v>
      </c>
      <c r="O6" s="556" t="s">
        <v>407</v>
      </c>
      <c r="P6" s="554" t="s">
        <v>404</v>
      </c>
    </row>
    <row r="7" spans="1:18" s="281" customFormat="1" ht="48" x14ac:dyDescent="0.2">
      <c r="A7" s="530"/>
      <c r="B7" s="533"/>
      <c r="C7" s="540"/>
      <c r="D7" s="555"/>
      <c r="E7" s="555"/>
      <c r="F7" s="541"/>
      <c r="G7" s="284" t="s">
        <v>408</v>
      </c>
      <c r="H7" s="284" t="s">
        <v>409</v>
      </c>
      <c r="I7" s="545"/>
      <c r="J7" s="556"/>
      <c r="K7" s="556"/>
      <c r="L7" s="557"/>
      <c r="M7" s="556"/>
      <c r="N7" s="556"/>
      <c r="O7" s="556"/>
      <c r="P7" s="555"/>
    </row>
    <row r="8" spans="1:18" x14ac:dyDescent="0.2">
      <c r="A8" s="285">
        <v>1</v>
      </c>
      <c r="B8" s="286" t="s">
        <v>74</v>
      </c>
      <c r="C8" s="302">
        <f>D8+E8+F8+G8+H8+I8</f>
        <v>11559</v>
      </c>
      <c r="D8" s="288"/>
      <c r="E8" s="288"/>
      <c r="F8" s="288">
        <v>400</v>
      </c>
      <c r="G8" s="288">
        <v>25</v>
      </c>
      <c r="H8" s="288">
        <v>10</v>
      </c>
      <c r="I8" s="289">
        <f>J8+K8+L8</f>
        <v>11124</v>
      </c>
      <c r="J8" s="289">
        <v>500</v>
      </c>
      <c r="K8" s="289">
        <v>2350</v>
      </c>
      <c r="L8" s="289">
        <f>M8+N8+O8+P8</f>
        <v>8274</v>
      </c>
      <c r="M8" s="288"/>
      <c r="N8" s="288">
        <f>5559-306-1352</f>
        <v>3901</v>
      </c>
      <c r="O8" s="288">
        <v>3653</v>
      </c>
      <c r="P8" s="288">
        <v>720</v>
      </c>
      <c r="R8" s="290"/>
    </row>
    <row r="9" spans="1:18" x14ac:dyDescent="0.2">
      <c r="A9" s="285">
        <v>2</v>
      </c>
      <c r="B9" s="291" t="s">
        <v>63</v>
      </c>
      <c r="C9" s="302">
        <f t="shared" ref="C9:C23" si="0">D9+E9+F9+G9+H9+I9</f>
        <v>3476</v>
      </c>
      <c r="D9" s="288"/>
      <c r="E9" s="288">
        <v>70</v>
      </c>
      <c r="F9" s="288">
        <v>30</v>
      </c>
      <c r="G9" s="288"/>
      <c r="H9" s="288"/>
      <c r="I9" s="289">
        <f t="shared" ref="I9:I23" si="1">J9+K9+L9</f>
        <v>3376</v>
      </c>
      <c r="J9" s="289"/>
      <c r="K9" s="289"/>
      <c r="L9" s="289">
        <f t="shared" ref="L9:L21" si="2">M9+N9+O9+P9</f>
        <v>3376</v>
      </c>
      <c r="M9" s="288"/>
      <c r="N9" s="288">
        <v>625</v>
      </c>
      <c r="O9" s="288">
        <v>311</v>
      </c>
      <c r="P9" s="288">
        <f>1440+1000</f>
        <v>2440</v>
      </c>
      <c r="R9" s="290"/>
    </row>
    <row r="10" spans="1:18" x14ac:dyDescent="0.2">
      <c r="A10" s="285">
        <v>3</v>
      </c>
      <c r="B10" s="286" t="s">
        <v>417</v>
      </c>
      <c r="C10" s="302">
        <f t="shared" si="0"/>
        <v>103894</v>
      </c>
      <c r="D10" s="288">
        <v>886</v>
      </c>
      <c r="E10" s="288"/>
      <c r="F10" s="288"/>
      <c r="G10" s="288"/>
      <c r="H10" s="288"/>
      <c r="I10" s="289">
        <f t="shared" si="1"/>
        <v>103008</v>
      </c>
      <c r="J10" s="289"/>
      <c r="K10" s="289"/>
      <c r="L10" s="289">
        <f t="shared" si="2"/>
        <v>103008</v>
      </c>
      <c r="M10" s="288"/>
      <c r="N10" s="288">
        <f>95378-312+1352</f>
        <v>96418</v>
      </c>
      <c r="O10" s="288">
        <v>6590</v>
      </c>
      <c r="P10" s="288"/>
      <c r="R10" s="290"/>
    </row>
    <row r="11" spans="1:18" x14ac:dyDescent="0.2">
      <c r="A11" s="285">
        <v>4</v>
      </c>
      <c r="B11" s="291" t="s">
        <v>410</v>
      </c>
      <c r="C11" s="302">
        <f t="shared" si="0"/>
        <v>38787</v>
      </c>
      <c r="D11" s="288">
        <v>100</v>
      </c>
      <c r="E11" s="288"/>
      <c r="F11" s="288"/>
      <c r="G11" s="288"/>
      <c r="H11" s="288"/>
      <c r="I11" s="289">
        <f t="shared" si="1"/>
        <v>38687</v>
      </c>
      <c r="J11" s="289"/>
      <c r="K11" s="289"/>
      <c r="L11" s="289">
        <f t="shared" si="2"/>
        <v>38687</v>
      </c>
      <c r="M11" s="288">
        <v>7427</v>
      </c>
      <c r="N11" s="288">
        <v>25575</v>
      </c>
      <c r="O11" s="288">
        <v>5685</v>
      </c>
      <c r="P11" s="288"/>
      <c r="R11" s="290"/>
    </row>
    <row r="12" spans="1:18" x14ac:dyDescent="0.2">
      <c r="A12" s="285">
        <v>5</v>
      </c>
      <c r="B12" s="291" t="s">
        <v>411</v>
      </c>
      <c r="C12" s="302">
        <f t="shared" si="0"/>
        <v>21102</v>
      </c>
      <c r="D12" s="288"/>
      <c r="E12" s="288"/>
      <c r="F12" s="288"/>
      <c r="G12" s="288"/>
      <c r="H12" s="288"/>
      <c r="I12" s="289">
        <f t="shared" si="1"/>
        <v>21102</v>
      </c>
      <c r="J12" s="289"/>
      <c r="K12" s="289"/>
      <c r="L12" s="289">
        <f t="shared" si="2"/>
        <v>21102</v>
      </c>
      <c r="M12" s="288"/>
      <c r="N12" s="288">
        <f>15811-156</f>
        <v>15655</v>
      </c>
      <c r="O12" s="288">
        <v>5447</v>
      </c>
      <c r="P12" s="288"/>
      <c r="R12" s="290"/>
    </row>
    <row r="13" spans="1:18" x14ac:dyDescent="0.2">
      <c r="A13" s="285">
        <v>6</v>
      </c>
      <c r="B13" s="291" t="s">
        <v>412</v>
      </c>
      <c r="C13" s="302">
        <f t="shared" si="0"/>
        <v>9571</v>
      </c>
      <c r="D13" s="288"/>
      <c r="E13" s="288"/>
      <c r="F13" s="288"/>
      <c r="G13" s="288"/>
      <c r="H13" s="288"/>
      <c r="I13" s="289">
        <f t="shared" si="1"/>
        <v>9571</v>
      </c>
      <c r="J13" s="289"/>
      <c r="K13" s="289"/>
      <c r="L13" s="289">
        <f t="shared" si="2"/>
        <v>9571</v>
      </c>
      <c r="M13" s="288"/>
      <c r="N13" s="288">
        <f>9142-312</f>
        <v>8830</v>
      </c>
      <c r="O13" s="288">
        <v>741</v>
      </c>
      <c r="P13" s="288"/>
      <c r="R13" s="290"/>
    </row>
    <row r="14" spans="1:18" x14ac:dyDescent="0.2">
      <c r="A14" s="285">
        <v>7</v>
      </c>
      <c r="B14" s="291" t="s">
        <v>413</v>
      </c>
      <c r="C14" s="302">
        <f t="shared" si="0"/>
        <v>3864</v>
      </c>
      <c r="D14" s="288"/>
      <c r="E14" s="288"/>
      <c r="F14" s="288"/>
      <c r="G14" s="288"/>
      <c r="H14" s="288"/>
      <c r="I14" s="289">
        <f t="shared" si="1"/>
        <v>3864</v>
      </c>
      <c r="J14" s="289"/>
      <c r="K14" s="289"/>
      <c r="L14" s="289">
        <f t="shared" si="2"/>
        <v>3864</v>
      </c>
      <c r="M14" s="288"/>
      <c r="N14" s="288">
        <f>2496+1242+126</f>
        <v>3864</v>
      </c>
      <c r="O14" s="288"/>
      <c r="P14" s="288"/>
      <c r="R14" s="290"/>
    </row>
    <row r="15" spans="1:18" x14ac:dyDescent="0.2">
      <c r="A15" s="285">
        <v>8</v>
      </c>
      <c r="B15" s="291" t="s">
        <v>80</v>
      </c>
      <c r="C15" s="302">
        <f t="shared" si="0"/>
        <v>85</v>
      </c>
      <c r="D15" s="288"/>
      <c r="E15" s="288">
        <v>20</v>
      </c>
      <c r="F15" s="288"/>
      <c r="G15" s="288">
        <v>65</v>
      </c>
      <c r="H15" s="288"/>
      <c r="I15" s="289">
        <f t="shared" si="1"/>
        <v>0</v>
      </c>
      <c r="J15" s="289"/>
      <c r="K15" s="289"/>
      <c r="L15" s="289">
        <f t="shared" si="2"/>
        <v>0</v>
      </c>
      <c r="M15" s="288"/>
      <c r="N15" s="288"/>
      <c r="O15" s="288"/>
      <c r="P15" s="288"/>
      <c r="R15" s="290"/>
    </row>
    <row r="16" spans="1:18" x14ac:dyDescent="0.2">
      <c r="A16" s="285">
        <v>9</v>
      </c>
      <c r="B16" s="291" t="s">
        <v>64</v>
      </c>
      <c r="C16" s="302">
        <f t="shared" si="0"/>
        <v>1</v>
      </c>
      <c r="D16" s="288"/>
      <c r="E16" s="288"/>
      <c r="F16" s="288"/>
      <c r="G16" s="288">
        <v>1</v>
      </c>
      <c r="H16" s="288"/>
      <c r="I16" s="289">
        <f t="shared" si="1"/>
        <v>0</v>
      </c>
      <c r="J16" s="289"/>
      <c r="K16" s="289"/>
      <c r="L16" s="289">
        <f t="shared" si="2"/>
        <v>0</v>
      </c>
      <c r="M16" s="288"/>
      <c r="N16" s="288"/>
      <c r="O16" s="288"/>
      <c r="P16" s="288"/>
      <c r="R16" s="290"/>
    </row>
    <row r="17" spans="1:18" x14ac:dyDescent="0.2">
      <c r="A17" s="285">
        <v>10</v>
      </c>
      <c r="B17" s="291" t="s">
        <v>289</v>
      </c>
      <c r="C17" s="302">
        <f t="shared" si="0"/>
        <v>20</v>
      </c>
      <c r="D17" s="288"/>
      <c r="E17" s="288"/>
      <c r="F17" s="288"/>
      <c r="G17" s="288">
        <v>20</v>
      </c>
      <c r="H17" s="288"/>
      <c r="I17" s="289">
        <f t="shared" si="1"/>
        <v>0</v>
      </c>
      <c r="J17" s="289"/>
      <c r="K17" s="289"/>
      <c r="L17" s="289">
        <f t="shared" si="2"/>
        <v>0</v>
      </c>
      <c r="M17" s="288"/>
      <c r="N17" s="288"/>
      <c r="O17" s="288"/>
      <c r="P17" s="288"/>
      <c r="R17" s="290"/>
    </row>
    <row r="18" spans="1:18" x14ac:dyDescent="0.2">
      <c r="A18" s="285">
        <v>11</v>
      </c>
      <c r="B18" s="291" t="s">
        <v>116</v>
      </c>
      <c r="C18" s="302">
        <f t="shared" si="0"/>
        <v>119</v>
      </c>
      <c r="D18" s="288"/>
      <c r="E18" s="288"/>
      <c r="F18" s="288"/>
      <c r="G18" s="288">
        <v>119</v>
      </c>
      <c r="H18" s="288"/>
      <c r="I18" s="289">
        <f t="shared" si="1"/>
        <v>0</v>
      </c>
      <c r="J18" s="289"/>
      <c r="K18" s="289"/>
      <c r="L18" s="289">
        <f t="shared" si="2"/>
        <v>0</v>
      </c>
      <c r="M18" s="288"/>
      <c r="N18" s="288"/>
      <c r="O18" s="288"/>
      <c r="P18" s="288"/>
      <c r="R18" s="290"/>
    </row>
    <row r="19" spans="1:18" x14ac:dyDescent="0.2">
      <c r="A19" s="285">
        <v>12</v>
      </c>
      <c r="B19" s="291" t="s">
        <v>274</v>
      </c>
      <c r="C19" s="302">
        <f t="shared" si="0"/>
        <v>20</v>
      </c>
      <c r="D19" s="288"/>
      <c r="E19" s="288"/>
      <c r="F19" s="288"/>
      <c r="G19" s="288">
        <v>20</v>
      </c>
      <c r="H19" s="288"/>
      <c r="I19" s="289">
        <f t="shared" si="1"/>
        <v>0</v>
      </c>
      <c r="J19" s="289"/>
      <c r="K19" s="289"/>
      <c r="L19" s="289">
        <f t="shared" si="2"/>
        <v>0</v>
      </c>
      <c r="M19" s="288"/>
      <c r="N19" s="288"/>
      <c r="O19" s="288"/>
      <c r="P19" s="288"/>
      <c r="R19" s="290"/>
    </row>
    <row r="20" spans="1:18" x14ac:dyDescent="0.2">
      <c r="A20" s="285">
        <v>13</v>
      </c>
      <c r="B20" s="286" t="s">
        <v>195</v>
      </c>
      <c r="C20" s="302">
        <f t="shared" si="0"/>
        <v>50</v>
      </c>
      <c r="D20" s="288"/>
      <c r="E20" s="288"/>
      <c r="F20" s="288">
        <v>50</v>
      </c>
      <c r="G20" s="288"/>
      <c r="H20" s="288"/>
      <c r="I20" s="289">
        <f t="shared" si="1"/>
        <v>0</v>
      </c>
      <c r="J20" s="289"/>
      <c r="K20" s="289"/>
      <c r="L20" s="289">
        <f t="shared" si="2"/>
        <v>0</v>
      </c>
      <c r="M20" s="288"/>
      <c r="N20" s="288"/>
      <c r="O20" s="288"/>
      <c r="P20" s="288"/>
      <c r="R20" s="290"/>
    </row>
    <row r="21" spans="1:18" ht="15" customHeight="1" x14ac:dyDescent="0.2">
      <c r="A21" s="285">
        <v>14</v>
      </c>
      <c r="B21" s="286" t="s">
        <v>62</v>
      </c>
      <c r="C21" s="302">
        <f t="shared" si="0"/>
        <v>30</v>
      </c>
      <c r="D21" s="288"/>
      <c r="E21" s="288"/>
      <c r="F21" s="288"/>
      <c r="G21" s="288">
        <v>30</v>
      </c>
      <c r="H21" s="288"/>
      <c r="I21" s="289">
        <f t="shared" si="1"/>
        <v>0</v>
      </c>
      <c r="J21" s="289"/>
      <c r="K21" s="289"/>
      <c r="L21" s="289">
        <f t="shared" si="2"/>
        <v>0</v>
      </c>
      <c r="M21" s="288"/>
      <c r="N21" s="288"/>
      <c r="O21" s="288"/>
      <c r="P21" s="288"/>
      <c r="R21" s="290"/>
    </row>
    <row r="22" spans="1:18" x14ac:dyDescent="0.2">
      <c r="A22" s="292"/>
      <c r="B22" s="293" t="s">
        <v>106</v>
      </c>
      <c r="C22" s="294">
        <f>SUM(C8:C21)</f>
        <v>192578</v>
      </c>
      <c r="D22" s="294">
        <f>D13+D12+D11+D10+D9+D8+D15+D16+D17+D18+D19+D20</f>
        <v>986</v>
      </c>
      <c r="E22" s="294">
        <f>E13+E12+E11+E10+E9+E8+E15+E16+E17+E18+E19+E20</f>
        <v>90</v>
      </c>
      <c r="F22" s="294">
        <f>F13+F12+F11+F10+F9+F8+F15+F16+F17+F18+F19+F20</f>
        <v>480</v>
      </c>
      <c r="G22" s="294">
        <f>G13+G12+G11+G10+G9+G8+G15+G16+G17+G18+G19+G20+G21</f>
        <v>280</v>
      </c>
      <c r="H22" s="294">
        <f>H13+H12+H11+H10+H9+H8+H15+H16+H17+H18+H19+H20</f>
        <v>10</v>
      </c>
      <c r="I22" s="294">
        <f>SUM(I8:I21)</f>
        <v>190732</v>
      </c>
      <c r="J22" s="294">
        <f t="shared" ref="J22:P22" si="3">SUM(J8:J13)</f>
        <v>500</v>
      </c>
      <c r="K22" s="294">
        <f t="shared" si="3"/>
        <v>2350</v>
      </c>
      <c r="L22" s="294">
        <f>SUM(L8:L20)</f>
        <v>187882</v>
      </c>
      <c r="M22" s="294">
        <f t="shared" si="3"/>
        <v>7427</v>
      </c>
      <c r="N22" s="294">
        <f>SUM(N8:N14)</f>
        <v>154868</v>
      </c>
      <c r="O22" s="294">
        <f t="shared" si="3"/>
        <v>22427</v>
      </c>
      <c r="P22" s="294">
        <f t="shared" si="3"/>
        <v>3160</v>
      </c>
      <c r="R22" s="290"/>
    </row>
    <row r="23" spans="1:18" ht="16.5" customHeight="1" x14ac:dyDescent="0.2">
      <c r="A23" s="285"/>
      <c r="B23" s="286" t="s">
        <v>414</v>
      </c>
      <c r="C23" s="287">
        <f t="shared" si="0"/>
        <v>17404</v>
      </c>
      <c r="D23" s="289"/>
      <c r="E23" s="289"/>
      <c r="F23" s="289"/>
      <c r="G23" s="289"/>
      <c r="H23" s="289"/>
      <c r="I23" s="289">
        <f t="shared" si="1"/>
        <v>17404</v>
      </c>
      <c r="J23" s="289"/>
      <c r="K23" s="289"/>
      <c r="L23" s="289">
        <f>M23+N23+O23+P23</f>
        <v>17404</v>
      </c>
      <c r="M23" s="288"/>
      <c r="N23" s="288">
        <f>18786-156-1000-100-126</f>
        <v>17404</v>
      </c>
      <c r="O23" s="288"/>
      <c r="P23" s="288"/>
      <c r="R23" s="290"/>
    </row>
    <row r="24" spans="1:18" ht="25.5" x14ac:dyDescent="0.2">
      <c r="A24" s="285"/>
      <c r="B24" s="295" t="s">
        <v>415</v>
      </c>
      <c r="C24" s="287">
        <f>C22+C23</f>
        <v>209982</v>
      </c>
      <c r="D24" s="287">
        <f t="shared" ref="D24:J24" si="4">D23+D22</f>
        <v>986</v>
      </c>
      <c r="E24" s="287">
        <f t="shared" si="4"/>
        <v>90</v>
      </c>
      <c r="F24" s="287">
        <f t="shared" si="4"/>
        <v>480</v>
      </c>
      <c r="G24" s="287">
        <f t="shared" si="4"/>
        <v>280</v>
      </c>
      <c r="H24" s="287">
        <f t="shared" si="4"/>
        <v>10</v>
      </c>
      <c r="I24" s="287">
        <f t="shared" si="4"/>
        <v>208136</v>
      </c>
      <c r="J24" s="287">
        <f t="shared" si="4"/>
        <v>500</v>
      </c>
      <c r="K24" s="287">
        <f>K22+K23</f>
        <v>2350</v>
      </c>
      <c r="L24" s="287">
        <f>M24+N24+O24+P24</f>
        <v>205286</v>
      </c>
      <c r="M24" s="287">
        <f>M22+M23</f>
        <v>7427</v>
      </c>
      <c r="N24" s="287">
        <f>N22+N23</f>
        <v>172272</v>
      </c>
      <c r="O24" s="287">
        <f>O22+O23</f>
        <v>22427</v>
      </c>
      <c r="P24" s="287">
        <f>P22+P23</f>
        <v>3160</v>
      </c>
      <c r="R24" s="290"/>
    </row>
    <row r="26" spans="1:18" s="296" customFormat="1" x14ac:dyDescent="0.2"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</row>
    <row r="27" spans="1:18" x14ac:dyDescent="0.2">
      <c r="B27" s="299"/>
      <c r="D27" s="298"/>
    </row>
    <row r="28" spans="1:18" x14ac:dyDescent="0.2">
      <c r="D28" s="298"/>
    </row>
    <row r="29" spans="1:18" x14ac:dyDescent="0.2">
      <c r="D29" s="298"/>
    </row>
    <row r="30" spans="1:18" x14ac:dyDescent="0.2">
      <c r="D30" s="298"/>
    </row>
    <row r="31" spans="1:18" x14ac:dyDescent="0.2">
      <c r="D31" s="298"/>
    </row>
    <row r="32" spans="1:18" x14ac:dyDescent="0.2">
      <c r="D32" s="298"/>
    </row>
    <row r="33" spans="4:4" x14ac:dyDescent="0.2">
      <c r="D33" s="298"/>
    </row>
    <row r="34" spans="4:4" x14ac:dyDescent="0.2">
      <c r="D34" s="298"/>
    </row>
    <row r="35" spans="4:4" x14ac:dyDescent="0.2">
      <c r="D35" s="298"/>
    </row>
    <row r="36" spans="4:4" x14ac:dyDescent="0.2">
      <c r="D36" s="298"/>
    </row>
    <row r="37" spans="4:4" x14ac:dyDescent="0.2">
      <c r="D37" s="298"/>
    </row>
    <row r="38" spans="4:4" x14ac:dyDescent="0.2">
      <c r="D38" s="298"/>
    </row>
    <row r="39" spans="4:4" x14ac:dyDescent="0.2">
      <c r="D39" s="298"/>
    </row>
    <row r="40" spans="4:4" x14ac:dyDescent="0.2">
      <c r="D40" s="298"/>
    </row>
    <row r="41" spans="4:4" x14ac:dyDescent="0.2">
      <c r="D41" s="298"/>
    </row>
    <row r="42" spans="4:4" x14ac:dyDescent="0.2">
      <c r="D42" s="298"/>
    </row>
  </sheetData>
  <mergeCells count="21">
    <mergeCell ref="K6:K7"/>
    <mergeCell ref="L6:L7"/>
    <mergeCell ref="M6:M7"/>
    <mergeCell ref="N6:N7"/>
    <mergeCell ref="O6:O7"/>
    <mergeCell ref="A3:A7"/>
    <mergeCell ref="B3:B7"/>
    <mergeCell ref="D3:H3"/>
    <mergeCell ref="I3:P3"/>
    <mergeCell ref="C4:C7"/>
    <mergeCell ref="D4:D5"/>
    <mergeCell ref="E4:H5"/>
    <mergeCell ref="I4:I7"/>
    <mergeCell ref="J4:K4"/>
    <mergeCell ref="L4:P5"/>
    <mergeCell ref="P6:P7"/>
    <mergeCell ref="D6:D7"/>
    <mergeCell ref="E6:E7"/>
    <mergeCell ref="F6:F7"/>
    <mergeCell ref="G6:H6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КС (пр.114)</vt:lpstr>
      <vt:lpstr>ВМП по КС(пр.114) </vt:lpstr>
      <vt:lpstr>ДС Пр. 114</vt:lpstr>
      <vt:lpstr>КТ, МРТ Пр. 114</vt:lpstr>
      <vt:lpstr>УЗИ ссс Пр. 114</vt:lpstr>
      <vt:lpstr>Эндоскопия Пр. 114</vt:lpstr>
      <vt:lpstr>Радиоиз,луч,КТ,УЗИ скр.Пр. 114</vt:lpstr>
      <vt:lpstr>ЛДИ COVID 19 Пр. 114</vt:lpstr>
      <vt:lpstr>Гемодиализ Пр. 114</vt:lpstr>
      <vt:lpstr>Обращения Пр.114</vt:lpstr>
      <vt:lpstr>Неотложн. МП Пр.114</vt:lpstr>
      <vt:lpstr>Профилактика всего Пр.114</vt:lpstr>
      <vt:lpstr>Профил. с иными целями Пр.114</vt:lpstr>
      <vt:lpstr>Центры здоровья Пр.114</vt:lpstr>
      <vt:lpstr>Частные МО обр.по заб.Пр.114</vt:lpstr>
      <vt:lpstr>'КС (пр.114)'!Заголовки_для_печати</vt:lpstr>
      <vt:lpstr>'Неотложн. МП Пр.114'!Заголовки_для_печати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ocit_1</cp:lastModifiedBy>
  <cp:lastPrinted>2020-05-22T08:12:42Z</cp:lastPrinted>
  <dcterms:created xsi:type="dcterms:W3CDTF">2019-11-28T06:32:34Z</dcterms:created>
  <dcterms:modified xsi:type="dcterms:W3CDTF">2020-06-16T05:13:16Z</dcterms:modified>
</cp:coreProperties>
</file>