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0\Протокол 111\"/>
    </mc:Choice>
  </mc:AlternateContent>
  <bookViews>
    <workbookView xWindow="0" yWindow="60" windowWidth="19200" windowHeight="11535" firstSheet="6" activeTab="8"/>
  </bookViews>
  <sheets>
    <sheet name="КС (пр.111)" sheetId="73" r:id="rId1"/>
    <sheet name="СМП Пр 111" sheetId="70" r:id="rId2"/>
    <sheet name="ДС Пр. 111" sheetId="59" r:id="rId3"/>
    <sheet name="ВМП по ДС Пр. 111" sheetId="61" r:id="rId4"/>
    <sheet name="УЗИ ссс Пр. 111" sheetId="63" r:id="rId5"/>
    <sheet name="Эндоскопия Пр. 111" sheetId="64" r:id="rId6"/>
    <sheet name="Радиоиз,луч,КТ,УЗИ скр. Пр. 111" sheetId="65" r:id="rId7"/>
    <sheet name="Обращения Пр.111" sheetId="71" r:id="rId8"/>
    <sheet name="Неотложн. МП Пр.111" sheetId="72" r:id="rId9"/>
    <sheet name="Всего профил.2020 Пр.111" sheetId="68" r:id="rId10"/>
    <sheet name="Проф.с иными целями Пр.111" sheetId="69" r:id="rId11"/>
    <sheet name="Центры здоровья Пр.111" sheetId="6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xlnm.Print_Area_2" localSheetId="9">#REF!</definedName>
    <definedName name="__xlnm.Print_Area_2" localSheetId="8">#REF!</definedName>
    <definedName name="__xlnm.Print_Area_2" localSheetId="7">#REF!</definedName>
    <definedName name="__xlnm.Print_Area_2" localSheetId="10">#REF!</definedName>
    <definedName name="__xlnm.Print_Area_2" localSheetId="1">#REF!</definedName>
    <definedName name="__xlnm.Print_Area_2">#REF!</definedName>
    <definedName name="_xlnm._FilterDatabase" localSheetId="8" hidden="1">'Неотложн. МП Пр.111'!$A$6:$H$138</definedName>
    <definedName name="_xlnm._FilterDatabase" localSheetId="7" hidden="1">'Обращения Пр.111'!$A$6:$N$171</definedName>
    <definedName name="Kbcn" localSheetId="9">#REF!</definedName>
    <definedName name="Kbcn" localSheetId="8">#REF!</definedName>
    <definedName name="Kbcn" localSheetId="7">#REF!</definedName>
    <definedName name="Kbcn" localSheetId="10">#REF!</definedName>
    <definedName name="Kbcn" localSheetId="1">#REF!</definedName>
    <definedName name="Kbcn">#REF!</definedName>
    <definedName name="Neot_17" localSheetId="9">#REF!</definedName>
    <definedName name="Neot_17" localSheetId="8">#REF!</definedName>
    <definedName name="Neot_17" localSheetId="7">#REF!</definedName>
    <definedName name="Neot_17" localSheetId="10">#REF!</definedName>
    <definedName name="Neot_17" localSheetId="1">#REF!</definedName>
    <definedName name="Neot_17">#REF!</definedName>
    <definedName name="OLE_LINK1" localSheetId="1">'СМП Пр 111'!$A$3</definedName>
    <definedName name="res2_range" localSheetId="9">#REF!</definedName>
    <definedName name="res2_range" localSheetId="0">#REF!</definedName>
    <definedName name="res2_range" localSheetId="8">#REF!</definedName>
    <definedName name="res2_range" localSheetId="7">#REF!</definedName>
    <definedName name="res2_range" localSheetId="10">#REF!</definedName>
    <definedName name="res2_range" localSheetId="1">#REF!</definedName>
    <definedName name="res2_range">#REF!</definedName>
    <definedName name="Tg_CZ" localSheetId="9">#REF!</definedName>
    <definedName name="Tg_CZ" localSheetId="8">#REF!</definedName>
    <definedName name="Tg_CZ" localSheetId="7">#REF!</definedName>
    <definedName name="Tg_CZ" localSheetId="10">#REF!</definedName>
    <definedName name="Tg_CZ" localSheetId="1">#REF!</definedName>
    <definedName name="Tg_CZ">#REF!</definedName>
    <definedName name="Tg_Disp" localSheetId="9">#REF!</definedName>
    <definedName name="Tg_Disp" localSheetId="8">#REF!</definedName>
    <definedName name="Tg_Disp" localSheetId="7">#REF!</definedName>
    <definedName name="Tg_Disp" localSheetId="10">#REF!</definedName>
    <definedName name="Tg_Disp" localSheetId="1">#REF!</definedName>
    <definedName name="Tg_Disp">#REF!</definedName>
    <definedName name="Tg_Geri" localSheetId="9">#REF!</definedName>
    <definedName name="Tg_Geri" localSheetId="8">#REF!</definedName>
    <definedName name="Tg_Geri" localSheetId="7">#REF!</definedName>
    <definedName name="Tg_Geri" localSheetId="10">#REF!</definedName>
    <definedName name="Tg_Geri" localSheetId="1">#REF!</definedName>
    <definedName name="Tg_Geri">#REF!</definedName>
    <definedName name="Tg_Kons" localSheetId="9">#REF!</definedName>
    <definedName name="Tg_Kons" localSheetId="8">#REF!</definedName>
    <definedName name="Tg_Kons" localSheetId="7">#REF!</definedName>
    <definedName name="Tg_Kons" localSheetId="10">#REF!</definedName>
    <definedName name="Tg_Kons" localSheetId="1">#REF!</definedName>
    <definedName name="Tg_Kons">#REF!</definedName>
    <definedName name="Tg_Med" localSheetId="9">#REF!</definedName>
    <definedName name="Tg_Med" localSheetId="8">#REF!</definedName>
    <definedName name="Tg_Med" localSheetId="7">#REF!</definedName>
    <definedName name="Tg_Med" localSheetId="10">#REF!</definedName>
    <definedName name="Tg_Med" localSheetId="1">#REF!</definedName>
    <definedName name="Tg_Med">#REF!</definedName>
    <definedName name="Tg_Neot" localSheetId="9">#REF!</definedName>
    <definedName name="Tg_Neot" localSheetId="8">#REF!</definedName>
    <definedName name="Tg_Neot" localSheetId="7">#REF!</definedName>
    <definedName name="Tg_Neot" localSheetId="10">#REF!</definedName>
    <definedName name="Tg_Neot" localSheetId="1">#REF!</definedName>
    <definedName name="Tg_Neot">#REF!</definedName>
    <definedName name="Tg_Nepr" localSheetId="9">#REF!</definedName>
    <definedName name="Tg_Nepr" localSheetId="8">#REF!</definedName>
    <definedName name="Tg_Nepr" localSheetId="7">#REF!</definedName>
    <definedName name="Tg_Nepr" localSheetId="10">#REF!</definedName>
    <definedName name="Tg_Nepr" localSheetId="1">#REF!</definedName>
    <definedName name="Tg_Nepr">#REF!</definedName>
    <definedName name="Tg_Obr" localSheetId="9">#REF!</definedName>
    <definedName name="Tg_Obr" localSheetId="8">#REF!</definedName>
    <definedName name="Tg_Obr" localSheetId="7">#REF!</definedName>
    <definedName name="Tg_Obr" localSheetId="10">#REF!</definedName>
    <definedName name="Tg_Obr" localSheetId="1">#REF!</definedName>
    <definedName name="Tg_Obr">#REF!</definedName>
    <definedName name="Tg_Reestr" localSheetId="9">#REF!</definedName>
    <definedName name="Tg_Reestr" localSheetId="8">#REF!</definedName>
    <definedName name="Tg_Reestr" localSheetId="7">#REF!</definedName>
    <definedName name="Tg_Reestr" localSheetId="10">#REF!</definedName>
    <definedName name="Tg_Reestr" localSheetId="1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10">#REF!</definedName>
    <definedName name="_xlnm.Database" localSheetId="1">#REF!</definedName>
    <definedName name="_xlnm.Database">#REF!</definedName>
    <definedName name="Д" localSheetId="9">[2]Данные!$B$1:$EF$178</definedName>
    <definedName name="Д" localSheetId="0">[3]Данные!$B$1:$EF$178</definedName>
    <definedName name="Д" localSheetId="8">[3]Данные!$B$1:$EF$178</definedName>
    <definedName name="Д" localSheetId="7">[3]Данные!$B$1:$EF$178</definedName>
    <definedName name="Д" localSheetId="10">[2]Данные!$B$1:$EF$178</definedName>
    <definedName name="Д">[2]Данные!$B$1:$EF$178</definedName>
    <definedName name="_xlnm.Print_Titles" localSheetId="0">'КС (пр.111)'!$4:$6</definedName>
    <definedName name="_xlnm.Print_Titles" localSheetId="8">'Неотложн. МП Пр.111'!$4:$6</definedName>
    <definedName name="_xlnm.Print_Titles" localSheetId="7">'Обращения Пр.111'!$3:$6</definedName>
    <definedName name="ЗД" localSheetId="9">[2]Данные!$BY$3:$DB$3</definedName>
    <definedName name="ЗД" localSheetId="0">[3]Данные!$BY$3:$DB$3</definedName>
    <definedName name="ЗД" localSheetId="8">[3]Данные!$BY$3:$DB$3</definedName>
    <definedName name="ЗД" localSheetId="7">[3]Данные!$BY$3:$DB$3</definedName>
    <definedName name="ЗД" localSheetId="10">[2]Данные!$BY$3:$DB$3</definedName>
    <definedName name="ЗД">[2]Данные!$BY$3:$DB$3</definedName>
    <definedName name="_xlnm.Print_Area" localSheetId="8">'Неотложн. МП Пр.111'!$A$1:$G$138</definedName>
    <definedName name="_xlnm.Print_Area" localSheetId="7">'Обращения Пр.111'!$A$1:$K$171</definedName>
    <definedName name="ппорь" localSheetId="9">#REF!</definedName>
    <definedName name="ппорь" localSheetId="8">#REF!</definedName>
    <definedName name="ппорь" localSheetId="7">#REF!</definedName>
    <definedName name="ппорь" localSheetId="10">#REF!</definedName>
    <definedName name="ппорь" localSheetId="1">#REF!</definedName>
    <definedName name="ппорь">#REF!</definedName>
    <definedName name="смп" localSheetId="1">#REF!</definedName>
    <definedName name="смп">#REF!</definedName>
    <definedName name="ФЗ" localSheetId="9">[2]Данные!$DC$3:$EF$3</definedName>
    <definedName name="ФЗ" localSheetId="0">[3]Данные!$DC$3:$EF$3</definedName>
    <definedName name="ФЗ" localSheetId="8">[3]Данные!$DC$3:$EF$3</definedName>
    <definedName name="ФЗ" localSheetId="7">[3]Данные!$DC$3:$EF$3</definedName>
    <definedName name="ФЗ" localSheetId="10">[2]Данные!$DC$3:$EF$3</definedName>
    <definedName name="ФЗ">[2]Данные!$DC$3:$EF$3</definedName>
    <definedName name="Шт" localSheetId="9">[2]Данные!$AU$3:$BX$3</definedName>
    <definedName name="Шт" localSheetId="0">[3]Данные!$AU$3:$BX$3</definedName>
    <definedName name="Шт" localSheetId="8">[3]Данные!$AU$3:$BX$3</definedName>
    <definedName name="Шт" localSheetId="7">[3]Данные!$AU$3:$BX$3</definedName>
    <definedName name="Шт" localSheetId="10">[2]Данные!$AU$3:$BX$3</definedName>
    <definedName name="Шт">[2]Данные!$AU$3:$BX$3</definedName>
    <definedName name="ЭКО" localSheetId="9">#REF!</definedName>
    <definedName name="ЭКО" localSheetId="8">#REF!</definedName>
    <definedName name="ЭКО" localSheetId="7">#REF!</definedName>
    <definedName name="ЭКО" localSheetId="10">#REF!</definedName>
    <definedName name="ЭКО" localSheetId="1">#REF!</definedName>
    <definedName name="ЭКО">#REF!</definedName>
  </definedNames>
  <calcPr calcId="152511"/>
</workbook>
</file>

<file path=xl/calcChain.xml><?xml version="1.0" encoding="utf-8"?>
<calcChain xmlns="http://schemas.openxmlformats.org/spreadsheetml/2006/main">
  <c r="V105" i="64" l="1"/>
  <c r="U105" i="64"/>
  <c r="T105" i="64"/>
  <c r="S105" i="64"/>
  <c r="R105" i="64"/>
  <c r="Q105" i="64"/>
  <c r="P105" i="64"/>
  <c r="N105" i="64"/>
  <c r="M105" i="64"/>
  <c r="L105" i="64"/>
  <c r="K105" i="64"/>
  <c r="H105" i="64"/>
  <c r="G105" i="64"/>
  <c r="F105" i="64"/>
  <c r="O104" i="64"/>
  <c r="I104" i="64"/>
  <c r="J104" i="64" s="1"/>
  <c r="W103" i="64"/>
  <c r="W105" i="64" s="1"/>
  <c r="O103" i="64"/>
  <c r="I103" i="64"/>
  <c r="J103" i="64" s="1"/>
  <c r="O102" i="64"/>
  <c r="I102" i="64"/>
  <c r="J102" i="64" s="1"/>
  <c r="O101" i="64"/>
  <c r="I101" i="64"/>
  <c r="D101" i="64"/>
  <c r="C101" i="64"/>
  <c r="O100" i="64"/>
  <c r="I100" i="64"/>
  <c r="C100" i="64"/>
  <c r="O99" i="64"/>
  <c r="I99" i="64"/>
  <c r="D99" i="64"/>
  <c r="C99" i="64"/>
  <c r="O98" i="64"/>
  <c r="I98" i="64"/>
  <c r="C98" i="64"/>
  <c r="J98" i="64" s="1"/>
  <c r="O97" i="64"/>
  <c r="I97" i="64"/>
  <c r="D97" i="64"/>
  <c r="C97" i="64"/>
  <c r="O96" i="64"/>
  <c r="I96" i="64"/>
  <c r="D96" i="64"/>
  <c r="C96" i="64"/>
  <c r="J96" i="64" s="1"/>
  <c r="O95" i="64"/>
  <c r="I95" i="64"/>
  <c r="C95" i="64"/>
  <c r="O94" i="64"/>
  <c r="I94" i="64"/>
  <c r="D94" i="64"/>
  <c r="J94" i="64" s="1"/>
  <c r="C94" i="64"/>
  <c r="O93" i="64"/>
  <c r="I93" i="64"/>
  <c r="D93" i="64"/>
  <c r="J93" i="64" s="1"/>
  <c r="O92" i="64"/>
  <c r="I92" i="64"/>
  <c r="D92" i="64"/>
  <c r="O91" i="64"/>
  <c r="I91" i="64"/>
  <c r="D91" i="64"/>
  <c r="C91" i="64"/>
  <c r="O90" i="64"/>
  <c r="I90" i="64"/>
  <c r="D90" i="64"/>
  <c r="J90" i="64" s="1"/>
  <c r="O89" i="64"/>
  <c r="I89" i="64"/>
  <c r="D89" i="64"/>
  <c r="C89" i="64"/>
  <c r="O88" i="64"/>
  <c r="I88" i="64"/>
  <c r="D88" i="64"/>
  <c r="C88" i="64"/>
  <c r="J88" i="64" s="1"/>
  <c r="O87" i="64"/>
  <c r="I87" i="64"/>
  <c r="D87" i="64"/>
  <c r="C87" i="64"/>
  <c r="O86" i="64"/>
  <c r="I86" i="64"/>
  <c r="D86" i="64"/>
  <c r="O85" i="64"/>
  <c r="I85" i="64"/>
  <c r="D85" i="64"/>
  <c r="J85" i="64" s="1"/>
  <c r="O84" i="64"/>
  <c r="I84" i="64"/>
  <c r="D84" i="64"/>
  <c r="C84" i="64"/>
  <c r="J84" i="64" s="1"/>
  <c r="O83" i="64"/>
  <c r="I83" i="64"/>
  <c r="D83" i="64"/>
  <c r="C83" i="64"/>
  <c r="O82" i="64"/>
  <c r="I82" i="64"/>
  <c r="D82" i="64"/>
  <c r="O81" i="64"/>
  <c r="I81" i="64"/>
  <c r="D81" i="64"/>
  <c r="O80" i="64"/>
  <c r="I80" i="64"/>
  <c r="D80" i="64"/>
  <c r="O79" i="64"/>
  <c r="I79" i="64"/>
  <c r="D79" i="64"/>
  <c r="O78" i="64"/>
  <c r="I78" i="64"/>
  <c r="D78" i="64"/>
  <c r="O77" i="64"/>
  <c r="I77" i="64"/>
  <c r="D77" i="64"/>
  <c r="O76" i="64"/>
  <c r="I76" i="64"/>
  <c r="D76" i="64"/>
  <c r="O75" i="64"/>
  <c r="I75" i="64"/>
  <c r="J75" i="64" s="1"/>
  <c r="O74" i="64"/>
  <c r="I74" i="64"/>
  <c r="J74" i="64" s="1"/>
  <c r="O73" i="64"/>
  <c r="I73" i="64"/>
  <c r="J73" i="64" s="1"/>
  <c r="O72" i="64"/>
  <c r="J72" i="64"/>
  <c r="I72" i="64"/>
  <c r="O71" i="64"/>
  <c r="I71" i="64"/>
  <c r="J71" i="64" s="1"/>
  <c r="O70" i="64"/>
  <c r="I70" i="64"/>
  <c r="D70" i="64"/>
  <c r="J70" i="64" s="1"/>
  <c r="O69" i="64"/>
  <c r="I69" i="64"/>
  <c r="D69" i="64"/>
  <c r="C69" i="64"/>
  <c r="O68" i="64"/>
  <c r="I68" i="64"/>
  <c r="D68" i="64"/>
  <c r="O67" i="64"/>
  <c r="I67" i="64"/>
  <c r="D67" i="64"/>
  <c r="O66" i="64"/>
  <c r="I66" i="64"/>
  <c r="D66" i="64"/>
  <c r="C66" i="64"/>
  <c r="J66" i="64" s="1"/>
  <c r="O65" i="64"/>
  <c r="I65" i="64"/>
  <c r="D65" i="64"/>
  <c r="C65" i="64"/>
  <c r="O64" i="64"/>
  <c r="I64" i="64"/>
  <c r="D64" i="64"/>
  <c r="O63" i="64"/>
  <c r="I63" i="64"/>
  <c r="D63" i="64"/>
  <c r="J63" i="64" s="1"/>
  <c r="O62" i="64"/>
  <c r="I62" i="64"/>
  <c r="D62" i="64"/>
  <c r="C62" i="64"/>
  <c r="J62" i="64" s="1"/>
  <c r="O61" i="64"/>
  <c r="I61" i="64"/>
  <c r="D61" i="64"/>
  <c r="C61" i="64"/>
  <c r="O60" i="64"/>
  <c r="I60" i="64"/>
  <c r="D60" i="64"/>
  <c r="C60" i="64"/>
  <c r="J60" i="64" s="1"/>
  <c r="O59" i="64"/>
  <c r="I59" i="64"/>
  <c r="D59" i="64"/>
  <c r="O58" i="64"/>
  <c r="I58" i="64"/>
  <c r="D58" i="64"/>
  <c r="J58" i="64" s="1"/>
  <c r="C58" i="64"/>
  <c r="O57" i="64"/>
  <c r="I57" i="64"/>
  <c r="D57" i="64"/>
  <c r="C57" i="64"/>
  <c r="O56" i="64"/>
  <c r="I56" i="64"/>
  <c r="D56" i="64"/>
  <c r="J56" i="64" s="1"/>
  <c r="C56" i="64"/>
  <c r="O55" i="64"/>
  <c r="I55" i="64"/>
  <c r="D55" i="64"/>
  <c r="J55" i="64" s="1"/>
  <c r="O54" i="64"/>
  <c r="I54" i="64"/>
  <c r="D54" i="64"/>
  <c r="C54" i="64"/>
  <c r="J54" i="64" s="1"/>
  <c r="O53" i="64"/>
  <c r="I53" i="64"/>
  <c r="D53" i="64"/>
  <c r="O52" i="64"/>
  <c r="I52" i="64"/>
  <c r="D52" i="64"/>
  <c r="J52" i="64" s="1"/>
  <c r="C52" i="64"/>
  <c r="O51" i="64"/>
  <c r="I51" i="64"/>
  <c r="D51" i="64"/>
  <c r="C51" i="64"/>
  <c r="O50" i="64"/>
  <c r="I50" i="64"/>
  <c r="D50" i="64"/>
  <c r="J50" i="64" s="1"/>
  <c r="C50" i="64"/>
  <c r="O49" i="64"/>
  <c r="I49" i="64"/>
  <c r="D49" i="64"/>
  <c r="C49" i="64"/>
  <c r="O48" i="64"/>
  <c r="I48" i="64"/>
  <c r="D48" i="64"/>
  <c r="J48" i="64" s="1"/>
  <c r="O47" i="64"/>
  <c r="I47" i="64"/>
  <c r="D47" i="64"/>
  <c r="O46" i="64"/>
  <c r="I46" i="64"/>
  <c r="D46" i="64"/>
  <c r="J46" i="64" s="1"/>
  <c r="C46" i="64"/>
  <c r="O45" i="64"/>
  <c r="I45" i="64"/>
  <c r="D45" i="64"/>
  <c r="J45" i="64" s="1"/>
  <c r="O44" i="64"/>
  <c r="I44" i="64"/>
  <c r="D44" i="64"/>
  <c r="O43" i="64"/>
  <c r="I43" i="64"/>
  <c r="D43" i="64"/>
  <c r="J43" i="64" s="1"/>
  <c r="O42" i="64"/>
  <c r="I42" i="64"/>
  <c r="D42" i="64"/>
  <c r="C42" i="64"/>
  <c r="J42" i="64" s="1"/>
  <c r="O41" i="64"/>
  <c r="I41" i="64"/>
  <c r="D41" i="64"/>
  <c r="C41" i="64"/>
  <c r="O40" i="64"/>
  <c r="I40" i="64"/>
  <c r="D40" i="64"/>
  <c r="C40" i="64"/>
  <c r="J40" i="64" s="1"/>
  <c r="O39" i="64"/>
  <c r="I39" i="64"/>
  <c r="D39" i="64"/>
  <c r="O38" i="64"/>
  <c r="I38" i="64"/>
  <c r="D38" i="64"/>
  <c r="J38" i="64" s="1"/>
  <c r="O37" i="64"/>
  <c r="I37" i="64"/>
  <c r="D37" i="64"/>
  <c r="C37" i="64"/>
  <c r="O36" i="64"/>
  <c r="I36" i="64"/>
  <c r="C36" i="64"/>
  <c r="O35" i="64"/>
  <c r="I35" i="64"/>
  <c r="D35" i="64"/>
  <c r="C35" i="64"/>
  <c r="O34" i="64"/>
  <c r="I34" i="64"/>
  <c r="D34" i="64"/>
  <c r="J34" i="64" s="1"/>
  <c r="C34" i="64"/>
  <c r="O33" i="64"/>
  <c r="I33" i="64"/>
  <c r="D33" i="64"/>
  <c r="C33" i="64"/>
  <c r="O32" i="64"/>
  <c r="E32" i="64"/>
  <c r="I32" i="64" s="1"/>
  <c r="D32" i="64"/>
  <c r="C32" i="64"/>
  <c r="J32" i="64" s="1"/>
  <c r="O31" i="64"/>
  <c r="E31" i="64"/>
  <c r="I31" i="64" s="1"/>
  <c r="D31" i="64"/>
  <c r="C31" i="64"/>
  <c r="J31" i="64" s="1"/>
  <c r="O30" i="64"/>
  <c r="E30" i="64"/>
  <c r="D30" i="64"/>
  <c r="C30" i="64"/>
  <c r="O29" i="64"/>
  <c r="I29" i="64"/>
  <c r="D29" i="64"/>
  <c r="C29" i="64"/>
  <c r="O28" i="64"/>
  <c r="I28" i="64"/>
  <c r="D28" i="64"/>
  <c r="C28" i="64"/>
  <c r="J28" i="64" s="1"/>
  <c r="O27" i="64"/>
  <c r="I27" i="64"/>
  <c r="D27" i="64"/>
  <c r="C27" i="64"/>
  <c r="O26" i="64"/>
  <c r="I26" i="64"/>
  <c r="D26" i="64"/>
  <c r="C26" i="64"/>
  <c r="J26" i="64" s="1"/>
  <c r="O25" i="64"/>
  <c r="I25" i="64"/>
  <c r="D25" i="64"/>
  <c r="C25" i="64"/>
  <c r="O24" i="64"/>
  <c r="I24" i="64"/>
  <c r="D24" i="64"/>
  <c r="C24" i="64"/>
  <c r="J24" i="64" s="1"/>
  <c r="O23" i="64"/>
  <c r="I23" i="64"/>
  <c r="D23" i="64"/>
  <c r="O22" i="64"/>
  <c r="I22" i="64"/>
  <c r="D22" i="64"/>
  <c r="J22" i="64" s="1"/>
  <c r="O21" i="64"/>
  <c r="I21" i="64"/>
  <c r="D21" i="64"/>
  <c r="C21" i="64"/>
  <c r="O20" i="64"/>
  <c r="I20" i="64"/>
  <c r="D20" i="64"/>
  <c r="C20" i="64"/>
  <c r="J20" i="64" s="1"/>
  <c r="O19" i="64"/>
  <c r="I19" i="64"/>
  <c r="D19" i="64"/>
  <c r="O18" i="64"/>
  <c r="I18" i="64"/>
  <c r="D18" i="64"/>
  <c r="J18" i="64" s="1"/>
  <c r="C18" i="64"/>
  <c r="O17" i="64"/>
  <c r="I17" i="64"/>
  <c r="D17" i="64"/>
  <c r="O16" i="64"/>
  <c r="I16" i="64"/>
  <c r="D16" i="64"/>
  <c r="C16" i="64"/>
  <c r="J16" i="64" s="1"/>
  <c r="O15" i="64"/>
  <c r="I15" i="64"/>
  <c r="D15" i="64"/>
  <c r="O14" i="64"/>
  <c r="I14" i="64"/>
  <c r="D14" i="64"/>
  <c r="J14" i="64" s="1"/>
  <c r="C14" i="64"/>
  <c r="O13" i="64"/>
  <c r="I13" i="64"/>
  <c r="D13" i="64"/>
  <c r="O12" i="64"/>
  <c r="I12" i="64"/>
  <c r="D12" i="64"/>
  <c r="O11" i="64"/>
  <c r="I11" i="64"/>
  <c r="D11" i="64"/>
  <c r="C11" i="64"/>
  <c r="O10" i="64"/>
  <c r="I10" i="64"/>
  <c r="D10" i="64"/>
  <c r="J10" i="64" s="1"/>
  <c r="C10" i="64"/>
  <c r="O9" i="64"/>
  <c r="I9" i="64"/>
  <c r="D9" i="64"/>
  <c r="J9" i="64" s="1"/>
  <c r="O8" i="64"/>
  <c r="I8" i="64"/>
  <c r="D8" i="64"/>
  <c r="O7" i="64"/>
  <c r="I7" i="64"/>
  <c r="D7" i="64"/>
  <c r="J7" i="64" s="1"/>
  <c r="O6" i="64"/>
  <c r="I6" i="64"/>
  <c r="D6" i="64"/>
  <c r="C6" i="64"/>
  <c r="J11" i="64" l="1"/>
  <c r="J12" i="64"/>
  <c r="J15" i="64"/>
  <c r="J19" i="64"/>
  <c r="J21" i="64"/>
  <c r="J23" i="64"/>
  <c r="J25" i="64"/>
  <c r="J27" i="64"/>
  <c r="J29" i="64"/>
  <c r="J33" i="64"/>
  <c r="J35" i="64"/>
  <c r="J37" i="64"/>
  <c r="J39" i="64"/>
  <c r="J41" i="64"/>
  <c r="J47" i="64"/>
  <c r="J49" i="64"/>
  <c r="J51" i="64"/>
  <c r="J53" i="64"/>
  <c r="J57" i="64"/>
  <c r="J59" i="64"/>
  <c r="J61" i="64"/>
  <c r="J65" i="64"/>
  <c r="J68" i="64"/>
  <c r="J69" i="64"/>
  <c r="J76" i="64"/>
  <c r="J78" i="64"/>
  <c r="J80" i="64"/>
  <c r="J82" i="64"/>
  <c r="J83" i="64"/>
  <c r="J87" i="64"/>
  <c r="J89" i="64"/>
  <c r="J91" i="64"/>
  <c r="J92" i="64"/>
  <c r="J95" i="64"/>
  <c r="J97" i="64"/>
  <c r="J99" i="64"/>
  <c r="J100" i="64"/>
  <c r="J101" i="64"/>
  <c r="J6" i="64"/>
  <c r="C105" i="64"/>
  <c r="D105" i="64"/>
  <c r="O105" i="64"/>
  <c r="J8" i="64"/>
  <c r="J13" i="64"/>
  <c r="J17" i="64"/>
  <c r="I30" i="64"/>
  <c r="J30" i="64" s="1"/>
  <c r="E105" i="64"/>
  <c r="J36" i="64"/>
  <c r="J44" i="64"/>
  <c r="J64" i="64"/>
  <c r="J67" i="64"/>
  <c r="J77" i="64"/>
  <c r="J79" i="64"/>
  <c r="J81" i="64"/>
  <c r="J86" i="64"/>
  <c r="F88" i="63"/>
  <c r="F87" i="63"/>
  <c r="F86" i="63"/>
  <c r="F85" i="63"/>
  <c r="F84" i="63"/>
  <c r="F83" i="63"/>
  <c r="F82" i="63"/>
  <c r="F81" i="63"/>
  <c r="E80" i="63"/>
  <c r="D80" i="63"/>
  <c r="F80" i="63" s="1"/>
  <c r="C80" i="63"/>
  <c r="F79" i="63"/>
  <c r="C79" i="63"/>
  <c r="E78" i="63"/>
  <c r="D78" i="63"/>
  <c r="C78" i="63"/>
  <c r="E77" i="63"/>
  <c r="D77" i="63"/>
  <c r="F77" i="63" s="1"/>
  <c r="C77" i="63"/>
  <c r="E76" i="63"/>
  <c r="D76" i="63"/>
  <c r="C76" i="63"/>
  <c r="C75" i="63"/>
  <c r="F75" i="63" s="1"/>
  <c r="E74" i="63"/>
  <c r="D74" i="63"/>
  <c r="F74" i="63" s="1"/>
  <c r="C74" i="63"/>
  <c r="F73" i="63"/>
  <c r="C73" i="63"/>
  <c r="F72" i="63"/>
  <c r="C72" i="63"/>
  <c r="E71" i="63"/>
  <c r="D71" i="63"/>
  <c r="C71" i="63"/>
  <c r="E70" i="63"/>
  <c r="D70" i="63"/>
  <c r="F70" i="63" s="1"/>
  <c r="C70" i="63"/>
  <c r="E69" i="63"/>
  <c r="D69" i="63"/>
  <c r="C69" i="63"/>
  <c r="E68" i="63"/>
  <c r="D68" i="63"/>
  <c r="F68" i="63" s="1"/>
  <c r="C68" i="63"/>
  <c r="E67" i="63"/>
  <c r="D67" i="63"/>
  <c r="C67" i="63"/>
  <c r="E66" i="63"/>
  <c r="D66" i="63"/>
  <c r="F66" i="63" s="1"/>
  <c r="C66" i="63"/>
  <c r="E65" i="63"/>
  <c r="D65" i="63"/>
  <c r="C65" i="63"/>
  <c r="E64" i="63"/>
  <c r="D64" i="63"/>
  <c r="F64" i="63" s="1"/>
  <c r="C64" i="63"/>
  <c r="E63" i="63"/>
  <c r="D63" i="63"/>
  <c r="C63" i="63"/>
  <c r="E62" i="63"/>
  <c r="D62" i="63"/>
  <c r="F62" i="63" s="1"/>
  <c r="C62" i="63"/>
  <c r="E61" i="63"/>
  <c r="D61" i="63"/>
  <c r="C61" i="63"/>
  <c r="E60" i="63"/>
  <c r="D60" i="63"/>
  <c r="F60" i="63" s="1"/>
  <c r="C60" i="63"/>
  <c r="E59" i="63"/>
  <c r="D59" i="63"/>
  <c r="C59" i="63"/>
  <c r="E58" i="63"/>
  <c r="D58" i="63"/>
  <c r="F58" i="63" s="1"/>
  <c r="C58" i="63"/>
  <c r="F57" i="63"/>
  <c r="C57" i="63"/>
  <c r="F56" i="63"/>
  <c r="C56" i="63"/>
  <c r="F55" i="63"/>
  <c r="C55" i="63"/>
  <c r="F54" i="63"/>
  <c r="C54" i="63"/>
  <c r="F53" i="63"/>
  <c r="C53" i="63"/>
  <c r="E52" i="63"/>
  <c r="D52" i="63"/>
  <c r="C52" i="63"/>
  <c r="E51" i="63"/>
  <c r="D51" i="63"/>
  <c r="F51" i="63" s="1"/>
  <c r="C51" i="63"/>
  <c r="F50" i="63"/>
  <c r="C50" i="63"/>
  <c r="E49" i="63"/>
  <c r="D49" i="63"/>
  <c r="C49" i="63"/>
  <c r="E48" i="63"/>
  <c r="D48" i="63"/>
  <c r="F48" i="63" s="1"/>
  <c r="C48" i="63"/>
  <c r="D47" i="63"/>
  <c r="C47" i="63"/>
  <c r="E46" i="63"/>
  <c r="D46" i="63"/>
  <c r="C46" i="63"/>
  <c r="F46" i="63" s="1"/>
  <c r="E45" i="63"/>
  <c r="D45" i="63"/>
  <c r="C45" i="63"/>
  <c r="E44" i="63"/>
  <c r="D44" i="63"/>
  <c r="C44" i="63"/>
  <c r="F44" i="63" s="1"/>
  <c r="E43" i="63"/>
  <c r="D43" i="63"/>
  <c r="C43" i="63"/>
  <c r="E42" i="63"/>
  <c r="D42" i="63"/>
  <c r="C42" i="63"/>
  <c r="F42" i="63" s="1"/>
  <c r="E41" i="63"/>
  <c r="D41" i="63"/>
  <c r="C41" i="63"/>
  <c r="C40" i="63"/>
  <c r="F40" i="63" s="1"/>
  <c r="E39" i="63"/>
  <c r="D39" i="63"/>
  <c r="C39" i="63"/>
  <c r="C38" i="63"/>
  <c r="F38" i="63" s="1"/>
  <c r="E37" i="63"/>
  <c r="D37" i="63"/>
  <c r="C37" i="63"/>
  <c r="E36" i="63"/>
  <c r="D36" i="63"/>
  <c r="E35" i="63"/>
  <c r="D35" i="63"/>
  <c r="C35" i="63"/>
  <c r="E34" i="63"/>
  <c r="D34" i="63"/>
  <c r="F34" i="63" s="1"/>
  <c r="C34" i="63"/>
  <c r="E33" i="63"/>
  <c r="D33" i="63"/>
  <c r="C33" i="63"/>
  <c r="E32" i="63"/>
  <c r="D32" i="63"/>
  <c r="F32" i="63" s="1"/>
  <c r="C32" i="63"/>
  <c r="E31" i="63"/>
  <c r="D31" i="63"/>
  <c r="C31" i="63"/>
  <c r="E30" i="63"/>
  <c r="C30" i="63"/>
  <c r="F30" i="63" s="1"/>
  <c r="C29" i="63"/>
  <c r="F29" i="63" s="1"/>
  <c r="E28" i="63"/>
  <c r="D28" i="63"/>
  <c r="C28" i="63"/>
  <c r="F28" i="63" s="1"/>
  <c r="C27" i="63"/>
  <c r="F27" i="63" s="1"/>
  <c r="E26" i="63"/>
  <c r="D26" i="63"/>
  <c r="C26" i="63"/>
  <c r="F26" i="63" s="1"/>
  <c r="E25" i="63"/>
  <c r="D25" i="63"/>
  <c r="C25" i="63"/>
  <c r="E24" i="63"/>
  <c r="D24" i="63"/>
  <c r="C24" i="63"/>
  <c r="F24" i="63" s="1"/>
  <c r="E23" i="63"/>
  <c r="D23" i="63"/>
  <c r="C23" i="63"/>
  <c r="E22" i="63"/>
  <c r="D22" i="63"/>
  <c r="C22" i="63"/>
  <c r="F22" i="63" s="1"/>
  <c r="E21" i="63"/>
  <c r="D21" i="63"/>
  <c r="C21" i="63"/>
  <c r="E20" i="63"/>
  <c r="D20" i="63"/>
  <c r="C20" i="63"/>
  <c r="F20" i="63" s="1"/>
  <c r="E19" i="63"/>
  <c r="D19" i="63"/>
  <c r="C19" i="63"/>
  <c r="E18" i="63"/>
  <c r="D18" i="63"/>
  <c r="C18" i="63"/>
  <c r="F18" i="63" s="1"/>
  <c r="E17" i="63"/>
  <c r="D17" i="63"/>
  <c r="C17" i="63"/>
  <c r="C16" i="63"/>
  <c r="F16" i="63" s="1"/>
  <c r="D15" i="63"/>
  <c r="C15" i="63"/>
  <c r="F15" i="63" s="1"/>
  <c r="D14" i="63"/>
  <c r="C14" i="63"/>
  <c r="F14" i="63" s="1"/>
  <c r="E13" i="63"/>
  <c r="D13" i="63"/>
  <c r="C13" i="63"/>
  <c r="E12" i="63"/>
  <c r="D12" i="63"/>
  <c r="C12" i="63"/>
  <c r="F12" i="63" s="1"/>
  <c r="E11" i="63"/>
  <c r="D11" i="63"/>
  <c r="C11" i="63"/>
  <c r="E10" i="63"/>
  <c r="D10" i="63"/>
  <c r="C10" i="63"/>
  <c r="F10" i="63" s="1"/>
  <c r="E9" i="63"/>
  <c r="D9" i="63"/>
  <c r="C9" i="63"/>
  <c r="E8" i="63"/>
  <c r="D8" i="63"/>
  <c r="C8" i="63"/>
  <c r="F8" i="63" s="1"/>
  <c r="E7" i="63"/>
  <c r="D7" i="63"/>
  <c r="C7" i="63"/>
  <c r="E6" i="63"/>
  <c r="D6" i="63"/>
  <c r="C6" i="63"/>
  <c r="F6" i="63" s="1"/>
  <c r="E5" i="63"/>
  <c r="D5" i="63"/>
  <c r="C5" i="63"/>
  <c r="I105" i="64" l="1"/>
  <c r="J105" i="64"/>
  <c r="C89" i="63"/>
  <c r="E89" i="63"/>
  <c r="F7" i="63"/>
  <c r="F9" i="63"/>
  <c r="F11" i="63"/>
  <c r="F13" i="63"/>
  <c r="D89" i="63"/>
  <c r="F17" i="63"/>
  <c r="F19" i="63"/>
  <c r="F21" i="63"/>
  <c r="F23" i="63"/>
  <c r="F25" i="63"/>
  <c r="F31" i="63"/>
  <c r="F33" i="63"/>
  <c r="F35" i="63"/>
  <c r="F36" i="63"/>
  <c r="F37" i="63"/>
  <c r="F39" i="63"/>
  <c r="F41" i="63"/>
  <c r="F43" i="63"/>
  <c r="F45" i="63"/>
  <c r="F47" i="63"/>
  <c r="F49" i="63"/>
  <c r="F52" i="63"/>
  <c r="F59" i="63"/>
  <c r="F61" i="63"/>
  <c r="F63" i="63"/>
  <c r="F65" i="63"/>
  <c r="F67" i="63"/>
  <c r="F69" i="63"/>
  <c r="F71" i="63"/>
  <c r="F76" i="63"/>
  <c r="F78" i="63"/>
  <c r="F5" i="63"/>
  <c r="F89" i="63" s="1"/>
  <c r="G148" i="59" l="1"/>
  <c r="E148" i="59"/>
  <c r="C148" i="59" s="1"/>
  <c r="G145" i="59"/>
  <c r="E145" i="59"/>
  <c r="C145" i="59" s="1"/>
  <c r="M144" i="59"/>
  <c r="M143" i="59"/>
  <c r="C143" i="59"/>
  <c r="H142" i="59"/>
  <c r="E142" i="59"/>
  <c r="D142" i="59"/>
  <c r="L141" i="59"/>
  <c r="K141" i="59"/>
  <c r="J141" i="59"/>
  <c r="I141" i="59"/>
  <c r="H141" i="59"/>
  <c r="G141" i="59"/>
  <c r="F141" i="59"/>
  <c r="E141" i="59"/>
  <c r="D141" i="59"/>
  <c r="M140" i="59"/>
  <c r="C140" i="59" s="1"/>
  <c r="M139" i="59"/>
  <c r="H138" i="59"/>
  <c r="E138" i="59"/>
  <c r="D138" i="59"/>
  <c r="C138" i="59"/>
  <c r="L137" i="59"/>
  <c r="K137" i="59"/>
  <c r="J137" i="59"/>
  <c r="I137" i="59"/>
  <c r="I149" i="59" s="1"/>
  <c r="H137" i="59"/>
  <c r="G137" i="59"/>
  <c r="F137" i="59"/>
  <c r="D137" i="59"/>
  <c r="C136" i="59"/>
  <c r="C135" i="59"/>
  <c r="C134" i="59"/>
  <c r="C133" i="59"/>
  <c r="G132" i="59"/>
  <c r="E132" i="59"/>
  <c r="C132" i="59" s="1"/>
  <c r="C131" i="59"/>
  <c r="C130" i="59"/>
  <c r="C129" i="59"/>
  <c r="C128" i="59"/>
  <c r="C127" i="59"/>
  <c r="C126" i="59"/>
  <c r="A126" i="59"/>
  <c r="A127" i="59" s="1"/>
  <c r="A128" i="59" s="1"/>
  <c r="A129" i="59" s="1"/>
  <c r="A130" i="59" s="1"/>
  <c r="A131" i="59" s="1"/>
  <c r="A132" i="59" s="1"/>
  <c r="A133" i="59" s="1"/>
  <c r="A134" i="59" s="1"/>
  <c r="A135" i="59" s="1"/>
  <c r="A136" i="59" s="1"/>
  <c r="A137" i="59" s="1"/>
  <c r="C125" i="59"/>
  <c r="C124" i="59"/>
  <c r="A124" i="59"/>
  <c r="A125" i="59" s="1"/>
  <c r="C123" i="59"/>
  <c r="C122" i="59"/>
  <c r="C121" i="59"/>
  <c r="C120" i="59"/>
  <c r="E119" i="59"/>
  <c r="C119" i="59" s="1"/>
  <c r="E118" i="59"/>
  <c r="C118" i="59"/>
  <c r="C117" i="59"/>
  <c r="C116" i="59"/>
  <c r="C115" i="59"/>
  <c r="C114" i="59"/>
  <c r="C113" i="59"/>
  <c r="C112" i="59"/>
  <c r="C111" i="59"/>
  <c r="C110" i="59"/>
  <c r="C109" i="59"/>
  <c r="C108" i="59"/>
  <c r="C107" i="59"/>
  <c r="C106" i="59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93" i="59"/>
  <c r="E92" i="59"/>
  <c r="C92" i="59" s="1"/>
  <c r="G91" i="59"/>
  <c r="E91" i="59"/>
  <c r="C91" i="59" s="1"/>
  <c r="E90" i="59"/>
  <c r="C90" i="59"/>
  <c r="E89" i="59"/>
  <c r="C89" i="59" s="1"/>
  <c r="E88" i="59"/>
  <c r="C88" i="59" s="1"/>
  <c r="E87" i="59"/>
  <c r="C87" i="59" s="1"/>
  <c r="G86" i="59"/>
  <c r="E86" i="59"/>
  <c r="C86" i="59" s="1"/>
  <c r="E85" i="59"/>
  <c r="C85" i="59" s="1"/>
  <c r="C84" i="59"/>
  <c r="C83" i="59"/>
  <c r="E82" i="59"/>
  <c r="C82" i="59" s="1"/>
  <c r="E81" i="59"/>
  <c r="C81" i="59"/>
  <c r="E80" i="59"/>
  <c r="C80" i="59" s="1"/>
  <c r="G79" i="59"/>
  <c r="E79" i="59"/>
  <c r="C79" i="59" s="1"/>
  <c r="C78" i="59"/>
  <c r="C77" i="59"/>
  <c r="C76" i="59"/>
  <c r="C75" i="59"/>
  <c r="C74" i="59"/>
  <c r="C73" i="59"/>
  <c r="C72" i="59"/>
  <c r="C71" i="59"/>
  <c r="C70" i="59"/>
  <c r="K69" i="59"/>
  <c r="C69" i="59"/>
  <c r="K68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K55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K39" i="59"/>
  <c r="C39" i="59"/>
  <c r="C38" i="59"/>
  <c r="C37" i="59"/>
  <c r="C36" i="59"/>
  <c r="C35" i="59"/>
  <c r="E34" i="59"/>
  <c r="C34" i="59"/>
  <c r="E33" i="59"/>
  <c r="C33" i="59"/>
  <c r="E32" i="59"/>
  <c r="C32" i="59" s="1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G149" i="59" l="1"/>
  <c r="C139" i="59"/>
  <c r="C144" i="59"/>
  <c r="M141" i="59"/>
  <c r="C137" i="59"/>
  <c r="E137" i="59"/>
  <c r="M137" i="59"/>
  <c r="C142" i="59"/>
  <c r="C141" i="59" s="1"/>
  <c r="K149" i="59"/>
  <c r="D149" i="59"/>
  <c r="F149" i="59"/>
  <c r="H149" i="59"/>
  <c r="J149" i="59"/>
  <c r="L149" i="59"/>
  <c r="G62" i="73"/>
  <c r="F62" i="73"/>
  <c r="C62" i="73"/>
  <c r="G61" i="73"/>
  <c r="F61" i="73"/>
  <c r="C61" i="73"/>
  <c r="E149" i="59" l="1"/>
  <c r="M149" i="59"/>
  <c r="C149" i="59"/>
  <c r="E118" i="73"/>
  <c r="G118" i="73"/>
  <c r="I118" i="73"/>
  <c r="F116" i="73"/>
  <c r="C116" i="73" s="1"/>
  <c r="F115" i="73"/>
  <c r="D115" i="73"/>
  <c r="C114" i="73"/>
  <c r="C113" i="73"/>
  <c r="C112" i="73"/>
  <c r="C111" i="73"/>
  <c r="C110" i="73"/>
  <c r="F109" i="73"/>
  <c r="D109" i="73"/>
  <c r="C108" i="73"/>
  <c r="H107" i="73"/>
  <c r="C107" i="73"/>
  <c r="F106" i="73"/>
  <c r="C106" i="73" s="1"/>
  <c r="C105" i="73"/>
  <c r="C104" i="73"/>
  <c r="C103" i="73"/>
  <c r="H102" i="73"/>
  <c r="F102" i="73"/>
  <c r="C102" i="73" s="1"/>
  <c r="C101" i="73"/>
  <c r="H100" i="73"/>
  <c r="F100" i="73"/>
  <c r="D100" i="73"/>
  <c r="C99" i="73"/>
  <c r="C98" i="73"/>
  <c r="C97" i="73"/>
  <c r="H96" i="73"/>
  <c r="G96" i="73"/>
  <c r="F96" i="73"/>
  <c r="E96" i="73"/>
  <c r="D96" i="73"/>
  <c r="C96" i="73" s="1"/>
  <c r="C95" i="73"/>
  <c r="F94" i="73"/>
  <c r="C94" i="73" s="1"/>
  <c r="F93" i="73"/>
  <c r="D93" i="73"/>
  <c r="D118" i="73" s="1"/>
  <c r="C92" i="73"/>
  <c r="F91" i="73"/>
  <c r="C91" i="73" s="1"/>
  <c r="C90" i="73"/>
  <c r="C89" i="73"/>
  <c r="C88" i="73"/>
  <c r="H87" i="73"/>
  <c r="C87" i="73"/>
  <c r="C86" i="73"/>
  <c r="C85" i="73"/>
  <c r="C84" i="73"/>
  <c r="C83" i="73"/>
  <c r="C82" i="73"/>
  <c r="C81" i="73"/>
  <c r="C80" i="73"/>
  <c r="C79" i="73"/>
  <c r="C78" i="73"/>
  <c r="H77" i="73"/>
  <c r="C77" i="73"/>
  <c r="C76" i="73"/>
  <c r="C75" i="73"/>
  <c r="C74" i="73"/>
  <c r="C73" i="73"/>
  <c r="F72" i="73"/>
  <c r="C72" i="73" s="1"/>
  <c r="F71" i="73"/>
  <c r="C71" i="73" s="1"/>
  <c r="F70" i="73"/>
  <c r="C70" i="73" s="1"/>
  <c r="F69" i="73"/>
  <c r="C69" i="73" s="1"/>
  <c r="F68" i="73"/>
  <c r="C68" i="73" s="1"/>
  <c r="F67" i="73"/>
  <c r="C67" i="73" s="1"/>
  <c r="C66" i="73"/>
  <c r="C65" i="73"/>
  <c r="C64" i="73"/>
  <c r="C63" i="73"/>
  <c r="C60" i="73"/>
  <c r="C59" i="73"/>
  <c r="C58" i="73"/>
  <c r="F57" i="73"/>
  <c r="C57" i="73" s="1"/>
  <c r="C56" i="73"/>
  <c r="C55" i="73"/>
  <c r="C54" i="73"/>
  <c r="C53" i="73"/>
  <c r="F52" i="73"/>
  <c r="C52" i="73" s="1"/>
  <c r="C51" i="73"/>
  <c r="C50" i="73"/>
  <c r="C49" i="73"/>
  <c r="C48" i="73"/>
  <c r="C47" i="73"/>
  <c r="C46" i="73"/>
  <c r="C45" i="73"/>
  <c r="H44" i="73"/>
  <c r="C44" i="73"/>
  <c r="C43" i="73"/>
  <c r="H42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22" i="73"/>
  <c r="C21" i="73"/>
  <c r="C20" i="73"/>
  <c r="H19" i="73"/>
  <c r="C19" i="73"/>
  <c r="C18" i="73"/>
  <c r="H17" i="73"/>
  <c r="C17" i="73"/>
  <c r="H16" i="73"/>
  <c r="C16" i="73"/>
  <c r="C15" i="73"/>
  <c r="H14" i="73"/>
  <c r="C14" i="73"/>
  <c r="H13" i="73"/>
  <c r="H118" i="73" s="1"/>
  <c r="C13" i="73"/>
  <c r="C12" i="73"/>
  <c r="C11" i="73"/>
  <c r="C10" i="73"/>
  <c r="C9" i="73"/>
  <c r="C8" i="73"/>
  <c r="C7" i="73"/>
  <c r="F118" i="73" l="1"/>
  <c r="C109" i="73"/>
  <c r="C115" i="73"/>
  <c r="C100" i="73"/>
  <c r="C93" i="73"/>
  <c r="C118" i="73" s="1"/>
  <c r="G138" i="72" l="1"/>
  <c r="F138" i="72"/>
  <c r="E137" i="72"/>
  <c r="E128" i="72"/>
  <c r="E127" i="72"/>
  <c r="E126" i="72"/>
  <c r="E125" i="72"/>
  <c r="E124" i="72"/>
  <c r="E123" i="72"/>
  <c r="E121" i="72"/>
  <c r="E111" i="72"/>
  <c r="E110" i="72"/>
  <c r="E90" i="72"/>
  <c r="E89" i="72"/>
  <c r="E85" i="72"/>
  <c r="E83" i="72"/>
  <c r="E76" i="72"/>
  <c r="E75" i="72"/>
  <c r="E74" i="72"/>
  <c r="E73" i="72"/>
  <c r="E72" i="72"/>
  <c r="E71" i="72"/>
  <c r="E70" i="72"/>
  <c r="E54" i="72"/>
  <c r="E53" i="72"/>
  <c r="E27" i="72"/>
  <c r="E26" i="72"/>
  <c r="E25" i="72"/>
  <c r="E21" i="72"/>
  <c r="E20" i="72"/>
  <c r="E19" i="72"/>
  <c r="E138" i="72" s="1"/>
  <c r="H171" i="71" l="1"/>
  <c r="D171" i="71"/>
  <c r="I170" i="71"/>
  <c r="G170" i="71"/>
  <c r="G171" i="71" s="1"/>
  <c r="I169" i="71"/>
  <c r="C169" i="71"/>
  <c r="C168" i="71"/>
  <c r="I167" i="71"/>
  <c r="C167" i="71"/>
  <c r="I166" i="71"/>
  <c r="C166" i="71" s="1"/>
  <c r="I165" i="71"/>
  <c r="C165" i="71" s="1"/>
  <c r="I164" i="71"/>
  <c r="C164" i="71" s="1"/>
  <c r="I163" i="71"/>
  <c r="C163" i="71" s="1"/>
  <c r="I162" i="71"/>
  <c r="C162" i="71" s="1"/>
  <c r="I161" i="71"/>
  <c r="C161" i="71"/>
  <c r="I160" i="71"/>
  <c r="C160" i="71" s="1"/>
  <c r="I159" i="71"/>
  <c r="C159" i="71"/>
  <c r="C158" i="71"/>
  <c r="I157" i="71"/>
  <c r="F157" i="71"/>
  <c r="C157" i="71"/>
  <c r="I156" i="71"/>
  <c r="C156" i="71" s="1"/>
  <c r="F156" i="71"/>
  <c r="I155" i="71"/>
  <c r="F155" i="71"/>
  <c r="C155" i="71" s="1"/>
  <c r="I154" i="71"/>
  <c r="C154" i="71" s="1"/>
  <c r="F153" i="71"/>
  <c r="C153" i="71" s="1"/>
  <c r="F152" i="71"/>
  <c r="C152" i="71"/>
  <c r="I151" i="71"/>
  <c r="C151" i="71" s="1"/>
  <c r="F151" i="71"/>
  <c r="I150" i="71"/>
  <c r="C150" i="71"/>
  <c r="I149" i="71"/>
  <c r="F149" i="71"/>
  <c r="C149" i="71"/>
  <c r="I148" i="71"/>
  <c r="C148" i="71" s="1"/>
  <c r="F148" i="71"/>
  <c r="I147" i="71"/>
  <c r="F147" i="71"/>
  <c r="C147" i="71" s="1"/>
  <c r="I146" i="71"/>
  <c r="C146" i="71" s="1"/>
  <c r="I145" i="71"/>
  <c r="F145" i="71"/>
  <c r="I144" i="71"/>
  <c r="F144" i="71"/>
  <c r="I143" i="71"/>
  <c r="F143" i="71"/>
  <c r="C143" i="71"/>
  <c r="I142" i="71"/>
  <c r="F142" i="71"/>
  <c r="C142" i="71"/>
  <c r="I141" i="71"/>
  <c r="C141" i="71" s="1"/>
  <c r="I140" i="71"/>
  <c r="C140" i="71" s="1"/>
  <c r="I139" i="71"/>
  <c r="C139" i="71" s="1"/>
  <c r="I138" i="71"/>
  <c r="C138" i="71" s="1"/>
  <c r="I137" i="71"/>
  <c r="C137" i="71" s="1"/>
  <c r="I136" i="71"/>
  <c r="C136" i="71"/>
  <c r="I135" i="71"/>
  <c r="C135" i="71" s="1"/>
  <c r="I134" i="71"/>
  <c r="C134" i="71"/>
  <c r="I133" i="71"/>
  <c r="C133" i="71" s="1"/>
  <c r="I132" i="71"/>
  <c r="C132" i="71" s="1"/>
  <c r="I131" i="71"/>
  <c r="C131" i="71" s="1"/>
  <c r="I130" i="71"/>
  <c r="C130" i="71" s="1"/>
  <c r="J129" i="71"/>
  <c r="I129" i="71" s="1"/>
  <c r="C129" i="71" s="1"/>
  <c r="I128" i="71"/>
  <c r="C128" i="71"/>
  <c r="J127" i="71"/>
  <c r="I127" i="71" s="1"/>
  <c r="C127" i="71" s="1"/>
  <c r="I126" i="71"/>
  <c r="C126" i="71" s="1"/>
  <c r="I125" i="71"/>
  <c r="C125" i="71" s="1"/>
  <c r="I124" i="71"/>
  <c r="C124" i="71" s="1"/>
  <c r="I123" i="71"/>
  <c r="C123" i="71" s="1"/>
  <c r="I122" i="71"/>
  <c r="C122" i="71" s="1"/>
  <c r="I121" i="71"/>
  <c r="C121" i="71"/>
  <c r="I120" i="71"/>
  <c r="C120" i="71" s="1"/>
  <c r="I119" i="71"/>
  <c r="C119" i="71"/>
  <c r="I118" i="71"/>
  <c r="C118" i="71" s="1"/>
  <c r="I117" i="71"/>
  <c r="C117" i="71" s="1"/>
  <c r="J116" i="71"/>
  <c r="I116" i="71" s="1"/>
  <c r="C116" i="71" s="1"/>
  <c r="K115" i="71"/>
  <c r="J115" i="71"/>
  <c r="I114" i="71"/>
  <c r="C114" i="71"/>
  <c r="I113" i="71"/>
  <c r="C113" i="71" s="1"/>
  <c r="I112" i="71"/>
  <c r="C112" i="71"/>
  <c r="I111" i="71"/>
  <c r="C111" i="71" s="1"/>
  <c r="I110" i="71"/>
  <c r="C110" i="71"/>
  <c r="I109" i="71"/>
  <c r="C109" i="71" s="1"/>
  <c r="I108" i="71"/>
  <c r="C108" i="71"/>
  <c r="I107" i="71"/>
  <c r="C107" i="71" s="1"/>
  <c r="I106" i="71"/>
  <c r="C106" i="71"/>
  <c r="I105" i="71"/>
  <c r="C105" i="71" s="1"/>
  <c r="I104" i="71"/>
  <c r="C104" i="71"/>
  <c r="I103" i="71"/>
  <c r="C103" i="71" s="1"/>
  <c r="I102" i="71"/>
  <c r="C102" i="71"/>
  <c r="I101" i="71"/>
  <c r="C101" i="71" s="1"/>
  <c r="I100" i="71"/>
  <c r="C100" i="71"/>
  <c r="I99" i="71"/>
  <c r="C99" i="71" s="1"/>
  <c r="I98" i="71"/>
  <c r="C98" i="71"/>
  <c r="I97" i="71"/>
  <c r="C97" i="71" s="1"/>
  <c r="I96" i="71"/>
  <c r="C96" i="71"/>
  <c r="I95" i="71"/>
  <c r="C95" i="71" s="1"/>
  <c r="I94" i="71"/>
  <c r="C94" i="71"/>
  <c r="I93" i="71"/>
  <c r="C93" i="71" s="1"/>
  <c r="I92" i="71"/>
  <c r="C92" i="71"/>
  <c r="I91" i="71"/>
  <c r="F91" i="71"/>
  <c r="C91" i="71" s="1"/>
  <c r="I90" i="71"/>
  <c r="F90" i="71"/>
  <c r="I89" i="71"/>
  <c r="C89" i="71" s="1"/>
  <c r="I88" i="71"/>
  <c r="C88" i="71"/>
  <c r="I87" i="71"/>
  <c r="C87" i="71" s="1"/>
  <c r="I86" i="71"/>
  <c r="C86" i="71"/>
  <c r="I85" i="71"/>
  <c r="C85" i="71" s="1"/>
  <c r="I84" i="71"/>
  <c r="F84" i="71"/>
  <c r="C84" i="71" s="1"/>
  <c r="I83" i="71"/>
  <c r="F83" i="71"/>
  <c r="I82" i="71"/>
  <c r="F82" i="71"/>
  <c r="I81" i="71"/>
  <c r="F81" i="71"/>
  <c r="C81" i="71"/>
  <c r="I80" i="71"/>
  <c r="F80" i="71"/>
  <c r="C80" i="71"/>
  <c r="I79" i="71"/>
  <c r="C79" i="71" s="1"/>
  <c r="F79" i="71"/>
  <c r="I78" i="71"/>
  <c r="C78" i="71"/>
  <c r="I77" i="71"/>
  <c r="C77" i="71" s="1"/>
  <c r="J76" i="71"/>
  <c r="I76" i="71"/>
  <c r="C76" i="71" s="1"/>
  <c r="I75" i="71"/>
  <c r="C75" i="71" s="1"/>
  <c r="J74" i="71"/>
  <c r="I74" i="71" s="1"/>
  <c r="C74" i="71" s="1"/>
  <c r="J73" i="71"/>
  <c r="I73" i="71"/>
  <c r="C73" i="71" s="1"/>
  <c r="I72" i="71"/>
  <c r="C72" i="71" s="1"/>
  <c r="I71" i="71"/>
  <c r="C71" i="71" s="1"/>
  <c r="I70" i="71"/>
  <c r="C70" i="71" s="1"/>
  <c r="I69" i="71"/>
  <c r="C69" i="71" s="1"/>
  <c r="J68" i="71"/>
  <c r="I68" i="71"/>
  <c r="C68" i="71" s="1"/>
  <c r="I67" i="71"/>
  <c r="C67" i="71"/>
  <c r="I66" i="71"/>
  <c r="C66" i="71" s="1"/>
  <c r="I65" i="71"/>
  <c r="C65" i="71"/>
  <c r="I64" i="71"/>
  <c r="C64" i="71" s="1"/>
  <c r="I63" i="71"/>
  <c r="C63" i="71"/>
  <c r="I62" i="71"/>
  <c r="C62" i="71" s="1"/>
  <c r="I61" i="71"/>
  <c r="C61" i="71"/>
  <c r="I60" i="71"/>
  <c r="C60" i="71" s="1"/>
  <c r="I59" i="71"/>
  <c r="C59" i="71"/>
  <c r="I58" i="71"/>
  <c r="C58" i="71" s="1"/>
  <c r="I57" i="71"/>
  <c r="C57" i="71"/>
  <c r="I56" i="71"/>
  <c r="C56" i="71" s="1"/>
  <c r="I55" i="71"/>
  <c r="C55" i="71"/>
  <c r="I54" i="71"/>
  <c r="C54" i="71" s="1"/>
  <c r="I53" i="71"/>
  <c r="C53" i="71"/>
  <c r="J52" i="71"/>
  <c r="I52" i="71" s="1"/>
  <c r="C52" i="71" s="1"/>
  <c r="I51" i="71"/>
  <c r="C51" i="71"/>
  <c r="I50" i="71"/>
  <c r="C50" i="71" s="1"/>
  <c r="I49" i="71"/>
  <c r="C49" i="71" s="1"/>
  <c r="I48" i="71"/>
  <c r="C48" i="71" s="1"/>
  <c r="I47" i="71"/>
  <c r="C47" i="71" s="1"/>
  <c r="I46" i="71"/>
  <c r="C46" i="71" s="1"/>
  <c r="I45" i="71"/>
  <c r="C45" i="71"/>
  <c r="J44" i="71"/>
  <c r="I44" i="71" s="1"/>
  <c r="C44" i="71" s="1"/>
  <c r="K43" i="71"/>
  <c r="J43" i="71"/>
  <c r="I43" i="71" s="1"/>
  <c r="C43" i="71" s="1"/>
  <c r="I42" i="71"/>
  <c r="C42" i="71" s="1"/>
  <c r="K41" i="71"/>
  <c r="J41" i="71"/>
  <c r="I41" i="71"/>
  <c r="E41" i="71"/>
  <c r="E171" i="71" s="1"/>
  <c r="I40" i="71"/>
  <c r="C40" i="71"/>
  <c r="I39" i="71"/>
  <c r="C39" i="71" s="1"/>
  <c r="I38" i="71"/>
  <c r="C38" i="71" s="1"/>
  <c r="I37" i="71"/>
  <c r="C37" i="71" s="1"/>
  <c r="I36" i="71"/>
  <c r="C36" i="71" s="1"/>
  <c r="I35" i="71"/>
  <c r="C35" i="71" s="1"/>
  <c r="I34" i="71"/>
  <c r="C34" i="71"/>
  <c r="I33" i="71"/>
  <c r="C33" i="71" s="1"/>
  <c r="I32" i="71"/>
  <c r="C32" i="71"/>
  <c r="I31" i="71"/>
  <c r="C31" i="71" s="1"/>
  <c r="I30" i="71"/>
  <c r="F30" i="71"/>
  <c r="C30" i="71"/>
  <c r="F29" i="71"/>
  <c r="C29" i="71" s="1"/>
  <c r="I28" i="71"/>
  <c r="F28" i="71"/>
  <c r="C28" i="71" s="1"/>
  <c r="I27" i="71"/>
  <c r="F27" i="71"/>
  <c r="C27" i="71" s="1"/>
  <c r="F26" i="71"/>
  <c r="C26" i="71"/>
  <c r="I25" i="71"/>
  <c r="F25" i="71"/>
  <c r="I24" i="71"/>
  <c r="F24" i="71"/>
  <c r="C24" i="71" s="1"/>
  <c r="I23" i="71"/>
  <c r="F23" i="71"/>
  <c r="C23" i="71"/>
  <c r="I22" i="71"/>
  <c r="C22" i="71" s="1"/>
  <c r="F22" i="71"/>
  <c r="I21" i="71"/>
  <c r="C21" i="71"/>
  <c r="I20" i="71"/>
  <c r="C20" i="71" s="1"/>
  <c r="I19" i="71"/>
  <c r="C19" i="71"/>
  <c r="I18" i="71"/>
  <c r="C18" i="71" s="1"/>
  <c r="I17" i="71"/>
  <c r="C17" i="71"/>
  <c r="I16" i="71"/>
  <c r="C16" i="71" s="1"/>
  <c r="I15" i="71"/>
  <c r="C15" i="71"/>
  <c r="I14" i="71"/>
  <c r="C14" i="71" s="1"/>
  <c r="I13" i="71"/>
  <c r="C13" i="71"/>
  <c r="I12" i="71"/>
  <c r="C12" i="71" s="1"/>
  <c r="J11" i="71"/>
  <c r="I11" i="71"/>
  <c r="C11" i="71" s="1"/>
  <c r="I10" i="71"/>
  <c r="C10" i="71" s="1"/>
  <c r="I9" i="71"/>
  <c r="C9" i="71" s="1"/>
  <c r="I8" i="71"/>
  <c r="C8" i="71" s="1"/>
  <c r="J7" i="71"/>
  <c r="C90" i="71" l="1"/>
  <c r="J171" i="71"/>
  <c r="C25" i="71"/>
  <c r="K171" i="71"/>
  <c r="C83" i="71"/>
  <c r="C145" i="71"/>
  <c r="C170" i="71"/>
  <c r="C82" i="71"/>
  <c r="I115" i="71"/>
  <c r="C115" i="71" s="1"/>
  <c r="C144" i="71"/>
  <c r="F171" i="71"/>
  <c r="I7" i="71"/>
  <c r="C41" i="71"/>
  <c r="I31" i="62"/>
  <c r="H31" i="62"/>
  <c r="G31" i="62"/>
  <c r="F31" i="62"/>
  <c r="D31" i="62" s="1"/>
  <c r="I30" i="62"/>
  <c r="H30" i="62"/>
  <c r="G30" i="62"/>
  <c r="E30" i="62" s="1"/>
  <c r="F30" i="62"/>
  <c r="D30" i="62" s="1"/>
  <c r="I29" i="62"/>
  <c r="H29" i="62"/>
  <c r="G29" i="62"/>
  <c r="E29" i="62" s="1"/>
  <c r="F29" i="62"/>
  <c r="D29" i="62" s="1"/>
  <c r="I28" i="62"/>
  <c r="H28" i="62"/>
  <c r="G28" i="62"/>
  <c r="E28" i="62" s="1"/>
  <c r="F28" i="62"/>
  <c r="D28" i="62"/>
  <c r="I27" i="62"/>
  <c r="H27" i="62"/>
  <c r="G27" i="62"/>
  <c r="F27" i="62"/>
  <c r="D27" i="62" s="1"/>
  <c r="I26" i="62"/>
  <c r="H26" i="62"/>
  <c r="G26" i="62"/>
  <c r="E26" i="62" s="1"/>
  <c r="F26" i="62"/>
  <c r="D26" i="62" s="1"/>
  <c r="I25" i="62"/>
  <c r="H25" i="62"/>
  <c r="G25" i="62"/>
  <c r="E25" i="62" s="1"/>
  <c r="F25" i="62"/>
  <c r="D25" i="62" s="1"/>
  <c r="I24" i="62"/>
  <c r="H24" i="62"/>
  <c r="G24" i="62"/>
  <c r="E24" i="62" s="1"/>
  <c r="F24" i="62"/>
  <c r="D24" i="62"/>
  <c r="I23" i="62"/>
  <c r="H23" i="62"/>
  <c r="G23" i="62"/>
  <c r="F23" i="62"/>
  <c r="D23" i="62" s="1"/>
  <c r="I22" i="62"/>
  <c r="H22" i="62"/>
  <c r="G22" i="62"/>
  <c r="E22" i="62" s="1"/>
  <c r="F22" i="62"/>
  <c r="D22" i="62" s="1"/>
  <c r="I21" i="62"/>
  <c r="H21" i="62"/>
  <c r="G21" i="62"/>
  <c r="E21" i="62" s="1"/>
  <c r="F21" i="62"/>
  <c r="D21" i="62" s="1"/>
  <c r="I20" i="62"/>
  <c r="H20" i="62"/>
  <c r="G20" i="62"/>
  <c r="E20" i="62" s="1"/>
  <c r="F20" i="62"/>
  <c r="D20" i="62"/>
  <c r="I19" i="62"/>
  <c r="H19" i="62"/>
  <c r="G19" i="62"/>
  <c r="F19" i="62"/>
  <c r="D19" i="62" s="1"/>
  <c r="I18" i="62"/>
  <c r="H18" i="62"/>
  <c r="G18" i="62"/>
  <c r="E18" i="62" s="1"/>
  <c r="F18" i="62"/>
  <c r="D18" i="62" s="1"/>
  <c r="I17" i="62"/>
  <c r="H17" i="62"/>
  <c r="G17" i="62"/>
  <c r="F17" i="62"/>
  <c r="D17" i="62" s="1"/>
  <c r="E16" i="62"/>
  <c r="D16" i="62"/>
  <c r="I15" i="62"/>
  <c r="E15" i="62" s="1"/>
  <c r="H15" i="62"/>
  <c r="D15" i="62" s="1"/>
  <c r="I14" i="62"/>
  <c r="H14" i="62"/>
  <c r="G14" i="62"/>
  <c r="E14" i="62" s="1"/>
  <c r="F14" i="62"/>
  <c r="D14" i="62"/>
  <c r="I13" i="62"/>
  <c r="H13" i="62"/>
  <c r="G13" i="62"/>
  <c r="F13" i="62"/>
  <c r="D13" i="62" s="1"/>
  <c r="I12" i="62"/>
  <c r="H12" i="62"/>
  <c r="G12" i="62"/>
  <c r="E12" i="62" s="1"/>
  <c r="F12" i="62"/>
  <c r="D12" i="62" s="1"/>
  <c r="I11" i="62"/>
  <c r="H11" i="62"/>
  <c r="G11" i="62"/>
  <c r="E11" i="62" s="1"/>
  <c r="F11" i="62"/>
  <c r="D11" i="62" s="1"/>
  <c r="I10" i="62"/>
  <c r="H10" i="62"/>
  <c r="G10" i="62"/>
  <c r="E10" i="62" s="1"/>
  <c r="F10" i="62"/>
  <c r="D10" i="62"/>
  <c r="I9" i="62"/>
  <c r="H9" i="62"/>
  <c r="G9" i="62"/>
  <c r="F9" i="62"/>
  <c r="D9" i="62" s="1"/>
  <c r="I32" i="62" l="1"/>
  <c r="C12" i="62"/>
  <c r="C16" i="62"/>
  <c r="C18" i="62"/>
  <c r="C22" i="62"/>
  <c r="C26" i="62"/>
  <c r="C30" i="62"/>
  <c r="I171" i="71"/>
  <c r="C7" i="71"/>
  <c r="C171" i="71" s="1"/>
  <c r="C11" i="62"/>
  <c r="C15" i="62"/>
  <c r="C21" i="62"/>
  <c r="C25" i="62"/>
  <c r="C29" i="62"/>
  <c r="C10" i="62"/>
  <c r="H32" i="62"/>
  <c r="C14" i="62"/>
  <c r="C20" i="62"/>
  <c r="C24" i="62"/>
  <c r="C28" i="62"/>
  <c r="G32" i="62"/>
  <c r="E13" i="62"/>
  <c r="C13" i="62" s="1"/>
  <c r="E19" i="62"/>
  <c r="C19" i="62" s="1"/>
  <c r="E23" i="62"/>
  <c r="C23" i="62" s="1"/>
  <c r="E27" i="62"/>
  <c r="C27" i="62" s="1"/>
  <c r="E31" i="62"/>
  <c r="C31" i="62" s="1"/>
  <c r="F32" i="62"/>
  <c r="E17" i="62"/>
  <c r="C17" i="62"/>
  <c r="D32" i="62"/>
  <c r="E9" i="62"/>
  <c r="Q164" i="69"/>
  <c r="P164" i="69"/>
  <c r="N164" i="69"/>
  <c r="K164" i="69"/>
  <c r="J164" i="69"/>
  <c r="H164" i="69"/>
  <c r="G164" i="69"/>
  <c r="F164" i="69"/>
  <c r="E164" i="69"/>
  <c r="D164" i="69"/>
  <c r="I163" i="69"/>
  <c r="C163" i="69"/>
  <c r="C162" i="69"/>
  <c r="C161" i="69"/>
  <c r="C160" i="69"/>
  <c r="C159" i="69"/>
  <c r="C158" i="69"/>
  <c r="C157" i="69"/>
  <c r="C156" i="69"/>
  <c r="C155" i="69"/>
  <c r="C154" i="69"/>
  <c r="C153" i="69"/>
  <c r="C152" i="69"/>
  <c r="C151" i="69"/>
  <c r="C150" i="69"/>
  <c r="C149" i="69"/>
  <c r="C148" i="69"/>
  <c r="C147" i="69"/>
  <c r="C146" i="69"/>
  <c r="C145" i="69"/>
  <c r="C144" i="69"/>
  <c r="C143" i="69"/>
  <c r="I142" i="69"/>
  <c r="C142" i="69" s="1"/>
  <c r="I141" i="69"/>
  <c r="C141" i="69" s="1"/>
  <c r="I140" i="69"/>
  <c r="C140" i="69" s="1"/>
  <c r="I139" i="69"/>
  <c r="C139" i="69" s="1"/>
  <c r="I138" i="69"/>
  <c r="C138" i="69" s="1"/>
  <c r="O137" i="69"/>
  <c r="I137" i="69"/>
  <c r="C137" i="69" s="1"/>
  <c r="I136" i="69"/>
  <c r="C136" i="69" s="1"/>
  <c r="C135" i="69"/>
  <c r="C134" i="69"/>
  <c r="C133" i="69"/>
  <c r="C132" i="69"/>
  <c r="C131" i="69"/>
  <c r="C130" i="69"/>
  <c r="C129" i="69"/>
  <c r="C128" i="69"/>
  <c r="C127" i="69"/>
  <c r="C126" i="69"/>
  <c r="C125" i="69"/>
  <c r="I124" i="69"/>
  <c r="C124" i="69"/>
  <c r="L123" i="69"/>
  <c r="C123" i="69" s="1"/>
  <c r="C122" i="69"/>
  <c r="L121" i="69"/>
  <c r="C121" i="69"/>
  <c r="C120" i="69"/>
  <c r="C119" i="69"/>
  <c r="C118" i="69"/>
  <c r="C117" i="69"/>
  <c r="C116" i="69"/>
  <c r="C115" i="69"/>
  <c r="C114" i="69"/>
  <c r="C113" i="69"/>
  <c r="C112" i="69"/>
  <c r="C111" i="69"/>
  <c r="C110" i="69"/>
  <c r="C109" i="69"/>
  <c r="C108" i="69"/>
  <c r="C107" i="69"/>
  <c r="C106" i="69"/>
  <c r="C105" i="69"/>
  <c r="C104" i="69"/>
  <c r="C103" i="69"/>
  <c r="C102" i="69"/>
  <c r="C101" i="69"/>
  <c r="C100" i="69"/>
  <c r="C99" i="69"/>
  <c r="C98" i="69"/>
  <c r="C97" i="69"/>
  <c r="C96" i="69"/>
  <c r="C95" i="69"/>
  <c r="T94" i="69"/>
  <c r="T164" i="69" s="1"/>
  <c r="M94" i="69"/>
  <c r="M164" i="69" s="1"/>
  <c r="L94" i="69"/>
  <c r="E94" i="69"/>
  <c r="C93" i="69"/>
  <c r="C92" i="69"/>
  <c r="C91" i="69"/>
  <c r="C90" i="69"/>
  <c r="C89" i="69"/>
  <c r="C88" i="69"/>
  <c r="C87" i="69"/>
  <c r="C86" i="69"/>
  <c r="I85" i="69"/>
  <c r="C85" i="69"/>
  <c r="R84" i="69"/>
  <c r="R164" i="69" s="1"/>
  <c r="O84" i="69"/>
  <c r="I84" i="69"/>
  <c r="C83" i="69"/>
  <c r="C82" i="69"/>
  <c r="C81" i="69"/>
  <c r="C80" i="69"/>
  <c r="C79" i="69"/>
  <c r="I78" i="69"/>
  <c r="C78" i="69" s="1"/>
  <c r="I77" i="69"/>
  <c r="C77" i="69" s="1"/>
  <c r="I76" i="69"/>
  <c r="C76" i="69" s="1"/>
  <c r="C75" i="69"/>
  <c r="C74" i="69"/>
  <c r="L73" i="69"/>
  <c r="C73" i="69" s="1"/>
  <c r="L72" i="69"/>
  <c r="C72" i="69" s="1"/>
  <c r="I71" i="69"/>
  <c r="C71" i="69" s="1"/>
  <c r="L70" i="69"/>
  <c r="C70" i="69" s="1"/>
  <c r="L69" i="69"/>
  <c r="C69" i="69" s="1"/>
  <c r="C68" i="69"/>
  <c r="C67" i="69"/>
  <c r="C66" i="69"/>
  <c r="C65" i="69"/>
  <c r="C64" i="69"/>
  <c r="C63" i="69"/>
  <c r="C62" i="69"/>
  <c r="C61" i="69"/>
  <c r="C60" i="69"/>
  <c r="C59" i="69"/>
  <c r="C58" i="69"/>
  <c r="C57" i="69"/>
  <c r="C56" i="69"/>
  <c r="S55" i="69"/>
  <c r="S164" i="69" s="1"/>
  <c r="L55" i="69"/>
  <c r="C55" i="69" s="1"/>
  <c r="C54" i="69"/>
  <c r="C53" i="69"/>
  <c r="C52" i="69"/>
  <c r="C51" i="69"/>
  <c r="C50" i="69"/>
  <c r="C49" i="69"/>
  <c r="C48" i="69"/>
  <c r="C47" i="69"/>
  <c r="C46" i="69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C31" i="69"/>
  <c r="C30" i="69"/>
  <c r="C29" i="69"/>
  <c r="C28" i="69"/>
  <c r="C27" i="69"/>
  <c r="C26" i="69"/>
  <c r="I25" i="69"/>
  <c r="C25" i="69"/>
  <c r="C24" i="69"/>
  <c r="C23" i="69"/>
  <c r="C22" i="69"/>
  <c r="C21" i="69"/>
  <c r="C20" i="69"/>
  <c r="C19" i="69"/>
  <c r="C18" i="69"/>
  <c r="C17" i="69"/>
  <c r="C16" i="69"/>
  <c r="C15" i="69"/>
  <c r="L14" i="69"/>
  <c r="C14" i="69"/>
  <c r="C13" i="69"/>
  <c r="C12" i="69"/>
  <c r="C11" i="69"/>
  <c r="L10" i="69"/>
  <c r="C10" i="69" s="1"/>
  <c r="I164" i="68"/>
  <c r="H164" i="68"/>
  <c r="F164" i="68"/>
  <c r="E164" i="68"/>
  <c r="J163" i="68"/>
  <c r="G163" i="68"/>
  <c r="D163" i="68"/>
  <c r="J162" i="68"/>
  <c r="G162" i="68"/>
  <c r="D162" i="68"/>
  <c r="J161" i="68"/>
  <c r="G161" i="68"/>
  <c r="D161" i="68"/>
  <c r="J160" i="68"/>
  <c r="G160" i="68"/>
  <c r="D160" i="68"/>
  <c r="J159" i="68"/>
  <c r="G159" i="68"/>
  <c r="D159" i="68"/>
  <c r="J158" i="68"/>
  <c r="G158" i="68"/>
  <c r="D158" i="68"/>
  <c r="J157" i="68"/>
  <c r="G157" i="68"/>
  <c r="D157" i="68"/>
  <c r="J156" i="68"/>
  <c r="G156" i="68"/>
  <c r="D156" i="68"/>
  <c r="J155" i="68"/>
  <c r="G155" i="68"/>
  <c r="D155" i="68"/>
  <c r="J154" i="68"/>
  <c r="G154" i="68"/>
  <c r="D154" i="68"/>
  <c r="J153" i="68"/>
  <c r="G153" i="68"/>
  <c r="D153" i="68"/>
  <c r="J152" i="68"/>
  <c r="G152" i="68"/>
  <c r="D152" i="68"/>
  <c r="J151" i="68"/>
  <c r="G151" i="68"/>
  <c r="D151" i="68"/>
  <c r="J150" i="68"/>
  <c r="G150" i="68"/>
  <c r="D150" i="68"/>
  <c r="J149" i="68"/>
  <c r="G149" i="68"/>
  <c r="D149" i="68"/>
  <c r="J148" i="68"/>
  <c r="G148" i="68"/>
  <c r="D148" i="68"/>
  <c r="J147" i="68"/>
  <c r="G147" i="68"/>
  <c r="D147" i="68"/>
  <c r="J146" i="68"/>
  <c r="G146" i="68"/>
  <c r="D146" i="68"/>
  <c r="J145" i="68"/>
  <c r="G145" i="68"/>
  <c r="D145" i="68"/>
  <c r="J144" i="68"/>
  <c r="G144" i="68"/>
  <c r="D144" i="68"/>
  <c r="J143" i="68"/>
  <c r="G143" i="68"/>
  <c r="D143" i="68"/>
  <c r="J142" i="68"/>
  <c r="G142" i="68"/>
  <c r="D142" i="68"/>
  <c r="J141" i="68"/>
  <c r="G141" i="68"/>
  <c r="D141" i="68"/>
  <c r="J140" i="68"/>
  <c r="G140" i="68"/>
  <c r="D140" i="68"/>
  <c r="J139" i="68"/>
  <c r="G139" i="68"/>
  <c r="D139" i="68"/>
  <c r="J138" i="68"/>
  <c r="G138" i="68"/>
  <c r="D138" i="68"/>
  <c r="J137" i="68"/>
  <c r="G137" i="68"/>
  <c r="D137" i="68"/>
  <c r="J136" i="68"/>
  <c r="G136" i="68"/>
  <c r="D136" i="68"/>
  <c r="J135" i="68"/>
  <c r="G135" i="68"/>
  <c r="D135" i="68"/>
  <c r="J134" i="68"/>
  <c r="G134" i="68"/>
  <c r="D134" i="68"/>
  <c r="J133" i="68"/>
  <c r="G133" i="68"/>
  <c r="D133" i="68"/>
  <c r="J132" i="68"/>
  <c r="G132" i="68"/>
  <c r="D132" i="68"/>
  <c r="J131" i="68"/>
  <c r="G131" i="68"/>
  <c r="D131" i="68"/>
  <c r="J130" i="68"/>
  <c r="G130" i="68"/>
  <c r="D130" i="68"/>
  <c r="J129" i="68"/>
  <c r="G129" i="68"/>
  <c r="D129" i="68"/>
  <c r="J128" i="68"/>
  <c r="G128" i="68"/>
  <c r="D128" i="68"/>
  <c r="J127" i="68"/>
  <c r="G127" i="68"/>
  <c r="D127" i="68"/>
  <c r="J126" i="68"/>
  <c r="G126" i="68"/>
  <c r="D126" i="68"/>
  <c r="J125" i="68"/>
  <c r="G125" i="68"/>
  <c r="D125" i="68"/>
  <c r="J124" i="68"/>
  <c r="G124" i="68"/>
  <c r="D124" i="68"/>
  <c r="J123" i="68"/>
  <c r="G123" i="68"/>
  <c r="D123" i="68"/>
  <c r="J122" i="68"/>
  <c r="G122" i="68"/>
  <c r="D122" i="68"/>
  <c r="J121" i="68"/>
  <c r="G121" i="68"/>
  <c r="D121" i="68"/>
  <c r="J120" i="68"/>
  <c r="G120" i="68"/>
  <c r="D120" i="68"/>
  <c r="J119" i="68"/>
  <c r="G119" i="68"/>
  <c r="D119" i="68"/>
  <c r="J118" i="68"/>
  <c r="G118" i="68"/>
  <c r="D118" i="68"/>
  <c r="J117" i="68"/>
  <c r="G117" i="68"/>
  <c r="D117" i="68"/>
  <c r="J116" i="68"/>
  <c r="G116" i="68"/>
  <c r="D116" i="68"/>
  <c r="J115" i="68"/>
  <c r="G115" i="68"/>
  <c r="D115" i="68"/>
  <c r="J114" i="68"/>
  <c r="G114" i="68"/>
  <c r="D114" i="68"/>
  <c r="J113" i="68"/>
  <c r="G113" i="68"/>
  <c r="D113" i="68"/>
  <c r="J112" i="68"/>
  <c r="G112" i="68"/>
  <c r="D112" i="68"/>
  <c r="J111" i="68"/>
  <c r="G111" i="68"/>
  <c r="D111" i="68"/>
  <c r="J110" i="68"/>
  <c r="G110" i="68"/>
  <c r="D110" i="68"/>
  <c r="J109" i="68"/>
  <c r="G109" i="68"/>
  <c r="D109" i="68"/>
  <c r="J108" i="68"/>
  <c r="G108" i="68"/>
  <c r="D108" i="68"/>
  <c r="J107" i="68"/>
  <c r="G107" i="68"/>
  <c r="D107" i="68"/>
  <c r="J106" i="68"/>
  <c r="G106" i="68"/>
  <c r="D106" i="68"/>
  <c r="J105" i="68"/>
  <c r="G105" i="68"/>
  <c r="D105" i="68"/>
  <c r="J104" i="68"/>
  <c r="G104" i="68"/>
  <c r="D104" i="68"/>
  <c r="J103" i="68"/>
  <c r="G103" i="68"/>
  <c r="D103" i="68"/>
  <c r="J102" i="68"/>
  <c r="G102" i="68"/>
  <c r="D102" i="68"/>
  <c r="J101" i="68"/>
  <c r="G101" i="68"/>
  <c r="D101" i="68"/>
  <c r="J100" i="68"/>
  <c r="G100" i="68"/>
  <c r="D100" i="68"/>
  <c r="J99" i="68"/>
  <c r="G99" i="68"/>
  <c r="D99" i="68"/>
  <c r="J98" i="68"/>
  <c r="G98" i="68"/>
  <c r="D98" i="68"/>
  <c r="J97" i="68"/>
  <c r="G97" i="68"/>
  <c r="D97" i="68"/>
  <c r="J96" i="68"/>
  <c r="G96" i="68"/>
  <c r="D96" i="68"/>
  <c r="J95" i="68"/>
  <c r="G95" i="68"/>
  <c r="D95" i="68"/>
  <c r="J94" i="68"/>
  <c r="G94" i="68"/>
  <c r="D94" i="68"/>
  <c r="J93" i="68"/>
  <c r="G93" i="68"/>
  <c r="D93" i="68"/>
  <c r="J92" i="68"/>
  <c r="G92" i="68"/>
  <c r="D92" i="68"/>
  <c r="J91" i="68"/>
  <c r="G91" i="68"/>
  <c r="D91" i="68"/>
  <c r="J90" i="68"/>
  <c r="G90" i="68"/>
  <c r="D90" i="68"/>
  <c r="J89" i="68"/>
  <c r="G89" i="68"/>
  <c r="D89" i="68"/>
  <c r="J88" i="68"/>
  <c r="G88" i="68"/>
  <c r="D88" i="68"/>
  <c r="J87" i="68"/>
  <c r="G87" i="68"/>
  <c r="D87" i="68"/>
  <c r="J86" i="68"/>
  <c r="G86" i="68"/>
  <c r="D86" i="68"/>
  <c r="J85" i="68"/>
  <c r="G85" i="68"/>
  <c r="D85" i="68"/>
  <c r="J84" i="68"/>
  <c r="G84" i="68"/>
  <c r="D84" i="68"/>
  <c r="J83" i="68"/>
  <c r="G83" i="68"/>
  <c r="D83" i="68"/>
  <c r="J82" i="68"/>
  <c r="G82" i="68"/>
  <c r="D82" i="68"/>
  <c r="J81" i="68"/>
  <c r="G81" i="68"/>
  <c r="D81" i="68"/>
  <c r="J80" i="68"/>
  <c r="G80" i="68"/>
  <c r="D80" i="68"/>
  <c r="J79" i="68"/>
  <c r="G79" i="68"/>
  <c r="D79" i="68"/>
  <c r="J78" i="68"/>
  <c r="G78" i="68"/>
  <c r="D78" i="68"/>
  <c r="J77" i="68"/>
  <c r="G77" i="68"/>
  <c r="D77" i="68"/>
  <c r="J76" i="68"/>
  <c r="G76" i="68"/>
  <c r="D76" i="68"/>
  <c r="J75" i="68"/>
  <c r="G75" i="68"/>
  <c r="D75" i="68"/>
  <c r="J74" i="68"/>
  <c r="G74" i="68"/>
  <c r="D74" i="68"/>
  <c r="J73" i="68"/>
  <c r="G73" i="68"/>
  <c r="D73" i="68"/>
  <c r="J72" i="68"/>
  <c r="G72" i="68"/>
  <c r="D72" i="68"/>
  <c r="J71" i="68"/>
  <c r="G71" i="68"/>
  <c r="D71" i="68"/>
  <c r="J70" i="68"/>
  <c r="G70" i="68"/>
  <c r="D70" i="68"/>
  <c r="J69" i="68"/>
  <c r="G69" i="68"/>
  <c r="D69" i="68"/>
  <c r="J68" i="68"/>
  <c r="G68" i="68"/>
  <c r="D68" i="68"/>
  <c r="J67" i="68"/>
  <c r="G67" i="68"/>
  <c r="D67" i="68"/>
  <c r="J66" i="68"/>
  <c r="G66" i="68"/>
  <c r="D66" i="68"/>
  <c r="J65" i="68"/>
  <c r="G65" i="68"/>
  <c r="D65" i="68"/>
  <c r="J64" i="68"/>
  <c r="G64" i="68"/>
  <c r="D64" i="68"/>
  <c r="J63" i="68"/>
  <c r="G63" i="68"/>
  <c r="D63" i="68"/>
  <c r="J62" i="68"/>
  <c r="G62" i="68"/>
  <c r="D62" i="68"/>
  <c r="J61" i="68"/>
  <c r="G61" i="68"/>
  <c r="D61" i="68"/>
  <c r="J60" i="68"/>
  <c r="G60" i="68"/>
  <c r="D60" i="68"/>
  <c r="J59" i="68"/>
  <c r="G59" i="68"/>
  <c r="D59" i="68"/>
  <c r="J58" i="68"/>
  <c r="G58" i="68"/>
  <c r="D58" i="68"/>
  <c r="J57" i="68"/>
  <c r="G57" i="68"/>
  <c r="D57" i="68"/>
  <c r="J56" i="68"/>
  <c r="G56" i="68"/>
  <c r="D56" i="68"/>
  <c r="J55" i="68"/>
  <c r="G55" i="68"/>
  <c r="D55" i="68"/>
  <c r="J54" i="68"/>
  <c r="G54" i="68"/>
  <c r="D54" i="68"/>
  <c r="J53" i="68"/>
  <c r="G53" i="68"/>
  <c r="D53" i="68"/>
  <c r="J52" i="68"/>
  <c r="G52" i="68"/>
  <c r="D52" i="68"/>
  <c r="J51" i="68"/>
  <c r="G51" i="68"/>
  <c r="D51" i="68"/>
  <c r="J50" i="68"/>
  <c r="G50" i="68"/>
  <c r="D50" i="68"/>
  <c r="J49" i="68"/>
  <c r="G49" i="68"/>
  <c r="D49" i="68"/>
  <c r="J48" i="68"/>
  <c r="G48" i="68"/>
  <c r="D48" i="68"/>
  <c r="J47" i="68"/>
  <c r="G47" i="68"/>
  <c r="D47" i="68"/>
  <c r="J46" i="68"/>
  <c r="G46" i="68"/>
  <c r="D46" i="68"/>
  <c r="J45" i="68"/>
  <c r="G45" i="68"/>
  <c r="D45" i="68"/>
  <c r="J44" i="68"/>
  <c r="G44" i="68"/>
  <c r="D44" i="68"/>
  <c r="J43" i="68"/>
  <c r="G43" i="68"/>
  <c r="D43" i="68"/>
  <c r="J42" i="68"/>
  <c r="G42" i="68"/>
  <c r="D42" i="68"/>
  <c r="J41" i="68"/>
  <c r="G41" i="68"/>
  <c r="D41" i="68"/>
  <c r="J40" i="68"/>
  <c r="G40" i="68"/>
  <c r="D40" i="68"/>
  <c r="J39" i="68"/>
  <c r="G39" i="68"/>
  <c r="D39" i="68"/>
  <c r="J38" i="68"/>
  <c r="J37" i="68"/>
  <c r="J36" i="68"/>
  <c r="J35" i="68"/>
  <c r="G35" i="68"/>
  <c r="D35" i="68"/>
  <c r="J34" i="68"/>
  <c r="G34" i="68"/>
  <c r="D34" i="68"/>
  <c r="J33" i="68"/>
  <c r="G33" i="68"/>
  <c r="D33" i="68"/>
  <c r="J32" i="68"/>
  <c r="G32" i="68"/>
  <c r="D32" i="68"/>
  <c r="J31" i="68"/>
  <c r="G31" i="68"/>
  <c r="D31" i="68"/>
  <c r="J30" i="68"/>
  <c r="G30" i="68"/>
  <c r="D30" i="68"/>
  <c r="J29" i="68"/>
  <c r="G29" i="68"/>
  <c r="D29" i="68"/>
  <c r="J28" i="68"/>
  <c r="G28" i="68"/>
  <c r="D28" i="68"/>
  <c r="J27" i="68"/>
  <c r="G27" i="68"/>
  <c r="D27" i="68"/>
  <c r="J26" i="68"/>
  <c r="G26" i="68"/>
  <c r="D26" i="68"/>
  <c r="J25" i="68"/>
  <c r="G25" i="68"/>
  <c r="D25" i="68"/>
  <c r="J24" i="68"/>
  <c r="G24" i="68"/>
  <c r="D24" i="68"/>
  <c r="J23" i="68"/>
  <c r="G23" i="68"/>
  <c r="D23" i="68"/>
  <c r="J22" i="68"/>
  <c r="G22" i="68"/>
  <c r="D22" i="68"/>
  <c r="J21" i="68"/>
  <c r="G21" i="68"/>
  <c r="D21" i="68"/>
  <c r="J20" i="68"/>
  <c r="G20" i="68"/>
  <c r="D20" i="68"/>
  <c r="J19" i="68"/>
  <c r="G19" i="68"/>
  <c r="D19" i="68"/>
  <c r="J18" i="68"/>
  <c r="G18" i="68"/>
  <c r="D18" i="68"/>
  <c r="J17" i="68"/>
  <c r="G17" i="68"/>
  <c r="D17" i="68"/>
  <c r="J16" i="68"/>
  <c r="G16" i="68"/>
  <c r="D16" i="68"/>
  <c r="J15" i="68"/>
  <c r="G15" i="68"/>
  <c r="D15" i="68"/>
  <c r="J14" i="68"/>
  <c r="G14" i="68"/>
  <c r="D14" i="68"/>
  <c r="J13" i="68"/>
  <c r="G13" i="68"/>
  <c r="D13" i="68"/>
  <c r="J12" i="68"/>
  <c r="G12" i="68"/>
  <c r="D12" i="68"/>
  <c r="J11" i="68"/>
  <c r="G11" i="68"/>
  <c r="D11" i="68"/>
  <c r="J10" i="68"/>
  <c r="G10" i="68"/>
  <c r="D10" i="68"/>
  <c r="C119" i="68" l="1"/>
  <c r="C123" i="68"/>
  <c r="C131" i="68"/>
  <c r="C139" i="68"/>
  <c r="C143" i="68"/>
  <c r="C147" i="68"/>
  <c r="C155" i="68"/>
  <c r="O164" i="69"/>
  <c r="C115" i="68"/>
  <c r="C127" i="68"/>
  <c r="C135" i="68"/>
  <c r="C151" i="68"/>
  <c r="C159" i="68"/>
  <c r="C163" i="68"/>
  <c r="C10" i="68"/>
  <c r="J164" i="68"/>
  <c r="C14" i="68"/>
  <c r="C18" i="68"/>
  <c r="C22" i="68"/>
  <c r="C26" i="68"/>
  <c r="C30" i="68"/>
  <c r="C34" i="68"/>
  <c r="C42" i="68"/>
  <c r="C46" i="68"/>
  <c r="C50" i="68"/>
  <c r="C54" i="68"/>
  <c r="C58" i="68"/>
  <c r="C62" i="68"/>
  <c r="C66" i="68"/>
  <c r="C70" i="68"/>
  <c r="C74" i="68"/>
  <c r="C78" i="68"/>
  <c r="C82" i="68"/>
  <c r="C86" i="68"/>
  <c r="C90" i="68"/>
  <c r="C94" i="68"/>
  <c r="C98" i="68"/>
  <c r="C102" i="68"/>
  <c r="C106" i="68"/>
  <c r="C110" i="68"/>
  <c r="C114" i="68"/>
  <c r="C117" i="68"/>
  <c r="C121" i="68"/>
  <c r="C125" i="68"/>
  <c r="C129" i="68"/>
  <c r="C133" i="68"/>
  <c r="C137" i="68"/>
  <c r="C141" i="68"/>
  <c r="C145" i="68"/>
  <c r="C149" i="68"/>
  <c r="C153" i="68"/>
  <c r="C157" i="68"/>
  <c r="C161" i="68"/>
  <c r="C94" i="69"/>
  <c r="E32" i="62"/>
  <c r="C9" i="62"/>
  <c r="C32" i="62" s="1"/>
  <c r="I164" i="69"/>
  <c r="C84" i="69"/>
  <c r="C164" i="69" s="1"/>
  <c r="L164" i="69"/>
  <c r="C13" i="68"/>
  <c r="C17" i="68"/>
  <c r="C21" i="68"/>
  <c r="C25" i="68"/>
  <c r="C29" i="68"/>
  <c r="C33" i="68"/>
  <c r="C41" i="68"/>
  <c r="C45" i="68"/>
  <c r="C49" i="68"/>
  <c r="C53" i="68"/>
  <c r="C57" i="68"/>
  <c r="C61" i="68"/>
  <c r="C65" i="68"/>
  <c r="C69" i="68"/>
  <c r="C73" i="68"/>
  <c r="C77" i="68"/>
  <c r="C81" i="68"/>
  <c r="C85" i="68"/>
  <c r="C89" i="68"/>
  <c r="C93" i="68"/>
  <c r="C97" i="68"/>
  <c r="C101" i="68"/>
  <c r="C105" i="68"/>
  <c r="C109" i="68"/>
  <c r="C113" i="68"/>
  <c r="C116" i="68"/>
  <c r="C120" i="68"/>
  <c r="C124" i="68"/>
  <c r="C128" i="68"/>
  <c r="C132" i="68"/>
  <c r="C136" i="68"/>
  <c r="C140" i="68"/>
  <c r="C144" i="68"/>
  <c r="C148" i="68"/>
  <c r="C152" i="68"/>
  <c r="C156" i="68"/>
  <c r="C160" i="68"/>
  <c r="C40" i="68"/>
  <c r="C44" i="68"/>
  <c r="C48" i="68"/>
  <c r="C52" i="68"/>
  <c r="C56" i="68"/>
  <c r="C60" i="68"/>
  <c r="C64" i="68"/>
  <c r="C68" i="68"/>
  <c r="C72" i="68"/>
  <c r="C76" i="68"/>
  <c r="C80" i="68"/>
  <c r="C84" i="68"/>
  <c r="C88" i="68"/>
  <c r="C92" i="68"/>
  <c r="C96" i="68"/>
  <c r="C100" i="68"/>
  <c r="C104" i="68"/>
  <c r="C108" i="68"/>
  <c r="C112" i="68"/>
  <c r="C39" i="68"/>
  <c r="C43" i="68"/>
  <c r="C47" i="68"/>
  <c r="C51" i="68"/>
  <c r="C55" i="68"/>
  <c r="C59" i="68"/>
  <c r="C63" i="68"/>
  <c r="C67" i="68"/>
  <c r="C71" i="68"/>
  <c r="C75" i="68"/>
  <c r="C79" i="68"/>
  <c r="C83" i="68"/>
  <c r="C87" i="68"/>
  <c r="C91" i="68"/>
  <c r="C95" i="68"/>
  <c r="C99" i="68"/>
  <c r="C103" i="68"/>
  <c r="C107" i="68"/>
  <c r="C111" i="68"/>
  <c r="D164" i="68"/>
  <c r="G164" i="68"/>
  <c r="C12" i="68"/>
  <c r="C16" i="68"/>
  <c r="C20" i="68"/>
  <c r="C24" i="68"/>
  <c r="C28" i="68"/>
  <c r="C32" i="68"/>
  <c r="C11" i="68"/>
  <c r="C15" i="68"/>
  <c r="C19" i="68"/>
  <c r="C23" i="68"/>
  <c r="C27" i="68"/>
  <c r="C31" i="68"/>
  <c r="C35" i="68"/>
  <c r="C118" i="68"/>
  <c r="C122" i="68"/>
  <c r="C126" i="68"/>
  <c r="C130" i="68"/>
  <c r="C134" i="68"/>
  <c r="C138" i="68"/>
  <c r="C142" i="68"/>
  <c r="C146" i="68"/>
  <c r="C150" i="68"/>
  <c r="C154" i="68"/>
  <c r="C158" i="68"/>
  <c r="C162" i="68"/>
  <c r="C164" i="68" l="1"/>
  <c r="L30" i="65" l="1"/>
  <c r="J30" i="65"/>
  <c r="P29" i="65"/>
  <c r="N29" i="65"/>
  <c r="Q29" i="65" s="1"/>
  <c r="I29" i="65"/>
  <c r="K29" i="65" s="1"/>
  <c r="Q28" i="65"/>
  <c r="I28" i="65"/>
  <c r="K28" i="65" s="1"/>
  <c r="P27" i="65"/>
  <c r="O27" i="65"/>
  <c r="I27" i="65"/>
  <c r="K27" i="65" s="1"/>
  <c r="Q26" i="65"/>
  <c r="I26" i="65"/>
  <c r="K26" i="65" s="1"/>
  <c r="R26" i="65" s="1"/>
  <c r="Q25" i="65"/>
  <c r="H25" i="65"/>
  <c r="H30" i="65" s="1"/>
  <c r="G25" i="65"/>
  <c r="G30" i="65" s="1"/>
  <c r="F25" i="65"/>
  <c r="F30" i="65" s="1"/>
  <c r="E25" i="65"/>
  <c r="E30" i="65" s="1"/>
  <c r="D25" i="65"/>
  <c r="D30" i="65" s="1"/>
  <c r="C25" i="65"/>
  <c r="C30" i="65" s="1"/>
  <c r="Q24" i="65"/>
  <c r="I24" i="65"/>
  <c r="K24" i="65" s="1"/>
  <c r="P23" i="65"/>
  <c r="O23" i="65"/>
  <c r="N23" i="65"/>
  <c r="I23" i="65"/>
  <c r="K23" i="65" s="1"/>
  <c r="Q22" i="65"/>
  <c r="I22" i="65"/>
  <c r="K22" i="65" s="1"/>
  <c r="R22" i="65" s="1"/>
  <c r="Q21" i="65"/>
  <c r="M21" i="65"/>
  <c r="I21" i="65"/>
  <c r="K21" i="65" s="1"/>
  <c r="Q20" i="65"/>
  <c r="M20" i="65"/>
  <c r="I20" i="65"/>
  <c r="K20" i="65" s="1"/>
  <c r="R20" i="65" s="1"/>
  <c r="P19" i="65"/>
  <c r="O19" i="65"/>
  <c r="Q19" i="65" s="1"/>
  <c r="I19" i="65"/>
  <c r="K19" i="65" s="1"/>
  <c r="R19" i="65" s="1"/>
  <c r="P18" i="65"/>
  <c r="O18" i="65"/>
  <c r="N18" i="65"/>
  <c r="I18" i="65"/>
  <c r="K18" i="65" s="1"/>
  <c r="P17" i="65"/>
  <c r="O17" i="65"/>
  <c r="N17" i="65"/>
  <c r="I17" i="65"/>
  <c r="K17" i="65" s="1"/>
  <c r="P16" i="65"/>
  <c r="O16" i="65"/>
  <c r="N16" i="65"/>
  <c r="Q16" i="65" s="1"/>
  <c r="I16" i="65"/>
  <c r="K16" i="65" s="1"/>
  <c r="P15" i="65"/>
  <c r="O15" i="65"/>
  <c r="N15" i="65"/>
  <c r="I15" i="65"/>
  <c r="K15" i="65" s="1"/>
  <c r="P14" i="65"/>
  <c r="O14" i="65"/>
  <c r="Q14" i="65" s="1"/>
  <c r="I14" i="65"/>
  <c r="K14" i="65" s="1"/>
  <c r="R14" i="65" s="1"/>
  <c r="P13" i="65"/>
  <c r="O13" i="65"/>
  <c r="N13" i="65"/>
  <c r="I13" i="65"/>
  <c r="K13" i="65" s="1"/>
  <c r="P12" i="65"/>
  <c r="O12" i="65"/>
  <c r="N12" i="65"/>
  <c r="I12" i="65"/>
  <c r="K12" i="65" s="1"/>
  <c r="P11" i="65"/>
  <c r="O11" i="65"/>
  <c r="N11" i="65"/>
  <c r="Q11" i="65" s="1"/>
  <c r="I11" i="65"/>
  <c r="K11" i="65" s="1"/>
  <c r="P10" i="65"/>
  <c r="O10" i="65"/>
  <c r="I10" i="65"/>
  <c r="K10" i="65" s="1"/>
  <c r="P9" i="65"/>
  <c r="O9" i="65"/>
  <c r="I9" i="65"/>
  <c r="K9" i="65" s="1"/>
  <c r="Q8" i="65"/>
  <c r="I8" i="65"/>
  <c r="K8" i="65" s="1"/>
  <c r="P7" i="65"/>
  <c r="O7" i="65"/>
  <c r="N7" i="65"/>
  <c r="N30" i="65" s="1"/>
  <c r="I7" i="65"/>
  <c r="K7" i="65" s="1"/>
  <c r="P6" i="65"/>
  <c r="O6" i="65"/>
  <c r="Q6" i="65" s="1"/>
  <c r="I6" i="65"/>
  <c r="K6" i="65" s="1"/>
  <c r="F7" i="61"/>
  <c r="C7" i="61"/>
  <c r="G7" i="61" s="1"/>
  <c r="G6" i="61"/>
  <c r="F6" i="61"/>
  <c r="F5" i="61" s="1"/>
  <c r="F8" i="61" s="1"/>
  <c r="C6" i="61"/>
  <c r="D6" i="61" s="1"/>
  <c r="H6" i="61" s="1"/>
  <c r="E5" i="61"/>
  <c r="E8" i="61" s="1"/>
  <c r="M30" i="65" l="1"/>
  <c r="G5" i="61"/>
  <c r="G8" i="61" s="1"/>
  <c r="C5" i="61"/>
  <c r="C8" i="61" s="1"/>
  <c r="Q9" i="65"/>
  <c r="Q12" i="65"/>
  <c r="R12" i="65" s="1"/>
  <c r="Q17" i="65"/>
  <c r="R17" i="65" s="1"/>
  <c r="R21" i="65"/>
  <c r="P30" i="65"/>
  <c r="Q7" i="65"/>
  <c r="R7" i="65" s="1"/>
  <c r="R8" i="65"/>
  <c r="R9" i="65"/>
  <c r="Q10" i="65"/>
  <c r="R11" i="65"/>
  <c r="Q13" i="65"/>
  <c r="R13" i="65" s="1"/>
  <c r="Q15" i="65"/>
  <c r="R15" i="65" s="1"/>
  <c r="R16" i="65"/>
  <c r="Q18" i="65"/>
  <c r="R18" i="65" s="1"/>
  <c r="Q23" i="65"/>
  <c r="R23" i="65" s="1"/>
  <c r="R24" i="65"/>
  <c r="Q27" i="65"/>
  <c r="R27" i="65" s="1"/>
  <c r="R28" i="65"/>
  <c r="R29" i="65"/>
  <c r="R10" i="65"/>
  <c r="R6" i="65"/>
  <c r="I25" i="65"/>
  <c r="K25" i="65" s="1"/>
  <c r="R25" i="65" s="1"/>
  <c r="O30" i="65"/>
  <c r="D7" i="61"/>
  <c r="Q30" i="65" l="1"/>
  <c r="K30" i="65"/>
  <c r="R30" i="65"/>
  <c r="I30" i="65"/>
  <c r="H7" i="61"/>
  <c r="H5" i="61" s="1"/>
  <c r="H8" i="61" s="1"/>
  <c r="D5" i="61"/>
  <c r="D8" i="61" s="1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E8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итогам 7 мес. невыполнение v - 85% </t>
        </r>
      </text>
    </comment>
  </commentList>
</comments>
</file>

<file path=xl/sharedStrings.xml><?xml version="1.0" encoding="utf-8"?>
<sst xmlns="http://schemas.openxmlformats.org/spreadsheetml/2006/main" count="1611" uniqueCount="644">
  <si>
    <t>№ п/п</t>
  </si>
  <si>
    <t>ГБУЗ РБ Аскаровская ЦРБ</t>
  </si>
  <si>
    <t>ГБУЗ РБ Раевская ЦРБ</t>
  </si>
  <si>
    <t>ГБУЗ РБ Архангельская ЦРБ</t>
  </si>
  <si>
    <t>ГБУЗ РБ Аскинская ЦРБ</t>
  </si>
  <si>
    <t>ГБУЗ РБ Толбазинская ЦРБ</t>
  </si>
  <si>
    <t>ГБУЗ РБ Баймакская ЦГБ</t>
  </si>
  <si>
    <t>ГБУЗ РБ Бакалинская ЦРБ</t>
  </si>
  <si>
    <t>ГБУЗ РБ Балтачевская ЦРБ</t>
  </si>
  <si>
    <t>ГБУЗ РБ Белебеевская ЦРБ</t>
  </si>
  <si>
    <t>ГБУЗ РБ Белокатайская ЦРБ</t>
  </si>
  <si>
    <t>ГБУЗ РБ Белорецкая ЦРКБ</t>
  </si>
  <si>
    <t>ГБУЗ РБ Бижбулякская ЦРБ</t>
  </si>
  <si>
    <t>ГБУЗ РБ Бирская ЦРБ</t>
  </si>
  <si>
    <t>ГБУЗ РБ Языковская ЦРБ</t>
  </si>
  <si>
    <t>ГБУЗ РБ Благовещенская ЦРБ</t>
  </si>
  <si>
    <t>ГБУЗ РБ Буздякская ЦРБ</t>
  </si>
  <si>
    <t>ГБУЗ РБ Бураевская ЦРБ</t>
  </si>
  <si>
    <t>ГБУЗ РБ Бурзянская ЦРБ</t>
  </si>
  <si>
    <t>ГБУЗ РБ Красноусольская ЦРБ</t>
  </si>
  <si>
    <t>ГБУЗ РБ Давлекановская ЦРБ</t>
  </si>
  <si>
    <t>ГБУЗ РБ Месягутовская ЦРБ</t>
  </si>
  <si>
    <t>ГБУЗ РБ Дюртюлинская ЦРБ</t>
  </si>
  <si>
    <t>ГБУЗ РБ Ермекеевская ЦРБ</t>
  </si>
  <si>
    <t>ГБУЗ РБ Исянгуловская ЦРБ</t>
  </si>
  <si>
    <t>ГБУЗ РБ Зилаирская ЦРБ</t>
  </si>
  <si>
    <t>ГБУЗ РБ Иглинская ЦРБ</t>
  </si>
  <si>
    <t>ГБУЗ РБ Верхнеяркеевская ЦРБ</t>
  </si>
  <si>
    <t>ГБУЗ РБ Ишимбайская ЦРБ</t>
  </si>
  <si>
    <t>ГБУЗ РБ Калтасинская ЦРБ</t>
  </si>
  <si>
    <t>ГБУЗ РБ Караидельская ЦРБ</t>
  </si>
  <si>
    <t>ГБУЗ РБ Кармаскалинская ЦРБ</t>
  </si>
  <si>
    <t>ГБУЗ РБ Кигинская ЦРБ</t>
  </si>
  <si>
    <t>ГБУЗ РБ Краснокамская ЦРБ</t>
  </si>
  <si>
    <t>ГБУЗ РБ Мраковская ЦРБ</t>
  </si>
  <si>
    <t>ГБУЗ РБ Кушнаренковская ЦРБ</t>
  </si>
  <si>
    <t>ГБУЗ РБ ГБ г.Кумертау</t>
  </si>
  <si>
    <t>ГБУЗ РБ Мелеузовская ЦРБ</t>
  </si>
  <si>
    <t>ГБУЗ РБ Большеустьикинская ЦРБ</t>
  </si>
  <si>
    <t>ГБУЗ РБ Мишкинская ЦРБ</t>
  </si>
  <si>
    <t>ГБУЗ РБ Миякинская ЦРБ</t>
  </si>
  <si>
    <t>ГБУЗ РБ Нуримановская ЦРБ</t>
  </si>
  <si>
    <t>ГБУЗ РБ Малоязовская ЦРБ</t>
  </si>
  <si>
    <t>ГБУЗ РБ Стерлибашевская ЦРБ</t>
  </si>
  <si>
    <t>ГБУЗ РБ Верхне-Татышлинская ЦРБ</t>
  </si>
  <si>
    <t>ГБУЗ РБ Туймазинская ЦРБ</t>
  </si>
  <si>
    <t>ГАУЗ РБ Учалинская ЦГБ</t>
  </si>
  <si>
    <t>ГБУЗ РБ Федоровская ЦРБ</t>
  </si>
  <si>
    <t>ГБУЗ РБ Акъярская ЦРБ</t>
  </si>
  <si>
    <t>ГБУЗ РБ Чекмагушевская ЦРБ</t>
  </si>
  <si>
    <t>ГБУЗ РБ Чишминская ЦРБ</t>
  </si>
  <si>
    <t>ГБУЗ РБ Шаранская ЦРБ</t>
  </si>
  <si>
    <t>ГБУЗ РБ Янаульская ЦРБ</t>
  </si>
  <si>
    <t>ГБУЗ РБ ЦГБ г.Сибай</t>
  </si>
  <si>
    <t>ГБУЗ РБ ГБ г.Салават</t>
  </si>
  <si>
    <t>ГБУЗ РБ Городская больница №2 г.Стерлитамак</t>
  </si>
  <si>
    <t>ГБУЗ РБ КБ №1 г.Стерлитамак</t>
  </si>
  <si>
    <t>ГБУЗ РБ ГБ №9 г.Уфа</t>
  </si>
  <si>
    <t>ГБУЗ РБ ГКБ №8 г.Уфа</t>
  </si>
  <si>
    <t>ГБУЗ РБ ГКБ №10 г.Уфа</t>
  </si>
  <si>
    <t>ГБУЗ РБ ГБ №12 г.Уфа</t>
  </si>
  <si>
    <t>ГБУЗ РБ ГКБ №13 г.Уфа</t>
  </si>
  <si>
    <t>ГАУЗ РБ ГКБ №18 г.Уфа</t>
  </si>
  <si>
    <t>ГБУЗ РБ ГКБ №5 г.Уфа</t>
  </si>
  <si>
    <t>ГБУЗ РБ ГДКБ №17 г.Уфа</t>
  </si>
  <si>
    <t>ФГБОУ ВО БГМУ Минздрава России</t>
  </si>
  <si>
    <t>ГБУЗ РДКБ</t>
  </si>
  <si>
    <t>ГБУЗ РБ БСМП г.Уфа</t>
  </si>
  <si>
    <t>ГБУЗ РБ ИКБ №4 г.Уфа</t>
  </si>
  <si>
    <t>Медицинская помощь за пределами РБ</t>
  </si>
  <si>
    <t>ГБУЗ РБ ГБ г. Нефтекамск</t>
  </si>
  <si>
    <t>Обособленное структурное подразделение ГБУЗ РБ ГБ г.Нефтекамск, ранее именуемое ГБУЗ РБ Агидельская ГБ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</si>
  <si>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</si>
  <si>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</si>
  <si>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</si>
  <si>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Детская больница г.Стерлитамак</t>
  </si>
  <si>
    <t>ГАУЗ РБ КВД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</si>
  <si>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</si>
  <si>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ГАУЗ РБ КВД г.Салават</t>
  </si>
  <si>
    <t>Обособленное структурное подразделение ГБУЗ РБ ЦГБ города Кумертау, ранее именуемое ГБУЗ РБ Ермолаевская ЦРБ</t>
  </si>
  <si>
    <t>ООО "Медсервис" (г.Салават)</t>
  </si>
  <si>
    <t>ГБУЗ РБ ГБ №1 г. Октябрьский</t>
  </si>
  <si>
    <t>ГБУЗ РБ РД №3 г.Уфа</t>
  </si>
  <si>
    <t>ФКУЗ "МСЧ МВД России по Республике Башкортостан"</t>
  </si>
  <si>
    <t>ООО "МЦ МЕГИ" (г.Уфа)</t>
  </si>
  <si>
    <t>ГБУЗ РКБ им. Г.Г. Куватова</t>
  </si>
  <si>
    <t>ГБУ "УфНИИ ГБ АН РБ"</t>
  </si>
  <si>
    <t>ГБУЗ РКПЦ МЗ РБ</t>
  </si>
  <si>
    <t xml:space="preserve">ГБУЗ РБ ГКБ №21 г.Уфа </t>
  </si>
  <si>
    <t>ГБУЗ РБ Городская инфекционная больница г.Стерлитамак</t>
  </si>
  <si>
    <t>ГАУЗ РКОД  МЗ РБ</t>
  </si>
  <si>
    <t>ГБУЗ РКЦ</t>
  </si>
  <si>
    <t>ГБУЗ РКГВВ</t>
  </si>
  <si>
    <t>Наименование медицинской организации</t>
  </si>
  <si>
    <t>Всего в рамках программы ОМС</t>
  </si>
  <si>
    <t xml:space="preserve">В рамках базовой программы ОМС </t>
  </si>
  <si>
    <t>ЧУЗ "КБ"РЖД - Медицина" г.Уфа"</t>
  </si>
  <si>
    <t>Медицинская помощь, оказываемая в круглосуточных стационарах на 2020 год.</t>
  </si>
  <si>
    <t>Случаи госпитализации</t>
  </si>
  <si>
    <t>ВМП</t>
  </si>
  <si>
    <t xml:space="preserve">в том числе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</si>
  <si>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</si>
  <si>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</si>
  <si>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</si>
  <si>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>Обособленное структурное подразделение ГБУЗ РБ ГКБ №21 г.Уфа , ранее именуемое ГБУЗ РБ Уфимская ЦРП</t>
  </si>
  <si>
    <t>Обособленное структурное подразделение ГБУЗ РБ ГКБ №13 г.Уфа , ранее именуемое ГБУЗ РБ ГБ №12 г.Уфа</t>
  </si>
  <si>
    <t>ФГБУЗ "МСЧ №142 ФМБА"</t>
  </si>
  <si>
    <t>ГБУЗ РБ ГКБ Дёмского района г.Уфы</t>
  </si>
  <si>
    <t>Обособленное структурное подразделение Родильный дом Государственного бюджетного учреждения здравоохранения Республики Башкортостан ГБ г.Салават</t>
  </si>
  <si>
    <t>ООО "Клиника глазных болезней" (г.Уфа)</t>
  </si>
  <si>
    <t>ООО "ММЦ "Клиника аллергологии и педиатрии" (г.Уфа)</t>
  </si>
  <si>
    <t>ООО "ММЦ "Профилактическая медицина" (г.Уфа)</t>
  </si>
  <si>
    <t>ООО "Медицинский центр Семья" (г.Уфа)</t>
  </si>
  <si>
    <t>ООО РКСР "Здоровье нации" (г.Уфа)</t>
  </si>
  <si>
    <t>ООО "Санаторий "Зеленая роща" (г.Уфа)</t>
  </si>
  <si>
    <t xml:space="preserve">ООО санаторий "Юматово" </t>
  </si>
  <si>
    <t>ООО "ЦМТ" (г.Уфа)</t>
  </si>
  <si>
    <t>ФБУН "Уфимский НИИ медицины труда и экологии человека"</t>
  </si>
  <si>
    <t>ООО "МД Проект 2010" (г.Уфа)</t>
  </si>
  <si>
    <t>ФГБУ "ВЦГПХ" Минздрава России</t>
  </si>
  <si>
    <t>ИТОГО</t>
  </si>
  <si>
    <t>Объем, перечень видов ВМП, финансовое обеспечение которых осуществляется за счет средств ОМС, установленные Комиссией по дневному стационару на 2020 год.</t>
  </si>
  <si>
    <t>№ группы ВМП</t>
  </si>
  <si>
    <t>Норматив финансовых затрат на единицу объема ВМП (руб.)</t>
  </si>
  <si>
    <t>ООО "ПЭТ-Технолоджи"</t>
  </si>
  <si>
    <t>ООО "Центр ПЭТ-Технолоджи"</t>
  </si>
  <si>
    <t>Итого</t>
  </si>
  <si>
    <t xml:space="preserve">Количество случаев  госпитализации </t>
  </si>
  <si>
    <t>Стоимость ВМП (руб.)</t>
  </si>
  <si>
    <t xml:space="preserve">Онкология </t>
  </si>
  <si>
    <t>Всего</t>
  </si>
  <si>
    <t>Объемы оказания медицинской помощи в условиях дневных стационаров на 2020 год.</t>
  </si>
  <si>
    <t>(случаи госпитализации)</t>
  </si>
  <si>
    <t>Наименование учреждения здравоохранения</t>
  </si>
  <si>
    <t>В том числе</t>
  </si>
  <si>
    <t>ВМП  профиль "онкология"</t>
  </si>
  <si>
    <t>в том числе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</si>
  <si>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</si>
  <si>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</si>
  <si>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</si>
  <si>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</si>
  <si>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</si>
  <si>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</si>
  <si>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</si>
  <si>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</si>
  <si>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</si>
  <si>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ГАУЗ РБ Санаторий для детей Нур</t>
  </si>
  <si>
    <t>ГБУЗ РБ ГБ г.Нефтекамск</t>
  </si>
  <si>
    <t>ГБУЗ РБ КБ № 1 г.Стерлитамак</t>
  </si>
  <si>
    <t>ГБУЗ РБ ГБ №2 г.Стерлитамак</t>
  </si>
  <si>
    <t>ГБУЗ РБ ГБ №3 г.Стерлитамак</t>
  </si>
  <si>
    <t>ГБУЗ РБ ГБ №4 г.Стерлитамак</t>
  </si>
  <si>
    <t>ГБУЗ РБ ГБ №1 г.Октябрьский</t>
  </si>
  <si>
    <t>ГБУЗ РБ ГИБ г.Стерлитамак</t>
  </si>
  <si>
    <t>ГБУЗ РБ ДБ г. Стерлитамак</t>
  </si>
  <si>
    <t>ОСП ГБУЗ РБ ГБ г.Нефтекамск, ранее именуемое ГБУЗ РБ Агидельская ГБ</t>
  </si>
  <si>
    <t>ОСП ГБУЗ РБ ЦГБ города Кумертау, ранее именуемое ГБУЗ РБ Ермолаевская ЦРБ</t>
  </si>
  <si>
    <t>ОСП ГБУЗ РБ ГБ города Салават, ранее именуемое ГБУЗ РБ Детская ГБ города Салават</t>
  </si>
  <si>
    <t>ОСП Родильный дом ГБУЗ РБ ГБ г.Салават</t>
  </si>
  <si>
    <t>ОСП ГБУЗ РБ ГБ №4 города Стерлитамак ранее именуемое ГБУЗ РБ Стерлитамакская ЦРП</t>
  </si>
  <si>
    <t>ОСП ГБУЗ РБ ГКБ №21 г.Уфа , ранее именуемое ГБУЗ РБ Уфимская ЦРП</t>
  </si>
  <si>
    <t>ООО «АНЭКО»</t>
  </si>
  <si>
    <t>ООО Еромед-Уфа</t>
  </si>
  <si>
    <t>ООО  "Клиника глазных болезней"</t>
  </si>
  <si>
    <t>ООО "Клиника современной флебологии"</t>
  </si>
  <si>
    <t xml:space="preserve">ООО "Лаборатория гемодиализа" </t>
  </si>
  <si>
    <t>ООО "Медсервис"</t>
  </si>
  <si>
    <t>ООО Медсервис (Верхнеяркеево)</t>
  </si>
  <si>
    <t xml:space="preserve">ООО "МД Проект 2010" </t>
  </si>
  <si>
    <t>ООО "ММЦ "Клиника аллергологии и педиатрии"</t>
  </si>
  <si>
    <t>ООО «МЦ МЕГИ»</t>
  </si>
  <si>
    <t xml:space="preserve">ООО МЦ "Семейный доктор" </t>
  </si>
  <si>
    <t>ООО РКСР Здоровье нации</t>
  </si>
  <si>
    <t>ООО «ЦМТ»</t>
  </si>
  <si>
    <t>ООО "Юхелф"</t>
  </si>
  <si>
    <t>Поликлиника УФИЦ РАН</t>
  </si>
  <si>
    <t>ФГБУЗ "Медико-санитарная часть № 142 Федерального медико-биологического агентства"</t>
  </si>
  <si>
    <t>ЧУЗ "РЖД-Медицина" г.Стерлитамак"</t>
  </si>
  <si>
    <t>ГБУЗ РБ ДП № 2 г.Уфа</t>
  </si>
  <si>
    <t>ГБУЗ РБ ДП № 3 г.Уфа</t>
  </si>
  <si>
    <t>ГБУЗ РБ Детская поликлиника № 4</t>
  </si>
  <si>
    <t>ГБУЗ РБ ДП № 5 г.Уфа</t>
  </si>
  <si>
    <t>ГБУЗ РБ ДП № 6 г.Уфа</t>
  </si>
  <si>
    <t>ГБУЗ РБ Поликлиника № 1 г Уфа</t>
  </si>
  <si>
    <t>ГБУЗ РБ Поликлиника № 2 г.Уфа</t>
  </si>
  <si>
    <t>ГБУЗ РБ Поликлиника № 32 г.Уфа</t>
  </si>
  <si>
    <t>ГБУЗ РБ Поликлиника № 38 г.Уфа</t>
  </si>
  <si>
    <t>ГБУЗ РБ Поликлиника № 43 г.Уфа</t>
  </si>
  <si>
    <t>ГБУЗ РБ Поликлиника № 44 г.Уфа</t>
  </si>
  <si>
    <t>ГБУЗ РБ Поликлиника № 46 г.Уфа</t>
  </si>
  <si>
    <t>ГБУЗ РБ Поликлиника № 48 г.Уфа</t>
  </si>
  <si>
    <t>ГБУЗ РБ Поликлиника № 50 г.Уфа</t>
  </si>
  <si>
    <t>ГБУЗ РБ Поликлиника № 51 г.Уфа</t>
  </si>
  <si>
    <t>ГБУЗ РБ Поликлиника № 52 г.Уфа</t>
  </si>
  <si>
    <t>ГБУЗ РБ ГКБ Демского района г.Уфа</t>
  </si>
  <si>
    <t>ГБУЗ РБ ГКБ № 5 г.Уфа</t>
  </si>
  <si>
    <t>ГБУЗ РБ ГКБ № 8 г.Уфа</t>
  </si>
  <si>
    <t>ГБУЗ РБ ГБ № 9 г.Уфа</t>
  </si>
  <si>
    <t>ГБУЗ РБ ГКБ № 10 г.Уфа</t>
  </si>
  <si>
    <t>ГБУЗ РБ ГБ № 12 г. Уфа</t>
  </si>
  <si>
    <t>Обособленное структурное подразделение ГБУЗ РБ ГКБ №13 г.Уфа, ранее именуемое ГБУЗ РБ ГБ №12 г.Уфа</t>
  </si>
  <si>
    <t>ГБУЗ РБ ГКБ № 13 г. Уфа</t>
  </si>
  <si>
    <t>ГБУЗ РБ ГДКБ № 17 г.Уфа</t>
  </si>
  <si>
    <t>ГБУЗ РБ ГКБ № 18 г.Уфа</t>
  </si>
  <si>
    <t>ГБУЗ РБ РД № 3 г.Уфа</t>
  </si>
  <si>
    <t>ГБУЗ РКОД МЗ РБ</t>
  </si>
  <si>
    <t>ГАУЗ РКВД №1</t>
  </si>
  <si>
    <t>ГБУЗ РМГЦ</t>
  </si>
  <si>
    <t>ГАУЗ РВФД</t>
  </si>
  <si>
    <t>ГБУЗ РБ ГКБ № 21 г. Уфа</t>
  </si>
  <si>
    <t>ГБУЗ РБ ИКБ № 4 г.Уфа</t>
  </si>
  <si>
    <t>ООО "ПЭТ-Технолоджи",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</si>
  <si>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</si>
  <si>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</si>
  <si>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</si>
  <si>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ООО "Центр ПЭТ-Технолоджи", в том числе:</t>
  </si>
  <si>
    <t>ООО "ММЦ Медикал Он Груп-Уфа"</t>
  </si>
  <si>
    <t xml:space="preserve">Объемы лечебно-диагностических исследований, оказываемых в амбулаторно-поликлинических условиях на 2020 год.                                                                                                                                                 </t>
  </si>
  <si>
    <t xml:space="preserve">Радиоизотопная диагностика </t>
  </si>
  <si>
    <t xml:space="preserve">Лучевая терапия                          </t>
  </si>
  <si>
    <t>Компьютер-ная томография в центре ПЭТ</t>
  </si>
  <si>
    <t>Ультразвуковое скрининговое исследование</t>
  </si>
  <si>
    <t xml:space="preserve">Сцинтиграфия </t>
  </si>
  <si>
    <t xml:space="preserve">Рено-графия </t>
  </si>
  <si>
    <t>Ультра-звуковой этап комплекс-ного скрининго-вого исследова-ния в сроке беремен-ности 11-14 недель</t>
  </si>
  <si>
    <t>Ультра-звуковое скрининго-вое исследова-ние в сроке беремен-ности 18-21 неделя</t>
  </si>
  <si>
    <t>Ультра-звуковое скрининго-вое исследова-ние в сроке беремен-ности 30-34 недели</t>
  </si>
  <si>
    <t>сцинти-графия в режиме "все тело"</t>
  </si>
  <si>
    <t>сцинти-графия планарная</t>
  </si>
  <si>
    <t>сцинти-графия дина-мическая</t>
  </si>
  <si>
    <t>Однофотон-ная эмиссион-ная компьютер-ная томография (ОФЭКТ)</t>
  </si>
  <si>
    <t>Однофотон-ная эмиссион-ная компьютер-ная томогра-фия, совмещенная с компьютер-ной томографией (ОФЭКТ/КТ)</t>
  </si>
  <si>
    <t>радио-метрия</t>
  </si>
  <si>
    <t>ГБУЗ РБ ГБ № 3 г.Стерлитамак</t>
  </si>
  <si>
    <t xml:space="preserve">ГБУЗ РБ ГБ г. Нефтекамск </t>
  </si>
  <si>
    <t>ГБУЗ РБ ГБ № 1 г.Октябрьский</t>
  </si>
  <si>
    <t>ГБУЗ РБ Родильный дом №3 г.Уфа</t>
  </si>
  <si>
    <t>ГБУЗ РБ Поликлиника №50 г.Уфа</t>
  </si>
  <si>
    <t xml:space="preserve">ООО "ПЭТ-Технолоджи" </t>
  </si>
  <si>
    <t xml:space="preserve">ООО "Центр ПЭТ-Технолоджи"                           </t>
  </si>
  <si>
    <t>ЧУЗ «КБ «РЖД - Медицина»                    г. Уфа»</t>
  </si>
  <si>
    <t>ГБУЗ РКБ им. Г.Г.Куватова</t>
  </si>
  <si>
    <t>ГАУЗ РКОД МЗ РБ</t>
  </si>
  <si>
    <t>ГБУЗ "РКПЦ" МЗ РБ</t>
  </si>
  <si>
    <t xml:space="preserve">ГБУЗ РБ ГКБ № 21 г.Уфа </t>
  </si>
  <si>
    <t xml:space="preserve">Объемы отдельных диагностических исследований, оказываемых в амбулаторно-поликлинических условиях, на 2020 год.                </t>
  </si>
  <si>
    <t>Наименование медицинских организаций</t>
  </si>
  <si>
    <t>УЗИ сердечно-сосудистой системы</t>
  </si>
  <si>
    <t>Эхо-кардиография</t>
  </si>
  <si>
    <t>УЗДС брахио-цефальных артерий</t>
  </si>
  <si>
    <t>УЗДС магистральных артерий и вен нижних конечностей</t>
  </si>
  <si>
    <t>ГБУЗ РБ Баймакская ЦРБ</t>
  </si>
  <si>
    <t>ГБУЗ РБ Белорецкая ЦРБ</t>
  </si>
  <si>
    <t>ГБУЗ РБ ГБ г. Салават</t>
  </si>
  <si>
    <t>ГБУЗ РБ КБ № 1 г. Стерлитамак</t>
  </si>
  <si>
    <t>ГБУЗ РБ ГБ № 2 г. Стерлитамак</t>
  </si>
  <si>
    <t>ГБУЗ РБ ГБ № 3 г. Стерлитамак</t>
  </si>
  <si>
    <t xml:space="preserve">ГБУЗ РБ ГБ № 4 г. Стерлитамак </t>
  </si>
  <si>
    <t>ГБУЗ РБ ГБ № 1 г. Октябрьский</t>
  </si>
  <si>
    <t>ГБУЗ РБ Детская больница 
г. Стерлитамак</t>
  </si>
  <si>
    <t>ГАУЗ РБ Учалинская ЦРБ</t>
  </si>
  <si>
    <t>ГБУЗ РБ ЦГБ г. Сибай</t>
  </si>
  <si>
    <t>ООО "Медсервис" г. Салават</t>
  </si>
  <si>
    <t>ФГБУЗ РБ "Поликлиника Уфимского НЦ РАН"</t>
  </si>
  <si>
    <t xml:space="preserve">ФГБУЗ МЧС №142 ФМБА </t>
  </si>
  <si>
    <t>ЧУЗ "РЖД- МЕДИЦИНА" г. Стерлитамак"</t>
  </si>
  <si>
    <t>ЧУЗ "КБ "РЖД-МЕДИЦИНА" г. Уфа"</t>
  </si>
  <si>
    <t xml:space="preserve">ГБУЗ РБ Детская поликлиника №2 г. Уфа </t>
  </si>
  <si>
    <t xml:space="preserve">ГБУЗ РБ Детская поликлиника №3 г. Уфа </t>
  </si>
  <si>
    <t xml:space="preserve">ГБУЗ РБ Детская поликлиника №4 г. Уфа </t>
  </si>
  <si>
    <t xml:space="preserve">ГБУЗ РБ Детская поликлиника №5 г. Уфа </t>
  </si>
  <si>
    <t xml:space="preserve">ГБУЗ РБ Детская поликлиника №6 г. Уфа </t>
  </si>
  <si>
    <t>ГБУЗ РБ Поликлиника № 1 г. Уфа</t>
  </si>
  <si>
    <t>ГБУЗ РБ Поликлиника № 2 г. Уфа</t>
  </si>
  <si>
    <t>ГБУЗ РБ Поликлиника № 32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</si>
  <si>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</si>
  <si>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</si>
  <si>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</si>
  <si>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</si>
  <si>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</si>
  <si>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</si>
  <si>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 xml:space="preserve">ГБУЗ РБ ГКБ Демского района г. Уфы  </t>
  </si>
  <si>
    <t xml:space="preserve">ГБУЗ РБ ГКБ № 5 г. Уфа </t>
  </si>
  <si>
    <t>ГБУЗ РБ ГКБ № 8 г. Уфа</t>
  </si>
  <si>
    <t>ГБУЗ РБ ГБ № 9 г. Уфа</t>
  </si>
  <si>
    <t>ГБУЗ РБ ГКБ № 10 г. Уфа</t>
  </si>
  <si>
    <t>ГБУЗ РБ ГКБ № 12 г. Уфа</t>
  </si>
  <si>
    <t>ГБУЗ РБ ГДКБ № 17 г. Уфа</t>
  </si>
  <si>
    <t>ГБУЗ РБ ГКБ № 18 г. Уфа</t>
  </si>
  <si>
    <t>ГБУЗ РБ Поликлиника № 38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</si>
  <si>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</t>
  </si>
  <si>
    <t>Эндоскопические диагностические исследования</t>
  </si>
  <si>
    <t>Гистологические исследования</t>
  </si>
  <si>
    <t>Молекулярно-генетические исследования</t>
  </si>
  <si>
    <t>Бронхо-скопия</t>
  </si>
  <si>
    <t>Гастро-скопия</t>
  </si>
  <si>
    <t>План в рамках Приказа 364-Д от 28.02.2020г</t>
  </si>
  <si>
    <t>План в рамках Приказа 2269-Д от 19.12.2019 (2 этап скрининга колоректального рака)</t>
  </si>
  <si>
    <t>Колоно-скопия всего</t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</si>
  <si>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</si>
  <si>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</si>
  <si>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</si>
  <si>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</si>
  <si>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</si>
  <si>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</si>
  <si>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</si>
  <si>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</si>
  <si>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</si>
  <si>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</si>
  <si>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Иные**( молекулярно-генетические исследования мутаций в гене MSI, IDH 1/ 2, TP53, MGMT (метил-е), MLH1 (метил-е), стандартные кариотипирование  костного мозга)</t>
  </si>
  <si>
    <t>Колоноскопия</t>
  </si>
  <si>
    <t>Колоно-скопия</t>
  </si>
  <si>
    <t xml:space="preserve">Колоно-скопия с наркозом </t>
  </si>
  <si>
    <t xml:space="preserve">Колоно-скопия с полип-эктомией </t>
  </si>
  <si>
    <t>ГБУЗ РБ Большеустикинская ЦРБ</t>
  </si>
  <si>
    <t>ГБУЗ РБ Детская больница г. Стерлитамак</t>
  </si>
  <si>
    <t>ФГБУЗ МСЧ № 142 ФМБА</t>
  </si>
  <si>
    <t>ЧУЗ «КБ «РЖД - Медицина» г. Уфа»</t>
  </si>
  <si>
    <t>ЧУЗ «РЖД- Медицина» г.Стерлитамак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</si>
  <si>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</si>
  <si>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</si>
  <si>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</si>
  <si>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</si>
  <si>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</si>
  <si>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38 г. Уфа</t>
  </si>
  <si>
    <t>ГБУЗ РБ Поликлиника № 48 г. Уфа</t>
  </si>
  <si>
    <t>ГБУЗ РБ ГКБ Демского района г. Уфа</t>
  </si>
  <si>
    <t xml:space="preserve">ГБУЗ РБ ГДКБ №17 г.Уфа </t>
  </si>
  <si>
    <t>ГБУЗ РКОД РБ</t>
  </si>
  <si>
    <t>Объемы медицинской помощи в амбулаторно-поликлинических условиях
 в неотложной форме на 2020 год</t>
  </si>
  <si>
    <t>норматив</t>
  </si>
  <si>
    <t>Объемы на 2020 год</t>
  </si>
  <si>
    <t xml:space="preserve">в том числе  объемы на травмпункты                                       </t>
  </si>
  <si>
    <t>по профилю "травматология и ортопедия"</t>
  </si>
  <si>
    <t>по профилю
"офтальмология"</t>
  </si>
  <si>
    <t>3</t>
  </si>
  <si>
    <t>4</t>
  </si>
  <si>
    <t>5</t>
  </si>
  <si>
    <t>ЦРБ, ГБ</t>
  </si>
  <si>
    <t>ООО "Академия здоровья" с. Киргиз-Мияки</t>
  </si>
  <si>
    <t xml:space="preserve">ООО "Дентал Стандарт " с. Бижбуляк </t>
  </si>
  <si>
    <t>ГБУЗ РБ Бирская СП</t>
  </si>
  <si>
    <t xml:space="preserve">ООО Дантист, г. Благовещенск    </t>
  </si>
  <si>
    <t>ГАУЗ РБ СП Дюртюлинского района</t>
  </si>
  <si>
    <t>ГБУЗ РБ ГБ г.Кумертау - Ермолаевская ЦРБ</t>
  </si>
  <si>
    <t xml:space="preserve">ООО "Радуга"  с.Киргиз-Мияки                                             </t>
  </si>
  <si>
    <t>ГБУЗ РБ ГБ №4 г.Стерлитамак - Стерлитамакская ЦРП</t>
  </si>
  <si>
    <t>ГБУЗ РБ ГКБ №21 г.Уфа - Уфимская ЦРП</t>
  </si>
  <si>
    <t>ФГБУЗ МСЧ №142 ФМБА России</t>
  </si>
  <si>
    <t>ООО Ваша стоматология, 
г. Нефтекамск</t>
  </si>
  <si>
    <t>ООО ВИП, г. Нефтекамск</t>
  </si>
  <si>
    <t>ООО СтомЭл г. Нефтекамск</t>
  </si>
  <si>
    <t>ООО Корона,  г. Нефтекамск</t>
  </si>
  <si>
    <t>ООО Корона+,  г. Нефтекамск</t>
  </si>
  <si>
    <t>ООО Дантист+,  г. Нефтекамск</t>
  </si>
  <si>
    <t>ГБУЗ РБ ГБ г.Нефтекамск - Агидельская ГБ</t>
  </si>
  <si>
    <t>ГБУЗ РБ Стоматологическая поликлиника г.Октябрьский</t>
  </si>
  <si>
    <t>ГАУЗ РБ Стоматологическая поликлиника г.Сибай</t>
  </si>
  <si>
    <t>ООО Медсервис, г. Салават</t>
  </si>
  <si>
    <t>ГБУЗ РБ Стоматологическая поликлиника г.Салават</t>
  </si>
  <si>
    <t>ГБУЗ РБ ГБ г.Салават - ДБ г.Салават</t>
  </si>
  <si>
    <t>Обособленное структурное подразделение Родильный дом ГБУЗ РБ ГБ г.Салават</t>
  </si>
  <si>
    <t>ГБУЗ РБ ДБ г.Стерлитамак</t>
  </si>
  <si>
    <t>ГБУЗ РБ СП г.Стерлитамак</t>
  </si>
  <si>
    <t>ЧУЗ "РЖД-МЕДИЦИНА" Г.СТЕРЛИТАМАК"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</si>
  <si>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</si>
  <si>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</si>
  <si>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</si>
  <si>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</si>
  <si>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</si>
  <si>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</si>
  <si>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</si>
  <si>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</si>
  <si>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№51 г.Уфа</t>
  </si>
  <si>
    <t>ГБУЗ РБ Поликлиника №52 г.Уфа</t>
  </si>
  <si>
    <t>Обособленное структурное подразделение ГБУЗ РБ ГКБ №13 г.Уфа ранее именуемое ГБУЗ РБ ГБ №12 г.Уфа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</si>
  <si>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</si>
  <si>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</si>
  <si>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</si>
  <si>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</si>
  <si>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</si>
  <si>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ГБУЗ РБ Детская стоматологическая поликлиника №7 г.Уфа</t>
  </si>
  <si>
    <t>ГБУЗ РБ Стоматологическая поликлиника №2 г.Уфа</t>
  </si>
  <si>
    <t>ООО Центр здоровья и красоты, с. Буздяк</t>
  </si>
  <si>
    <t xml:space="preserve">ООО Эмидент Люкс г. Уфа, ул. Айская, 16 </t>
  </si>
  <si>
    <t xml:space="preserve">ООО Эмидент Люкс г. Уфа, ул. Революционная, 99 </t>
  </si>
  <si>
    <t>ООО Эмидент Люкс г. Уфа, ул. Революционная, 57</t>
  </si>
  <si>
    <t>ООО МЦ МЕГИ</t>
  </si>
  <si>
    <t xml:space="preserve">ООО Бомонд </t>
  </si>
  <si>
    <t>ЧУЗ "КБ "РЖД-МЕДИЦИНА" Г.УФА"</t>
  </si>
  <si>
    <t>ГБУ УфНИИ ГБ АН РБ</t>
  </si>
  <si>
    <t>ГБУЗ РБ ГКБ №21 г.Уфа</t>
  </si>
  <si>
    <t>Объемы обращений в связи с заболеваниями на 2020 год в рамках базовой Программы ОМС.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</si>
  <si>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</si>
  <si>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</si>
  <si>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</si>
  <si>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</si>
  <si>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</si>
  <si>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</si>
  <si>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</si>
  <si>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</si>
  <si>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</si>
  <si>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</si>
  <si>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</si>
  <si>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ООО "Ваша стоматология" (г.Нефтекамск)</t>
  </si>
  <si>
    <t>ООО "ВИП" (г.Нефтекамск)</t>
  </si>
  <si>
    <t>ООО "Дента" (г.Нефтекамск)</t>
  </si>
  <si>
    <t>ООО "Корона+" (г.Нефтекамск)</t>
  </si>
  <si>
    <t>ООО "Корона" (г.Нефтекамск)</t>
  </si>
  <si>
    <t>ООО "СтомЭл" (г.Нефтекамс)</t>
  </si>
  <si>
    <t>ООО "ЭнжеДент" (г.Нефтекамс)</t>
  </si>
  <si>
    <t>ООО "Дантист+" (г.Нефтекамск)</t>
  </si>
  <si>
    <t>ООО МЦ "СЕМЕЙНЫЙ ДОКТОР" (г.Бирск)</t>
  </si>
  <si>
    <t>ГБУЗ РБ Стоматологическая поликлиника г.Стерлитамак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</si>
  <si>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</si>
  <si>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</si>
  <si>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</si>
  <si>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"Медсервис" (с.Верхнеяркеево)</t>
  </si>
  <si>
    <t>ООО "Радуга" (с.Киргиз-Мияки)</t>
  </si>
  <si>
    <t>ООО "Центр здоровья и красоты" (с.Киргиз-Мияки)</t>
  </si>
  <si>
    <t>ООО "Экодент" (г.Белебей)</t>
  </si>
  <si>
    <t>ГАУЗ РБ Детская стоматологическая поликлиника №3 г.Уфа</t>
  </si>
  <si>
    <t>ГБУЗ РБ Стоматологическая поликлиника №1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</si>
  <si>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</si>
  <si>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</si>
  <si>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</si>
  <si>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</si>
  <si>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</si>
  <si>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</si>
  <si>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ФГБОУ ВО БГМУ Минздрава России (стоматология)</t>
  </si>
  <si>
    <t>УФИЦ РАН</t>
  </si>
  <si>
    <t>ООО "МЦ "Агидель""</t>
  </si>
  <si>
    <t>ООО "Центр здоровья и красоты" (с.Буздяк)</t>
  </si>
  <si>
    <t>ООО "Витадент Космо" (г.Уфа)</t>
  </si>
  <si>
    <t>ООО "Дантист" (г.Благовещенск)</t>
  </si>
  <si>
    <t>ООО "Евромед-Уфа" (г.Уфа)</t>
  </si>
  <si>
    <t>ООО "Лаборатория гемодиализа" (г.Уфа)</t>
  </si>
  <si>
    <t>ООО "Медхелп" (г.Уфа)</t>
  </si>
  <si>
    <t>ООО "Сфера-Эстейт" (г.Уфа)</t>
  </si>
  <si>
    <t>ООО "Бомонд" (г.Уфа)</t>
  </si>
  <si>
    <t>ООО "Клиника современной флебологии" (г. Уфа)</t>
  </si>
  <si>
    <t>ООО "Экома"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</si>
  <si>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</si>
  <si>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</si>
  <si>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</si>
  <si>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 xml:space="preserve">ООО "ДиаЛайф" </t>
  </si>
  <si>
    <t>Обособленное структурное подразделение ГБУЗ РБ ГКБ № 21 г. Уфа ранее именуемое ГБУЗ РБ Уфимская ЦРП</t>
  </si>
  <si>
    <t>АУЗ РСП</t>
  </si>
  <si>
    <t>ООО "ММОЦ" г.Стерлитамак</t>
  </si>
  <si>
    <t>Прирост регистра пациентов</t>
  </si>
  <si>
    <t xml:space="preserve">Амбулаторно-поликлиническая помощь в части посещений с профилактическими и иными целями  в рамках базовой программы ОМС на 2020 год </t>
  </si>
  <si>
    <t xml:space="preserve">Итого 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</si>
  <si>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</si>
  <si>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</si>
  <si>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</si>
  <si>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 xml:space="preserve">Профилактический медосмотр взрослых, в том числе при первом посещении по поводу диспансерного наблюдения
</t>
  </si>
  <si>
    <t xml:space="preserve">Профилактический медосмотр несовершеннолетних </t>
  </si>
  <si>
    <t xml:space="preserve">Диспансеризация взрослого населения(1 этап)  </t>
  </si>
  <si>
    <t xml:space="preserve"> Диспансеризация детей- сирот</t>
  </si>
  <si>
    <t>ГБУЗ РБ ГКБ №1 г.Стерлитамак</t>
  </si>
  <si>
    <t xml:space="preserve">Обособленное структурное подразделение ГБУЗ РБ ГКБ №1 города Стерлитамак, ранее именуемое ГБУЗ РБ ГБ №2 </t>
  </si>
  <si>
    <t>Обособленное структурное подразделение ГБУЗ РБ ГБ №4 города Стерлитамак, ранее именуемое ГБУЗ РБ Стерлитамакская ЦРП</t>
  </si>
  <si>
    <t>Обособленное структурное подразделение Родильный дом ГБУЗ РБ ГБ города Салават</t>
  </si>
  <si>
    <t>ГАУЗ РБ Стоматологическая поликлиника №8 г.Уфа</t>
  </si>
  <si>
    <t>ГАУЗ РБ Стоматологическая поликлиника №9 г.Уфа</t>
  </si>
  <si>
    <t>ЧУЗ «КБ «РЖД- Медицина» г.Уфа</t>
  </si>
  <si>
    <t>Обособленное структурное подразделение ГБУЗ РБ ГКБ № 21 г. Уфа, ранее именуемое ГБУЗ РБ Уфимская ЦРП</t>
  </si>
  <si>
    <t>ООО "Лаборатория гемодиализа"</t>
  </si>
  <si>
    <t>ООО "Экома"</t>
  </si>
  <si>
    <t>ООО "МЦ "Агидель"</t>
  </si>
  <si>
    <t>ООО "Сфера-Эстейт"</t>
  </si>
  <si>
    <t>ООО "ДиаЛайф"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</si>
  <si>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</si>
  <si>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</si>
  <si>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</si>
  <si>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</si>
  <si>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</si>
  <si>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</si>
  <si>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</si>
  <si>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</si>
  <si>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</si>
  <si>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</si>
  <si>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</si>
  <si>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</si>
  <si>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>первичный прием</t>
  </si>
  <si>
    <t>повторная консуль-тация</t>
  </si>
  <si>
    <t xml:space="preserve"> Объемы медицинской помощи, оказываемой в центрах здоровья, на 2020 год.</t>
  </si>
  <si>
    <t>№п/п</t>
  </si>
  <si>
    <t>Всего посещения</t>
  </si>
  <si>
    <t>из них:</t>
  </si>
  <si>
    <t>взрослое население</t>
  </si>
  <si>
    <t>детское население</t>
  </si>
  <si>
    <t>первичное посещение для проведения комплексного обследования</t>
  </si>
  <si>
    <t>посещение для динамического наблюдения</t>
  </si>
  <si>
    <t>ГБУЗ РБ ГКБ №18 г.Уфа</t>
  </si>
  <si>
    <t>Скорая медицинская помощь на 2020 год</t>
  </si>
  <si>
    <t>Протокол № 110 от 04.2020</t>
  </si>
  <si>
    <t>Объемы скорой медицинской помощи в рамках базовой программы ОМС по состоянию на 01.04.2020</t>
  </si>
  <si>
    <t>ВСЕГО</t>
  </si>
  <si>
    <t>Фельдшерские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</si>
  <si>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</si>
  <si>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</si>
  <si>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</si>
  <si>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ГБ № 1 города Октябрьский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</si>
  <si>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</si>
  <si>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</si>
  <si>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ГБ города Нефтекамск</t>
  </si>
  <si>
    <t>ГБУЗ РБ ГБ города Салават</t>
  </si>
  <si>
    <t>ГБУЗ РБ ССМП г.Стерлитамак</t>
  </si>
  <si>
    <t>ГБУЗ РБ ЦГБ города Сибай</t>
  </si>
  <si>
    <t>ГБУЗ РБ Чекмагушевкая ЦРБ</t>
  </si>
  <si>
    <t>ГБУЗ  РССМП и ЦМК</t>
  </si>
  <si>
    <t>ФГУЗ "МСЧ № 142 ФМБА" России</t>
  </si>
  <si>
    <t>Объемы медицинской помощи за пределами РБ</t>
  </si>
  <si>
    <t xml:space="preserve">ИТОГО </t>
  </si>
  <si>
    <t>Реестровый номер</t>
  </si>
  <si>
    <t>уровень</t>
  </si>
  <si>
    <t>024001</t>
  </si>
  <si>
    <t>1А</t>
  </si>
  <si>
    <t>021003</t>
  </si>
  <si>
    <t>022204</t>
  </si>
  <si>
    <t>025004</t>
  </si>
  <si>
    <t>021607</t>
  </si>
  <si>
    <t>022001</t>
  </si>
  <si>
    <t>028004</t>
  </si>
  <si>
    <t>022103</t>
  </si>
  <si>
    <t>023002</t>
  </si>
  <si>
    <t>2Б</t>
  </si>
  <si>
    <t>026005</t>
  </si>
  <si>
    <t>024005</t>
  </si>
  <si>
    <t>2А</t>
  </si>
  <si>
    <t>023005</t>
  </si>
  <si>
    <t>025001</t>
  </si>
  <si>
    <t>025033</t>
  </si>
  <si>
    <t>022003</t>
  </si>
  <si>
    <t>022202</t>
  </si>
  <si>
    <t>022060</t>
  </si>
  <si>
    <t>022002</t>
  </si>
  <si>
    <t>025005</t>
  </si>
  <si>
    <t>024002</t>
  </si>
  <si>
    <t>021605</t>
  </si>
  <si>
    <t>021002</t>
  </si>
  <si>
    <t>026001</t>
  </si>
  <si>
    <t>3А</t>
  </si>
  <si>
    <t>027001</t>
  </si>
  <si>
    <t>027003</t>
  </si>
  <si>
    <t>023006</t>
  </si>
  <si>
    <t>021105</t>
  </si>
  <si>
    <t>022012</t>
  </si>
  <si>
    <t>022201</t>
  </si>
  <si>
    <t>028002</t>
  </si>
  <si>
    <t>029001</t>
  </si>
  <si>
    <t>021206</t>
  </si>
  <si>
    <t>025003</t>
  </si>
  <si>
    <t>022205</t>
  </si>
  <si>
    <t>026004</t>
  </si>
  <si>
    <t>021205</t>
  </si>
  <si>
    <t>021102</t>
  </si>
  <si>
    <t>022208</t>
  </si>
  <si>
    <t>021111</t>
  </si>
  <si>
    <t>021104</t>
  </si>
  <si>
    <t>026002</t>
  </si>
  <si>
    <t>025002</t>
  </si>
  <si>
    <t>021001</t>
  </si>
  <si>
    <t>022203</t>
  </si>
  <si>
    <t>026003</t>
  </si>
  <si>
    <t>021606</t>
  </si>
  <si>
    <t>021603</t>
  </si>
  <si>
    <t>022102</t>
  </si>
  <si>
    <t>021701</t>
  </si>
  <si>
    <t>022720</t>
  </si>
  <si>
    <t>021901</t>
  </si>
  <si>
    <t>021405</t>
  </si>
  <si>
    <t>021501</t>
  </si>
  <si>
    <t>027002</t>
  </si>
  <si>
    <t>022000</t>
  </si>
  <si>
    <t>021706</t>
  </si>
  <si>
    <t>022104</t>
  </si>
  <si>
    <t>024006</t>
  </si>
  <si>
    <t>1Б</t>
  </si>
  <si>
    <t>021201</t>
  </si>
  <si>
    <t>021254</t>
  </si>
  <si>
    <t>021256</t>
  </si>
  <si>
    <t>021266</t>
  </si>
  <si>
    <t>021253</t>
  </si>
  <si>
    <t>021303</t>
  </si>
  <si>
    <t>021307</t>
  </si>
  <si>
    <t>021502</t>
  </si>
  <si>
    <t>021513</t>
  </si>
  <si>
    <t>021401</t>
  </si>
  <si>
    <t>021424</t>
  </si>
  <si>
    <t>021418</t>
  </si>
  <si>
    <t>021602</t>
  </si>
  <si>
    <t>021608</t>
  </si>
  <si>
    <t>021601</t>
  </si>
  <si>
    <t>021616</t>
  </si>
  <si>
    <t>021636</t>
  </si>
  <si>
    <t>021604</t>
  </si>
  <si>
    <t>027100</t>
  </si>
  <si>
    <t>028300</t>
  </si>
  <si>
    <t>028400</t>
  </si>
  <si>
    <t>028800</t>
  </si>
  <si>
    <t>029100</t>
  </si>
  <si>
    <t>029200</t>
  </si>
  <si>
    <t>029300</t>
  </si>
  <si>
    <t>021210</t>
  </si>
  <si>
    <t>029500</t>
  </si>
  <si>
    <t>029700</t>
  </si>
  <si>
    <t>029800</t>
  </si>
  <si>
    <t>029900</t>
  </si>
  <si>
    <t>024200</t>
  </si>
  <si>
    <t>021800</t>
  </si>
  <si>
    <t>023000</t>
  </si>
  <si>
    <t>022200</t>
  </si>
  <si>
    <t>022300</t>
  </si>
  <si>
    <t>028000</t>
  </si>
  <si>
    <t>3Б</t>
  </si>
  <si>
    <t>023500</t>
  </si>
  <si>
    <t>021200</t>
  </si>
  <si>
    <t>021110</t>
  </si>
  <si>
    <t>021100</t>
  </si>
  <si>
    <t>027000</t>
  </si>
  <si>
    <t>021120</t>
  </si>
  <si>
    <t>021130</t>
  </si>
  <si>
    <t>021150</t>
  </si>
  <si>
    <t>021050</t>
  </si>
  <si>
    <t>020177</t>
  </si>
  <si>
    <t>020193</t>
  </si>
  <si>
    <t>020202</t>
  </si>
  <si>
    <t>020171</t>
  </si>
  <si>
    <t>022117</t>
  </si>
  <si>
    <t>022800</t>
  </si>
  <si>
    <t>3Г</t>
  </si>
  <si>
    <t>022109</t>
  </si>
  <si>
    <t>022113</t>
  </si>
  <si>
    <t>3В</t>
  </si>
  <si>
    <t>022400</t>
  </si>
  <si>
    <t>022710</t>
  </si>
  <si>
    <t>х</t>
  </si>
  <si>
    <t>Обособленное структурное подразделение ГБУЗ РБ ГКБ №1 г. Стерлитамак, ранее именуемое ГБУЗ РБ ГБ №2 г.Стерлитамак</t>
  </si>
  <si>
    <t xml:space="preserve">Обособленное структурное подразделение ГБУЗ РБ ГКБ №1 г. Стерлитамак, ранее именуемое ГБУЗ РБ ГБ №2 г.Стерлитамак </t>
  </si>
  <si>
    <t>Обособленное структурное подразделение ГБУЗ РБ ГКБ № 1 города Стерлитамак, ранее именуемого ГБУЗ РБ Городская больница № 2 г.Стерлитамак</t>
  </si>
  <si>
    <t>Обособленное структурное подразделение ГБУЗ РБ ГБ №2 города Стерлитамак (реорганизованное), ранее именуемое ГБУЗ РБ Стерлитамакская ЦРП</t>
  </si>
  <si>
    <t>Обособленное структурное подразделение ГБУЗ Республиканская клиническая инфекционная больница, ранее именуемое ГБУЗ РБ ГИБ г.Стерлитамак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</si>
</sst>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(\$* #,##0_);_(\$* \(#,##0\);_(\$* &quot;-&quot;_);_(@_)"/>
    <numFmt numFmtId="168" formatCode="#,##0.000"/>
    <numFmt numFmtId="169" formatCode="#,##0.0"/>
  </numFmts>
  <fonts count="10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9263">
    <xf numFmtId="0" fontId="0" fillId="0" borderId="0"/>
    <xf numFmtId="0" fontId="9" fillId="28" borderId="0" applyNumberFormat="0" applyBorder="0" applyAlignment="0" applyProtection="0"/>
    <xf numFmtId="0" fontId="9" fillId="29" borderId="0"/>
    <xf numFmtId="0" fontId="9" fillId="30" borderId="0" applyNumberFormat="0" applyBorder="0" applyAlignment="0" applyProtection="0"/>
    <xf numFmtId="0" fontId="9" fillId="31" borderId="0"/>
    <xf numFmtId="0" fontId="9" fillId="32" borderId="0" applyNumberFormat="0" applyBorder="0" applyAlignment="0" applyProtection="0"/>
    <xf numFmtId="0" fontId="9" fillId="33" borderId="0"/>
    <xf numFmtId="0" fontId="9" fillId="34" borderId="0" applyNumberFormat="0" applyBorder="0" applyAlignment="0" applyProtection="0"/>
    <xf numFmtId="0" fontId="9" fillId="35" borderId="0"/>
    <xf numFmtId="0" fontId="9" fillId="36" borderId="0" applyNumberFormat="0" applyBorder="0" applyAlignment="0" applyProtection="0"/>
    <xf numFmtId="0" fontId="9" fillId="37" borderId="0"/>
    <xf numFmtId="0" fontId="9" fillId="38" borderId="0" applyNumberFormat="0" applyBorder="0" applyAlignment="0" applyProtection="0"/>
    <xf numFmtId="0" fontId="9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34" borderId="0" applyNumberFormat="0" applyBorder="0" applyAlignment="0" applyProtection="0"/>
    <xf numFmtId="0" fontId="9" fillId="35" borderId="0"/>
    <xf numFmtId="0" fontId="9" fillId="42" borderId="0" applyNumberFormat="0" applyBorder="0" applyAlignment="0" applyProtection="0"/>
    <xf numFmtId="0" fontId="9" fillId="43" borderId="0"/>
    <xf numFmtId="0" fontId="9" fillId="48" borderId="0" applyNumberFormat="0" applyBorder="0" applyAlignment="0" applyProtection="0"/>
    <xf numFmtId="0" fontId="9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/>
    <xf numFmtId="0" fontId="10" fillId="44" borderId="0" applyNumberFormat="0" applyBorder="0" applyAlignment="0" applyProtection="0"/>
    <xf numFmtId="0" fontId="10" fillId="45" borderId="0"/>
    <xf numFmtId="0" fontId="10" fillId="46" borderId="0" applyNumberFormat="0" applyBorder="0" applyAlignment="0" applyProtection="0"/>
    <xf numFmtId="0" fontId="10" fillId="47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58" borderId="0" applyNumberFormat="0" applyBorder="0" applyAlignment="0" applyProtection="0"/>
    <xf numFmtId="0" fontId="10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/>
    <xf numFmtId="0" fontId="10" fillId="62" borderId="0" applyNumberFormat="0" applyBorder="0" applyAlignment="0" applyProtection="0"/>
    <xf numFmtId="0" fontId="10" fillId="63" borderId="0"/>
    <xf numFmtId="0" fontId="10" fillId="64" borderId="0" applyNumberFormat="0" applyBorder="0" applyAlignment="0" applyProtection="0"/>
    <xf numFmtId="0" fontId="10" fillId="65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66" borderId="0" applyNumberFormat="0" applyBorder="0" applyAlignment="0" applyProtection="0"/>
    <xf numFmtId="0" fontId="10" fillId="67" borderId="0"/>
    <xf numFmtId="0" fontId="11" fillId="30" borderId="0" applyNumberFormat="0" applyBorder="0" applyAlignment="0" applyProtection="0"/>
    <xf numFmtId="0" fontId="11" fillId="31" borderId="0"/>
    <xf numFmtId="0" fontId="12" fillId="50" borderId="11" applyNumberFormat="0" applyAlignment="0" applyProtection="0"/>
    <xf numFmtId="0" fontId="12" fillId="68" borderId="11"/>
    <xf numFmtId="0" fontId="13" fillId="69" borderId="12" applyNumberFormat="0" applyAlignment="0" applyProtection="0"/>
    <xf numFmtId="0" fontId="13" fillId="70" borderId="0"/>
    <xf numFmtId="164" fontId="14" fillId="0" borderId="0"/>
    <xf numFmtId="165" fontId="14" fillId="0" borderId="0" applyBorder="0" applyProtection="0"/>
    <xf numFmtId="164" fontId="14" fillId="0" borderId="0" applyBorder="0" applyProtection="0"/>
    <xf numFmtId="164" fontId="14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/>
    <xf numFmtId="0" fontId="18" fillId="0" borderId="0" applyNumberFormat="0" applyBorder="0" applyProtection="0">
      <alignment horizontal="center"/>
    </xf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1" fillId="0" borderId="15" applyNumberFormat="0" applyFill="0" applyAlignment="0" applyProtection="0"/>
    <xf numFmtId="0" fontId="21" fillId="0" borderId="15"/>
    <xf numFmtId="0" fontId="21" fillId="0" borderId="0" applyNumberFormat="0" applyFill="0" applyBorder="0" applyAlignment="0" applyProtection="0"/>
    <xf numFmtId="0" fontId="21" fillId="0" borderId="0"/>
    <xf numFmtId="0" fontId="18" fillId="0" borderId="0" applyNumberFormat="0" applyBorder="0" applyProtection="0">
      <alignment horizontal="center" textRotation="90"/>
    </xf>
    <xf numFmtId="0" fontId="22" fillId="38" borderId="11" applyNumberFormat="0" applyAlignment="0" applyProtection="0"/>
    <xf numFmtId="0" fontId="22" fillId="39" borderId="11"/>
    <xf numFmtId="0" fontId="23" fillId="0" borderId="16" applyNumberFormat="0" applyFill="0" applyAlignment="0" applyProtection="0"/>
    <xf numFmtId="0" fontId="23" fillId="0" borderId="0"/>
    <xf numFmtId="0" fontId="24" fillId="51" borderId="0" applyNumberFormat="0" applyBorder="0" applyAlignment="0" applyProtection="0"/>
    <xf numFmtId="0" fontId="24" fillId="71" borderId="0"/>
    <xf numFmtId="0" fontId="25" fillId="0" borderId="0"/>
    <xf numFmtId="0" fontId="26" fillId="41" borderId="17" applyNumberFormat="0" applyFont="0" applyAlignment="0" applyProtection="0"/>
    <xf numFmtId="0" fontId="27" fillId="72" borderId="17"/>
    <xf numFmtId="0" fontId="28" fillId="50" borderId="18" applyNumberFormat="0" applyAlignment="0" applyProtection="0"/>
    <xf numFmtId="0" fontId="28" fillId="68" borderId="18"/>
    <xf numFmtId="0" fontId="29" fillId="0" borderId="0" applyNumberFormat="0" applyBorder="0" applyProtection="0"/>
    <xf numFmtId="166" fontId="29" fillId="0" borderId="0" applyBorder="0" applyProtection="0"/>
    <xf numFmtId="0" fontId="30" fillId="0" borderId="0" applyNumberFormat="0" applyFill="0" applyBorder="0" applyAlignment="0" applyProtection="0"/>
    <xf numFmtId="0" fontId="30" fillId="0" borderId="0"/>
    <xf numFmtId="0" fontId="31" fillId="0" borderId="19" applyNumberFormat="0" applyFill="0" applyAlignment="0" applyProtection="0"/>
    <xf numFmtId="0" fontId="31" fillId="0" borderId="20"/>
    <xf numFmtId="0" fontId="32" fillId="0" borderId="0" applyNumberFormat="0" applyFill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5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15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22" applyNumberFormat="0" applyFill="0" applyAlignment="0" applyProtection="0"/>
    <xf numFmtId="0" fontId="21" fillId="0" borderId="15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1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1" fillId="0" borderId="23" applyNumberFormat="0" applyFill="0" applyAlignment="0" applyProtection="0"/>
    <xf numFmtId="0" fontId="31" fillId="0" borderId="2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3" fillId="69" borderId="12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3" fillId="69" borderId="12" applyNumberFormat="0" applyAlignment="0" applyProtection="0"/>
    <xf numFmtId="0" fontId="13" fillId="70" borderId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4" fillId="5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71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52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41" borderId="17" applyNumberFormat="0" applyFont="0" applyAlignment="0" applyProtection="0"/>
    <xf numFmtId="0" fontId="50" fillId="41" borderId="17" applyNumberFormat="0" applyFont="0" applyAlignment="0" applyProtection="0"/>
    <xf numFmtId="0" fontId="44" fillId="41" borderId="17" applyNumberFormat="0" applyFont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0" borderId="1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3" fillId="0" borderId="16" applyNumberFormat="0" applyFill="0" applyAlignment="0" applyProtection="0"/>
    <xf numFmtId="0" fontId="23" fillId="0" borderId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52" fillId="0" borderId="0"/>
    <xf numFmtId="167" fontId="59" fillId="0" borderId="0"/>
    <xf numFmtId="43" fontId="9" fillId="0" borderId="0" applyFont="0" applyFill="0" applyBorder="0" applyAlignment="0" applyProtection="0"/>
    <xf numFmtId="165" fontId="52" fillId="0" borderId="0"/>
    <xf numFmtId="165" fontId="52" fillId="0" borderId="0" applyFill="0" applyBorder="0" applyAlignment="0" applyProtection="0"/>
    <xf numFmtId="165" fontId="52" fillId="0" borderId="0"/>
    <xf numFmtId="41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7" fillId="0" borderId="0"/>
    <xf numFmtId="0" fontId="50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9" fillId="0" borderId="0"/>
    <xf numFmtId="0" fontId="1" fillId="0" borderId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6" fillId="0" borderId="0"/>
    <xf numFmtId="0" fontId="26" fillId="0" borderId="0"/>
  </cellStyleXfs>
  <cellXfs count="494">
    <xf numFmtId="0" fontId="0" fillId="0" borderId="0" xfId="0"/>
    <xf numFmtId="0" fontId="62" fillId="74" borderId="0" xfId="0" applyFont="1" applyFill="1"/>
    <xf numFmtId="0" fontId="61" fillId="74" borderId="0" xfId="0" applyFont="1" applyFill="1" applyAlignment="1">
      <alignment horizontal="center" vertical="center"/>
    </xf>
    <xf numFmtId="3" fontId="62" fillId="74" borderId="0" xfId="0" applyNumberFormat="1" applyFont="1" applyFill="1"/>
    <xf numFmtId="3" fontId="62" fillId="74" borderId="0" xfId="0" applyNumberFormat="1" applyFont="1" applyFill="1" applyBorder="1" applyAlignment="1">
      <alignment horizontal="right" vertical="center"/>
    </xf>
    <xf numFmtId="0" fontId="64" fillId="74" borderId="0" xfId="0" applyFont="1" applyFill="1"/>
    <xf numFmtId="0" fontId="64" fillId="74" borderId="0" xfId="0" applyFont="1" applyFill="1" applyAlignment="1">
      <alignment horizontal="center" vertical="center"/>
    </xf>
    <xf numFmtId="0" fontId="62" fillId="74" borderId="10" xfId="0" applyFont="1" applyFill="1" applyBorder="1" applyAlignment="1">
      <alignment horizontal="center" vertical="center" wrapText="1"/>
    </xf>
    <xf numFmtId="0" fontId="63" fillId="74" borderId="10" xfId="0" applyFont="1" applyFill="1" applyBorder="1" applyAlignment="1">
      <alignment horizontal="center" vertical="center"/>
    </xf>
    <xf numFmtId="0" fontId="63" fillId="74" borderId="10" xfId="0" applyFont="1" applyFill="1" applyBorder="1" applyAlignment="1">
      <alignment wrapText="1"/>
    </xf>
    <xf numFmtId="3" fontId="62" fillId="74" borderId="10" xfId="0" applyNumberFormat="1" applyFont="1" applyFill="1" applyBorder="1" applyAlignment="1">
      <alignment horizontal="center" vertical="center"/>
    </xf>
    <xf numFmtId="0" fontId="63" fillId="74" borderId="10" xfId="0" applyFont="1" applyFill="1" applyBorder="1" applyAlignment="1">
      <alignment vertical="center" wrapText="1"/>
    </xf>
    <xf numFmtId="3" fontId="62" fillId="74" borderId="10" xfId="0" applyNumberFormat="1" applyFont="1" applyFill="1" applyBorder="1" applyAlignment="1">
      <alignment horizontal="center"/>
    </xf>
    <xf numFmtId="3" fontId="62" fillId="74" borderId="10" xfId="0" applyNumberFormat="1" applyFont="1" applyFill="1" applyBorder="1"/>
    <xf numFmtId="0" fontId="62" fillId="74" borderId="0" xfId="0" applyFont="1" applyFill="1" applyAlignment="1">
      <alignment vertical="center"/>
    </xf>
    <xf numFmtId="3" fontId="61" fillId="74" borderId="10" xfId="0" applyNumberFormat="1" applyFont="1" applyFill="1" applyBorder="1" applyAlignment="1">
      <alignment horizontal="center"/>
    </xf>
    <xf numFmtId="0" fontId="74" fillId="0" borderId="0" xfId="57846" applyFont="1" applyFill="1" applyAlignment="1" applyProtection="1">
      <alignment vertical="center"/>
      <protection locked="0"/>
    </xf>
    <xf numFmtId="3" fontId="73" fillId="0" borderId="10" xfId="57846" applyNumberFormat="1" applyFont="1" applyFill="1" applyBorder="1" applyAlignment="1" applyProtection="1">
      <alignment horizontal="center" vertical="center"/>
      <protection locked="0"/>
    </xf>
    <xf numFmtId="3" fontId="74" fillId="0" borderId="0" xfId="57846" applyNumberFormat="1" applyFont="1" applyFill="1" applyAlignment="1" applyProtection="1">
      <alignment vertical="center"/>
      <protection locked="0"/>
    </xf>
    <xf numFmtId="0" fontId="76" fillId="0" borderId="10" xfId="57846" applyFont="1" applyFill="1" applyBorder="1" applyAlignment="1" applyProtection="1">
      <alignment horizontal="center" vertical="center" wrapText="1"/>
      <protection locked="0"/>
    </xf>
    <xf numFmtId="4" fontId="74" fillId="0" borderId="25" xfId="57846" applyNumberFormat="1" applyFont="1" applyFill="1" applyBorder="1" applyAlignment="1" applyProtection="1">
      <alignment horizontal="center" vertical="center"/>
      <protection locked="0"/>
    </xf>
    <xf numFmtId="3" fontId="74" fillId="0" borderId="10" xfId="57846" applyNumberFormat="1" applyFont="1" applyFill="1" applyBorder="1" applyAlignment="1" applyProtection="1">
      <alignment horizontal="center" vertical="center"/>
      <protection locked="0"/>
    </xf>
    <xf numFmtId="0" fontId="71" fillId="0" borderId="0" xfId="57846" applyFont="1" applyFill="1" applyAlignment="1">
      <alignment vertical="center"/>
    </xf>
    <xf numFmtId="0" fontId="69" fillId="0" borderId="0" xfId="57846" applyFont="1" applyFill="1" applyBorder="1" applyAlignment="1">
      <alignment horizontal="center" vertical="center" wrapText="1"/>
    </xf>
    <xf numFmtId="0" fontId="69" fillId="0" borderId="24" xfId="57846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2" fillId="0" borderId="10" xfId="57846" applyFont="1" applyFill="1" applyBorder="1" applyAlignment="1" applyProtection="1">
      <alignment horizontal="center" vertical="center" textRotation="90" wrapText="1"/>
      <protection locked="0"/>
    </xf>
    <xf numFmtId="3" fontId="74" fillId="0" borderId="25" xfId="57846" applyNumberFormat="1" applyFont="1" applyFill="1" applyBorder="1" applyAlignment="1" applyProtection="1">
      <alignment horizontal="center" vertical="center"/>
      <protection locked="0"/>
    </xf>
    <xf numFmtId="0" fontId="77" fillId="0" borderId="0" xfId="57846" applyFont="1" applyFill="1" applyAlignment="1">
      <alignment vertical="center"/>
    </xf>
    <xf numFmtId="0" fontId="71" fillId="0" borderId="0" xfId="57846" applyFont="1" applyFill="1" applyAlignment="1">
      <alignment horizontal="center" vertical="center"/>
    </xf>
    <xf numFmtId="0" fontId="62" fillId="0" borderId="0" xfId="57788" applyFont="1" applyFill="1" applyAlignment="1">
      <alignment horizontal="center" vertical="center"/>
    </xf>
    <xf numFmtId="3" fontId="62" fillId="0" borderId="10" xfId="57788" applyNumberFormat="1" applyFont="1" applyFill="1" applyBorder="1" applyAlignment="1">
      <alignment horizontal="center" vertical="center" wrapText="1"/>
    </xf>
    <xf numFmtId="0" fontId="61" fillId="0" borderId="0" xfId="57788" applyFont="1" applyFill="1" applyAlignment="1">
      <alignment horizontal="center" vertical="center"/>
    </xf>
    <xf numFmtId="3" fontId="61" fillId="0" borderId="10" xfId="57788" applyNumberFormat="1" applyFont="1" applyFill="1" applyBorder="1" applyAlignment="1">
      <alignment horizontal="center" vertical="center" wrapText="1"/>
    </xf>
    <xf numFmtId="3" fontId="62" fillId="0" borderId="0" xfId="57788" applyNumberFormat="1" applyFont="1" applyFill="1" applyAlignment="1">
      <alignment horizontal="center" vertical="center"/>
    </xf>
    <xf numFmtId="0" fontId="62" fillId="0" borderId="0" xfId="57788" applyFont="1" applyFill="1" applyAlignment="1">
      <alignment horizontal="left" vertical="center"/>
    </xf>
    <xf numFmtId="0" fontId="64" fillId="0" borderId="43" xfId="0" applyFont="1" applyFill="1" applyBorder="1" applyAlignment="1">
      <alignment horizontal="center" vertical="center"/>
    </xf>
    <xf numFmtId="3" fontId="64" fillId="0" borderId="44" xfId="59261" applyNumberFormat="1" applyFont="1" applyFill="1" applyBorder="1" applyAlignment="1">
      <alignment horizontal="left" vertical="center" wrapText="1"/>
    </xf>
    <xf numFmtId="3" fontId="64" fillId="0" borderId="43" xfId="0" applyNumberFormat="1" applyFont="1" applyFill="1" applyBorder="1" applyAlignment="1">
      <alignment horizontal="center" vertical="center"/>
    </xf>
    <xf numFmtId="3" fontId="64" fillId="0" borderId="27" xfId="0" applyNumberFormat="1" applyFont="1" applyFill="1" applyBorder="1" applyAlignment="1">
      <alignment horizontal="center" vertical="center"/>
    </xf>
    <xf numFmtId="3" fontId="64" fillId="0" borderId="56" xfId="0" applyNumberFormat="1" applyFont="1" applyFill="1" applyBorder="1" applyAlignment="1">
      <alignment horizontal="center" vertical="center"/>
    </xf>
    <xf numFmtId="3" fontId="64" fillId="0" borderId="10" xfId="0" applyNumberFormat="1" applyFont="1" applyFill="1" applyBorder="1" applyAlignment="1">
      <alignment horizontal="center" vertical="center"/>
    </xf>
    <xf numFmtId="3" fontId="64" fillId="0" borderId="57" xfId="0" applyNumberFormat="1" applyFont="1" applyFill="1" applyBorder="1" applyAlignment="1">
      <alignment horizontal="center" vertical="center"/>
    </xf>
    <xf numFmtId="3" fontId="64" fillId="0" borderId="40" xfId="0" applyNumberFormat="1" applyFont="1" applyFill="1" applyBorder="1" applyAlignment="1">
      <alignment horizontal="center" vertical="center"/>
    </xf>
    <xf numFmtId="3" fontId="64" fillId="0" borderId="44" xfId="0" applyNumberFormat="1" applyFont="1" applyFill="1" applyBorder="1" applyAlignment="1">
      <alignment horizontal="center" vertical="center"/>
    </xf>
    <xf numFmtId="3" fontId="64" fillId="0" borderId="59" xfId="0" applyNumberFormat="1" applyFont="1" applyFill="1" applyBorder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horizontal="center" vertical="center"/>
    </xf>
    <xf numFmtId="3" fontId="64" fillId="0" borderId="0" xfId="0" applyNumberFormat="1" applyFont="1" applyFill="1" applyAlignment="1">
      <alignment horizontal="center" vertical="center"/>
    </xf>
    <xf numFmtId="3" fontId="64" fillId="0" borderId="46" xfId="0" applyNumberFormat="1" applyFont="1" applyFill="1" applyBorder="1" applyAlignment="1">
      <alignment horizontal="center" vertical="center" wrapText="1" shrinkToFit="1"/>
    </xf>
    <xf numFmtId="3" fontId="64" fillId="0" borderId="48" xfId="0" applyNumberFormat="1" applyFont="1" applyFill="1" applyBorder="1" applyAlignment="1">
      <alignment horizontal="center" vertical="center" wrapText="1" shrinkToFit="1"/>
    </xf>
    <xf numFmtId="0" fontId="64" fillId="0" borderId="54" xfId="0" applyFont="1" applyFill="1" applyBorder="1" applyAlignment="1">
      <alignment horizontal="center" vertical="center"/>
    </xf>
    <xf numFmtId="3" fontId="64" fillId="0" borderId="55" xfId="59261" applyNumberFormat="1" applyFont="1" applyFill="1" applyBorder="1" applyAlignment="1">
      <alignment horizontal="left" vertical="center" wrapText="1"/>
    </xf>
    <xf numFmtId="3" fontId="64" fillId="0" borderId="54" xfId="0" applyNumberFormat="1" applyFont="1" applyFill="1" applyBorder="1" applyAlignment="1">
      <alignment horizontal="center" vertical="center"/>
    </xf>
    <xf numFmtId="3" fontId="64" fillId="0" borderId="28" xfId="0" applyNumberFormat="1" applyFont="1" applyFill="1" applyBorder="1" applyAlignment="1">
      <alignment horizontal="center" vertical="center"/>
    </xf>
    <xf numFmtId="3" fontId="64" fillId="0" borderId="58" xfId="0" applyNumberFormat="1" applyFont="1" applyFill="1" applyBorder="1" applyAlignment="1">
      <alignment horizontal="center" vertical="center"/>
    </xf>
    <xf numFmtId="3" fontId="64" fillId="0" borderId="55" xfId="0" applyNumberFormat="1" applyFont="1" applyFill="1" applyBorder="1" applyAlignment="1">
      <alignment horizontal="center" vertical="center"/>
    </xf>
    <xf numFmtId="3" fontId="64" fillId="0" borderId="44" xfId="59251" applyNumberFormat="1" applyFont="1" applyFill="1" applyBorder="1" applyAlignment="1">
      <alignment horizontal="left" vertical="center" wrapText="1"/>
    </xf>
    <xf numFmtId="1" fontId="64" fillId="0" borderId="44" xfId="59261" applyNumberFormat="1" applyFont="1" applyFill="1" applyBorder="1" applyAlignment="1">
      <alignment horizontal="left" vertical="center" wrapText="1"/>
    </xf>
    <xf numFmtId="3" fontId="64" fillId="0" borderId="44" xfId="0" applyNumberFormat="1" applyFont="1" applyFill="1" applyBorder="1" applyAlignment="1">
      <alignment vertical="center" wrapText="1"/>
    </xf>
    <xf numFmtId="4" fontId="64" fillId="0" borderId="44" xfId="59261" applyNumberFormat="1" applyFont="1" applyFill="1" applyBorder="1" applyAlignment="1">
      <alignment horizontal="left" vertical="center" wrapText="1"/>
    </xf>
    <xf numFmtId="0" fontId="64" fillId="0" borderId="60" xfId="0" applyFont="1" applyFill="1" applyBorder="1" applyAlignment="1">
      <alignment horizontal="center" vertical="center"/>
    </xf>
    <xf numFmtId="3" fontId="64" fillId="0" borderId="41" xfId="0" applyNumberFormat="1" applyFont="1" applyFill="1" applyBorder="1" applyAlignment="1">
      <alignment vertical="center" wrapText="1"/>
    </xf>
    <xf numFmtId="3" fontId="64" fillId="0" borderId="60" xfId="0" applyNumberFormat="1" applyFont="1" applyFill="1" applyBorder="1" applyAlignment="1">
      <alignment horizontal="center" vertical="center"/>
    </xf>
    <xf numFmtId="3" fontId="64" fillId="0" borderId="61" xfId="0" applyNumberFormat="1" applyFont="1" applyFill="1" applyBorder="1" applyAlignment="1">
      <alignment horizontal="center" vertical="center"/>
    </xf>
    <xf numFmtId="3" fontId="64" fillId="0" borderId="25" xfId="0" applyNumberFormat="1" applyFont="1" applyFill="1" applyBorder="1" applyAlignment="1">
      <alignment horizontal="center" vertical="center"/>
    </xf>
    <xf numFmtId="3" fontId="64" fillId="0" borderId="62" xfId="0" applyNumberFormat="1" applyFont="1" applyFill="1" applyBorder="1" applyAlignment="1">
      <alignment horizontal="center" vertical="center"/>
    </xf>
    <xf numFmtId="3" fontId="64" fillId="0" borderId="41" xfId="0" applyNumberFormat="1" applyFont="1" applyFill="1" applyBorder="1" applyAlignment="1">
      <alignment horizontal="center" vertical="center"/>
    </xf>
    <xf numFmtId="0" fontId="64" fillId="0" borderId="63" xfId="0" applyFont="1" applyFill="1" applyBorder="1" applyAlignment="1">
      <alignment horizontal="center" vertical="center"/>
    </xf>
    <xf numFmtId="0" fontId="79" fillId="0" borderId="64" xfId="0" applyFont="1" applyFill="1" applyBorder="1" applyAlignment="1">
      <alignment vertical="center"/>
    </xf>
    <xf numFmtId="3" fontId="79" fillId="0" borderId="63" xfId="0" applyNumberFormat="1" applyFont="1" applyFill="1" applyBorder="1" applyAlignment="1">
      <alignment horizontal="center" vertical="center"/>
    </xf>
    <xf numFmtId="3" fontId="79" fillId="0" borderId="65" xfId="0" applyNumberFormat="1" applyFont="1" applyFill="1" applyBorder="1" applyAlignment="1">
      <alignment horizontal="center" vertical="center"/>
    </xf>
    <xf numFmtId="3" fontId="79" fillId="0" borderId="64" xfId="0" applyNumberFormat="1" applyFont="1" applyFill="1" applyBorder="1" applyAlignment="1">
      <alignment horizontal="center" vertical="center"/>
    </xf>
    <xf numFmtId="3" fontId="79" fillId="0" borderId="66" xfId="0" applyNumberFormat="1" applyFont="1" applyFill="1" applyBorder="1" applyAlignment="1">
      <alignment horizontal="center" vertical="center"/>
    </xf>
    <xf numFmtId="3" fontId="79" fillId="0" borderId="67" xfId="0" applyNumberFormat="1" applyFont="1" applyFill="1" applyBorder="1" applyAlignment="1">
      <alignment horizontal="center" vertical="center"/>
    </xf>
    <xf numFmtId="3" fontId="79" fillId="0" borderId="68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horizontal="center" vertical="center"/>
    </xf>
    <xf numFmtId="3" fontId="62" fillId="0" borderId="0" xfId="0" applyNumberFormat="1" applyFont="1" applyFill="1" applyAlignment="1">
      <alignment horizontal="left" vertical="center"/>
    </xf>
    <xf numFmtId="3" fontId="62" fillId="0" borderId="60" xfId="0" applyNumberFormat="1" applyFont="1" applyFill="1" applyBorder="1" applyAlignment="1">
      <alignment horizontal="center" vertical="center" wrapText="1"/>
    </xf>
    <xf numFmtId="3" fontId="62" fillId="0" borderId="41" xfId="0" applyNumberFormat="1" applyFont="1" applyFill="1" applyBorder="1" applyAlignment="1">
      <alignment horizontal="center" vertical="center"/>
    </xf>
    <xf numFmtId="0" fontId="62" fillId="0" borderId="73" xfId="0" applyFont="1" applyFill="1" applyBorder="1" applyAlignment="1">
      <alignment horizontal="center" vertical="center"/>
    </xf>
    <xf numFmtId="3" fontId="62" fillId="0" borderId="36" xfId="0" applyNumberFormat="1" applyFont="1" applyFill="1" applyBorder="1" applyAlignment="1">
      <alignment horizontal="left" vertical="center"/>
    </xf>
    <xf numFmtId="0" fontId="62" fillId="0" borderId="74" xfId="0" applyFont="1" applyFill="1" applyBorder="1" applyAlignment="1">
      <alignment horizontal="center" vertical="center"/>
    </xf>
    <xf numFmtId="3" fontId="62" fillId="0" borderId="40" xfId="0" applyNumberFormat="1" applyFont="1" applyFill="1" applyBorder="1" applyAlignment="1">
      <alignment horizontal="left" vertical="center"/>
    </xf>
    <xf numFmtId="3" fontId="62" fillId="0" borderId="43" xfId="0" applyNumberFormat="1" applyFont="1" applyFill="1" applyBorder="1" applyAlignment="1">
      <alignment horizontal="center" vertical="center"/>
    </xf>
    <xf numFmtId="3" fontId="62" fillId="0" borderId="10" xfId="0" applyNumberFormat="1" applyFont="1" applyFill="1" applyBorder="1" applyAlignment="1">
      <alignment horizontal="center" vertical="center"/>
    </xf>
    <xf numFmtId="3" fontId="62" fillId="0" borderId="44" xfId="0" applyNumberFormat="1" applyFont="1" applyFill="1" applyBorder="1" applyAlignment="1">
      <alignment horizontal="center" vertical="center"/>
    </xf>
    <xf numFmtId="3" fontId="62" fillId="0" borderId="40" xfId="0" applyNumberFormat="1" applyFont="1" applyFill="1" applyBorder="1" applyAlignment="1">
      <alignment horizontal="left" vertical="center" wrapText="1"/>
    </xf>
    <xf numFmtId="0" fontId="62" fillId="0" borderId="75" xfId="0" applyFont="1" applyFill="1" applyBorder="1" applyAlignment="1">
      <alignment horizontal="center" vertical="center"/>
    </xf>
    <xf numFmtId="3" fontId="62" fillId="0" borderId="40" xfId="57788" applyNumberFormat="1" applyFont="1" applyFill="1" applyBorder="1" applyAlignment="1">
      <alignment horizontal="left" vertical="center" wrapText="1"/>
    </xf>
    <xf numFmtId="0" fontId="62" fillId="0" borderId="76" xfId="0" applyFont="1" applyFill="1" applyBorder="1" applyAlignment="1">
      <alignment horizontal="center" vertical="center"/>
    </xf>
    <xf numFmtId="3" fontId="62" fillId="0" borderId="62" xfId="0" applyNumberFormat="1" applyFont="1" applyFill="1" applyBorder="1" applyAlignment="1">
      <alignment horizontal="left" vertical="center"/>
    </xf>
    <xf numFmtId="0" fontId="63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/>
    </xf>
    <xf numFmtId="3" fontId="63" fillId="0" borderId="0" xfId="0" applyNumberFormat="1" applyFont="1" applyFill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3" fontId="64" fillId="0" borderId="48" xfId="0" applyNumberFormat="1" applyFont="1" applyFill="1" applyBorder="1" applyAlignment="1">
      <alignment horizontal="center" vertical="center" wrapText="1"/>
    </xf>
    <xf numFmtId="4" fontId="64" fillId="0" borderId="48" xfId="0" applyNumberFormat="1" applyFont="1" applyFill="1" applyBorder="1" applyAlignment="1">
      <alignment horizontal="center" vertical="center" wrapText="1"/>
    </xf>
    <xf numFmtId="0" fontId="63" fillId="0" borderId="54" xfId="0" applyFont="1" applyFill="1" applyBorder="1" applyAlignment="1">
      <alignment horizontal="center" vertical="center"/>
    </xf>
    <xf numFmtId="3" fontId="63" fillId="0" borderId="82" xfId="59261" applyNumberFormat="1" applyFont="1" applyFill="1" applyBorder="1" applyAlignment="1">
      <alignment horizontal="left" vertical="center" wrapText="1"/>
    </xf>
    <xf numFmtId="3" fontId="63" fillId="0" borderId="56" xfId="58105" applyNumberFormat="1" applyFont="1" applyFill="1" applyBorder="1" applyAlignment="1">
      <alignment horizontal="center" vertical="center" wrapText="1"/>
    </xf>
    <xf numFmtId="3" fontId="63" fillId="0" borderId="28" xfId="58105" applyNumberFormat="1" applyFont="1" applyFill="1" applyBorder="1" applyAlignment="1">
      <alignment horizontal="center" vertical="center" wrapText="1"/>
    </xf>
    <xf numFmtId="3" fontId="63" fillId="0" borderId="57" xfId="58105" applyNumberFormat="1" applyFont="1" applyFill="1" applyBorder="1" applyAlignment="1">
      <alignment horizontal="center" vertical="center" wrapText="1"/>
    </xf>
    <xf numFmtId="3" fontId="63" fillId="0" borderId="57" xfId="0" applyNumberFormat="1" applyFont="1" applyFill="1" applyBorder="1" applyAlignment="1">
      <alignment horizontal="center" vertical="center"/>
    </xf>
    <xf numFmtId="3" fontId="63" fillId="0" borderId="54" xfId="0" applyNumberFormat="1" applyFont="1" applyFill="1" applyBorder="1" applyAlignment="1">
      <alignment horizontal="center" vertical="center"/>
    </xf>
    <xf numFmtId="3" fontId="63" fillId="0" borderId="28" xfId="0" applyNumberFormat="1" applyFont="1" applyFill="1" applyBorder="1" applyAlignment="1">
      <alignment horizontal="center" vertical="center"/>
    </xf>
    <xf numFmtId="3" fontId="63" fillId="0" borderId="55" xfId="0" applyNumberFormat="1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63" fillId="0" borderId="55" xfId="0" applyFont="1" applyFill="1" applyBorder="1" applyAlignment="1">
      <alignment horizontal="center" vertical="center"/>
    </xf>
    <xf numFmtId="0" fontId="63" fillId="0" borderId="43" xfId="0" applyFont="1" applyFill="1" applyBorder="1" applyAlignment="1">
      <alignment horizontal="center" vertical="center"/>
    </xf>
    <xf numFmtId="3" fontId="63" fillId="0" borderId="41" xfId="59261" applyNumberFormat="1" applyFont="1" applyFill="1" applyBorder="1" applyAlignment="1">
      <alignment horizontal="left" vertical="center" wrapText="1"/>
    </xf>
    <xf numFmtId="3" fontId="63" fillId="0" borderId="43" xfId="58105" applyNumberFormat="1" applyFont="1" applyFill="1" applyBorder="1" applyAlignment="1">
      <alignment horizontal="center" vertical="center" wrapText="1"/>
    </xf>
    <xf numFmtId="3" fontId="63" fillId="0" borderId="10" xfId="58105" applyNumberFormat="1" applyFont="1" applyFill="1" applyBorder="1" applyAlignment="1">
      <alignment horizontal="center" vertical="center" wrapText="1"/>
    </xf>
    <xf numFmtId="3" fontId="63" fillId="0" borderId="43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44" xfId="0" applyFont="1" applyFill="1" applyBorder="1" applyAlignment="1">
      <alignment horizontal="center" vertical="center"/>
    </xf>
    <xf numFmtId="0" fontId="63" fillId="0" borderId="41" xfId="0" applyFont="1" applyFill="1" applyBorder="1" applyAlignment="1">
      <alignment horizontal="left" vertical="center" wrapText="1"/>
    </xf>
    <xf numFmtId="3" fontId="63" fillId="0" borderId="44" xfId="59261" applyNumberFormat="1" applyFont="1" applyFill="1" applyBorder="1" applyAlignment="1">
      <alignment horizontal="left" vertical="center" wrapText="1"/>
    </xf>
    <xf numFmtId="3" fontId="63" fillId="0" borderId="44" xfId="59251" applyNumberFormat="1" applyFont="1" applyFill="1" applyBorder="1" applyAlignment="1">
      <alignment horizontal="left" vertical="center" wrapText="1"/>
    </xf>
    <xf numFmtId="3" fontId="63" fillId="0" borderId="41" xfId="59251" applyNumberFormat="1" applyFont="1" applyFill="1" applyBorder="1" applyAlignment="1">
      <alignment horizontal="left" vertical="center" wrapText="1"/>
    </xf>
    <xf numFmtId="0" fontId="63" fillId="0" borderId="40" xfId="0" applyFont="1" applyFill="1" applyBorder="1" applyAlignment="1">
      <alignment horizontal="center" vertical="center"/>
    </xf>
    <xf numFmtId="0" fontId="63" fillId="0" borderId="44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vertical="center" wrapText="1"/>
    </xf>
    <xf numFmtId="3" fontId="62" fillId="0" borderId="44" xfId="0" applyNumberFormat="1" applyFont="1" applyFill="1" applyBorder="1" applyAlignment="1">
      <alignment horizontal="left" vertical="center" wrapText="1"/>
    </xf>
    <xf numFmtId="3" fontId="63" fillId="0" borderId="27" xfId="58105" applyNumberFormat="1" applyFont="1" applyFill="1" applyBorder="1" applyAlignment="1">
      <alignment horizontal="center" vertical="center" wrapText="1"/>
    </xf>
    <xf numFmtId="0" fontId="63" fillId="0" borderId="60" xfId="0" applyFont="1" applyFill="1" applyBorder="1" applyAlignment="1">
      <alignment horizontal="center" vertical="center"/>
    </xf>
    <xf numFmtId="3" fontId="63" fillId="0" borderId="61" xfId="58105" applyNumberFormat="1" applyFont="1" applyFill="1" applyBorder="1" applyAlignment="1">
      <alignment horizontal="center" vertical="center" wrapText="1"/>
    </xf>
    <xf numFmtId="3" fontId="63" fillId="0" borderId="25" xfId="58105" applyNumberFormat="1" applyFont="1" applyFill="1" applyBorder="1" applyAlignment="1">
      <alignment horizontal="center" vertical="center" wrapText="1"/>
    </xf>
    <xf numFmtId="3" fontId="63" fillId="0" borderId="44" xfId="0" applyNumberFormat="1" applyFont="1" applyFill="1" applyBorder="1" applyAlignment="1">
      <alignment horizontal="center" vertical="center"/>
    </xf>
    <xf numFmtId="3" fontId="63" fillId="0" borderId="30" xfId="58105" applyNumberFormat="1" applyFont="1" applyFill="1" applyBorder="1" applyAlignment="1">
      <alignment horizontal="center" vertical="center" wrapText="1"/>
    </xf>
    <xf numFmtId="3" fontId="63" fillId="0" borderId="39" xfId="58105" applyNumberFormat="1" applyFont="1" applyFill="1" applyBorder="1" applyAlignment="1">
      <alignment horizontal="center" vertical="center" wrapText="1"/>
    </xf>
    <xf numFmtId="3" fontId="63" fillId="0" borderId="39" xfId="0" applyNumberFormat="1" applyFont="1" applyFill="1" applyBorder="1" applyAlignment="1">
      <alignment horizontal="center" vertical="center"/>
    </xf>
    <xf numFmtId="3" fontId="63" fillId="0" borderId="60" xfId="0" applyNumberFormat="1" applyFont="1" applyFill="1" applyBorder="1" applyAlignment="1">
      <alignment horizontal="center" vertical="center"/>
    </xf>
    <xf numFmtId="3" fontId="63" fillId="0" borderId="25" xfId="0" applyNumberFormat="1" applyFont="1" applyFill="1" applyBorder="1" applyAlignment="1">
      <alignment horizontal="center" vertical="center"/>
    </xf>
    <xf numFmtId="3" fontId="63" fillId="0" borderId="82" xfId="0" applyNumberFormat="1" applyFont="1" applyFill="1" applyBorder="1" applyAlignment="1">
      <alignment horizontal="center" vertical="center"/>
    </xf>
    <xf numFmtId="0" fontId="63" fillId="0" borderId="25" xfId="0" applyFont="1" applyFill="1" applyBorder="1" applyAlignment="1">
      <alignment horizontal="center" vertical="center"/>
    </xf>
    <xf numFmtId="3" fontId="63" fillId="0" borderId="41" xfId="0" applyNumberFormat="1" applyFont="1" applyFill="1" applyBorder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vertical="center"/>
    </xf>
    <xf numFmtId="3" fontId="68" fillId="0" borderId="63" xfId="0" applyNumberFormat="1" applyFont="1" applyFill="1" applyBorder="1" applyAlignment="1">
      <alignment horizontal="center" vertical="center"/>
    </xf>
    <xf numFmtId="3" fontId="68" fillId="0" borderId="83" xfId="0" applyNumberFormat="1" applyFont="1" applyFill="1" applyBorder="1" applyAlignment="1">
      <alignment horizontal="center" vertical="center"/>
    </xf>
    <xf numFmtId="3" fontId="68" fillId="0" borderId="67" xfId="0" applyNumberFormat="1" applyFont="1" applyFill="1" applyBorder="1" applyAlignment="1">
      <alignment horizontal="center" vertical="center"/>
    </xf>
    <xf numFmtId="3" fontId="68" fillId="0" borderId="65" xfId="0" applyNumberFormat="1" applyFont="1" applyFill="1" applyBorder="1" applyAlignment="1">
      <alignment horizontal="center" vertical="center"/>
    </xf>
    <xf numFmtId="3" fontId="61" fillId="0" borderId="63" xfId="0" applyNumberFormat="1" applyFont="1" applyFill="1" applyBorder="1" applyAlignment="1">
      <alignment horizontal="center" vertical="center"/>
    </xf>
    <xf numFmtId="3" fontId="61" fillId="0" borderId="65" xfId="0" applyNumberFormat="1" applyFont="1" applyFill="1" applyBorder="1" applyAlignment="1">
      <alignment horizontal="center" vertical="center"/>
    </xf>
    <xf numFmtId="3" fontId="61" fillId="0" borderId="67" xfId="0" applyNumberFormat="1" applyFont="1" applyFill="1" applyBorder="1" applyAlignment="1">
      <alignment horizontal="center" vertical="center"/>
    </xf>
    <xf numFmtId="3" fontId="85" fillId="74" borderId="0" xfId="0" applyNumberFormat="1" applyFont="1" applyFill="1" applyAlignment="1">
      <alignment horizontal="center" vertical="center" wrapText="1"/>
    </xf>
    <xf numFmtId="3" fontId="8" fillId="74" borderId="0" xfId="0" applyNumberFormat="1" applyFont="1" applyFill="1" applyAlignment="1">
      <alignment horizontal="left" vertical="center" wrapText="1"/>
    </xf>
    <xf numFmtId="3" fontId="83" fillId="74" borderId="0" xfId="0" applyNumberFormat="1" applyFont="1" applyFill="1" applyAlignment="1">
      <alignment horizontal="center" vertical="center" wrapText="1"/>
    </xf>
    <xf numFmtId="3" fontId="85" fillId="74" borderId="0" xfId="0" applyNumberFormat="1" applyFont="1" applyFill="1" applyAlignment="1">
      <alignment horizontal="center" vertical="center"/>
    </xf>
    <xf numFmtId="3" fontId="87" fillId="74" borderId="0" xfId="0" applyNumberFormat="1" applyFont="1" applyFill="1" applyAlignment="1">
      <alignment horizontal="center" vertical="center"/>
    </xf>
    <xf numFmtId="3" fontId="87" fillId="74" borderId="0" xfId="0" applyNumberFormat="1" applyFont="1" applyFill="1" applyAlignment="1">
      <alignment horizontal="center" vertical="center" wrapText="1"/>
    </xf>
    <xf numFmtId="3" fontId="88" fillId="74" borderId="0" xfId="0" applyNumberFormat="1" applyFont="1" applyFill="1" applyAlignment="1">
      <alignment horizontal="right" vertical="center" wrapText="1"/>
    </xf>
    <xf numFmtId="4" fontId="85" fillId="74" borderId="0" xfId="0" applyNumberFormat="1" applyFont="1" applyFill="1" applyAlignment="1">
      <alignment horizontal="center" vertical="center" wrapText="1"/>
    </xf>
    <xf numFmtId="49" fontId="89" fillId="74" borderId="10" xfId="0" applyNumberFormat="1" applyFont="1" applyFill="1" applyBorder="1" applyAlignment="1">
      <alignment horizontal="center" vertical="center" wrapText="1"/>
    </xf>
    <xf numFmtId="168" fontId="89" fillId="74" borderId="10" xfId="0" applyNumberFormat="1" applyFont="1" applyFill="1" applyBorder="1" applyAlignment="1">
      <alignment horizontal="center" vertical="center" wrapText="1"/>
    </xf>
    <xf numFmtId="3" fontId="89" fillId="74" borderId="10" xfId="0" applyNumberFormat="1" applyFont="1" applyFill="1" applyBorder="1" applyAlignment="1">
      <alignment horizontal="left" vertical="center" wrapText="1"/>
    </xf>
    <xf numFmtId="3" fontId="8" fillId="74" borderId="0" xfId="0" applyNumberFormat="1" applyFont="1" applyFill="1" applyAlignment="1">
      <alignment horizontal="center" vertical="center"/>
    </xf>
    <xf numFmtId="3" fontId="90" fillId="74" borderId="10" xfId="0" applyNumberFormat="1" applyFont="1" applyFill="1" applyBorder="1" applyAlignment="1">
      <alignment horizontal="center" vertical="center" wrapText="1"/>
    </xf>
    <xf numFmtId="3" fontId="91" fillId="74" borderId="10" xfId="0" applyNumberFormat="1" applyFont="1" applyFill="1" applyBorder="1" applyAlignment="1">
      <alignment horizontal="left" vertical="center" wrapText="1"/>
    </xf>
    <xf numFmtId="3" fontId="92" fillId="74" borderId="0" xfId="0" applyNumberFormat="1" applyFont="1" applyFill="1" applyAlignment="1">
      <alignment horizontal="center" vertical="center"/>
    </xf>
    <xf numFmtId="3" fontId="8" fillId="74" borderId="0" xfId="0" applyNumberFormat="1" applyFont="1" applyFill="1" applyAlignment="1">
      <alignment horizontal="left" vertical="center"/>
    </xf>
    <xf numFmtId="0" fontId="62" fillId="74" borderId="0" xfId="59247" applyFont="1" applyFill="1"/>
    <xf numFmtId="0" fontId="61" fillId="74" borderId="24" xfId="59247" applyFont="1" applyFill="1" applyBorder="1" applyAlignment="1">
      <alignment horizontal="center" vertical="center" wrapText="1"/>
    </xf>
    <xf numFmtId="0" fontId="62" fillId="74" borderId="24" xfId="59247" applyFont="1" applyFill="1" applyBorder="1" applyAlignment="1">
      <alignment wrapText="1"/>
    </xf>
    <xf numFmtId="0" fontId="64" fillId="74" borderId="0" xfId="59247" applyFont="1" applyFill="1"/>
    <xf numFmtId="0" fontId="62" fillId="74" borderId="10" xfId="59247" applyFont="1" applyFill="1" applyBorder="1" applyAlignment="1">
      <alignment horizontal="center" vertical="center"/>
    </xf>
    <xf numFmtId="4" fontId="62" fillId="74" borderId="27" xfId="59247" applyNumberFormat="1" applyFont="1" applyFill="1" applyBorder="1" applyAlignment="1">
      <alignment horizontal="left" vertical="center" wrapText="1"/>
    </xf>
    <xf numFmtId="3" fontId="62" fillId="74" borderId="10" xfId="59247" applyNumberFormat="1" applyFont="1" applyFill="1" applyBorder="1" applyAlignment="1">
      <alignment horizontal="center" vertical="center" wrapText="1"/>
    </xf>
    <xf numFmtId="169" fontId="62" fillId="74" borderId="0" xfId="59247" applyNumberFormat="1" applyFont="1" applyFill="1"/>
    <xf numFmtId="4" fontId="62" fillId="74" borderId="27" xfId="59247" applyNumberFormat="1" applyFont="1" applyFill="1" applyBorder="1" applyAlignment="1">
      <alignment vertical="center" wrapText="1"/>
    </xf>
    <xf numFmtId="4" fontId="62" fillId="74" borderId="27" xfId="59262" applyNumberFormat="1" applyFont="1" applyFill="1" applyBorder="1" applyAlignment="1">
      <alignment vertical="center" wrapText="1"/>
    </xf>
    <xf numFmtId="4" fontId="94" fillId="74" borderId="10" xfId="59262" applyNumberFormat="1" applyFont="1" applyFill="1" applyBorder="1" applyAlignment="1">
      <alignment horizontal="left" vertical="center" wrapText="1"/>
    </xf>
    <xf numFmtId="3" fontId="94" fillId="74" borderId="10" xfId="59247" applyNumberFormat="1" applyFont="1" applyFill="1" applyBorder="1" applyAlignment="1">
      <alignment horizontal="center" vertical="center" wrapText="1"/>
    </xf>
    <xf numFmtId="0" fontId="94" fillId="74" borderId="0" xfId="59247" applyFont="1" applyFill="1" applyAlignment="1">
      <alignment vertical="center"/>
    </xf>
    <xf numFmtId="4" fontId="62" fillId="74" borderId="27" xfId="59262" applyNumberFormat="1" applyFont="1" applyFill="1" applyBorder="1" applyAlignment="1">
      <alignment horizontal="left" vertical="center" wrapText="1"/>
    </xf>
    <xf numFmtId="4" fontId="94" fillId="74" borderId="27" xfId="59262" applyNumberFormat="1" applyFont="1" applyFill="1" applyBorder="1" applyAlignment="1">
      <alignment horizontal="left" vertical="center" wrapText="1"/>
    </xf>
    <xf numFmtId="0" fontId="94" fillId="74" borderId="0" xfId="59247" applyFont="1" applyFill="1"/>
    <xf numFmtId="4" fontId="62" fillId="74" borderId="27" xfId="57748" applyNumberFormat="1" applyFont="1" applyFill="1" applyBorder="1" applyAlignment="1">
      <alignment horizontal="left" vertical="center" wrapText="1"/>
    </xf>
    <xf numFmtId="4" fontId="62" fillId="74" borderId="10" xfId="59247" applyNumberFormat="1" applyFont="1" applyFill="1" applyBorder="1" applyAlignment="1">
      <alignment vertical="center" wrapText="1"/>
    </xf>
    <xf numFmtId="3" fontId="62" fillId="74" borderId="27" xfId="59247" applyNumberFormat="1" applyFont="1" applyFill="1" applyBorder="1" applyAlignment="1">
      <alignment vertical="center" wrapText="1"/>
    </xf>
    <xf numFmtId="3" fontId="94" fillId="74" borderId="27" xfId="59247" applyNumberFormat="1" applyFont="1" applyFill="1" applyBorder="1" applyAlignment="1">
      <alignment vertical="center" wrapText="1"/>
    </xf>
    <xf numFmtId="4" fontId="62" fillId="74" borderId="61" xfId="59247" applyNumberFormat="1" applyFont="1" applyFill="1" applyBorder="1" applyAlignment="1">
      <alignment vertical="center" wrapText="1"/>
    </xf>
    <xf numFmtId="3" fontId="78" fillId="74" borderId="10" xfId="59247" applyNumberFormat="1" applyFont="1" applyFill="1" applyBorder="1" applyAlignment="1">
      <alignment horizontal="center" vertical="center" wrapText="1"/>
    </xf>
    <xf numFmtId="0" fontId="71" fillId="74" borderId="0" xfId="59247" applyFont="1" applyFill="1"/>
    <xf numFmtId="0" fontId="61" fillId="74" borderId="0" xfId="59247" applyFont="1" applyFill="1" applyAlignment="1">
      <alignment horizontal="center"/>
    </xf>
    <xf numFmtId="0" fontId="71" fillId="74" borderId="0" xfId="59247" applyFont="1" applyFill="1" applyAlignment="1">
      <alignment vertical="center"/>
    </xf>
    <xf numFmtId="3" fontId="94" fillId="74" borderId="0" xfId="59247" applyNumberFormat="1" applyFont="1" applyFill="1" applyAlignment="1">
      <alignment vertical="center" wrapText="1"/>
    </xf>
    <xf numFmtId="3" fontId="94" fillId="74" borderId="0" xfId="59247" applyNumberFormat="1" applyFont="1" applyFill="1" applyAlignment="1">
      <alignment vertical="center"/>
    </xf>
    <xf numFmtId="4" fontId="62" fillId="74" borderId="10" xfId="59248" applyNumberFormat="1" applyFont="1" applyFill="1" applyBorder="1" applyAlignment="1">
      <alignment vertical="center" wrapText="1"/>
    </xf>
    <xf numFmtId="3" fontId="61" fillId="74" borderId="10" xfId="59247" applyNumberFormat="1" applyFont="1" applyFill="1" applyBorder="1" applyAlignment="1">
      <alignment horizontal="left" vertical="center"/>
    </xf>
    <xf numFmtId="3" fontId="61" fillId="74" borderId="10" xfId="59247" applyNumberFormat="1" applyFont="1" applyFill="1" applyBorder="1" applyAlignment="1">
      <alignment horizontal="center" vertical="center"/>
    </xf>
    <xf numFmtId="3" fontId="62" fillId="74" borderId="0" xfId="59247" applyNumberFormat="1" applyFont="1" applyFill="1" applyAlignment="1">
      <alignment horizontal="center"/>
    </xf>
    <xf numFmtId="0" fontId="95" fillId="74" borderId="0" xfId="0" applyFont="1" applyFill="1" applyAlignment="1">
      <alignment vertical="center"/>
    </xf>
    <xf numFmtId="0" fontId="71" fillId="74" borderId="0" xfId="0" applyFont="1" applyFill="1"/>
    <xf numFmtId="0" fontId="71" fillId="74" borderId="0" xfId="0" applyFont="1" applyFill="1" applyAlignment="1">
      <alignment horizontal="justify" vertical="center"/>
    </xf>
    <xf numFmtId="0" fontId="71" fillId="74" borderId="0" xfId="0" applyFont="1" applyFill="1" applyBorder="1" applyAlignment="1">
      <alignment horizontal="center"/>
    </xf>
    <xf numFmtId="0" fontId="96" fillId="74" borderId="0" xfId="57572" applyFont="1" applyFill="1" applyBorder="1" applyAlignment="1">
      <alignment horizontal="center" vertical="center" wrapText="1"/>
    </xf>
    <xf numFmtId="0" fontId="71" fillId="74" borderId="0" xfId="57572" applyFont="1" applyFill="1"/>
    <xf numFmtId="0" fontId="78" fillId="74" borderId="0" xfId="57572" applyFont="1" applyFill="1" applyBorder="1" applyAlignment="1">
      <alignment horizontal="center" vertical="center" wrapText="1"/>
    </xf>
    <xf numFmtId="0" fontId="97" fillId="74" borderId="10" xfId="57572" applyFont="1" applyFill="1" applyBorder="1" applyAlignment="1">
      <alignment horizontal="center" vertical="center" wrapText="1"/>
    </xf>
    <xf numFmtId="0" fontId="62" fillId="74" borderId="10" xfId="0" applyFont="1" applyFill="1" applyBorder="1" applyAlignment="1">
      <alignment horizontal="center" vertical="center"/>
    </xf>
    <xf numFmtId="4" fontId="62" fillId="74" borderId="10" xfId="0" applyNumberFormat="1" applyFont="1" applyFill="1" applyBorder="1" applyAlignment="1">
      <alignment horizontal="left" vertical="center" wrapText="1"/>
    </xf>
    <xf numFmtId="3" fontId="78" fillId="74" borderId="10" xfId="57572" applyNumberFormat="1" applyFont="1" applyFill="1" applyBorder="1" applyAlignment="1">
      <alignment horizontal="center" vertical="center"/>
    </xf>
    <xf numFmtId="3" fontId="78" fillId="74" borderId="10" xfId="0" applyNumberFormat="1" applyFont="1" applyFill="1" applyBorder="1" applyAlignment="1">
      <alignment horizontal="center" vertical="center"/>
    </xf>
    <xf numFmtId="3" fontId="78" fillId="74" borderId="27" xfId="57572" applyNumberFormat="1" applyFont="1" applyFill="1" applyBorder="1" applyAlignment="1">
      <alignment horizontal="center" vertical="center"/>
    </xf>
    <xf numFmtId="3" fontId="78" fillId="74" borderId="0" xfId="57572" applyNumberFormat="1" applyFont="1" applyFill="1" applyBorder="1" applyAlignment="1">
      <alignment horizontal="center" vertical="center"/>
    </xf>
    <xf numFmtId="3" fontId="71" fillId="74" borderId="0" xfId="0" applyNumberFormat="1" applyFont="1" applyFill="1"/>
    <xf numFmtId="0" fontId="78" fillId="74" borderId="10" xfId="0" applyFont="1" applyFill="1" applyBorder="1" applyAlignment="1">
      <alignment horizontal="center" vertical="center"/>
    </xf>
    <xf numFmtId="4" fontId="62" fillId="74" borderId="10" xfId="0" applyNumberFormat="1" applyFont="1" applyFill="1" applyBorder="1" applyAlignment="1">
      <alignment vertical="center" wrapText="1"/>
    </xf>
    <xf numFmtId="4" fontId="62" fillId="74" borderId="10" xfId="59262" applyNumberFormat="1" applyFont="1" applyFill="1" applyBorder="1" applyAlignment="1">
      <alignment vertical="center" wrapText="1"/>
    </xf>
    <xf numFmtId="3" fontId="78" fillId="74" borderId="0" xfId="57572" applyNumberFormat="1" applyFont="1" applyFill="1" applyBorder="1" applyAlignment="1">
      <alignment horizontal="center"/>
    </xf>
    <xf numFmtId="4" fontId="62" fillId="74" borderId="10" xfId="59262" applyNumberFormat="1" applyFont="1" applyFill="1" applyBorder="1" applyAlignment="1">
      <alignment horizontal="left" vertical="center" wrapText="1"/>
    </xf>
    <xf numFmtId="3" fontId="78" fillId="74" borderId="28" xfId="0" applyNumberFormat="1" applyFont="1" applyFill="1" applyBorder="1" applyAlignment="1">
      <alignment horizontal="center" vertical="center"/>
    </xf>
    <xf numFmtId="0" fontId="78" fillId="74" borderId="28" xfId="0" applyFont="1" applyFill="1" applyBorder="1" applyAlignment="1">
      <alignment horizontal="center" vertical="center"/>
    </xf>
    <xf numFmtId="3" fontId="78" fillId="74" borderId="28" xfId="57572" applyNumberFormat="1" applyFont="1" applyFill="1" applyBorder="1" applyAlignment="1">
      <alignment horizontal="center" vertical="center"/>
    </xf>
    <xf numFmtId="3" fontId="78" fillId="74" borderId="56" xfId="57572" applyNumberFormat="1" applyFont="1" applyFill="1" applyBorder="1" applyAlignment="1">
      <alignment horizontal="center" vertical="center"/>
    </xf>
    <xf numFmtId="3" fontId="94" fillId="74" borderId="0" xfId="0" applyNumberFormat="1" applyFont="1" applyFill="1"/>
    <xf numFmtId="0" fontId="78" fillId="74" borderId="10" xfId="0" applyFont="1" applyFill="1" applyBorder="1" applyAlignment="1">
      <alignment horizontal="left" vertical="center" wrapText="1"/>
    </xf>
    <xf numFmtId="3" fontId="62" fillId="74" borderId="10" xfId="0" applyNumberFormat="1" applyFont="1" applyFill="1" applyBorder="1" applyAlignment="1">
      <alignment vertical="center" wrapText="1"/>
    </xf>
    <xf numFmtId="0" fontId="78" fillId="74" borderId="0" xfId="0" applyFont="1" applyFill="1" applyAlignment="1">
      <alignment horizontal="left" vertical="center" wrapText="1"/>
    </xf>
    <xf numFmtId="3" fontId="77" fillId="74" borderId="0" xfId="0" applyNumberFormat="1" applyFont="1" applyFill="1"/>
    <xf numFmtId="0" fontId="94" fillId="74" borderId="10" xfId="0" applyFont="1" applyFill="1" applyBorder="1" applyAlignment="1">
      <alignment wrapText="1"/>
    </xf>
    <xf numFmtId="3" fontId="74" fillId="74" borderId="10" xfId="0" applyNumberFormat="1" applyFont="1" applyFill="1" applyBorder="1" applyAlignment="1" applyProtection="1">
      <alignment horizontal="left" vertical="center" wrapText="1"/>
      <protection locked="0"/>
    </xf>
    <xf numFmtId="3" fontId="74" fillId="74" borderId="10" xfId="0" applyNumberFormat="1" applyFont="1" applyFill="1" applyBorder="1" applyAlignment="1" applyProtection="1">
      <alignment horizontal="left" vertical="center"/>
      <protection locked="0"/>
    </xf>
    <xf numFmtId="4" fontId="74" fillId="74" borderId="61" xfId="59249" applyNumberFormat="1" applyFont="1" applyFill="1" applyBorder="1" applyAlignment="1">
      <alignment horizontal="left" vertical="center" wrapText="1"/>
    </xf>
    <xf numFmtId="0" fontId="61" fillId="74" borderId="10" xfId="0" applyFont="1" applyFill="1" applyBorder="1" applyAlignment="1">
      <alignment horizontal="center" vertical="center"/>
    </xf>
    <xf numFmtId="3" fontId="61" fillId="74" borderId="10" xfId="0" applyNumberFormat="1" applyFont="1" applyFill="1" applyBorder="1" applyAlignment="1">
      <alignment horizontal="left" vertical="center"/>
    </xf>
    <xf numFmtId="3" fontId="77" fillId="74" borderId="10" xfId="0" applyNumberFormat="1" applyFont="1" applyFill="1" applyBorder="1" applyAlignment="1">
      <alignment horizontal="center" vertical="center"/>
    </xf>
    <xf numFmtId="3" fontId="96" fillId="74" borderId="10" xfId="57572" applyNumberFormat="1" applyFont="1" applyFill="1" applyBorder="1" applyAlignment="1">
      <alignment horizontal="center" vertical="center"/>
    </xf>
    <xf numFmtId="3" fontId="77" fillId="74" borderId="28" xfId="0" applyNumberFormat="1" applyFont="1" applyFill="1" applyBorder="1" applyAlignment="1">
      <alignment horizontal="center" vertical="center"/>
    </xf>
    <xf numFmtId="0" fontId="71" fillId="74" borderId="0" xfId="0" applyFont="1" applyFill="1" applyAlignment="1">
      <alignment vertical="center"/>
    </xf>
    <xf numFmtId="3" fontId="61" fillId="74" borderId="0" xfId="0" applyNumberFormat="1" applyFont="1" applyFill="1" applyBorder="1" applyAlignment="1">
      <alignment horizontal="left" vertical="center"/>
    </xf>
    <xf numFmtId="3" fontId="77" fillId="74" borderId="0" xfId="0" applyNumberFormat="1" applyFont="1" applyFill="1" applyBorder="1" applyAlignment="1">
      <alignment horizontal="center" vertical="center"/>
    </xf>
    <xf numFmtId="3" fontId="77" fillId="74" borderId="85" xfId="0" applyNumberFormat="1" applyFont="1" applyFill="1" applyBorder="1" applyAlignment="1">
      <alignment horizontal="center" vertical="center"/>
    </xf>
    <xf numFmtId="0" fontId="0" fillId="74" borderId="0" xfId="0" applyFill="1"/>
    <xf numFmtId="0" fontId="97" fillId="74" borderId="28" xfId="57572" applyFont="1" applyFill="1" applyBorder="1" applyAlignment="1">
      <alignment horizontal="center" vertical="center" wrapText="1"/>
    </xf>
    <xf numFmtId="0" fontId="64" fillId="74" borderId="10" xfId="0" applyFont="1" applyFill="1" applyBorder="1" applyAlignment="1">
      <alignment horizontal="center" vertical="center"/>
    </xf>
    <xf numFmtId="4" fontId="64" fillId="74" borderId="10" xfId="0" applyNumberFormat="1" applyFont="1" applyFill="1" applyBorder="1" applyAlignment="1">
      <alignment horizontal="left" vertical="center" wrapText="1"/>
    </xf>
    <xf numFmtId="3" fontId="97" fillId="74" borderId="10" xfId="57572" applyNumberFormat="1" applyFont="1" applyFill="1" applyBorder="1" applyAlignment="1">
      <alignment horizontal="center" vertical="center"/>
    </xf>
    <xf numFmtId="3" fontId="0" fillId="74" borderId="0" xfId="0" applyNumberFormat="1" applyFill="1"/>
    <xf numFmtId="4" fontId="64" fillId="74" borderId="10" xfId="0" applyNumberFormat="1" applyFont="1" applyFill="1" applyBorder="1" applyAlignment="1">
      <alignment vertical="center" wrapText="1"/>
    </xf>
    <xf numFmtId="4" fontId="64" fillId="74" borderId="10" xfId="59262" applyNumberFormat="1" applyFont="1" applyFill="1" applyBorder="1" applyAlignment="1">
      <alignment vertical="center" wrapText="1"/>
    </xf>
    <xf numFmtId="4" fontId="98" fillId="74" borderId="10" xfId="59262" applyNumberFormat="1" applyFont="1" applyFill="1" applyBorder="1" applyAlignment="1">
      <alignment horizontal="left" vertical="center" wrapText="1"/>
    </xf>
    <xf numFmtId="4" fontId="64" fillId="74" borderId="10" xfId="59262" applyNumberFormat="1" applyFont="1" applyFill="1" applyBorder="1" applyAlignment="1">
      <alignment horizontal="left" vertical="center" wrapText="1"/>
    </xf>
    <xf numFmtId="3" fontId="97" fillId="74" borderId="10" xfId="0" applyNumberFormat="1" applyFont="1" applyFill="1" applyBorder="1" applyAlignment="1">
      <alignment horizontal="center" vertical="center"/>
    </xf>
    <xf numFmtId="0" fontId="97" fillId="74" borderId="10" xfId="0" applyFont="1" applyFill="1" applyBorder="1" applyAlignment="1">
      <alignment horizontal="center" vertical="center"/>
    </xf>
    <xf numFmtId="3" fontId="97" fillId="74" borderId="28" xfId="57572" applyNumberFormat="1" applyFont="1" applyFill="1" applyBorder="1" applyAlignment="1">
      <alignment horizontal="center" vertical="center"/>
    </xf>
    <xf numFmtId="0" fontId="97" fillId="74" borderId="10" xfId="0" applyFont="1" applyFill="1" applyBorder="1" applyAlignment="1">
      <alignment horizontal="left" vertical="center" wrapText="1"/>
    </xf>
    <xf numFmtId="3" fontId="64" fillId="74" borderId="10" xfId="0" applyNumberFormat="1" applyFont="1" applyFill="1" applyBorder="1" applyAlignment="1">
      <alignment vertical="center" wrapText="1"/>
    </xf>
    <xf numFmtId="0" fontId="97" fillId="74" borderId="0" xfId="0" applyFont="1" applyFill="1" applyAlignment="1">
      <alignment horizontal="left" vertical="center" wrapText="1"/>
    </xf>
    <xf numFmtId="0" fontId="98" fillId="74" borderId="10" xfId="0" applyFont="1" applyFill="1" applyBorder="1" applyAlignment="1">
      <alignment wrapText="1"/>
    </xf>
    <xf numFmtId="3" fontId="99" fillId="74" borderId="10" xfId="0" applyNumberFormat="1" applyFont="1" applyFill="1" applyBorder="1" applyAlignment="1" applyProtection="1">
      <alignment horizontal="left" vertical="center" wrapText="1"/>
      <protection locked="0"/>
    </xf>
    <xf numFmtId="3" fontId="99" fillId="74" borderId="10" xfId="0" applyNumberFormat="1" applyFont="1" applyFill="1" applyBorder="1" applyAlignment="1" applyProtection="1">
      <alignment horizontal="left" vertical="center"/>
      <protection locked="0"/>
    </xf>
    <xf numFmtId="4" fontId="99" fillId="74" borderId="61" xfId="59249" applyNumberFormat="1" applyFont="1" applyFill="1" applyBorder="1" applyAlignment="1">
      <alignment horizontal="left" vertical="center" wrapText="1"/>
    </xf>
    <xf numFmtId="0" fontId="79" fillId="74" borderId="10" xfId="0" applyFont="1" applyFill="1" applyBorder="1" applyAlignment="1">
      <alignment horizontal="center" vertical="center"/>
    </xf>
    <xf numFmtId="3" fontId="79" fillId="74" borderId="10" xfId="0" applyNumberFormat="1" applyFont="1" applyFill="1" applyBorder="1" applyAlignment="1">
      <alignment horizontal="left" vertical="center"/>
    </xf>
    <xf numFmtId="3" fontId="100" fillId="74" borderId="10" xfId="0" applyNumberFormat="1" applyFont="1" applyFill="1" applyBorder="1" applyAlignment="1">
      <alignment horizontal="center" vertical="center"/>
    </xf>
    <xf numFmtId="4" fontId="0" fillId="74" borderId="0" xfId="0" applyNumberFormat="1" applyFill="1"/>
    <xf numFmtId="0" fontId="49" fillId="0" borderId="0" xfId="57736" applyFill="1"/>
    <xf numFmtId="0" fontId="99" fillId="0" borderId="10" xfId="57736" applyFont="1" applyFill="1" applyBorder="1" applyAlignment="1">
      <alignment horizontal="center" vertical="center" wrapText="1"/>
    </xf>
    <xf numFmtId="0" fontId="99" fillId="0" borderId="10" xfId="57736" applyFont="1" applyFill="1" applyBorder="1" applyAlignment="1">
      <alignment horizontal="center" vertical="center"/>
    </xf>
    <xf numFmtId="0" fontId="99" fillId="0" borderId="0" xfId="57736" applyFont="1" applyFill="1"/>
    <xf numFmtId="0" fontId="49" fillId="0" borderId="10" xfId="57736" applyFill="1" applyBorder="1" applyAlignment="1">
      <alignment horizontal="center" vertical="center" wrapText="1"/>
    </xf>
    <xf numFmtId="0" fontId="71" fillId="0" borderId="10" xfId="57736" applyFont="1" applyFill="1" applyBorder="1" applyAlignment="1">
      <alignment vertical="center" wrapText="1"/>
    </xf>
    <xf numFmtId="3" fontId="49" fillId="0" borderId="10" xfId="57736" applyNumberFormat="1" applyFill="1" applyBorder="1" applyAlignment="1">
      <alignment horizontal="center" vertical="center"/>
    </xf>
    <xf numFmtId="3" fontId="49" fillId="0" borderId="0" xfId="57736" applyNumberFormat="1" applyFill="1"/>
    <xf numFmtId="4" fontId="62" fillId="0" borderId="10" xfId="0" applyNumberFormat="1" applyFont="1" applyFill="1" applyBorder="1" applyAlignment="1">
      <alignment vertical="center" wrapText="1"/>
    </xf>
    <xf numFmtId="3" fontId="77" fillId="0" borderId="10" xfId="57736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3" fontId="74" fillId="0" borderId="0" xfId="0" applyNumberFormat="1" applyFont="1" applyFill="1" applyAlignment="1">
      <alignment vertical="center" wrapText="1"/>
    </xf>
    <xf numFmtId="3" fontId="89" fillId="74" borderId="10" xfId="0" applyNumberFormat="1" applyFont="1" applyFill="1" applyBorder="1" applyAlignment="1">
      <alignment horizontal="center" vertical="center" wrapText="1"/>
    </xf>
    <xf numFmtId="3" fontId="63" fillId="74" borderId="10" xfId="59248" applyNumberFormat="1" applyFont="1" applyFill="1" applyBorder="1" applyAlignment="1">
      <alignment horizontal="center" vertical="center" wrapText="1"/>
    </xf>
    <xf numFmtId="0" fontId="74" fillId="74" borderId="10" xfId="0" applyFont="1" applyFill="1" applyBorder="1" applyAlignment="1">
      <alignment horizontal="center" vertical="center" wrapText="1"/>
    </xf>
    <xf numFmtId="0" fontId="74" fillId="74" borderId="0" xfId="0" applyFont="1" applyFill="1" applyAlignment="1">
      <alignment vertical="center"/>
    </xf>
    <xf numFmtId="0" fontId="102" fillId="74" borderId="25" xfId="0" applyFont="1" applyFill="1" applyBorder="1" applyAlignment="1">
      <alignment horizontal="center" vertical="center" wrapText="1"/>
    </xf>
    <xf numFmtId="0" fontId="78" fillId="74" borderId="10" xfId="0" applyFont="1" applyFill="1" applyBorder="1" applyAlignment="1">
      <alignment horizontal="center" vertical="center" wrapText="1"/>
    </xf>
    <xf numFmtId="0" fontId="78" fillId="74" borderId="10" xfId="0" applyFont="1" applyFill="1" applyBorder="1" applyAlignment="1">
      <alignment vertical="center"/>
    </xf>
    <xf numFmtId="0" fontId="71" fillId="74" borderId="10" xfId="0" applyFont="1" applyFill="1" applyBorder="1" applyAlignment="1">
      <alignment vertical="center"/>
    </xf>
    <xf numFmtId="3" fontId="71" fillId="74" borderId="10" xfId="0" applyNumberFormat="1" applyFont="1" applyFill="1" applyBorder="1" applyAlignment="1">
      <alignment vertical="center"/>
    </xf>
    <xf numFmtId="0" fontId="78" fillId="74" borderId="10" xfId="0" applyFont="1" applyFill="1" applyBorder="1" applyAlignment="1">
      <alignment horizontal="right" vertical="center"/>
    </xf>
    <xf numFmtId="0" fontId="78" fillId="74" borderId="10" xfId="0" applyFont="1" applyFill="1" applyBorder="1" applyAlignment="1">
      <alignment vertical="center" wrapText="1"/>
    </xf>
    <xf numFmtId="0" fontId="103" fillId="74" borderId="10" xfId="0" applyFont="1" applyFill="1" applyBorder="1" applyAlignment="1">
      <alignment horizontal="center" vertical="center" wrapText="1"/>
    </xf>
    <xf numFmtId="0" fontId="71" fillId="74" borderId="10" xfId="0" applyFont="1" applyFill="1" applyBorder="1" applyAlignment="1">
      <alignment vertical="center" wrapText="1"/>
    </xf>
    <xf numFmtId="0" fontId="96" fillId="74" borderId="10" xfId="0" applyFont="1" applyFill="1" applyBorder="1" applyAlignment="1">
      <alignment horizontal="center" vertical="center" wrapText="1"/>
    </xf>
    <xf numFmtId="0" fontId="96" fillId="74" borderId="10" xfId="0" applyFont="1" applyFill="1" applyBorder="1" applyAlignment="1">
      <alignment vertical="center" wrapText="1"/>
    </xf>
    <xf numFmtId="0" fontId="77" fillId="74" borderId="10" xfId="0" applyFont="1" applyFill="1" applyBorder="1" applyAlignment="1">
      <alignment vertical="center"/>
    </xf>
    <xf numFmtId="3" fontId="77" fillId="74" borderId="10" xfId="0" applyNumberFormat="1" applyFont="1" applyFill="1" applyBorder="1" applyAlignment="1">
      <alignment vertical="center"/>
    </xf>
    <xf numFmtId="0" fontId="77" fillId="74" borderId="0" xfId="0" applyFont="1" applyFill="1" applyAlignment="1">
      <alignment vertical="center"/>
    </xf>
    <xf numFmtId="3" fontId="71" fillId="74" borderId="0" xfId="0" applyNumberFormat="1" applyFont="1" applyFill="1" applyAlignment="1">
      <alignment vertical="center"/>
    </xf>
    <xf numFmtId="0" fontId="71" fillId="74" borderId="10" xfId="0" applyFont="1" applyFill="1" applyBorder="1" applyAlignment="1">
      <alignment horizontal="right" vertical="center"/>
    </xf>
    <xf numFmtId="0" fontId="68" fillId="74" borderId="10" xfId="0" applyFont="1" applyFill="1" applyBorder="1" applyAlignment="1">
      <alignment horizontal="center" vertical="center"/>
    </xf>
    <xf numFmtId="3" fontId="64" fillId="74" borderId="10" xfId="0" applyNumberFormat="1" applyFont="1" applyFill="1" applyBorder="1" applyAlignment="1">
      <alignment horizontal="center" vertical="center" wrapText="1"/>
    </xf>
    <xf numFmtId="4" fontId="68" fillId="74" borderId="10" xfId="0" applyNumberFormat="1" applyFont="1" applyFill="1" applyBorder="1" applyAlignment="1">
      <alignment vertical="center" wrapText="1"/>
    </xf>
    <xf numFmtId="3" fontId="62" fillId="74" borderId="10" xfId="57736" applyNumberFormat="1" applyFont="1" applyFill="1" applyBorder="1" applyAlignment="1" applyProtection="1">
      <alignment horizontal="center" vertical="center" wrapText="1"/>
      <protection locked="0" hidden="1"/>
    </xf>
    <xf numFmtId="0" fontId="62" fillId="0" borderId="10" xfId="57788" applyFont="1" applyFill="1" applyBorder="1" applyAlignment="1">
      <alignment horizontal="center" vertical="center" wrapText="1"/>
    </xf>
    <xf numFmtId="3" fontId="62" fillId="0" borderId="25" xfId="0" applyNumberFormat="1" applyFont="1" applyFill="1" applyBorder="1" applyAlignment="1">
      <alignment horizontal="center" vertical="center" wrapText="1"/>
    </xf>
    <xf numFmtId="3" fontId="62" fillId="0" borderId="31" xfId="0" applyNumberFormat="1" applyFont="1" applyFill="1" applyBorder="1" applyAlignment="1">
      <alignment horizontal="center" vertical="center"/>
    </xf>
    <xf numFmtId="3" fontId="62" fillId="0" borderId="34" xfId="0" applyNumberFormat="1" applyFont="1" applyFill="1" applyBorder="1" applyAlignment="1">
      <alignment horizontal="center" vertical="center"/>
    </xf>
    <xf numFmtId="3" fontId="62" fillId="0" borderId="35" xfId="0" applyNumberFormat="1" applyFont="1" applyFill="1" applyBorder="1" applyAlignment="1">
      <alignment horizontal="center" vertical="center"/>
    </xf>
    <xf numFmtId="4" fontId="62" fillId="0" borderId="0" xfId="57788" applyNumberFormat="1" applyFont="1" applyFill="1" applyAlignment="1">
      <alignment horizontal="center" vertical="center"/>
    </xf>
    <xf numFmtId="3" fontId="62" fillId="0" borderId="24" xfId="57788" applyNumberFormat="1" applyFont="1" applyFill="1" applyBorder="1" applyAlignment="1">
      <alignment horizontal="center" vertical="center" wrapText="1"/>
    </xf>
    <xf numFmtId="3" fontId="61" fillId="0" borderId="24" xfId="57788" applyNumberFormat="1" applyFont="1" applyFill="1" applyBorder="1" applyAlignment="1">
      <alignment horizontal="center" vertical="center" wrapText="1"/>
    </xf>
    <xf numFmtId="0" fontId="62" fillId="0" borderId="29" xfId="57788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/>
    </xf>
    <xf numFmtId="0" fontId="62" fillId="0" borderId="10" xfId="57788" applyFont="1" applyFill="1" applyBorder="1" applyAlignment="1">
      <alignment horizontal="left" vertical="center" wrapText="1"/>
    </xf>
    <xf numFmtId="0" fontId="62" fillId="0" borderId="10" xfId="57788" applyFont="1" applyFill="1" applyBorder="1" applyAlignment="1">
      <alignment horizontal="center" vertical="center"/>
    </xf>
    <xf numFmtId="0" fontId="61" fillId="0" borderId="10" xfId="57788" applyFont="1" applyFill="1" applyBorder="1" applyAlignment="1">
      <alignment horizontal="center" vertical="center"/>
    </xf>
    <xf numFmtId="3" fontId="62" fillId="0" borderId="10" xfId="57788" applyNumberFormat="1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vertical="center" wrapText="1"/>
    </xf>
    <xf numFmtId="0" fontId="62" fillId="0" borderId="10" xfId="59250" applyFont="1" applyFill="1" applyBorder="1" applyAlignment="1">
      <alignment vertical="center" wrapText="1"/>
    </xf>
    <xf numFmtId="0" fontId="62" fillId="0" borderId="0" xfId="59253" applyFont="1" applyFill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78" fillId="0" borderId="10" xfId="57788" applyFont="1" applyFill="1" applyBorder="1" applyAlignment="1">
      <alignment horizontal="center" vertical="center" wrapText="1"/>
    </xf>
    <xf numFmtId="0" fontId="61" fillId="0" borderId="10" xfId="57788" applyFont="1" applyFill="1" applyBorder="1" applyAlignment="1">
      <alignment horizontal="left" vertical="center" wrapText="1"/>
    </xf>
    <xf numFmtId="49" fontId="62" fillId="0" borderId="10" xfId="0" applyNumberFormat="1" applyFont="1" applyFill="1" applyBorder="1" applyAlignment="1">
      <alignment vertical="center" wrapText="1"/>
    </xf>
    <xf numFmtId="3" fontId="62" fillId="0" borderId="10" xfId="0" applyNumberFormat="1" applyFont="1" applyFill="1" applyBorder="1" applyAlignment="1">
      <alignment vertical="center" wrapText="1"/>
    </xf>
    <xf numFmtId="4" fontId="62" fillId="0" borderId="27" xfId="59247" applyNumberFormat="1" applyFont="1" applyFill="1" applyBorder="1" applyAlignment="1">
      <alignment vertical="center" wrapText="1"/>
    </xf>
    <xf numFmtId="0" fontId="71" fillId="0" borderId="10" xfId="0" applyFont="1" applyFill="1" applyBorder="1" applyAlignment="1">
      <alignment vertical="center" wrapText="1"/>
    </xf>
    <xf numFmtId="0" fontId="78" fillId="0" borderId="10" xfId="0" applyFont="1" applyFill="1" applyBorder="1" applyAlignment="1">
      <alignment vertical="center" wrapText="1"/>
    </xf>
    <xf numFmtId="0" fontId="62" fillId="0" borderId="63" xfId="0" applyFont="1" applyFill="1" applyBorder="1" applyAlignment="1">
      <alignment horizontal="center" vertical="center"/>
    </xf>
    <xf numFmtId="3" fontId="61" fillId="0" borderId="67" xfId="0" applyNumberFormat="1" applyFont="1" applyFill="1" applyBorder="1" applyAlignment="1">
      <alignment horizontal="left" vertical="center" wrapText="1"/>
    </xf>
    <xf numFmtId="0" fontId="68" fillId="74" borderId="10" xfId="0" applyFont="1" applyFill="1" applyBorder="1" applyAlignment="1">
      <alignment horizontal="center" vertical="center"/>
    </xf>
    <xf numFmtId="2" fontId="65" fillId="74" borderId="0" xfId="0" applyNumberFormat="1" applyFont="1" applyFill="1" applyAlignment="1">
      <alignment horizontal="center" vertical="center" wrapText="1"/>
    </xf>
    <xf numFmtId="0" fontId="8" fillId="74" borderId="0" xfId="0" applyFont="1" applyFill="1" applyAlignment="1">
      <alignment horizontal="center" vertical="center" wrapText="1"/>
    </xf>
    <xf numFmtId="0" fontId="64" fillId="74" borderId="10" xfId="0" applyFont="1" applyFill="1" applyBorder="1" applyAlignment="1">
      <alignment horizontal="center" vertical="center" wrapText="1"/>
    </xf>
    <xf numFmtId="0" fontId="64" fillId="74" borderId="10" xfId="0" applyFont="1" applyFill="1" applyBorder="1" applyAlignment="1">
      <alignment horizontal="center"/>
    </xf>
    <xf numFmtId="3" fontId="64" fillId="74" borderId="10" xfId="0" applyNumberFormat="1" applyFont="1" applyFill="1" applyBorder="1" applyAlignment="1">
      <alignment horizontal="center" vertical="center" wrapText="1"/>
    </xf>
    <xf numFmtId="0" fontId="66" fillId="74" borderId="10" xfId="0" applyFont="1" applyFill="1" applyBorder="1" applyAlignment="1">
      <alignment horizontal="center" vertical="center"/>
    </xf>
    <xf numFmtId="0" fontId="66" fillId="74" borderId="10" xfId="0" applyFont="1" applyFill="1" applyBorder="1" applyAlignment="1">
      <alignment horizontal="center" vertical="center" wrapText="1"/>
    </xf>
    <xf numFmtId="0" fontId="95" fillId="74" borderId="0" xfId="0" applyFont="1" applyFill="1" applyAlignment="1">
      <alignment horizontal="center" vertical="center" wrapText="1"/>
    </xf>
    <xf numFmtId="0" fontId="0" fillId="74" borderId="0" xfId="0" applyFill="1" applyAlignment="1">
      <alignment vertical="center" wrapText="1"/>
    </xf>
    <xf numFmtId="0" fontId="102" fillId="74" borderId="25" xfId="0" applyFont="1" applyFill="1" applyBorder="1" applyAlignment="1">
      <alignment horizontal="center" vertical="center" wrapText="1"/>
    </xf>
    <xf numFmtId="0" fontId="102" fillId="74" borderId="28" xfId="0" applyFont="1" applyFill="1" applyBorder="1" applyAlignment="1">
      <alignment horizontal="center" vertical="center" wrapText="1"/>
    </xf>
    <xf numFmtId="0" fontId="74" fillId="74" borderId="25" xfId="0" applyFont="1" applyFill="1" applyBorder="1" applyAlignment="1">
      <alignment horizontal="center" vertical="center" wrapText="1"/>
    </xf>
    <xf numFmtId="0" fontId="74" fillId="74" borderId="28" xfId="0" applyFont="1" applyFill="1" applyBorder="1" applyAlignment="1">
      <alignment horizontal="center" vertical="center" wrapText="1"/>
    </xf>
    <xf numFmtId="0" fontId="102" fillId="74" borderId="10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10" xfId="57788" applyFont="1" applyFill="1" applyBorder="1" applyAlignment="1">
      <alignment horizontal="center" vertical="center" wrapText="1"/>
    </xf>
    <xf numFmtId="3" fontId="65" fillId="0" borderId="0" xfId="57788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62" fillId="0" borderId="24" xfId="57788" applyNumberFormat="1" applyFont="1" applyFill="1" applyBorder="1" applyAlignment="1">
      <alignment horizontal="right" vertical="center" wrapText="1"/>
    </xf>
    <xf numFmtId="0" fontId="62" fillId="0" borderId="24" xfId="0" applyFont="1" applyFill="1" applyBorder="1" applyAlignment="1">
      <alignment horizontal="right" vertical="center" wrapText="1"/>
    </xf>
    <xf numFmtId="0" fontId="71" fillId="0" borderId="29" xfId="0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center" vertical="center" wrapText="1"/>
    </xf>
    <xf numFmtId="3" fontId="62" fillId="0" borderId="25" xfId="0" applyNumberFormat="1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62" fillId="0" borderId="25" xfId="57788" applyFont="1" applyFill="1" applyBorder="1" applyAlignment="1">
      <alignment horizontal="center" vertical="center" wrapText="1"/>
    </xf>
    <xf numFmtId="0" fontId="75" fillId="0" borderId="26" xfId="57846" applyFont="1" applyFill="1" applyBorder="1" applyAlignment="1" applyProtection="1">
      <alignment horizontal="center" vertical="center" wrapText="1"/>
      <protection locked="0"/>
    </xf>
    <xf numFmtId="0" fontId="75" fillId="0" borderId="27" xfId="57846" applyFont="1" applyFill="1" applyBorder="1" applyAlignment="1" applyProtection="1">
      <alignment horizontal="center" vertical="center" wrapText="1"/>
      <protection locked="0"/>
    </xf>
    <xf numFmtId="0" fontId="69" fillId="0" borderId="0" xfId="57846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2" fillId="0" borderId="25" xfId="57846" applyFont="1" applyFill="1" applyBorder="1" applyAlignment="1" applyProtection="1">
      <alignment horizontal="center" vertical="center" wrapText="1"/>
      <protection locked="0"/>
    </xf>
    <xf numFmtId="0" fontId="72" fillId="0" borderId="28" xfId="57846" applyFont="1" applyFill="1" applyBorder="1" applyAlignment="1" applyProtection="1">
      <alignment horizontal="center" vertical="center" wrapText="1"/>
      <protection locked="0"/>
    </xf>
    <xf numFmtId="0" fontId="73" fillId="0" borderId="26" xfId="57846" applyFont="1" applyFill="1" applyBorder="1" applyAlignment="1" applyProtection="1">
      <alignment horizontal="center" vertical="center" wrapText="1"/>
      <protection locked="0"/>
    </xf>
    <xf numFmtId="0" fontId="73" fillId="0" borderId="27" xfId="57846" applyFont="1" applyFill="1" applyBorder="1" applyAlignment="1" applyProtection="1">
      <alignment horizontal="center" vertical="center" wrapText="1"/>
      <protection locked="0"/>
    </xf>
    <xf numFmtId="0" fontId="73" fillId="0" borderId="26" xfId="57846" applyFont="1" applyFill="1" applyBorder="1" applyAlignment="1" applyProtection="1">
      <alignment horizontal="center" vertical="center"/>
      <protection locked="0"/>
    </xf>
    <xf numFmtId="0" fontId="73" fillId="0" borderId="27" xfId="57846" applyFont="1" applyFill="1" applyBorder="1" applyAlignment="1" applyProtection="1">
      <alignment horizontal="center" vertical="center"/>
      <protection locked="0"/>
    </xf>
    <xf numFmtId="0" fontId="62" fillId="0" borderId="76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3" fontId="65" fillId="0" borderId="0" xfId="0" applyNumberFormat="1" applyFont="1" applyFill="1" applyAlignment="1">
      <alignment horizontal="center" vertical="center" wrapText="1"/>
    </xf>
    <xf numFmtId="0" fontId="80" fillId="0" borderId="0" xfId="0" applyFont="1" applyFill="1" applyAlignment="1">
      <alignment horizontal="center" vertical="center" wrapText="1"/>
    </xf>
    <xf numFmtId="3" fontId="62" fillId="0" borderId="69" xfId="0" applyNumberFormat="1" applyFont="1" applyFill="1" applyBorder="1" applyAlignment="1">
      <alignment horizontal="center" vertical="center" wrapText="1"/>
    </xf>
    <xf numFmtId="0" fontId="81" fillId="0" borderId="71" xfId="0" applyFont="1" applyFill="1" applyBorder="1" applyAlignment="1">
      <alignment horizontal="center" vertical="center" wrapText="1"/>
    </xf>
    <xf numFmtId="3" fontId="62" fillId="0" borderId="70" xfId="59252" applyNumberFormat="1" applyFont="1" applyFill="1" applyBorder="1" applyAlignment="1">
      <alignment horizontal="center" vertical="center" wrapText="1"/>
    </xf>
    <xf numFmtId="3" fontId="62" fillId="0" borderId="72" xfId="59252" applyNumberFormat="1" applyFont="1" applyFill="1" applyBorder="1" applyAlignment="1">
      <alignment horizontal="center" vertical="center" wrapText="1"/>
    </xf>
    <xf numFmtId="3" fontId="62" fillId="0" borderId="31" xfId="0" applyNumberFormat="1" applyFont="1" applyFill="1" applyBorder="1" applyAlignment="1">
      <alignment horizontal="center" vertical="center"/>
    </xf>
    <xf numFmtId="3" fontId="62" fillId="0" borderId="34" xfId="0" applyNumberFormat="1" applyFont="1" applyFill="1" applyBorder="1" applyAlignment="1">
      <alignment horizontal="center" vertical="center"/>
    </xf>
    <xf numFmtId="3" fontId="62" fillId="0" borderId="35" xfId="0" applyNumberFormat="1" applyFont="1" applyFill="1" applyBorder="1" applyAlignment="1">
      <alignment horizontal="center" vertical="center"/>
    </xf>
    <xf numFmtId="3" fontId="63" fillId="0" borderId="44" xfId="0" applyNumberFormat="1" applyFont="1" applyFill="1" applyBorder="1" applyAlignment="1">
      <alignment horizontal="center" vertical="center" wrapText="1"/>
    </xf>
    <xf numFmtId="0" fontId="84" fillId="0" borderId="52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0" fontId="64" fillId="0" borderId="77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64" fillId="0" borderId="80" xfId="0" applyFont="1" applyFill="1" applyBorder="1" applyAlignment="1">
      <alignment horizontal="center" vertical="center" wrapText="1"/>
    </xf>
    <xf numFmtId="0" fontId="64" fillId="0" borderId="78" xfId="0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0" fontId="64" fillId="0" borderId="81" xfId="0" applyFont="1" applyFill="1" applyBorder="1" applyAlignment="1">
      <alignment horizontal="center" vertical="center" wrapText="1"/>
    </xf>
    <xf numFmtId="3" fontId="64" fillId="0" borderId="36" xfId="0" applyNumberFormat="1" applyFont="1" applyFill="1" applyBorder="1" applyAlignment="1">
      <alignment horizontal="center" vertical="center" wrapText="1"/>
    </xf>
    <xf numFmtId="0" fontId="64" fillId="0" borderId="70" xfId="0" applyFont="1" applyFill="1" applyBorder="1" applyAlignment="1">
      <alignment horizontal="center" vertical="center" wrapText="1"/>
    </xf>
    <xf numFmtId="0" fontId="84" fillId="0" borderId="70" xfId="0" applyFont="1" applyFill="1" applyBorder="1" applyAlignment="1">
      <alignment horizontal="center" vertical="center" wrapText="1"/>
    </xf>
    <xf numFmtId="0" fontId="84" fillId="0" borderId="37" xfId="0" applyFont="1" applyFill="1" applyBorder="1" applyAlignment="1">
      <alignment horizontal="center" vertical="center" wrapText="1"/>
    </xf>
    <xf numFmtId="4" fontId="64" fillId="0" borderId="31" xfId="0" applyNumberFormat="1" applyFont="1" applyFill="1" applyBorder="1" applyAlignment="1">
      <alignment horizontal="center" vertical="center" wrapText="1"/>
    </xf>
    <xf numFmtId="4" fontId="64" fillId="0" borderId="34" xfId="0" applyNumberFormat="1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3" fontId="64" fillId="0" borderId="43" xfId="0" applyNumberFormat="1" applyFont="1" applyFill="1" applyBorder="1" applyAlignment="1">
      <alignment horizontal="center" vertical="center" wrapText="1"/>
    </xf>
    <xf numFmtId="0" fontId="66" fillId="0" borderId="46" xfId="0" applyFont="1" applyFill="1" applyBorder="1" applyAlignment="1">
      <alignment horizontal="center" vertical="center" wrapText="1"/>
    </xf>
    <xf numFmtId="3" fontId="64" fillId="0" borderId="10" xfId="0" applyNumberFormat="1" applyFont="1" applyFill="1" applyBorder="1" applyAlignment="1">
      <alignment horizontal="center" vertical="center" wrapText="1"/>
    </xf>
    <xf numFmtId="0" fontId="66" fillId="0" borderId="48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6" fillId="0" borderId="29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3" fontId="64" fillId="0" borderId="25" xfId="0" applyNumberFormat="1" applyFont="1" applyFill="1" applyBorder="1" applyAlignment="1">
      <alignment horizontal="center" vertical="center" wrapText="1"/>
    </xf>
    <xf numFmtId="0" fontId="66" fillId="0" borderId="49" xfId="0" applyFont="1" applyFill="1" applyBorder="1" applyAlignment="1">
      <alignment horizontal="center" vertical="center" wrapText="1"/>
    </xf>
    <xf numFmtId="3" fontId="64" fillId="0" borderId="79" xfId="0" applyNumberFormat="1" applyFont="1" applyFill="1" applyBorder="1" applyAlignment="1">
      <alignment horizontal="center" vertical="center" wrapText="1"/>
    </xf>
    <xf numFmtId="0" fontId="84" fillId="0" borderId="81" xfId="0" applyFont="1" applyFill="1" applyBorder="1" applyAlignment="1">
      <alignment horizontal="center" vertical="center" wrapText="1"/>
    </xf>
    <xf numFmtId="3" fontId="63" fillId="0" borderId="43" xfId="0" applyNumberFormat="1" applyFont="1" applyFill="1" applyBorder="1" applyAlignment="1">
      <alignment horizontal="center" vertical="center" wrapText="1"/>
    </xf>
    <xf numFmtId="0" fontId="84" fillId="0" borderId="46" xfId="0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0" fontId="84" fillId="0" borderId="48" xfId="0" applyFont="1" applyFill="1" applyBorder="1" applyAlignment="1">
      <alignment horizontal="center" vertical="center" wrapText="1"/>
    </xf>
    <xf numFmtId="4" fontId="64" fillId="0" borderId="10" xfId="0" applyNumberFormat="1" applyFont="1" applyFill="1" applyBorder="1" applyAlignment="1">
      <alignment horizontal="center" vertical="center" wrapText="1"/>
    </xf>
    <xf numFmtId="3" fontId="64" fillId="0" borderId="44" xfId="0" applyNumberFormat="1" applyFont="1" applyFill="1" applyBorder="1" applyAlignment="1">
      <alignment horizontal="center" vertical="center" wrapText="1"/>
    </xf>
    <xf numFmtId="0" fontId="66" fillId="0" borderId="52" xfId="0" applyFont="1" applyFill="1" applyBorder="1" applyAlignment="1">
      <alignment horizontal="center" vertical="center" wrapText="1"/>
    </xf>
    <xf numFmtId="4" fontId="64" fillId="0" borderId="4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4" fillId="0" borderId="31" xfId="0" applyFont="1" applyFill="1" applyBorder="1" applyAlignment="1">
      <alignment horizontal="center" vertical="center" wrapText="1"/>
    </xf>
    <xf numFmtId="0" fontId="64" fillId="0" borderId="46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3" fontId="64" fillId="0" borderId="31" xfId="0" applyNumberFormat="1" applyFont="1" applyFill="1" applyBorder="1" applyAlignment="1">
      <alignment horizontal="center" vertical="center" wrapText="1"/>
    </xf>
    <xf numFmtId="3" fontId="64" fillId="0" borderId="33" xfId="0" applyNumberFormat="1" applyFont="1" applyFill="1" applyBorder="1" applyAlignment="1">
      <alignment horizontal="center" vertical="center" wrapText="1"/>
    </xf>
    <xf numFmtId="3" fontId="64" fillId="0" borderId="34" xfId="0" applyNumberFormat="1" applyFont="1" applyFill="1" applyBorder="1" applyAlignment="1">
      <alignment horizontal="center" vertical="center" wrapText="1"/>
    </xf>
    <xf numFmtId="3" fontId="64" fillId="0" borderId="35" xfId="0" applyNumberFormat="1" applyFont="1" applyFill="1" applyBorder="1" applyAlignment="1">
      <alignment horizontal="center" vertical="center" wrapText="1"/>
    </xf>
    <xf numFmtId="3" fontId="64" fillId="0" borderId="42" xfId="0" applyNumberFormat="1" applyFont="1" applyFill="1" applyBorder="1" applyAlignment="1">
      <alignment horizontal="center" vertical="center" wrapText="1"/>
    </xf>
    <xf numFmtId="3" fontId="64" fillId="0" borderId="51" xfId="0" applyNumberFormat="1" applyFont="1" applyFill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 wrapText="1"/>
    </xf>
    <xf numFmtId="0" fontId="66" fillId="0" borderId="35" xfId="0" applyFont="1" applyFill="1" applyBorder="1" applyAlignment="1">
      <alignment horizontal="center" vertical="center" wrapText="1"/>
    </xf>
    <xf numFmtId="3" fontId="64" fillId="0" borderId="37" xfId="0" applyNumberFormat="1" applyFont="1" applyFill="1" applyBorder="1" applyAlignment="1">
      <alignment horizontal="center" vertical="center" wrapText="1"/>
    </xf>
    <xf numFmtId="3" fontId="64" fillId="0" borderId="45" xfId="0" applyNumberFormat="1" applyFont="1" applyFill="1" applyBorder="1" applyAlignment="1">
      <alignment horizontal="center" vertical="center" wrapText="1"/>
    </xf>
    <xf numFmtId="3" fontId="64" fillId="0" borderId="53" xfId="0" applyNumberFormat="1" applyFont="1" applyFill="1" applyBorder="1" applyAlignment="1">
      <alignment horizontal="center" vertical="center" wrapText="1"/>
    </xf>
    <xf numFmtId="3" fontId="64" fillId="0" borderId="40" xfId="0" applyNumberFormat="1" applyFont="1" applyFill="1" applyBorder="1" applyAlignment="1">
      <alignment horizontal="center" vertical="center" wrapText="1"/>
    </xf>
    <xf numFmtId="3" fontId="64" fillId="0" borderId="41" xfId="0" applyNumberFormat="1" applyFont="1" applyFill="1" applyBorder="1" applyAlignment="1">
      <alignment horizontal="center" vertical="center" wrapText="1"/>
    </xf>
    <xf numFmtId="0" fontId="66" fillId="0" borderId="50" xfId="0" applyFont="1" applyFill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2" fillId="74" borderId="25" xfId="59247" applyFont="1" applyFill="1" applyBorder="1" applyAlignment="1">
      <alignment horizontal="center" vertical="center"/>
    </xf>
    <xf numFmtId="0" fontId="62" fillId="74" borderId="28" xfId="59247" applyFont="1" applyFill="1" applyBorder="1" applyAlignment="1">
      <alignment horizontal="center" vertical="center"/>
    </xf>
    <xf numFmtId="0" fontId="61" fillId="74" borderId="0" xfId="59247" applyFont="1" applyFill="1" applyAlignment="1">
      <alignment horizontal="center" vertical="center" wrapText="1"/>
    </xf>
    <xf numFmtId="0" fontId="62" fillId="74" borderId="0" xfId="59247" applyFont="1" applyFill="1" applyAlignment="1">
      <alignment wrapText="1"/>
    </xf>
    <xf numFmtId="0" fontId="63" fillId="74" borderId="25" xfId="59247" applyFont="1" applyFill="1" applyBorder="1" applyAlignment="1">
      <alignment horizontal="center" vertical="center" wrapText="1"/>
    </xf>
    <xf numFmtId="0" fontId="63" fillId="74" borderId="30" xfId="59247" applyFont="1" applyFill="1" applyBorder="1" applyAlignment="1">
      <alignment horizontal="center" vertical="center" wrapText="1"/>
    </xf>
    <xf numFmtId="0" fontId="63" fillId="74" borderId="28" xfId="59247" applyFont="1" applyFill="1" applyBorder="1" applyAlignment="1">
      <alignment horizontal="center" vertical="center" wrapText="1"/>
    </xf>
    <xf numFmtId="3" fontId="63" fillId="74" borderId="26" xfId="59248" applyNumberFormat="1" applyFont="1" applyFill="1" applyBorder="1" applyAlignment="1">
      <alignment horizontal="center" vertical="center" wrapText="1"/>
    </xf>
    <xf numFmtId="3" fontId="63" fillId="74" borderId="29" xfId="59248" applyNumberFormat="1" applyFont="1" applyFill="1" applyBorder="1" applyAlignment="1">
      <alignment horizontal="center" vertical="center" wrapText="1"/>
    </xf>
    <xf numFmtId="3" fontId="63" fillId="74" borderId="27" xfId="59248" applyNumberFormat="1" applyFont="1" applyFill="1" applyBorder="1" applyAlignment="1">
      <alignment horizontal="center" vertical="center" wrapText="1"/>
    </xf>
    <xf numFmtId="3" fontId="63" fillId="74" borderId="25" xfId="59248" applyNumberFormat="1" applyFont="1" applyFill="1" applyBorder="1" applyAlignment="1">
      <alignment horizontal="center" vertical="center" wrapText="1"/>
    </xf>
    <xf numFmtId="3" fontId="63" fillId="74" borderId="30" xfId="59248" applyNumberFormat="1" applyFont="1" applyFill="1" applyBorder="1" applyAlignment="1">
      <alignment horizontal="center" vertical="center" wrapText="1"/>
    </xf>
    <xf numFmtId="3" fontId="63" fillId="74" borderId="28" xfId="59248" applyNumberFormat="1" applyFont="1" applyFill="1" applyBorder="1" applyAlignment="1">
      <alignment horizontal="center" vertical="center" wrapText="1"/>
    </xf>
    <xf numFmtId="3" fontId="63" fillId="74" borderId="10" xfId="59248" applyNumberFormat="1" applyFont="1" applyFill="1" applyBorder="1" applyAlignment="1">
      <alignment horizontal="center" vertical="center" wrapText="1"/>
    </xf>
    <xf numFmtId="0" fontId="62" fillId="74" borderId="30" xfId="59247" applyFont="1" applyFill="1" applyBorder="1" applyAlignment="1">
      <alignment horizontal="center" vertical="center"/>
    </xf>
    <xf numFmtId="3" fontId="89" fillId="74" borderId="25" xfId="0" applyNumberFormat="1" applyFont="1" applyFill="1" applyBorder="1" applyAlignment="1">
      <alignment horizontal="center" vertical="center" wrapText="1"/>
    </xf>
    <xf numFmtId="3" fontId="89" fillId="74" borderId="28" xfId="0" applyNumberFormat="1" applyFont="1" applyFill="1" applyBorder="1" applyAlignment="1">
      <alignment horizontal="center" vertical="center" wrapText="1"/>
    </xf>
    <xf numFmtId="3" fontId="86" fillId="74" borderId="0" xfId="0" applyNumberFormat="1" applyFont="1" applyFill="1" applyAlignment="1">
      <alignment horizontal="center" vertical="center" wrapText="1"/>
    </xf>
    <xf numFmtId="3" fontId="89" fillId="74" borderId="10" xfId="0" applyNumberFormat="1" applyFont="1" applyFill="1" applyBorder="1" applyAlignment="1">
      <alignment horizontal="center" vertical="center" wrapText="1"/>
    </xf>
    <xf numFmtId="0" fontId="62" fillId="74" borderId="25" xfId="0" applyFont="1" applyFill="1" applyBorder="1" applyAlignment="1">
      <alignment horizontal="center" vertical="center"/>
    </xf>
    <xf numFmtId="0" fontId="62" fillId="74" borderId="28" xfId="0" applyFont="1" applyFill="1" applyBorder="1" applyAlignment="1">
      <alignment horizontal="center" vertical="center"/>
    </xf>
    <xf numFmtId="0" fontId="62" fillId="74" borderId="30" xfId="0" applyFont="1" applyFill="1" applyBorder="1" applyAlignment="1">
      <alignment horizontal="center" vertical="center"/>
    </xf>
    <xf numFmtId="0" fontId="78" fillId="74" borderId="10" xfId="57572" applyFont="1" applyFill="1" applyBorder="1" applyAlignment="1">
      <alignment horizontal="center" vertical="center" wrapText="1"/>
    </xf>
    <xf numFmtId="0" fontId="78" fillId="74" borderId="25" xfId="57572" applyFont="1" applyFill="1" applyBorder="1" applyAlignment="1">
      <alignment horizontal="center" vertical="center" wrapText="1"/>
    </xf>
    <xf numFmtId="0" fontId="78" fillId="74" borderId="30" xfId="57572" applyFont="1" applyFill="1" applyBorder="1" applyAlignment="1">
      <alignment horizontal="center" vertical="center" wrapText="1"/>
    </xf>
    <xf numFmtId="0" fontId="78" fillId="74" borderId="28" xfId="57572" applyFont="1" applyFill="1" applyBorder="1" applyAlignment="1">
      <alignment horizontal="center" vertical="center" wrapText="1"/>
    </xf>
    <xf numFmtId="0" fontId="78" fillId="74" borderId="61" xfId="57572" applyFont="1" applyFill="1" applyBorder="1" applyAlignment="1">
      <alignment horizontal="center" vertical="center" wrapText="1"/>
    </xf>
    <xf numFmtId="0" fontId="78" fillId="74" borderId="84" xfId="57572" applyFont="1" applyFill="1" applyBorder="1" applyAlignment="1">
      <alignment horizontal="center" vertical="center" wrapText="1"/>
    </xf>
    <xf numFmtId="0" fontId="78" fillId="74" borderId="56" xfId="57572" applyFont="1" applyFill="1" applyBorder="1" applyAlignment="1">
      <alignment horizontal="center" vertical="center" wrapText="1"/>
    </xf>
    <xf numFmtId="0" fontId="78" fillId="74" borderId="26" xfId="57572" applyFont="1" applyFill="1" applyBorder="1" applyAlignment="1">
      <alignment horizontal="center" vertical="center" wrapText="1"/>
    </xf>
    <xf numFmtId="0" fontId="78" fillId="74" borderId="27" xfId="57572" applyFont="1" applyFill="1" applyBorder="1" applyAlignment="1">
      <alignment horizontal="center" vertical="center" wrapText="1"/>
    </xf>
    <xf numFmtId="0" fontId="62" fillId="74" borderId="25" xfId="57572" applyFont="1" applyFill="1" applyBorder="1" applyAlignment="1">
      <alignment horizontal="center" vertical="center" wrapText="1"/>
    </xf>
    <xf numFmtId="0" fontId="62" fillId="74" borderId="30" xfId="57572" applyFont="1" applyFill="1" applyBorder="1" applyAlignment="1">
      <alignment horizontal="center" vertical="center" wrapText="1"/>
    </xf>
    <xf numFmtId="0" fontId="62" fillId="74" borderId="28" xfId="57572" applyFont="1" applyFill="1" applyBorder="1" applyAlignment="1">
      <alignment horizontal="center" vertical="center" wrapText="1"/>
    </xf>
    <xf numFmtId="0" fontId="64" fillId="74" borderId="25" xfId="0" applyFont="1" applyFill="1" applyBorder="1" applyAlignment="1">
      <alignment horizontal="center" vertical="center"/>
    </xf>
    <xf numFmtId="0" fontId="64" fillId="74" borderId="30" xfId="0" applyFont="1" applyFill="1" applyBorder="1" applyAlignment="1">
      <alignment horizontal="center" vertical="center"/>
    </xf>
    <xf numFmtId="0" fontId="64" fillId="74" borderId="28" xfId="0" applyFont="1" applyFill="1" applyBorder="1" applyAlignment="1">
      <alignment horizontal="center" vertical="center"/>
    </xf>
    <xf numFmtId="0" fontId="97" fillId="74" borderId="79" xfId="57572" applyFont="1" applyFill="1" applyBorder="1" applyAlignment="1">
      <alignment horizontal="center" vertical="center" wrapText="1"/>
    </xf>
    <xf numFmtId="0" fontId="97" fillId="74" borderId="85" xfId="57572" applyFont="1" applyFill="1" applyBorder="1" applyAlignment="1">
      <alignment horizontal="center" vertical="center" wrapText="1"/>
    </xf>
    <xf numFmtId="0" fontId="97" fillId="74" borderId="61" xfId="57572" applyFont="1" applyFill="1" applyBorder="1" applyAlignment="1">
      <alignment horizontal="center" vertical="center" wrapText="1"/>
    </xf>
    <xf numFmtId="0" fontId="97" fillId="74" borderId="57" xfId="57572" applyFont="1" applyFill="1" applyBorder="1" applyAlignment="1">
      <alignment horizontal="center" vertical="center" wrapText="1"/>
    </xf>
    <xf numFmtId="0" fontId="97" fillId="74" borderId="24" xfId="57572" applyFont="1" applyFill="1" applyBorder="1" applyAlignment="1">
      <alignment horizontal="center" vertical="center" wrapText="1"/>
    </xf>
    <xf numFmtId="0" fontId="97" fillId="74" borderId="56" xfId="57572" applyFont="1" applyFill="1" applyBorder="1" applyAlignment="1">
      <alignment horizontal="center" vertical="center" wrapText="1"/>
    </xf>
    <xf numFmtId="0" fontId="97" fillId="74" borderId="10" xfId="57572" applyFont="1" applyFill="1" applyBorder="1" applyAlignment="1">
      <alignment horizontal="center" vertical="center" wrapText="1"/>
    </xf>
    <xf numFmtId="0" fontId="97" fillId="74" borderId="25" xfId="57572" applyFont="1" applyFill="1" applyBorder="1" applyAlignment="1">
      <alignment horizontal="center" vertical="center" wrapText="1"/>
    </xf>
    <xf numFmtId="0" fontId="97" fillId="74" borderId="30" xfId="57572" applyFont="1" applyFill="1" applyBorder="1" applyAlignment="1">
      <alignment horizontal="center" vertical="center" wrapText="1"/>
    </xf>
    <xf numFmtId="0" fontId="97" fillId="74" borderId="28" xfId="57572" applyFont="1" applyFill="1" applyBorder="1" applyAlignment="1">
      <alignment horizontal="center" vertical="center" wrapText="1"/>
    </xf>
    <xf numFmtId="0" fontId="97" fillId="74" borderId="26" xfId="57572" applyFont="1" applyFill="1" applyBorder="1" applyAlignment="1">
      <alignment horizontal="center" vertical="center" wrapText="1"/>
    </xf>
    <xf numFmtId="0" fontId="97" fillId="74" borderId="27" xfId="57572" applyFont="1" applyFill="1" applyBorder="1" applyAlignment="1">
      <alignment horizontal="center" vertical="center" wrapText="1"/>
    </xf>
    <xf numFmtId="0" fontId="97" fillId="74" borderId="39" xfId="57572" applyFont="1" applyFill="1" applyBorder="1" applyAlignment="1">
      <alignment horizontal="center" vertical="center" wrapText="1"/>
    </xf>
    <xf numFmtId="0" fontId="95" fillId="74" borderId="0" xfId="0" applyFont="1" applyFill="1" applyAlignment="1">
      <alignment horizontal="center" vertical="center"/>
    </xf>
    <xf numFmtId="0" fontId="97" fillId="74" borderId="29" xfId="57572" applyFont="1" applyFill="1" applyBorder="1" applyAlignment="1">
      <alignment horizontal="center" vertical="center" wrapText="1"/>
    </xf>
    <xf numFmtId="0" fontId="77" fillId="0" borderId="26" xfId="57736" applyFont="1" applyFill="1" applyBorder="1" applyAlignment="1">
      <alignment horizontal="center" vertical="center" wrapText="1"/>
    </xf>
    <xf numFmtId="0" fontId="77" fillId="0" borderId="27" xfId="57736" applyFont="1" applyFill="1" applyBorder="1" applyAlignment="1">
      <alignment horizontal="center" vertical="center" wrapText="1"/>
    </xf>
    <xf numFmtId="0" fontId="49" fillId="0" borderId="0" xfId="57736" applyFill="1" applyAlignment="1">
      <alignment horizontal="right" vertical="top"/>
    </xf>
    <xf numFmtId="0" fontId="101" fillId="0" borderId="0" xfId="57736" applyFont="1" applyFill="1" applyAlignment="1">
      <alignment horizontal="center"/>
    </xf>
    <xf numFmtId="0" fontId="49" fillId="0" borderId="25" xfId="57736" applyFill="1" applyBorder="1" applyAlignment="1">
      <alignment horizontal="center" vertical="center" wrapText="1"/>
    </xf>
    <xf numFmtId="0" fontId="49" fillId="0" borderId="30" xfId="57736" applyFill="1" applyBorder="1" applyAlignment="1">
      <alignment horizontal="center" vertical="center" wrapText="1"/>
    </xf>
    <xf numFmtId="0" fontId="49" fillId="0" borderId="28" xfId="57736" applyFill="1" applyBorder="1" applyAlignment="1">
      <alignment horizontal="center" vertical="center" wrapText="1"/>
    </xf>
    <xf numFmtId="0" fontId="74" fillId="0" borderId="10" xfId="57736" applyFont="1" applyFill="1" applyBorder="1" applyAlignment="1">
      <alignment horizontal="center" vertical="center" wrapText="1"/>
    </xf>
    <xf numFmtId="0" fontId="49" fillId="0" borderId="10" xfId="57736" applyFill="1" applyBorder="1" applyAlignment="1">
      <alignment horizontal="center"/>
    </xf>
    <xf numFmtId="0" fontId="74" fillId="0" borderId="10" xfId="57736" applyFont="1" applyFill="1" applyBorder="1" applyAlignment="1">
      <alignment horizontal="center" vertical="center"/>
    </xf>
    <xf numFmtId="0" fontId="63" fillId="0" borderId="60" xfId="0" applyFont="1" applyFill="1" applyBorder="1" applyAlignment="1">
      <alignment horizontal="center" vertical="center"/>
    </xf>
    <xf numFmtId="3" fontId="63" fillId="0" borderId="26" xfId="59261" applyNumberFormat="1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center" vertical="center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2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3"/>
    <cellStyle name="Обычный 2 2 2 3" xfId="59249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1"/>
    <cellStyle name="Обычный 2 3 3" xfId="59254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5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0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6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7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61"/>
    <cellStyle name="Обычный_Ежемесячный отчет 2004 г." xfId="59262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58"/>
    <cellStyle name="Процентный 3" xfId="58696"/>
    <cellStyle name="Процентный 4" xfId="58697"/>
    <cellStyle name="Процентный 5" xfId="59259"/>
    <cellStyle name="Процентный 6" xfId="59260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OSIT\&#1058;%20&#1040;%20&#1056;%20&#1048;%20&#1060;%20&#1053;%20&#1067;%20&#1045;\&#1054;&#1073;&#1098;&#1077;&#1084;&#1099;\2020%20&#1075;\&#1040;&#1055;&#1059;%20&#1055;&#1088;&#1086;&#1092;&#1080;&#1083;&#1072;&#1082;&#1090;&#1080;&#1082;&#1072;\&#1040;&#1055;&#1059;%20&#1055;&#1088;&#1086;&#1092;&#1080;&#1083;&#1072;&#1082;&#1090;&#1080;&#1082;&#1072;%20%20&#1057;&#1074;&#1086;&#1076;%202020%20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62;&#1077;&#1085;&#1090;&#1088;&#1099;%20&#1079;&#1076;&#1086;&#1088;&#1086;&#1074;&#1100;&#1103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Проф.иные Пр.108-107 сумма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профил.2020 Пр.110"/>
      <sheetName val="Всего проф.2020 Пр.110-109"/>
      <sheetName val="Проф.с иными целями Пр.110"/>
      <sheetName val="Проф.иными цел.Пр.110-109 объем"/>
      <sheetName val="Проф.ин.цел.Пр.110-109 финансы"/>
      <sheetName val="Всего профил.2020 Пр.111"/>
      <sheetName val="Всего профил.2020 Пр.111 -110"/>
      <sheetName val="Проф.с иными целями Пр.111"/>
      <sheetName val="Проф.с иными целями Пр.111-110"/>
      <sheetName val="Всего профил. Пр.111 -110финанс"/>
      <sheetName val="Проф.с иными цел Пр.111-110фин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C10">
            <v>122177</v>
          </cell>
        </row>
        <row r="11">
          <cell r="C11">
            <v>6000</v>
          </cell>
        </row>
        <row r="12">
          <cell r="C12">
            <v>122375</v>
          </cell>
        </row>
        <row r="13">
          <cell r="C13">
            <v>5340</v>
          </cell>
        </row>
        <row r="14">
          <cell r="C14">
            <v>296274</v>
          </cell>
        </row>
        <row r="15">
          <cell r="C15">
            <v>38391</v>
          </cell>
        </row>
        <row r="16">
          <cell r="C16">
            <v>92264</v>
          </cell>
        </row>
        <row r="17">
          <cell r="C17">
            <v>39258</v>
          </cell>
        </row>
        <row r="18">
          <cell r="C18">
            <v>41291</v>
          </cell>
        </row>
        <row r="19">
          <cell r="C19">
            <v>44639</v>
          </cell>
        </row>
        <row r="20">
          <cell r="C20">
            <v>47734</v>
          </cell>
        </row>
        <row r="21">
          <cell r="C21">
            <v>49629</v>
          </cell>
        </row>
        <row r="22">
          <cell r="C22">
            <v>46908</v>
          </cell>
        </row>
        <row r="23">
          <cell r="C23">
            <v>55709</v>
          </cell>
        </row>
        <row r="24">
          <cell r="C24">
            <v>44745</v>
          </cell>
        </row>
        <row r="25">
          <cell r="C25">
            <v>6</v>
          </cell>
        </row>
        <row r="26">
          <cell r="C26">
            <v>125948</v>
          </cell>
        </row>
        <row r="27">
          <cell r="C27">
            <v>9821</v>
          </cell>
        </row>
        <row r="28">
          <cell r="C28">
            <v>111822</v>
          </cell>
        </row>
        <row r="29">
          <cell r="C29">
            <v>221946</v>
          </cell>
        </row>
        <row r="30">
          <cell r="C30">
            <v>146563</v>
          </cell>
        </row>
        <row r="31">
          <cell r="C31">
            <v>33724</v>
          </cell>
        </row>
        <row r="32">
          <cell r="C32">
            <v>60118</v>
          </cell>
        </row>
        <row r="33">
          <cell r="C33">
            <v>81766</v>
          </cell>
        </row>
        <row r="34">
          <cell r="C34">
            <v>33619</v>
          </cell>
        </row>
        <row r="35">
          <cell r="C35">
            <v>28298</v>
          </cell>
        </row>
        <row r="36">
          <cell r="C36">
            <v>67380</v>
          </cell>
        </row>
        <row r="37">
          <cell r="C37">
            <v>76345</v>
          </cell>
        </row>
        <row r="38">
          <cell r="C38">
            <v>12678</v>
          </cell>
        </row>
        <row r="39">
          <cell r="C39">
            <v>108764</v>
          </cell>
        </row>
        <row r="40">
          <cell r="C40">
            <v>64367</v>
          </cell>
        </row>
        <row r="41">
          <cell r="C41">
            <v>98020</v>
          </cell>
        </row>
        <row r="42">
          <cell r="C42">
            <v>1921</v>
          </cell>
        </row>
        <row r="43">
          <cell r="C43">
            <v>244235</v>
          </cell>
        </row>
        <row r="44">
          <cell r="C44">
            <v>12000</v>
          </cell>
        </row>
        <row r="45">
          <cell r="C45">
            <v>10266</v>
          </cell>
        </row>
        <row r="46">
          <cell r="C46">
            <v>114834</v>
          </cell>
        </row>
        <row r="47">
          <cell r="C47">
            <v>116491</v>
          </cell>
        </row>
        <row r="48">
          <cell r="C48">
            <v>22000</v>
          </cell>
        </row>
        <row r="49">
          <cell r="C49">
            <v>16800</v>
          </cell>
        </row>
        <row r="50">
          <cell r="C50">
            <v>11900</v>
          </cell>
        </row>
        <row r="51">
          <cell r="C51">
            <v>132725</v>
          </cell>
        </row>
        <row r="52">
          <cell r="C52">
            <v>49028</v>
          </cell>
        </row>
        <row r="53">
          <cell r="C53">
            <v>176314</v>
          </cell>
        </row>
        <row r="54">
          <cell r="C54">
            <v>166551</v>
          </cell>
        </row>
        <row r="55">
          <cell r="C55">
            <v>51490</v>
          </cell>
        </row>
        <row r="56">
          <cell r="C56">
            <v>63649</v>
          </cell>
        </row>
        <row r="57">
          <cell r="C57">
            <v>59676</v>
          </cell>
        </row>
        <row r="58">
          <cell r="C58">
            <v>38683</v>
          </cell>
        </row>
        <row r="59">
          <cell r="C59">
            <v>66916</v>
          </cell>
        </row>
        <row r="60">
          <cell r="C60">
            <v>31747</v>
          </cell>
        </row>
        <row r="61">
          <cell r="C61">
            <v>9005</v>
          </cell>
        </row>
        <row r="62">
          <cell r="C62">
            <v>17940</v>
          </cell>
        </row>
        <row r="63">
          <cell r="C63">
            <v>269773</v>
          </cell>
        </row>
        <row r="64">
          <cell r="C64">
            <v>188197</v>
          </cell>
        </row>
        <row r="65">
          <cell r="C65">
            <v>227487</v>
          </cell>
        </row>
        <row r="66">
          <cell r="C66">
            <v>11200</v>
          </cell>
        </row>
        <row r="67">
          <cell r="C67">
            <v>76484</v>
          </cell>
        </row>
        <row r="68">
          <cell r="C68">
            <v>55106</v>
          </cell>
        </row>
        <row r="69">
          <cell r="C69">
            <v>42309</v>
          </cell>
        </row>
        <row r="70">
          <cell r="C70">
            <v>64116</v>
          </cell>
        </row>
        <row r="71">
          <cell r="C71">
            <v>44</v>
          </cell>
        </row>
        <row r="72">
          <cell r="C72">
            <v>27071</v>
          </cell>
        </row>
        <row r="73">
          <cell r="C73">
            <v>53979</v>
          </cell>
        </row>
        <row r="74">
          <cell r="C74">
            <v>78780</v>
          </cell>
        </row>
        <row r="75">
          <cell r="C75">
            <v>42870</v>
          </cell>
        </row>
        <row r="76">
          <cell r="C76">
            <v>55</v>
          </cell>
        </row>
        <row r="77">
          <cell r="C77">
            <v>25</v>
          </cell>
        </row>
        <row r="78">
          <cell r="C78">
            <v>22</v>
          </cell>
        </row>
        <row r="79">
          <cell r="C79">
            <v>195871</v>
          </cell>
        </row>
        <row r="80">
          <cell r="C80">
            <v>169216</v>
          </cell>
        </row>
        <row r="81">
          <cell r="C81">
            <v>233874</v>
          </cell>
        </row>
        <row r="82">
          <cell r="C82">
            <v>291759</v>
          </cell>
        </row>
        <row r="83">
          <cell r="C83">
            <v>105540</v>
          </cell>
        </row>
        <row r="84">
          <cell r="C84">
            <v>29476</v>
          </cell>
        </row>
        <row r="85">
          <cell r="C85">
            <v>31433</v>
          </cell>
        </row>
        <row r="86">
          <cell r="C86">
            <v>69967</v>
          </cell>
        </row>
        <row r="87">
          <cell r="C87">
            <v>50003</v>
          </cell>
        </row>
        <row r="88">
          <cell r="C88">
            <v>40322</v>
          </cell>
        </row>
        <row r="89">
          <cell r="C89">
            <v>43216</v>
          </cell>
        </row>
        <row r="90">
          <cell r="C90">
            <v>104197</v>
          </cell>
        </row>
        <row r="91">
          <cell r="C91">
            <v>52932</v>
          </cell>
        </row>
        <row r="92">
          <cell r="C92">
            <v>55041</v>
          </cell>
        </row>
        <row r="93">
          <cell r="C93">
            <v>25753</v>
          </cell>
        </row>
        <row r="94">
          <cell r="C94">
            <v>106780</v>
          </cell>
        </row>
        <row r="95">
          <cell r="C95">
            <v>34255</v>
          </cell>
        </row>
        <row r="96">
          <cell r="C96">
            <v>33597</v>
          </cell>
        </row>
        <row r="97">
          <cell r="C97">
            <v>3111</v>
          </cell>
        </row>
        <row r="98">
          <cell r="C98">
            <v>3578</v>
          </cell>
        </row>
        <row r="99">
          <cell r="C99">
            <v>4126</v>
          </cell>
        </row>
        <row r="100">
          <cell r="C100">
            <v>3480</v>
          </cell>
        </row>
        <row r="101">
          <cell r="C101">
            <v>13472</v>
          </cell>
        </row>
        <row r="102">
          <cell r="C102">
            <v>3172</v>
          </cell>
        </row>
        <row r="103">
          <cell r="C103">
            <v>2676</v>
          </cell>
        </row>
        <row r="104">
          <cell r="C104">
            <v>171812</v>
          </cell>
        </row>
        <row r="105">
          <cell r="C105">
            <v>70657</v>
          </cell>
        </row>
        <row r="106">
          <cell r="C106">
            <v>54218</v>
          </cell>
        </row>
        <row r="107">
          <cell r="C107">
            <v>29540</v>
          </cell>
        </row>
        <row r="108">
          <cell r="C108">
            <v>19920</v>
          </cell>
        </row>
        <row r="109">
          <cell r="C109">
            <v>2993</v>
          </cell>
        </row>
        <row r="110">
          <cell r="C110">
            <v>21319</v>
          </cell>
        </row>
        <row r="111">
          <cell r="C111">
            <v>169135</v>
          </cell>
        </row>
        <row r="112">
          <cell r="C112">
            <v>174209</v>
          </cell>
        </row>
        <row r="113">
          <cell r="C113">
            <v>68674</v>
          </cell>
        </row>
        <row r="114">
          <cell r="C114">
            <v>45026</v>
          </cell>
        </row>
        <row r="115">
          <cell r="C115">
            <v>21095</v>
          </cell>
        </row>
        <row r="116">
          <cell r="C116">
            <v>3600</v>
          </cell>
        </row>
        <row r="117">
          <cell r="C117">
            <v>8400</v>
          </cell>
        </row>
        <row r="118">
          <cell r="C118">
            <v>5736</v>
          </cell>
        </row>
        <row r="119">
          <cell r="C119">
            <v>35312</v>
          </cell>
        </row>
        <row r="120">
          <cell r="C120">
            <v>36493</v>
          </cell>
        </row>
        <row r="121">
          <cell r="C121">
            <v>98440</v>
          </cell>
        </row>
        <row r="122">
          <cell r="C122">
            <v>44399</v>
          </cell>
        </row>
        <row r="123">
          <cell r="C123">
            <v>56041</v>
          </cell>
        </row>
        <row r="124">
          <cell r="C124">
            <v>28</v>
          </cell>
        </row>
        <row r="125">
          <cell r="C125">
            <v>104514</v>
          </cell>
        </row>
        <row r="126">
          <cell r="C126">
            <v>95411</v>
          </cell>
        </row>
        <row r="127">
          <cell r="C127">
            <v>32919</v>
          </cell>
        </row>
        <row r="128">
          <cell r="C128">
            <v>52211</v>
          </cell>
        </row>
        <row r="129">
          <cell r="C129">
            <v>50366</v>
          </cell>
        </row>
        <row r="130">
          <cell r="C130">
            <v>64509</v>
          </cell>
        </row>
        <row r="131">
          <cell r="C131">
            <v>37997</v>
          </cell>
        </row>
        <row r="132">
          <cell r="C132">
            <v>57585</v>
          </cell>
        </row>
        <row r="133">
          <cell r="C133">
            <v>96618</v>
          </cell>
        </row>
        <row r="134">
          <cell r="C134">
            <v>45455</v>
          </cell>
        </row>
        <row r="135">
          <cell r="C135">
            <v>34946</v>
          </cell>
        </row>
        <row r="136">
          <cell r="C136">
            <v>0</v>
          </cell>
        </row>
        <row r="137">
          <cell r="C137">
            <v>25</v>
          </cell>
        </row>
        <row r="138">
          <cell r="C138">
            <v>66</v>
          </cell>
        </row>
        <row r="139">
          <cell r="C139">
            <v>219</v>
          </cell>
        </row>
        <row r="140">
          <cell r="C140">
            <v>8</v>
          </cell>
        </row>
        <row r="141">
          <cell r="C141">
            <v>8</v>
          </cell>
        </row>
        <row r="142">
          <cell r="C142">
            <v>8</v>
          </cell>
        </row>
        <row r="143">
          <cell r="C143">
            <v>217195</v>
          </cell>
        </row>
        <row r="144">
          <cell r="C144">
            <v>130000</v>
          </cell>
        </row>
        <row r="145">
          <cell r="C145">
            <v>85000</v>
          </cell>
        </row>
        <row r="146">
          <cell r="C146">
            <v>113400</v>
          </cell>
        </row>
        <row r="147">
          <cell r="C147">
            <v>8000</v>
          </cell>
        </row>
        <row r="148">
          <cell r="C148">
            <v>65356</v>
          </cell>
        </row>
        <row r="149">
          <cell r="C149">
            <v>57642</v>
          </cell>
        </row>
        <row r="150">
          <cell r="C150">
            <v>128000</v>
          </cell>
        </row>
        <row r="151">
          <cell r="C151">
            <v>10328</v>
          </cell>
        </row>
        <row r="152">
          <cell r="C152">
            <v>57392</v>
          </cell>
        </row>
        <row r="153">
          <cell r="C153">
            <v>1009</v>
          </cell>
        </row>
        <row r="154">
          <cell r="C154">
            <v>70420</v>
          </cell>
        </row>
        <row r="155">
          <cell r="C155">
            <v>148097</v>
          </cell>
        </row>
        <row r="156">
          <cell r="C156">
            <v>3000</v>
          </cell>
        </row>
        <row r="157">
          <cell r="C157">
            <v>9830</v>
          </cell>
        </row>
        <row r="158">
          <cell r="C158">
            <v>26480</v>
          </cell>
        </row>
        <row r="159">
          <cell r="C159">
            <v>10080</v>
          </cell>
        </row>
        <row r="160">
          <cell r="C160">
            <v>5480</v>
          </cell>
        </row>
        <row r="161">
          <cell r="C161">
            <v>2600</v>
          </cell>
        </row>
        <row r="162">
          <cell r="C162">
            <v>640</v>
          </cell>
        </row>
        <row r="163">
          <cell r="C163">
            <v>788782</v>
          </cell>
        </row>
      </sheetData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ЦЗ 2020 Пр.107 объем.утв. "/>
      <sheetName val="ЦЗ 2020 Пр.107 сумма утв."/>
      <sheetName val="ЦЗ 2020 Пр.110 объемы уточ."/>
      <sheetName val="Пр.110-Пр.107 изм.объемов"/>
      <sheetName val="Пр.110-Пр.107 изм.финансов"/>
      <sheetName val="Прот.110 сумма уточненная"/>
      <sheetName val="ЦЗ  Пр.111 уточнение объемов"/>
      <sheetName val="ЦЗ  Пр.111 уточненные объемы"/>
      <sheetName val="ЦЗ  Пр.111 уточнение суммы"/>
    </sheetNames>
    <sheetDataSet>
      <sheetData sheetId="0"/>
      <sheetData sheetId="1"/>
      <sheetData sheetId="2"/>
      <sheetData sheetId="3">
        <row r="9">
          <cell r="F9">
            <v>8672</v>
          </cell>
          <cell r="G9">
            <v>2168</v>
          </cell>
          <cell r="H9">
            <v>2847</v>
          </cell>
          <cell r="I9">
            <v>712</v>
          </cell>
        </row>
        <row r="10">
          <cell r="F10">
            <v>5997</v>
          </cell>
          <cell r="G10">
            <v>1499</v>
          </cell>
          <cell r="H10">
            <v>1741</v>
          </cell>
          <cell r="I10">
            <v>435</v>
          </cell>
        </row>
        <row r="11">
          <cell r="F11">
            <v>5995</v>
          </cell>
          <cell r="G11">
            <v>369</v>
          </cell>
          <cell r="H11">
            <v>1474</v>
          </cell>
          <cell r="I11">
            <v>369</v>
          </cell>
        </row>
        <row r="12">
          <cell r="F12">
            <v>3875</v>
          </cell>
          <cell r="G12">
            <v>969</v>
          </cell>
          <cell r="H12">
            <v>1281</v>
          </cell>
          <cell r="I12">
            <v>320</v>
          </cell>
        </row>
        <row r="13">
          <cell r="F13">
            <v>10036</v>
          </cell>
          <cell r="G13">
            <v>2509</v>
          </cell>
          <cell r="H13">
            <v>2939</v>
          </cell>
          <cell r="I13">
            <v>735</v>
          </cell>
        </row>
        <row r="14">
          <cell r="F14">
            <v>5602</v>
          </cell>
          <cell r="G14">
            <v>1400</v>
          </cell>
          <cell r="H14">
            <v>1979</v>
          </cell>
          <cell r="I14">
            <v>495</v>
          </cell>
        </row>
        <row r="15">
          <cell r="H15">
            <v>0</v>
          </cell>
          <cell r="I15">
            <v>0</v>
          </cell>
        </row>
        <row r="16">
          <cell r="F16">
            <v>15970</v>
          </cell>
          <cell r="G16">
            <v>3993</v>
          </cell>
          <cell r="H16">
            <v>2073</v>
          </cell>
          <cell r="I16">
            <v>518</v>
          </cell>
        </row>
        <row r="17">
          <cell r="F17">
            <v>8486</v>
          </cell>
          <cell r="G17">
            <v>2121</v>
          </cell>
          <cell r="H17">
            <v>1132</v>
          </cell>
          <cell r="I17">
            <v>283</v>
          </cell>
        </row>
        <row r="18">
          <cell r="F18">
            <v>0</v>
          </cell>
          <cell r="G18">
            <v>0</v>
          </cell>
          <cell r="H18">
            <v>5074</v>
          </cell>
          <cell r="I18">
            <v>1269</v>
          </cell>
        </row>
        <row r="19">
          <cell r="F19">
            <v>5282</v>
          </cell>
          <cell r="G19">
            <v>1320</v>
          </cell>
          <cell r="H19">
            <v>1451</v>
          </cell>
          <cell r="I19">
            <v>363</v>
          </cell>
        </row>
        <row r="20">
          <cell r="F20">
            <v>3048</v>
          </cell>
          <cell r="G20">
            <v>762</v>
          </cell>
          <cell r="H20">
            <v>901</v>
          </cell>
          <cell r="I20">
            <v>225</v>
          </cell>
        </row>
        <row r="21">
          <cell r="F21">
            <v>8704</v>
          </cell>
          <cell r="G21">
            <v>2176</v>
          </cell>
          <cell r="H21">
            <v>2372</v>
          </cell>
          <cell r="I21">
            <v>593</v>
          </cell>
        </row>
        <row r="22">
          <cell r="F22">
            <v>0</v>
          </cell>
          <cell r="G22">
            <v>0</v>
          </cell>
          <cell r="H22">
            <v>2480</v>
          </cell>
          <cell r="I22">
            <v>620</v>
          </cell>
        </row>
        <row r="23">
          <cell r="F23">
            <v>0</v>
          </cell>
          <cell r="G23">
            <v>0</v>
          </cell>
          <cell r="H23">
            <v>7786</v>
          </cell>
          <cell r="I23">
            <v>1946</v>
          </cell>
        </row>
        <row r="24">
          <cell r="F24">
            <v>8945</v>
          </cell>
          <cell r="G24">
            <v>2236</v>
          </cell>
          <cell r="H24">
            <v>0</v>
          </cell>
          <cell r="I24">
            <v>0</v>
          </cell>
        </row>
        <row r="25">
          <cell r="F25">
            <v>13304</v>
          </cell>
          <cell r="G25">
            <v>3326</v>
          </cell>
          <cell r="H25">
            <v>0</v>
          </cell>
          <cell r="I25">
            <v>0</v>
          </cell>
        </row>
        <row r="26">
          <cell r="F26">
            <v>8636</v>
          </cell>
          <cell r="G26">
            <v>2159</v>
          </cell>
          <cell r="H26">
            <v>0</v>
          </cell>
          <cell r="I26">
            <v>0</v>
          </cell>
        </row>
        <row r="27">
          <cell r="F27">
            <v>5203</v>
          </cell>
          <cell r="G27">
            <v>1301</v>
          </cell>
          <cell r="H27">
            <v>1482</v>
          </cell>
          <cell r="I27">
            <v>371</v>
          </cell>
        </row>
        <row r="28">
          <cell r="F28">
            <v>6252</v>
          </cell>
          <cell r="G28">
            <v>1563</v>
          </cell>
          <cell r="H28">
            <v>1642</v>
          </cell>
          <cell r="I28">
            <v>411</v>
          </cell>
        </row>
        <row r="29">
          <cell r="F29">
            <v>0</v>
          </cell>
          <cell r="G29">
            <v>0</v>
          </cell>
          <cell r="H29">
            <v>4960</v>
          </cell>
          <cell r="I29">
            <v>1240</v>
          </cell>
        </row>
        <row r="30">
          <cell r="F30">
            <v>9343</v>
          </cell>
          <cell r="G30">
            <v>2336</v>
          </cell>
          <cell r="H30">
            <v>0</v>
          </cell>
          <cell r="I30">
            <v>0</v>
          </cell>
        </row>
      </sheetData>
      <sheetData sheetId="4"/>
      <sheetData sheetId="5"/>
      <sheetData sheetId="6"/>
      <sheetData sheetId="7">
        <row r="9">
          <cell r="F9">
            <v>-1278</v>
          </cell>
          <cell r="G9">
            <v>-313</v>
          </cell>
          <cell r="H9">
            <v>-415</v>
          </cell>
          <cell r="I9">
            <v>-103</v>
          </cell>
        </row>
        <row r="10">
          <cell r="F10">
            <v>-902</v>
          </cell>
          <cell r="G10">
            <v>-230</v>
          </cell>
          <cell r="H10">
            <v>-252</v>
          </cell>
          <cell r="I10">
            <v>-63</v>
          </cell>
        </row>
        <row r="11">
          <cell r="F11">
            <v>-851</v>
          </cell>
          <cell r="G11">
            <v>-173</v>
          </cell>
          <cell r="H11">
            <v>-236</v>
          </cell>
          <cell r="I11">
            <v>-54</v>
          </cell>
        </row>
        <row r="12">
          <cell r="F12">
            <v>-667</v>
          </cell>
          <cell r="G12">
            <v>-140</v>
          </cell>
          <cell r="H12">
            <v>-221</v>
          </cell>
          <cell r="I12">
            <v>-55</v>
          </cell>
        </row>
        <row r="13">
          <cell r="F13">
            <v>-1452</v>
          </cell>
          <cell r="G13">
            <v>-363</v>
          </cell>
          <cell r="H13">
            <v>-424</v>
          </cell>
          <cell r="I13">
            <v>-106</v>
          </cell>
        </row>
        <row r="14">
          <cell r="F14">
            <v>-813</v>
          </cell>
          <cell r="G14">
            <v>-203</v>
          </cell>
          <cell r="H14">
            <v>-286</v>
          </cell>
          <cell r="I14">
            <v>-71</v>
          </cell>
        </row>
        <row r="15">
          <cell r="H15">
            <v>0</v>
          </cell>
          <cell r="I15">
            <v>0</v>
          </cell>
        </row>
        <row r="17">
          <cell r="F17">
            <v>-2311</v>
          </cell>
          <cell r="G17">
            <v>-578</v>
          </cell>
          <cell r="H17">
            <v>-300</v>
          </cell>
          <cell r="I17">
            <v>-76</v>
          </cell>
        </row>
        <row r="18">
          <cell r="F18">
            <v>-1333</v>
          </cell>
          <cell r="G18">
            <v>-306</v>
          </cell>
          <cell r="H18">
            <v>-164</v>
          </cell>
          <cell r="I18">
            <v>-41</v>
          </cell>
        </row>
        <row r="19">
          <cell r="F19">
            <v>0</v>
          </cell>
          <cell r="G19">
            <v>0</v>
          </cell>
          <cell r="H19">
            <v>-787</v>
          </cell>
          <cell r="I19">
            <v>-192</v>
          </cell>
        </row>
        <row r="20">
          <cell r="F20">
            <v>-773</v>
          </cell>
          <cell r="G20">
            <v>-191</v>
          </cell>
          <cell r="H20">
            <v>-214</v>
          </cell>
          <cell r="I20">
            <v>-52</v>
          </cell>
        </row>
        <row r="21">
          <cell r="F21">
            <v>-441</v>
          </cell>
          <cell r="G21">
            <v>-111</v>
          </cell>
          <cell r="H21">
            <v>-130</v>
          </cell>
          <cell r="I21">
            <v>-33</v>
          </cell>
        </row>
        <row r="22">
          <cell r="F22">
            <v>-1261</v>
          </cell>
          <cell r="G22">
            <v>-347</v>
          </cell>
          <cell r="H22">
            <v>-343</v>
          </cell>
          <cell r="I22">
            <v>-86</v>
          </cell>
        </row>
        <row r="23">
          <cell r="F23">
            <v>0</v>
          </cell>
          <cell r="G23">
            <v>0</v>
          </cell>
          <cell r="H23">
            <v>-358</v>
          </cell>
          <cell r="I23">
            <v>-90</v>
          </cell>
        </row>
        <row r="24">
          <cell r="F24">
            <v>0</v>
          </cell>
          <cell r="G24">
            <v>0</v>
          </cell>
          <cell r="H24">
            <v>-1141</v>
          </cell>
          <cell r="I24">
            <v>-281</v>
          </cell>
        </row>
        <row r="25">
          <cell r="F25">
            <v>-1411</v>
          </cell>
          <cell r="G25">
            <v>-342</v>
          </cell>
          <cell r="H25">
            <v>0</v>
          </cell>
          <cell r="I25">
            <v>0</v>
          </cell>
        </row>
        <row r="26">
          <cell r="F26">
            <v>-2164</v>
          </cell>
          <cell r="G26">
            <v>-480</v>
          </cell>
          <cell r="H26">
            <v>0</v>
          </cell>
          <cell r="I26">
            <v>0</v>
          </cell>
        </row>
        <row r="27">
          <cell r="F27">
            <v>-1249</v>
          </cell>
          <cell r="G27">
            <v>-312</v>
          </cell>
          <cell r="H27">
            <v>0</v>
          </cell>
          <cell r="I27">
            <v>0</v>
          </cell>
        </row>
        <row r="28">
          <cell r="F28">
            <v>-755</v>
          </cell>
          <cell r="G28">
            <v>-188</v>
          </cell>
          <cell r="H28">
            <v>-233</v>
          </cell>
          <cell r="I28">
            <v>-53</v>
          </cell>
        </row>
        <row r="29">
          <cell r="F29">
            <v>-980</v>
          </cell>
          <cell r="G29">
            <v>-226</v>
          </cell>
          <cell r="H29">
            <v>-245</v>
          </cell>
          <cell r="I29">
            <v>-60</v>
          </cell>
        </row>
        <row r="30">
          <cell r="F30">
            <v>0</v>
          </cell>
          <cell r="G30">
            <v>0</v>
          </cell>
          <cell r="H30">
            <v>-717</v>
          </cell>
          <cell r="I30">
            <v>-179</v>
          </cell>
        </row>
        <row r="31">
          <cell r="F31">
            <v>-1515</v>
          </cell>
          <cell r="G31">
            <v>-337</v>
          </cell>
          <cell r="H31">
            <v>0</v>
          </cell>
          <cell r="I3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zoomScale="90" zoomScaleNormal="90" workbookViewId="0">
      <pane xSplit="2" ySplit="5" topLeftCell="C98" activePane="bottomRight" state="frozen"/>
      <selection pane="topRight" activeCell="C1" sqref="C1"/>
      <selection pane="bottomLeft" activeCell="A5" sqref="A5"/>
      <selection pane="bottomRight" activeCell="E131" sqref="E131"/>
    </sheetView>
  </sheetViews>
  <sheetFormatPr defaultRowHeight="12.75" x14ac:dyDescent="0.2"/>
  <cols>
    <col min="1" max="1" width="4.42578125" style="14" customWidth="1"/>
    <col min="2" max="2" width="29.7109375" style="1" customWidth="1"/>
    <col min="3" max="3" width="10.42578125" style="1" customWidth="1"/>
    <col min="4" max="4" width="7.28515625" style="3" customWidth="1"/>
    <col min="5" max="5" width="11.140625" style="3" customWidth="1"/>
    <col min="6" max="6" width="10.28515625" style="3" customWidth="1"/>
    <col min="7" max="7" width="12.85546875" style="3" customWidth="1"/>
    <col min="8" max="8" width="12.42578125" style="3" customWidth="1"/>
    <col min="9" max="9" width="10.85546875" style="3" customWidth="1"/>
    <col min="10" max="16384" width="9.140625" style="1"/>
  </cols>
  <sheetData>
    <row r="1" spans="1:9" ht="32.25" customHeight="1" x14ac:dyDescent="0.2">
      <c r="A1" s="324" t="s">
        <v>97</v>
      </c>
      <c r="B1" s="325"/>
      <c r="C1" s="325"/>
      <c r="D1" s="325"/>
      <c r="E1" s="325"/>
      <c r="F1" s="325"/>
      <c r="G1" s="325"/>
      <c r="H1" s="325"/>
      <c r="I1" s="325"/>
    </row>
    <row r="2" spans="1:9" ht="17.25" customHeight="1" x14ac:dyDescent="0.2">
      <c r="A2" s="2"/>
      <c r="F2" s="4"/>
      <c r="G2" s="4"/>
      <c r="H2" s="4"/>
      <c r="I2" s="4"/>
    </row>
    <row r="3" spans="1:9" s="5" customFormat="1" ht="9" customHeight="1" x14ac:dyDescent="0.2">
      <c r="A3" s="326" t="s">
        <v>0</v>
      </c>
      <c r="B3" s="326" t="s">
        <v>93</v>
      </c>
      <c r="C3" s="327" t="s">
        <v>98</v>
      </c>
      <c r="D3" s="327"/>
      <c r="E3" s="327"/>
      <c r="F3" s="327"/>
      <c r="G3" s="327"/>
      <c r="H3" s="327"/>
      <c r="I3" s="327"/>
    </row>
    <row r="4" spans="1:9" s="5" customFormat="1" ht="17.25" customHeight="1" x14ac:dyDescent="0.2">
      <c r="A4" s="326"/>
      <c r="B4" s="326"/>
      <c r="C4" s="326" t="s">
        <v>94</v>
      </c>
      <c r="D4" s="328" t="s">
        <v>99</v>
      </c>
      <c r="E4" s="293" t="s">
        <v>100</v>
      </c>
      <c r="F4" s="328" t="s">
        <v>95</v>
      </c>
      <c r="G4" s="328" t="s">
        <v>100</v>
      </c>
      <c r="H4" s="330"/>
      <c r="I4" s="328" t="s">
        <v>101</v>
      </c>
    </row>
    <row r="5" spans="1:9" s="6" customFormat="1" ht="40.5" customHeight="1" x14ac:dyDescent="0.25">
      <c r="A5" s="326"/>
      <c r="B5" s="326"/>
      <c r="C5" s="326"/>
      <c r="D5" s="329"/>
      <c r="E5" s="293" t="s">
        <v>102</v>
      </c>
      <c r="F5" s="330"/>
      <c r="G5" s="293" t="s">
        <v>103</v>
      </c>
      <c r="H5" s="293" t="s">
        <v>102</v>
      </c>
      <c r="I5" s="330"/>
    </row>
    <row r="6" spans="1:9" x14ac:dyDescent="0.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x14ac:dyDescent="0.2">
      <c r="A7" s="8">
        <v>1</v>
      </c>
      <c r="B7" s="9" t="s">
        <v>78</v>
      </c>
      <c r="C7" s="10">
        <f>D7+F7+I7</f>
        <v>755</v>
      </c>
      <c r="D7" s="10"/>
      <c r="E7" s="10"/>
      <c r="F7" s="10">
        <v>755</v>
      </c>
      <c r="G7" s="10"/>
      <c r="H7" s="10"/>
      <c r="I7" s="10"/>
    </row>
    <row r="8" spans="1:9" x14ac:dyDescent="0.2">
      <c r="A8" s="8">
        <v>2</v>
      </c>
      <c r="B8" s="9" t="s">
        <v>76</v>
      </c>
      <c r="C8" s="10">
        <f>D8+F8+I8</f>
        <v>729</v>
      </c>
      <c r="D8" s="10"/>
      <c r="E8" s="10"/>
      <c r="F8" s="10">
        <v>729</v>
      </c>
      <c r="G8" s="10"/>
      <c r="H8" s="10"/>
      <c r="I8" s="10"/>
    </row>
    <row r="9" spans="1:9" x14ac:dyDescent="0.2">
      <c r="A9" s="8">
        <v>3</v>
      </c>
      <c r="B9" s="9" t="s">
        <v>48</v>
      </c>
      <c r="C9" s="10">
        <f t="shared" ref="C9:C89" si="0">D9+F9+I9</f>
        <v>3219</v>
      </c>
      <c r="D9" s="10"/>
      <c r="E9" s="10"/>
      <c r="F9" s="10">
        <v>3219</v>
      </c>
      <c r="G9" s="10"/>
      <c r="H9" s="10"/>
      <c r="I9" s="10"/>
    </row>
    <row r="10" spans="1:9" x14ac:dyDescent="0.2">
      <c r="A10" s="8">
        <v>4</v>
      </c>
      <c r="B10" s="9" t="s">
        <v>3</v>
      </c>
      <c r="C10" s="10">
        <f t="shared" si="0"/>
        <v>1945</v>
      </c>
      <c r="D10" s="10"/>
      <c r="E10" s="10"/>
      <c r="F10" s="10">
        <v>1945</v>
      </c>
      <c r="G10" s="10"/>
      <c r="H10" s="10"/>
      <c r="I10" s="10"/>
    </row>
    <row r="11" spans="1:9" ht="12.75" customHeight="1" x14ac:dyDescent="0.2">
      <c r="A11" s="8">
        <v>5</v>
      </c>
      <c r="B11" s="9" t="s">
        <v>1</v>
      </c>
      <c r="C11" s="10">
        <f t="shared" si="0"/>
        <v>4277</v>
      </c>
      <c r="D11" s="10"/>
      <c r="E11" s="10"/>
      <c r="F11" s="10">
        <v>4277</v>
      </c>
      <c r="G11" s="10"/>
      <c r="H11" s="10"/>
      <c r="I11" s="10"/>
    </row>
    <row r="12" spans="1:9" x14ac:dyDescent="0.2">
      <c r="A12" s="8">
        <v>6</v>
      </c>
      <c r="B12" s="9" t="s">
        <v>4</v>
      </c>
      <c r="C12" s="10">
        <f t="shared" si="0"/>
        <v>2357</v>
      </c>
      <c r="D12" s="10"/>
      <c r="E12" s="10"/>
      <c r="F12" s="10">
        <v>2357</v>
      </c>
      <c r="G12" s="10"/>
      <c r="H12" s="10"/>
      <c r="I12" s="10"/>
    </row>
    <row r="13" spans="1:9" x14ac:dyDescent="0.2">
      <c r="A13" s="8">
        <v>7</v>
      </c>
      <c r="B13" s="9" t="s">
        <v>6</v>
      </c>
      <c r="C13" s="10">
        <f t="shared" si="0"/>
        <v>6602</v>
      </c>
      <c r="D13" s="10"/>
      <c r="E13" s="10"/>
      <c r="F13" s="10">
        <v>6602</v>
      </c>
      <c r="G13" s="10"/>
      <c r="H13" s="10">
        <f>5-5</f>
        <v>0</v>
      </c>
      <c r="I13" s="10"/>
    </row>
    <row r="14" spans="1:9" x14ac:dyDescent="0.2">
      <c r="A14" s="8">
        <v>8</v>
      </c>
      <c r="B14" s="9" t="s">
        <v>7</v>
      </c>
      <c r="C14" s="10">
        <f t="shared" si="0"/>
        <v>3102</v>
      </c>
      <c r="D14" s="10"/>
      <c r="E14" s="10"/>
      <c r="F14" s="10">
        <v>3102</v>
      </c>
      <c r="G14" s="10"/>
      <c r="H14" s="10">
        <f>4-4</f>
        <v>0</v>
      </c>
      <c r="I14" s="10"/>
    </row>
    <row r="15" spans="1:9" x14ac:dyDescent="0.2">
      <c r="A15" s="8">
        <v>9</v>
      </c>
      <c r="B15" s="9" t="s">
        <v>8</v>
      </c>
      <c r="C15" s="10">
        <f t="shared" si="0"/>
        <v>1898</v>
      </c>
      <c r="D15" s="10"/>
      <c r="E15" s="10"/>
      <c r="F15" s="10">
        <v>1898</v>
      </c>
      <c r="G15" s="10"/>
      <c r="H15" s="10">
        <v>3</v>
      </c>
      <c r="I15" s="10"/>
    </row>
    <row r="16" spans="1:9" x14ac:dyDescent="0.2">
      <c r="A16" s="8">
        <v>10</v>
      </c>
      <c r="B16" s="9" t="s">
        <v>10</v>
      </c>
      <c r="C16" s="10">
        <f t="shared" si="0"/>
        <v>2218</v>
      </c>
      <c r="D16" s="10"/>
      <c r="E16" s="10"/>
      <c r="F16" s="10">
        <v>2218</v>
      </c>
      <c r="G16" s="10"/>
      <c r="H16" s="10">
        <f>3-3</f>
        <v>0</v>
      </c>
      <c r="I16" s="10"/>
    </row>
    <row r="17" spans="1:9" x14ac:dyDescent="0.2">
      <c r="A17" s="8">
        <v>11</v>
      </c>
      <c r="B17" s="9" t="s">
        <v>12</v>
      </c>
      <c r="C17" s="10">
        <f t="shared" si="0"/>
        <v>2399</v>
      </c>
      <c r="D17" s="10"/>
      <c r="E17" s="10"/>
      <c r="F17" s="10">
        <v>2399</v>
      </c>
      <c r="G17" s="10"/>
      <c r="H17" s="10">
        <f>3-3</f>
        <v>0</v>
      </c>
      <c r="I17" s="10"/>
    </row>
    <row r="18" spans="1:9" x14ac:dyDescent="0.2">
      <c r="A18" s="8">
        <v>12</v>
      </c>
      <c r="B18" s="9" t="s">
        <v>15</v>
      </c>
      <c r="C18" s="10">
        <f t="shared" si="0"/>
        <v>5371</v>
      </c>
      <c r="D18" s="10"/>
      <c r="E18" s="10"/>
      <c r="F18" s="10">
        <v>5371</v>
      </c>
      <c r="G18" s="10"/>
      <c r="H18" s="10"/>
      <c r="I18" s="10"/>
    </row>
    <row r="19" spans="1:9" x14ac:dyDescent="0.2">
      <c r="A19" s="8">
        <v>13</v>
      </c>
      <c r="B19" s="9" t="s">
        <v>38</v>
      </c>
      <c r="C19" s="10">
        <f t="shared" si="0"/>
        <v>2705</v>
      </c>
      <c r="D19" s="10"/>
      <c r="E19" s="10"/>
      <c r="F19" s="10">
        <v>2705</v>
      </c>
      <c r="G19" s="10"/>
      <c r="H19" s="10">
        <f>2-2</f>
        <v>0</v>
      </c>
      <c r="I19" s="10"/>
    </row>
    <row r="20" spans="1:9" x14ac:dyDescent="0.2">
      <c r="A20" s="8">
        <v>14</v>
      </c>
      <c r="B20" s="9" t="s">
        <v>16</v>
      </c>
      <c r="C20" s="10">
        <f t="shared" si="0"/>
        <v>3674</v>
      </c>
      <c r="D20" s="10"/>
      <c r="E20" s="10"/>
      <c r="F20" s="10">
        <v>3674</v>
      </c>
      <c r="G20" s="10"/>
      <c r="H20" s="10">
        <v>12</v>
      </c>
      <c r="I20" s="10"/>
    </row>
    <row r="21" spans="1:9" x14ac:dyDescent="0.2">
      <c r="A21" s="8">
        <v>15</v>
      </c>
      <c r="B21" s="9" t="s">
        <v>17</v>
      </c>
      <c r="C21" s="10">
        <f t="shared" si="0"/>
        <v>2099</v>
      </c>
      <c r="D21" s="10"/>
      <c r="E21" s="10"/>
      <c r="F21" s="10">
        <v>2099</v>
      </c>
      <c r="G21" s="10"/>
      <c r="H21" s="10">
        <v>5</v>
      </c>
      <c r="I21" s="10"/>
    </row>
    <row r="22" spans="1:9" x14ac:dyDescent="0.2">
      <c r="A22" s="8">
        <v>16</v>
      </c>
      <c r="B22" s="9" t="s">
        <v>18</v>
      </c>
      <c r="C22" s="10">
        <f t="shared" si="0"/>
        <v>1734</v>
      </c>
      <c r="D22" s="10"/>
      <c r="E22" s="10"/>
      <c r="F22" s="10">
        <v>1734</v>
      </c>
      <c r="G22" s="10"/>
      <c r="H22" s="10"/>
      <c r="I22" s="10"/>
    </row>
    <row r="23" spans="1:9" ht="12.75" customHeight="1" x14ac:dyDescent="0.2">
      <c r="A23" s="8">
        <v>17</v>
      </c>
      <c r="B23" s="9" t="s">
        <v>44</v>
      </c>
      <c r="C23" s="10">
        <f t="shared" si="0"/>
        <v>2530</v>
      </c>
      <c r="D23" s="10"/>
      <c r="E23" s="10"/>
      <c r="F23" s="10">
        <v>2530</v>
      </c>
      <c r="G23" s="10"/>
      <c r="H23" s="10"/>
      <c r="I23" s="10"/>
    </row>
    <row r="24" spans="1:9" x14ac:dyDescent="0.2">
      <c r="A24" s="8">
        <v>18</v>
      </c>
      <c r="B24" s="9" t="s">
        <v>27</v>
      </c>
      <c r="C24" s="10">
        <f t="shared" si="0"/>
        <v>3643</v>
      </c>
      <c r="D24" s="10"/>
      <c r="E24" s="10"/>
      <c r="F24" s="10">
        <v>3643</v>
      </c>
      <c r="G24" s="10"/>
      <c r="H24" s="10"/>
      <c r="I24" s="10"/>
    </row>
    <row r="25" spans="1:9" x14ac:dyDescent="0.2">
      <c r="A25" s="8">
        <v>19</v>
      </c>
      <c r="B25" s="9" t="s">
        <v>20</v>
      </c>
      <c r="C25" s="10">
        <f t="shared" si="0"/>
        <v>4448</v>
      </c>
      <c r="D25" s="10"/>
      <c r="E25" s="10"/>
      <c r="F25" s="10">
        <v>4448</v>
      </c>
      <c r="G25" s="10"/>
      <c r="H25" s="10"/>
      <c r="I25" s="10"/>
    </row>
    <row r="26" spans="1:9" x14ac:dyDescent="0.2">
      <c r="A26" s="8">
        <v>20</v>
      </c>
      <c r="B26" s="9" t="s">
        <v>23</v>
      </c>
      <c r="C26" s="10">
        <f t="shared" si="0"/>
        <v>1644</v>
      </c>
      <c r="D26" s="10"/>
      <c r="E26" s="10"/>
      <c r="F26" s="10">
        <v>1644</v>
      </c>
      <c r="G26" s="10"/>
      <c r="H26" s="10"/>
      <c r="I26" s="10"/>
    </row>
    <row r="27" spans="1:9" x14ac:dyDescent="0.2">
      <c r="A27" s="8">
        <v>21</v>
      </c>
      <c r="B27" s="9" t="s">
        <v>25</v>
      </c>
      <c r="C27" s="10">
        <f t="shared" si="0"/>
        <v>1669</v>
      </c>
      <c r="D27" s="10"/>
      <c r="E27" s="10"/>
      <c r="F27" s="10">
        <v>1669</v>
      </c>
      <c r="G27" s="10"/>
      <c r="H27" s="10"/>
      <c r="I27" s="10"/>
    </row>
    <row r="28" spans="1:9" x14ac:dyDescent="0.2">
      <c r="A28" s="8">
        <v>22</v>
      </c>
      <c r="B28" s="9" t="s">
        <v>26</v>
      </c>
      <c r="C28" s="10">
        <f t="shared" si="0"/>
        <v>3566</v>
      </c>
      <c r="D28" s="10"/>
      <c r="E28" s="10"/>
      <c r="F28" s="10">
        <v>3566</v>
      </c>
      <c r="G28" s="10"/>
      <c r="H28" s="10"/>
      <c r="I28" s="10"/>
    </row>
    <row r="29" spans="1:9" x14ac:dyDescent="0.2">
      <c r="A29" s="8">
        <v>23</v>
      </c>
      <c r="B29" s="9" t="s">
        <v>24</v>
      </c>
      <c r="C29" s="10">
        <f t="shared" si="0"/>
        <v>3030</v>
      </c>
      <c r="D29" s="10"/>
      <c r="E29" s="10"/>
      <c r="F29" s="10">
        <v>3030</v>
      </c>
      <c r="G29" s="10"/>
      <c r="H29" s="10"/>
      <c r="I29" s="10"/>
    </row>
    <row r="30" spans="1:9" x14ac:dyDescent="0.2">
      <c r="A30" s="8">
        <v>24</v>
      </c>
      <c r="B30" s="9" t="s">
        <v>29</v>
      </c>
      <c r="C30" s="10">
        <f t="shared" si="0"/>
        <v>2068</v>
      </c>
      <c r="D30" s="10"/>
      <c r="E30" s="10"/>
      <c r="F30" s="10">
        <v>2068</v>
      </c>
      <c r="G30" s="10"/>
      <c r="H30" s="10"/>
      <c r="I30" s="10"/>
    </row>
    <row r="31" spans="1:9" x14ac:dyDescent="0.2">
      <c r="A31" s="8">
        <v>25</v>
      </c>
      <c r="B31" s="9" t="s">
        <v>30</v>
      </c>
      <c r="C31" s="10">
        <f t="shared" si="0"/>
        <v>3046</v>
      </c>
      <c r="D31" s="10"/>
      <c r="E31" s="10"/>
      <c r="F31" s="10">
        <v>3046</v>
      </c>
      <c r="G31" s="10"/>
      <c r="H31" s="10"/>
      <c r="I31" s="10"/>
    </row>
    <row r="32" spans="1:9" ht="14.25" customHeight="1" x14ac:dyDescent="0.2">
      <c r="A32" s="8">
        <v>26</v>
      </c>
      <c r="B32" s="9" t="s">
        <v>31</v>
      </c>
      <c r="C32" s="10">
        <f t="shared" si="0"/>
        <v>4716</v>
      </c>
      <c r="D32" s="10"/>
      <c r="E32" s="10"/>
      <c r="F32" s="10">
        <v>4716</v>
      </c>
      <c r="G32" s="10"/>
      <c r="H32" s="10"/>
      <c r="I32" s="10"/>
    </row>
    <row r="33" spans="1:9" ht="14.25" customHeight="1" x14ac:dyDescent="0.2">
      <c r="A33" s="8">
        <v>27</v>
      </c>
      <c r="B33" s="9" t="s">
        <v>32</v>
      </c>
      <c r="C33" s="10">
        <f t="shared" si="0"/>
        <v>1736</v>
      </c>
      <c r="D33" s="10"/>
      <c r="E33" s="10"/>
      <c r="F33" s="10">
        <v>1736</v>
      </c>
      <c r="G33" s="10"/>
      <c r="H33" s="10"/>
      <c r="I33" s="10"/>
    </row>
    <row r="34" spans="1:9" x14ac:dyDescent="0.2">
      <c r="A34" s="8">
        <v>28</v>
      </c>
      <c r="B34" s="9" t="s">
        <v>33</v>
      </c>
      <c r="C34" s="10">
        <f t="shared" si="0"/>
        <v>2201</v>
      </c>
      <c r="D34" s="10"/>
      <c r="E34" s="10"/>
      <c r="F34" s="10">
        <v>2201</v>
      </c>
      <c r="G34" s="10"/>
      <c r="H34" s="10"/>
      <c r="I34" s="10"/>
    </row>
    <row r="35" spans="1:9" x14ac:dyDescent="0.2">
      <c r="A35" s="8">
        <v>29</v>
      </c>
      <c r="B35" s="9" t="s">
        <v>19</v>
      </c>
      <c r="C35" s="10">
        <f t="shared" si="0"/>
        <v>3384</v>
      </c>
      <c r="D35" s="10"/>
      <c r="E35" s="10"/>
      <c r="F35" s="10">
        <v>3384</v>
      </c>
      <c r="G35" s="10"/>
      <c r="H35" s="10"/>
      <c r="I35" s="10"/>
    </row>
    <row r="36" spans="1:9" x14ac:dyDescent="0.2">
      <c r="A36" s="8">
        <v>30</v>
      </c>
      <c r="B36" s="9" t="s">
        <v>35</v>
      </c>
      <c r="C36" s="10">
        <f t="shared" si="0"/>
        <v>2535</v>
      </c>
      <c r="D36" s="10"/>
      <c r="E36" s="10"/>
      <c r="F36" s="10">
        <v>2535</v>
      </c>
      <c r="G36" s="10"/>
      <c r="H36" s="10"/>
      <c r="I36" s="10"/>
    </row>
    <row r="37" spans="1:9" x14ac:dyDescent="0.2">
      <c r="A37" s="8">
        <v>31</v>
      </c>
      <c r="B37" s="9" t="s">
        <v>42</v>
      </c>
      <c r="C37" s="10">
        <f t="shared" si="0"/>
        <v>3564</v>
      </c>
      <c r="D37" s="10"/>
      <c r="E37" s="10"/>
      <c r="F37" s="10">
        <v>3564</v>
      </c>
      <c r="G37" s="10"/>
      <c r="H37" s="10">
        <v>100</v>
      </c>
      <c r="I37" s="10"/>
    </row>
    <row r="38" spans="1:9" x14ac:dyDescent="0.2">
      <c r="A38" s="8">
        <v>32</v>
      </c>
      <c r="B38" s="9" t="s">
        <v>39</v>
      </c>
      <c r="C38" s="10">
        <f t="shared" si="0"/>
        <v>2763</v>
      </c>
      <c r="D38" s="10"/>
      <c r="E38" s="10"/>
      <c r="F38" s="10">
        <v>2763</v>
      </c>
      <c r="G38" s="10"/>
      <c r="H38" s="10">
        <v>2</v>
      </c>
      <c r="I38" s="10"/>
    </row>
    <row r="39" spans="1:9" x14ac:dyDescent="0.2">
      <c r="A39" s="8">
        <v>33</v>
      </c>
      <c r="B39" s="9" t="s">
        <v>40</v>
      </c>
      <c r="C39" s="10">
        <f t="shared" si="0"/>
        <v>3192</v>
      </c>
      <c r="D39" s="10"/>
      <c r="E39" s="10"/>
      <c r="F39" s="10">
        <v>3192</v>
      </c>
      <c r="G39" s="10"/>
      <c r="H39" s="10"/>
      <c r="I39" s="10"/>
    </row>
    <row r="40" spans="1:9" x14ac:dyDescent="0.2">
      <c r="A40" s="8">
        <v>34</v>
      </c>
      <c r="B40" s="9" t="s">
        <v>34</v>
      </c>
      <c r="C40" s="10">
        <f t="shared" si="0"/>
        <v>3471</v>
      </c>
      <c r="D40" s="10"/>
      <c r="E40" s="10"/>
      <c r="F40" s="10">
        <v>3471</v>
      </c>
      <c r="G40" s="10"/>
      <c r="H40" s="10"/>
      <c r="I40" s="10"/>
    </row>
    <row r="41" spans="1:9" x14ac:dyDescent="0.2">
      <c r="A41" s="8">
        <v>35</v>
      </c>
      <c r="B41" s="9" t="s">
        <v>41</v>
      </c>
      <c r="C41" s="10">
        <f t="shared" si="0"/>
        <v>2049</v>
      </c>
      <c r="D41" s="10"/>
      <c r="E41" s="10"/>
      <c r="F41" s="10">
        <v>2049</v>
      </c>
      <c r="G41" s="10"/>
      <c r="H41" s="10">
        <v>2</v>
      </c>
      <c r="I41" s="10"/>
    </row>
    <row r="42" spans="1:9" x14ac:dyDescent="0.2">
      <c r="A42" s="8">
        <v>36</v>
      </c>
      <c r="B42" s="9" t="s">
        <v>2</v>
      </c>
      <c r="C42" s="10">
        <f t="shared" si="0"/>
        <v>4456</v>
      </c>
      <c r="D42" s="10"/>
      <c r="E42" s="10"/>
      <c r="F42" s="10">
        <v>4456</v>
      </c>
      <c r="G42" s="10"/>
      <c r="H42" s="10">
        <f>2-2</f>
        <v>0</v>
      </c>
      <c r="I42" s="10"/>
    </row>
    <row r="43" spans="1:9" x14ac:dyDescent="0.2">
      <c r="A43" s="8">
        <v>37</v>
      </c>
      <c r="B43" s="9" t="s">
        <v>43</v>
      </c>
      <c r="C43" s="10">
        <f t="shared" si="0"/>
        <v>2109</v>
      </c>
      <c r="D43" s="10"/>
      <c r="E43" s="10"/>
      <c r="F43" s="10">
        <v>2109</v>
      </c>
      <c r="G43" s="10"/>
      <c r="H43" s="10"/>
      <c r="I43" s="10"/>
    </row>
    <row r="44" spans="1:9" x14ac:dyDescent="0.2">
      <c r="A44" s="8">
        <v>38</v>
      </c>
      <c r="B44" s="9" t="s">
        <v>5</v>
      </c>
      <c r="C44" s="10">
        <f t="shared" si="0"/>
        <v>2906</v>
      </c>
      <c r="D44" s="10"/>
      <c r="E44" s="10"/>
      <c r="F44" s="10">
        <v>2906</v>
      </c>
      <c r="G44" s="10"/>
      <c r="H44" s="10">
        <f>4-4</f>
        <v>0</v>
      </c>
      <c r="I44" s="10"/>
    </row>
    <row r="45" spans="1:9" x14ac:dyDescent="0.2">
      <c r="A45" s="8">
        <v>39</v>
      </c>
      <c r="B45" s="9" t="s">
        <v>47</v>
      </c>
      <c r="C45" s="10">
        <f t="shared" si="0"/>
        <v>1634</v>
      </c>
      <c r="D45" s="10"/>
      <c r="E45" s="10"/>
      <c r="F45" s="10">
        <v>1634</v>
      </c>
      <c r="G45" s="10"/>
      <c r="H45" s="10"/>
      <c r="I45" s="10"/>
    </row>
    <row r="46" spans="1:9" x14ac:dyDescent="0.2">
      <c r="A46" s="8">
        <v>40</v>
      </c>
      <c r="B46" s="9" t="s">
        <v>49</v>
      </c>
      <c r="C46" s="10">
        <f t="shared" si="0"/>
        <v>2981</v>
      </c>
      <c r="D46" s="10"/>
      <c r="E46" s="10"/>
      <c r="F46" s="10">
        <v>2981</v>
      </c>
      <c r="G46" s="10"/>
      <c r="H46" s="10"/>
      <c r="I46" s="10"/>
    </row>
    <row r="47" spans="1:9" x14ac:dyDescent="0.2">
      <c r="A47" s="8">
        <v>41</v>
      </c>
      <c r="B47" s="9" t="s">
        <v>50</v>
      </c>
      <c r="C47" s="10">
        <f t="shared" si="0"/>
        <v>4381</v>
      </c>
      <c r="D47" s="10"/>
      <c r="E47" s="10"/>
      <c r="F47" s="10">
        <v>4381</v>
      </c>
      <c r="G47" s="10"/>
      <c r="H47" s="10">
        <v>3</v>
      </c>
      <c r="I47" s="10"/>
    </row>
    <row r="48" spans="1:9" x14ac:dyDescent="0.2">
      <c r="A48" s="8">
        <v>42</v>
      </c>
      <c r="B48" s="9" t="s">
        <v>51</v>
      </c>
      <c r="C48" s="10">
        <f t="shared" si="0"/>
        <v>2649</v>
      </c>
      <c r="D48" s="10"/>
      <c r="E48" s="10"/>
      <c r="F48" s="10">
        <v>2649</v>
      </c>
      <c r="G48" s="10"/>
      <c r="H48" s="10">
        <v>17</v>
      </c>
      <c r="I48" s="10"/>
    </row>
    <row r="49" spans="1:9" x14ac:dyDescent="0.2">
      <c r="A49" s="8">
        <v>43</v>
      </c>
      <c r="B49" s="9" t="s">
        <v>14</v>
      </c>
      <c r="C49" s="10">
        <f t="shared" si="0"/>
        <v>2196</v>
      </c>
      <c r="D49" s="10"/>
      <c r="E49" s="10"/>
      <c r="F49" s="10">
        <v>2196</v>
      </c>
      <c r="G49" s="10"/>
      <c r="H49" s="10"/>
      <c r="I49" s="10"/>
    </row>
    <row r="50" spans="1:9" x14ac:dyDescent="0.2">
      <c r="A50" s="8">
        <v>44</v>
      </c>
      <c r="B50" s="9" t="s">
        <v>52</v>
      </c>
      <c r="C50" s="10">
        <f t="shared" si="0"/>
        <v>5424</v>
      </c>
      <c r="D50" s="10"/>
      <c r="E50" s="10"/>
      <c r="F50" s="10">
        <v>5424</v>
      </c>
      <c r="G50" s="10"/>
      <c r="H50" s="10">
        <v>3</v>
      </c>
      <c r="I50" s="10"/>
    </row>
    <row r="51" spans="1:9" x14ac:dyDescent="0.2">
      <c r="A51" s="8">
        <v>45</v>
      </c>
      <c r="B51" s="9" t="s">
        <v>57</v>
      </c>
      <c r="C51" s="10">
        <f t="shared" si="0"/>
        <v>927</v>
      </c>
      <c r="D51" s="10"/>
      <c r="E51" s="10"/>
      <c r="F51" s="10">
        <v>927</v>
      </c>
      <c r="G51" s="10"/>
      <c r="H51" s="10"/>
      <c r="I51" s="10"/>
    </row>
    <row r="52" spans="1:9" x14ac:dyDescent="0.2">
      <c r="A52" s="8">
        <v>46</v>
      </c>
      <c r="B52" s="9" t="s">
        <v>60</v>
      </c>
      <c r="C52" s="10">
        <f t="shared" si="0"/>
        <v>75</v>
      </c>
      <c r="D52" s="10"/>
      <c r="E52" s="10"/>
      <c r="F52" s="10">
        <f>927-773-79</f>
        <v>75</v>
      </c>
      <c r="G52" s="10"/>
      <c r="H52" s="10"/>
      <c r="I52" s="10"/>
    </row>
    <row r="53" spans="1:9" ht="35.25" customHeight="1" x14ac:dyDescent="0.2">
      <c r="A53" s="8">
        <v>47</v>
      </c>
      <c r="B53" s="9" t="s">
        <v>71</v>
      </c>
      <c r="C53" s="10">
        <f t="shared" si="0"/>
        <v>1454</v>
      </c>
      <c r="D53" s="10"/>
      <c r="E53" s="10"/>
      <c r="F53" s="10">
        <v>1454</v>
      </c>
      <c r="G53" s="10"/>
      <c r="H53" s="10"/>
      <c r="I53" s="10"/>
    </row>
    <row r="54" spans="1:9" ht="35.25" customHeight="1" x14ac:dyDescent="0.2">
      <c r="A54" s="8">
        <v>48</v>
      </c>
      <c r="B54" s="9" t="s">
        <v>79</v>
      </c>
      <c r="C54" s="10">
        <f t="shared" si="0"/>
        <v>1183</v>
      </c>
      <c r="D54" s="10"/>
      <c r="E54" s="10"/>
      <c r="F54" s="10">
        <v>1183</v>
      </c>
      <c r="G54" s="10"/>
      <c r="H54" s="10"/>
      <c r="I54" s="10"/>
    </row>
    <row r="55" spans="1:9" ht="35.25" customHeight="1" x14ac:dyDescent="0.2">
      <c r="A55" s="8">
        <v>49</v>
      </c>
      <c r="B55" s="9" t="s">
        <v>74</v>
      </c>
      <c r="C55" s="10">
        <f t="shared" si="0"/>
        <v>795</v>
      </c>
      <c r="D55" s="10"/>
      <c r="E55" s="10"/>
      <c r="F55" s="10">
        <v>795</v>
      </c>
      <c r="G55" s="10"/>
      <c r="H55" s="10"/>
      <c r="I55" s="10"/>
    </row>
    <row r="56" spans="1:9" ht="35.25" customHeight="1" x14ac:dyDescent="0.2">
      <c r="A56" s="8">
        <v>50</v>
      </c>
      <c r="B56" s="9" t="s">
        <v>104</v>
      </c>
      <c r="C56" s="10">
        <f t="shared" si="0"/>
        <v>2258</v>
      </c>
      <c r="D56" s="10"/>
      <c r="E56" s="10"/>
      <c r="F56" s="10">
        <v>2258</v>
      </c>
      <c r="G56" s="10"/>
      <c r="H56" s="10"/>
      <c r="I56" s="10"/>
    </row>
    <row r="57" spans="1:9" ht="35.25" customHeight="1" x14ac:dyDescent="0.2">
      <c r="A57" s="8">
        <v>51</v>
      </c>
      <c r="B57" s="9" t="s">
        <v>105</v>
      </c>
      <c r="C57" s="10">
        <f t="shared" si="0"/>
        <v>852</v>
      </c>
      <c r="D57" s="10"/>
      <c r="E57" s="10"/>
      <c r="F57" s="10">
        <f>773+79</f>
        <v>852</v>
      </c>
      <c r="G57" s="10"/>
      <c r="H57" s="10"/>
      <c r="I57" s="10"/>
    </row>
    <row r="58" spans="1:9" ht="24" x14ac:dyDescent="0.2">
      <c r="A58" s="8">
        <v>52</v>
      </c>
      <c r="B58" s="9" t="s">
        <v>83</v>
      </c>
      <c r="C58" s="10">
        <f t="shared" si="0"/>
        <v>2800</v>
      </c>
      <c r="D58" s="10"/>
      <c r="E58" s="10"/>
      <c r="F58" s="10">
        <v>2800</v>
      </c>
      <c r="G58" s="10"/>
      <c r="H58" s="10"/>
      <c r="I58" s="10"/>
    </row>
    <row r="59" spans="1:9" x14ac:dyDescent="0.2">
      <c r="A59" s="8">
        <v>53</v>
      </c>
      <c r="B59" s="9" t="s">
        <v>106</v>
      </c>
      <c r="C59" s="10">
        <f t="shared" si="0"/>
        <v>2395</v>
      </c>
      <c r="D59" s="10"/>
      <c r="E59" s="10"/>
      <c r="F59" s="10">
        <v>2395</v>
      </c>
      <c r="G59" s="10"/>
      <c r="H59" s="10"/>
      <c r="I59" s="10"/>
    </row>
    <row r="60" spans="1:9" x14ac:dyDescent="0.2">
      <c r="A60" s="8">
        <v>54</v>
      </c>
      <c r="B60" s="9" t="s">
        <v>63</v>
      </c>
      <c r="C60" s="10">
        <f t="shared" ref="C60:C75" si="1">D60+F60+I60</f>
        <v>3819</v>
      </c>
      <c r="D60" s="10"/>
      <c r="E60" s="10"/>
      <c r="F60" s="10">
        <v>3819</v>
      </c>
      <c r="G60" s="10">
        <v>850</v>
      </c>
      <c r="H60" s="10"/>
      <c r="I60" s="10"/>
    </row>
    <row r="61" spans="1:9" ht="24" x14ac:dyDescent="0.2">
      <c r="A61" s="8">
        <v>55</v>
      </c>
      <c r="B61" s="9" t="s">
        <v>55</v>
      </c>
      <c r="C61" s="10">
        <f t="shared" si="1"/>
        <v>586</v>
      </c>
      <c r="D61" s="10"/>
      <c r="E61" s="10"/>
      <c r="F61" s="10">
        <f>3508-2922</f>
        <v>586</v>
      </c>
      <c r="G61" s="10">
        <f>805-670</f>
        <v>135</v>
      </c>
      <c r="H61" s="10"/>
      <c r="I61" s="10"/>
    </row>
    <row r="62" spans="1:9" ht="60" x14ac:dyDescent="0.2">
      <c r="A62" s="8">
        <v>56</v>
      </c>
      <c r="B62" s="9" t="s">
        <v>641</v>
      </c>
      <c r="C62" s="10">
        <f t="shared" si="1"/>
        <v>2922</v>
      </c>
      <c r="D62" s="10"/>
      <c r="E62" s="10"/>
      <c r="F62" s="10">
        <f>0+2922</f>
        <v>2922</v>
      </c>
      <c r="G62" s="10">
        <f>0+670</f>
        <v>670</v>
      </c>
      <c r="H62" s="10"/>
      <c r="I62" s="10"/>
    </row>
    <row r="63" spans="1:9" ht="24" x14ac:dyDescent="0.2">
      <c r="A63" s="8">
        <v>57</v>
      </c>
      <c r="B63" s="9" t="s">
        <v>89</v>
      </c>
      <c r="C63" s="10">
        <f t="shared" si="1"/>
        <v>3868</v>
      </c>
      <c r="D63" s="10"/>
      <c r="E63" s="10"/>
      <c r="F63" s="10">
        <v>3868</v>
      </c>
      <c r="G63" s="10"/>
      <c r="H63" s="10"/>
      <c r="I63" s="10"/>
    </row>
    <row r="64" spans="1:9" ht="24" x14ac:dyDescent="0.2">
      <c r="A64" s="8">
        <v>58</v>
      </c>
      <c r="B64" s="9" t="s">
        <v>75</v>
      </c>
      <c r="C64" s="10">
        <f t="shared" si="1"/>
        <v>5763</v>
      </c>
      <c r="D64" s="10"/>
      <c r="E64" s="10"/>
      <c r="F64" s="10">
        <v>5763</v>
      </c>
      <c r="G64" s="10"/>
      <c r="H64" s="10"/>
      <c r="I64" s="10"/>
    </row>
    <row r="65" spans="1:9" ht="48" x14ac:dyDescent="0.2">
      <c r="A65" s="8">
        <v>59</v>
      </c>
      <c r="B65" s="9" t="s">
        <v>77</v>
      </c>
      <c r="C65" s="10">
        <f t="shared" si="1"/>
        <v>3226</v>
      </c>
      <c r="D65" s="10"/>
      <c r="E65" s="10"/>
      <c r="F65" s="10">
        <v>3226</v>
      </c>
      <c r="G65" s="10"/>
      <c r="H65" s="10"/>
      <c r="I65" s="10"/>
    </row>
    <row r="66" spans="1:9" ht="73.5" customHeight="1" x14ac:dyDescent="0.2">
      <c r="A66" s="8">
        <v>60</v>
      </c>
      <c r="B66" s="9" t="s">
        <v>108</v>
      </c>
      <c r="C66" s="10">
        <f t="shared" si="1"/>
        <v>5762</v>
      </c>
      <c r="D66" s="10"/>
      <c r="E66" s="10"/>
      <c r="F66" s="10">
        <v>5762</v>
      </c>
      <c r="G66" s="10"/>
      <c r="H66" s="10"/>
      <c r="I66" s="10"/>
    </row>
    <row r="67" spans="1:9" ht="24" x14ac:dyDescent="0.2">
      <c r="A67" s="8">
        <v>61</v>
      </c>
      <c r="B67" s="9" t="s">
        <v>109</v>
      </c>
      <c r="C67" s="10">
        <f t="shared" si="1"/>
        <v>15</v>
      </c>
      <c r="D67" s="10"/>
      <c r="E67" s="10"/>
      <c r="F67" s="10">
        <f t="shared" ref="F67:F72" si="2">17-2</f>
        <v>15</v>
      </c>
      <c r="G67" s="10"/>
      <c r="H67" s="10"/>
      <c r="I67" s="10"/>
    </row>
    <row r="68" spans="1:9" ht="24" x14ac:dyDescent="0.2">
      <c r="A68" s="8">
        <v>62</v>
      </c>
      <c r="B68" s="9" t="s">
        <v>110</v>
      </c>
      <c r="C68" s="10">
        <f t="shared" si="1"/>
        <v>15</v>
      </c>
      <c r="D68" s="10"/>
      <c r="E68" s="10"/>
      <c r="F68" s="10">
        <f t="shared" si="2"/>
        <v>15</v>
      </c>
      <c r="G68" s="10"/>
      <c r="H68" s="10"/>
      <c r="I68" s="10"/>
    </row>
    <row r="69" spans="1:9" x14ac:dyDescent="0.2">
      <c r="A69" s="8">
        <v>63</v>
      </c>
      <c r="B69" s="9" t="s">
        <v>84</v>
      </c>
      <c r="C69" s="10">
        <f t="shared" si="1"/>
        <v>15</v>
      </c>
      <c r="D69" s="10"/>
      <c r="E69" s="10"/>
      <c r="F69" s="10">
        <f t="shared" si="2"/>
        <v>15</v>
      </c>
      <c r="G69" s="10"/>
      <c r="H69" s="10"/>
      <c r="I69" s="10"/>
    </row>
    <row r="70" spans="1:9" ht="12" customHeight="1" x14ac:dyDescent="0.2">
      <c r="A70" s="8">
        <v>64</v>
      </c>
      <c r="B70" s="9" t="s">
        <v>112</v>
      </c>
      <c r="C70" s="10">
        <f t="shared" si="1"/>
        <v>15</v>
      </c>
      <c r="D70" s="10"/>
      <c r="E70" s="10"/>
      <c r="F70" s="10">
        <f t="shared" si="2"/>
        <v>15</v>
      </c>
      <c r="G70" s="10"/>
      <c r="H70" s="10"/>
      <c r="I70" s="10"/>
    </row>
    <row r="71" spans="1:9" ht="27.75" customHeight="1" x14ac:dyDescent="0.2">
      <c r="A71" s="8">
        <v>65</v>
      </c>
      <c r="B71" s="9" t="s">
        <v>113</v>
      </c>
      <c r="C71" s="10">
        <f t="shared" si="1"/>
        <v>15</v>
      </c>
      <c r="D71" s="10"/>
      <c r="E71" s="10"/>
      <c r="F71" s="10">
        <f t="shared" si="2"/>
        <v>15</v>
      </c>
      <c r="G71" s="10"/>
      <c r="H71" s="10"/>
      <c r="I71" s="10"/>
    </row>
    <row r="72" spans="1:9" x14ac:dyDescent="0.2">
      <c r="A72" s="8">
        <v>66</v>
      </c>
      <c r="B72" s="9" t="s">
        <v>116</v>
      </c>
      <c r="C72" s="10">
        <f t="shared" si="1"/>
        <v>15</v>
      </c>
      <c r="D72" s="10"/>
      <c r="E72" s="10"/>
      <c r="F72" s="10">
        <f t="shared" si="2"/>
        <v>15</v>
      </c>
      <c r="G72" s="10"/>
      <c r="H72" s="10"/>
      <c r="I72" s="10"/>
    </row>
    <row r="73" spans="1:9" ht="24" x14ac:dyDescent="0.2">
      <c r="A73" s="8">
        <v>67</v>
      </c>
      <c r="B73" s="9" t="s">
        <v>117</v>
      </c>
      <c r="C73" s="10">
        <f t="shared" si="1"/>
        <v>792</v>
      </c>
      <c r="D73" s="10"/>
      <c r="E73" s="10"/>
      <c r="F73" s="10">
        <v>792</v>
      </c>
      <c r="G73" s="10"/>
      <c r="H73" s="10"/>
      <c r="I73" s="10"/>
    </row>
    <row r="74" spans="1:9" ht="24" x14ac:dyDescent="0.2">
      <c r="A74" s="8">
        <v>68</v>
      </c>
      <c r="B74" s="11" t="s">
        <v>114</v>
      </c>
      <c r="C74" s="10">
        <f t="shared" si="1"/>
        <v>3543</v>
      </c>
      <c r="D74" s="10"/>
      <c r="E74" s="10"/>
      <c r="F74" s="10">
        <v>0</v>
      </c>
      <c r="G74" s="10"/>
      <c r="H74" s="10"/>
      <c r="I74" s="10">
        <v>3543</v>
      </c>
    </row>
    <row r="75" spans="1:9" x14ac:dyDescent="0.2">
      <c r="A75" s="8">
        <v>69</v>
      </c>
      <c r="B75" s="11" t="s">
        <v>115</v>
      </c>
      <c r="C75" s="10">
        <f t="shared" si="1"/>
        <v>2092</v>
      </c>
      <c r="D75" s="10"/>
      <c r="E75" s="10"/>
      <c r="F75" s="10">
        <v>0</v>
      </c>
      <c r="G75" s="10"/>
      <c r="H75" s="10"/>
      <c r="I75" s="10">
        <v>2092</v>
      </c>
    </row>
    <row r="76" spans="1:9" x14ac:dyDescent="0.2">
      <c r="A76" s="8">
        <v>70</v>
      </c>
      <c r="B76" s="9" t="s">
        <v>46</v>
      </c>
      <c r="C76" s="10">
        <f t="shared" ref="C76:C84" si="3">D76+F76+I76</f>
        <v>9867</v>
      </c>
      <c r="D76" s="10"/>
      <c r="E76" s="10"/>
      <c r="F76" s="10">
        <v>9867</v>
      </c>
      <c r="G76" s="10">
        <v>335</v>
      </c>
      <c r="H76" s="10">
        <v>40</v>
      </c>
      <c r="I76" s="10"/>
    </row>
    <row r="77" spans="1:9" x14ac:dyDescent="0.2">
      <c r="A77" s="8">
        <v>71</v>
      </c>
      <c r="B77" s="9" t="s">
        <v>58</v>
      </c>
      <c r="C77" s="10">
        <f t="shared" si="3"/>
        <v>17555</v>
      </c>
      <c r="D77" s="10"/>
      <c r="E77" s="10"/>
      <c r="F77" s="10">
        <v>17555</v>
      </c>
      <c r="G77" s="10"/>
      <c r="H77" s="10">
        <f>12-12</f>
        <v>0</v>
      </c>
      <c r="I77" s="10"/>
    </row>
    <row r="78" spans="1:9" ht="14.25" customHeight="1" x14ac:dyDescent="0.2">
      <c r="A78" s="8">
        <v>72</v>
      </c>
      <c r="B78" s="9" t="s">
        <v>9</v>
      </c>
      <c r="C78" s="10">
        <f t="shared" si="3"/>
        <v>14311</v>
      </c>
      <c r="D78" s="10"/>
      <c r="E78" s="10"/>
      <c r="F78" s="10">
        <v>14311</v>
      </c>
      <c r="G78" s="10"/>
      <c r="H78" s="10">
        <v>601</v>
      </c>
      <c r="I78" s="10"/>
    </row>
    <row r="79" spans="1:9" x14ac:dyDescent="0.2">
      <c r="A79" s="8">
        <v>73</v>
      </c>
      <c r="B79" s="9" t="s">
        <v>11</v>
      </c>
      <c r="C79" s="10">
        <f t="shared" si="3"/>
        <v>19268</v>
      </c>
      <c r="D79" s="10"/>
      <c r="E79" s="10"/>
      <c r="F79" s="10">
        <v>19268</v>
      </c>
      <c r="G79" s="10">
        <v>422</v>
      </c>
      <c r="H79" s="10">
        <v>549</v>
      </c>
      <c r="I79" s="10"/>
    </row>
    <row r="80" spans="1:9" x14ac:dyDescent="0.2">
      <c r="A80" s="8">
        <v>74</v>
      </c>
      <c r="B80" s="9" t="s">
        <v>13</v>
      </c>
      <c r="C80" s="10">
        <f t="shared" si="3"/>
        <v>9220</v>
      </c>
      <c r="D80" s="10"/>
      <c r="E80" s="10"/>
      <c r="F80" s="10">
        <v>9220</v>
      </c>
      <c r="G80" s="10"/>
      <c r="H80" s="10">
        <v>2</v>
      </c>
      <c r="I80" s="10"/>
    </row>
    <row r="81" spans="1:9" ht="27" customHeight="1" x14ac:dyDescent="0.2">
      <c r="A81" s="8">
        <v>75</v>
      </c>
      <c r="B81" s="9" t="s">
        <v>107</v>
      </c>
      <c r="C81" s="10">
        <f t="shared" si="3"/>
        <v>9669</v>
      </c>
      <c r="D81" s="10"/>
      <c r="E81" s="10"/>
      <c r="F81" s="10">
        <v>9669</v>
      </c>
      <c r="G81" s="10"/>
      <c r="H81" s="10">
        <v>55</v>
      </c>
      <c r="I81" s="10"/>
    </row>
    <row r="82" spans="1:9" x14ac:dyDescent="0.2">
      <c r="A82" s="8">
        <v>76</v>
      </c>
      <c r="B82" s="9" t="s">
        <v>22</v>
      </c>
      <c r="C82" s="10">
        <f t="shared" si="3"/>
        <v>8206</v>
      </c>
      <c r="D82" s="10"/>
      <c r="E82" s="10"/>
      <c r="F82" s="10">
        <v>8206</v>
      </c>
      <c r="G82" s="10"/>
      <c r="H82" s="10">
        <v>13</v>
      </c>
      <c r="I82" s="10"/>
    </row>
    <row r="83" spans="1:9" x14ac:dyDescent="0.2">
      <c r="A83" s="8">
        <v>77</v>
      </c>
      <c r="B83" s="9" t="s">
        <v>28</v>
      </c>
      <c r="C83" s="10">
        <f t="shared" si="3"/>
        <v>11096</v>
      </c>
      <c r="D83" s="10"/>
      <c r="E83" s="10"/>
      <c r="F83" s="10">
        <v>11096</v>
      </c>
      <c r="G83" s="10"/>
      <c r="H83" s="10">
        <v>25</v>
      </c>
      <c r="I83" s="10"/>
    </row>
    <row r="84" spans="1:9" x14ac:dyDescent="0.2">
      <c r="A84" s="8">
        <v>78</v>
      </c>
      <c r="B84" s="9" t="s">
        <v>37</v>
      </c>
      <c r="C84" s="10">
        <f t="shared" si="3"/>
        <v>10906</v>
      </c>
      <c r="D84" s="10"/>
      <c r="E84" s="10"/>
      <c r="F84" s="10">
        <v>10906</v>
      </c>
      <c r="G84" s="10"/>
      <c r="H84" s="10">
        <v>575</v>
      </c>
      <c r="I84" s="10"/>
    </row>
    <row r="85" spans="1:9" x14ac:dyDescent="0.2">
      <c r="A85" s="8">
        <v>79</v>
      </c>
      <c r="B85" s="9" t="s">
        <v>81</v>
      </c>
      <c r="C85" s="10">
        <f t="shared" si="0"/>
        <v>18102</v>
      </c>
      <c r="D85" s="10"/>
      <c r="E85" s="10"/>
      <c r="F85" s="10">
        <v>18102</v>
      </c>
      <c r="G85" s="10">
        <v>707</v>
      </c>
      <c r="H85" s="10">
        <v>1496</v>
      </c>
      <c r="I85" s="10"/>
    </row>
    <row r="86" spans="1:9" x14ac:dyDescent="0.2">
      <c r="A86" s="8">
        <v>80</v>
      </c>
      <c r="B86" s="9" t="s">
        <v>53</v>
      </c>
      <c r="C86" s="10">
        <f t="shared" si="0"/>
        <v>9919</v>
      </c>
      <c r="D86" s="10"/>
      <c r="E86" s="10"/>
      <c r="F86" s="10">
        <v>9919</v>
      </c>
      <c r="G86" s="10">
        <v>213</v>
      </c>
      <c r="H86" s="10">
        <v>116</v>
      </c>
      <c r="I86" s="10"/>
    </row>
    <row r="87" spans="1:9" ht="24" x14ac:dyDescent="0.2">
      <c r="A87" s="8">
        <v>81</v>
      </c>
      <c r="B87" s="9" t="s">
        <v>72</v>
      </c>
      <c r="C87" s="10">
        <f t="shared" si="0"/>
        <v>12303</v>
      </c>
      <c r="D87" s="10"/>
      <c r="E87" s="10"/>
      <c r="F87" s="10">
        <v>12303</v>
      </c>
      <c r="G87" s="10"/>
      <c r="H87" s="10">
        <f>45-45</f>
        <v>0</v>
      </c>
      <c r="I87" s="10"/>
    </row>
    <row r="88" spans="1:9" ht="24" x14ac:dyDescent="0.2">
      <c r="A88" s="8">
        <v>82</v>
      </c>
      <c r="B88" s="9" t="s">
        <v>73</v>
      </c>
      <c r="C88" s="10">
        <f t="shared" si="0"/>
        <v>2727</v>
      </c>
      <c r="D88" s="10"/>
      <c r="E88" s="10"/>
      <c r="F88" s="10">
        <v>2727</v>
      </c>
      <c r="G88" s="10"/>
      <c r="H88" s="10">
        <v>207</v>
      </c>
      <c r="I88" s="10"/>
    </row>
    <row r="89" spans="1:9" x14ac:dyDescent="0.2">
      <c r="A89" s="8">
        <v>83</v>
      </c>
      <c r="B89" s="9" t="s">
        <v>45</v>
      </c>
      <c r="C89" s="10">
        <f t="shared" si="0"/>
        <v>16062</v>
      </c>
      <c r="D89" s="10"/>
      <c r="E89" s="10"/>
      <c r="F89" s="10">
        <v>16062</v>
      </c>
      <c r="G89" s="10"/>
      <c r="H89" s="10">
        <v>440</v>
      </c>
      <c r="I89" s="10"/>
    </row>
    <row r="90" spans="1:9" ht="24" x14ac:dyDescent="0.2">
      <c r="A90" s="8">
        <v>84</v>
      </c>
      <c r="B90" s="9" t="s">
        <v>111</v>
      </c>
      <c r="C90" s="10">
        <f t="shared" ref="C90:C113" si="4">D90+F90+I90</f>
        <v>60</v>
      </c>
      <c r="D90" s="10"/>
      <c r="E90" s="10"/>
      <c r="F90" s="10">
        <v>60</v>
      </c>
      <c r="G90" s="10"/>
      <c r="H90" s="10">
        <v>60</v>
      </c>
      <c r="I90" s="10"/>
    </row>
    <row r="91" spans="1:9" ht="12.75" customHeight="1" x14ac:dyDescent="0.2">
      <c r="A91" s="8">
        <v>85</v>
      </c>
      <c r="B91" s="9" t="s">
        <v>96</v>
      </c>
      <c r="C91" s="10">
        <f>D91+F91+I91</f>
        <v>7165</v>
      </c>
      <c r="D91" s="10"/>
      <c r="E91" s="10"/>
      <c r="F91" s="10">
        <f>7160+5</f>
        <v>7165</v>
      </c>
      <c r="G91" s="10">
        <v>571</v>
      </c>
      <c r="H91" s="10">
        <v>14</v>
      </c>
      <c r="I91" s="10"/>
    </row>
    <row r="92" spans="1:9" x14ac:dyDescent="0.2">
      <c r="A92" s="8">
        <v>86</v>
      </c>
      <c r="B92" s="9" t="s">
        <v>36</v>
      </c>
      <c r="C92" s="10">
        <f t="shared" si="4"/>
        <v>11435</v>
      </c>
      <c r="D92" s="10">
        <v>59</v>
      </c>
      <c r="E92" s="10"/>
      <c r="F92" s="10">
        <v>11376</v>
      </c>
      <c r="G92" s="10">
        <v>348</v>
      </c>
      <c r="H92" s="10">
        <v>1138</v>
      </c>
      <c r="I92" s="10"/>
    </row>
    <row r="93" spans="1:9" x14ac:dyDescent="0.2">
      <c r="A93" s="8">
        <v>87</v>
      </c>
      <c r="B93" s="9" t="s">
        <v>21</v>
      </c>
      <c r="C93" s="10">
        <f t="shared" si="4"/>
        <v>5628</v>
      </c>
      <c r="D93" s="10">
        <f>243-1-1</f>
        <v>241</v>
      </c>
      <c r="E93" s="10"/>
      <c r="F93" s="10">
        <f>5385+1+1</f>
        <v>5387</v>
      </c>
      <c r="G93" s="10">
        <v>374</v>
      </c>
      <c r="H93" s="10">
        <v>420</v>
      </c>
      <c r="I93" s="10"/>
    </row>
    <row r="94" spans="1:9" ht="11.25" customHeight="1" x14ac:dyDescent="0.2">
      <c r="A94" s="8">
        <v>88</v>
      </c>
      <c r="B94" s="9" t="s">
        <v>70</v>
      </c>
      <c r="C94" s="10">
        <f t="shared" si="4"/>
        <v>23550</v>
      </c>
      <c r="D94" s="10">
        <v>133</v>
      </c>
      <c r="E94" s="10"/>
      <c r="F94" s="10">
        <f>23422-5</f>
        <v>23417</v>
      </c>
      <c r="G94" s="10">
        <v>722</v>
      </c>
      <c r="H94" s="10">
        <v>2047</v>
      </c>
      <c r="I94" s="10"/>
    </row>
    <row r="95" spans="1:9" x14ac:dyDescent="0.2">
      <c r="A95" s="8">
        <v>89</v>
      </c>
      <c r="B95" s="9" t="s">
        <v>54</v>
      </c>
      <c r="C95" s="10">
        <f t="shared" si="4"/>
        <v>11213</v>
      </c>
      <c r="D95" s="10">
        <v>20</v>
      </c>
      <c r="E95" s="10"/>
      <c r="F95" s="10">
        <v>11193</v>
      </c>
      <c r="G95" s="10"/>
      <c r="H95" s="10">
        <v>1105</v>
      </c>
      <c r="I95" s="10"/>
    </row>
    <row r="96" spans="1:9" x14ac:dyDescent="0.2">
      <c r="A96" s="8">
        <v>90</v>
      </c>
      <c r="B96" s="9" t="s">
        <v>56</v>
      </c>
      <c r="C96" s="10">
        <f t="shared" si="4"/>
        <v>27704</v>
      </c>
      <c r="D96" s="10">
        <f>863-18</f>
        <v>845</v>
      </c>
      <c r="E96" s="10">
        <f>77+12</f>
        <v>89</v>
      </c>
      <c r="F96" s="10">
        <f>23888-2-10+61+2922</f>
        <v>26859</v>
      </c>
      <c r="G96" s="10">
        <f>0+670</f>
        <v>670</v>
      </c>
      <c r="H96" s="10">
        <f>767+61</f>
        <v>828</v>
      </c>
      <c r="I96" s="10"/>
    </row>
    <row r="97" spans="1:9" x14ac:dyDescent="0.2">
      <c r="A97" s="8">
        <v>91</v>
      </c>
      <c r="B97" s="9" t="s">
        <v>59</v>
      </c>
      <c r="C97" s="10">
        <f t="shared" si="4"/>
        <v>7177</v>
      </c>
      <c r="D97" s="10">
        <v>200</v>
      </c>
      <c r="E97" s="10"/>
      <c r="F97" s="10">
        <v>6977</v>
      </c>
      <c r="G97" s="10">
        <v>1066</v>
      </c>
      <c r="H97" s="10"/>
      <c r="I97" s="10"/>
    </row>
    <row r="98" spans="1:9" x14ac:dyDescent="0.2">
      <c r="A98" s="8">
        <v>92</v>
      </c>
      <c r="B98" s="9" t="s">
        <v>61</v>
      </c>
      <c r="C98" s="10">
        <f t="shared" si="4"/>
        <v>12414</v>
      </c>
      <c r="D98" s="10">
        <v>301</v>
      </c>
      <c r="E98" s="10"/>
      <c r="F98" s="10">
        <v>12113</v>
      </c>
      <c r="G98" s="10">
        <v>701</v>
      </c>
      <c r="H98" s="10">
        <v>858</v>
      </c>
      <c r="I98" s="10"/>
    </row>
    <row r="99" spans="1:9" x14ac:dyDescent="0.2">
      <c r="A99" s="8">
        <v>93</v>
      </c>
      <c r="B99" s="9" t="s">
        <v>82</v>
      </c>
      <c r="C99" s="10">
        <f t="shared" si="4"/>
        <v>9302</v>
      </c>
      <c r="D99" s="10">
        <v>40</v>
      </c>
      <c r="E99" s="10"/>
      <c r="F99" s="10">
        <v>9262</v>
      </c>
      <c r="G99" s="10"/>
      <c r="H99" s="10"/>
      <c r="I99" s="10"/>
    </row>
    <row r="100" spans="1:9" x14ac:dyDescent="0.2">
      <c r="A100" s="8">
        <v>94</v>
      </c>
      <c r="B100" s="9" t="s">
        <v>80</v>
      </c>
      <c r="C100" s="10">
        <f t="shared" si="4"/>
        <v>918</v>
      </c>
      <c r="D100" s="10">
        <f>222+20+3</f>
        <v>245</v>
      </c>
      <c r="E100" s="10">
        <v>5</v>
      </c>
      <c r="F100" s="10">
        <f>663+10</f>
        <v>673</v>
      </c>
      <c r="G100" s="10"/>
      <c r="H100" s="10">
        <f>77-10</f>
        <v>67</v>
      </c>
      <c r="I100" s="10"/>
    </row>
    <row r="101" spans="1:9" x14ac:dyDescent="0.2">
      <c r="A101" s="8">
        <v>95</v>
      </c>
      <c r="B101" s="9" t="s">
        <v>206</v>
      </c>
      <c r="C101" s="10">
        <f t="shared" si="4"/>
        <v>5366</v>
      </c>
      <c r="D101" s="10">
        <v>52</v>
      </c>
      <c r="E101" s="10"/>
      <c r="F101" s="10">
        <v>5314</v>
      </c>
      <c r="G101" s="10"/>
      <c r="H101" s="10"/>
      <c r="I101" s="10"/>
    </row>
    <row r="102" spans="1:9" x14ac:dyDescent="0.2">
      <c r="A102" s="8">
        <v>96</v>
      </c>
      <c r="B102" s="9" t="s">
        <v>90</v>
      </c>
      <c r="C102" s="10">
        <f t="shared" si="4"/>
        <v>22674</v>
      </c>
      <c r="D102" s="10">
        <v>1450</v>
      </c>
      <c r="E102" s="10">
        <v>1450</v>
      </c>
      <c r="F102" s="10">
        <f>21285-61</f>
        <v>21224</v>
      </c>
      <c r="G102" s="10"/>
      <c r="H102" s="10">
        <f>19149-61</f>
        <v>19088</v>
      </c>
      <c r="I102" s="10"/>
    </row>
    <row r="103" spans="1:9" x14ac:dyDescent="0.2">
      <c r="A103" s="8">
        <v>97</v>
      </c>
      <c r="B103" s="9" t="s">
        <v>91</v>
      </c>
      <c r="C103" s="10">
        <f t="shared" si="4"/>
        <v>11942</v>
      </c>
      <c r="D103" s="10">
        <v>3435</v>
      </c>
      <c r="E103" s="10"/>
      <c r="F103" s="10">
        <v>8507</v>
      </c>
      <c r="G103" s="10">
        <v>750</v>
      </c>
      <c r="H103" s="10"/>
      <c r="I103" s="10"/>
    </row>
    <row r="104" spans="1:9" x14ac:dyDescent="0.2">
      <c r="A104" s="8">
        <v>98</v>
      </c>
      <c r="B104" s="9" t="s">
        <v>68</v>
      </c>
      <c r="C104" s="10">
        <f t="shared" si="4"/>
        <v>15841</v>
      </c>
      <c r="D104" s="10"/>
      <c r="E104" s="10"/>
      <c r="F104" s="10">
        <v>15841</v>
      </c>
      <c r="G104" s="10"/>
      <c r="H104" s="10"/>
      <c r="I104" s="10"/>
    </row>
    <row r="105" spans="1:9" x14ac:dyDescent="0.2">
      <c r="A105" s="8">
        <v>99</v>
      </c>
      <c r="B105" s="9" t="s">
        <v>87</v>
      </c>
      <c r="C105" s="10">
        <f t="shared" si="4"/>
        <v>22914</v>
      </c>
      <c r="D105" s="10">
        <v>648</v>
      </c>
      <c r="E105" s="10"/>
      <c r="F105" s="10">
        <v>22266</v>
      </c>
      <c r="G105" s="10"/>
      <c r="H105" s="10"/>
      <c r="I105" s="10"/>
    </row>
    <row r="106" spans="1:9" x14ac:dyDescent="0.2">
      <c r="A106" s="8">
        <v>100</v>
      </c>
      <c r="B106" s="9" t="s">
        <v>86</v>
      </c>
      <c r="C106" s="10">
        <f t="shared" si="4"/>
        <v>11851</v>
      </c>
      <c r="D106" s="10">
        <v>2400</v>
      </c>
      <c r="E106" s="10"/>
      <c r="F106" s="10">
        <f>9651-200</f>
        <v>9451</v>
      </c>
      <c r="G106" s="10"/>
      <c r="H106" s="10"/>
      <c r="I106" s="10"/>
    </row>
    <row r="107" spans="1:9" x14ac:dyDescent="0.2">
      <c r="A107" s="8">
        <v>101</v>
      </c>
      <c r="B107" s="9" t="s">
        <v>67</v>
      </c>
      <c r="C107" s="10">
        <f t="shared" si="4"/>
        <v>24843</v>
      </c>
      <c r="D107" s="10">
        <v>1082</v>
      </c>
      <c r="E107" s="10"/>
      <c r="F107" s="10">
        <v>23761</v>
      </c>
      <c r="G107" s="10">
        <v>1483</v>
      </c>
      <c r="H107" s="10">
        <f>45+10</f>
        <v>55</v>
      </c>
      <c r="I107" s="10"/>
    </row>
    <row r="108" spans="1:9" ht="14.25" customHeight="1" x14ac:dyDescent="0.2">
      <c r="A108" s="8">
        <v>102</v>
      </c>
      <c r="B108" s="9" t="s">
        <v>64</v>
      </c>
      <c r="C108" s="10">
        <f t="shared" si="4"/>
        <v>15292</v>
      </c>
      <c r="D108" s="10">
        <v>407</v>
      </c>
      <c r="E108" s="10"/>
      <c r="F108" s="10">
        <v>14885</v>
      </c>
      <c r="G108" s="10">
        <v>3000</v>
      </c>
      <c r="H108" s="10"/>
      <c r="I108" s="10"/>
    </row>
    <row r="109" spans="1:9" x14ac:dyDescent="0.2">
      <c r="A109" s="8">
        <v>103</v>
      </c>
      <c r="B109" s="9" t="s">
        <v>62</v>
      </c>
      <c r="C109" s="10">
        <f t="shared" si="4"/>
        <v>13918</v>
      </c>
      <c r="D109" s="10">
        <f>754-2</f>
        <v>752</v>
      </c>
      <c r="E109" s="10"/>
      <c r="F109" s="10">
        <f>13166</f>
        <v>13166</v>
      </c>
      <c r="G109" s="10">
        <v>1528</v>
      </c>
      <c r="H109" s="10">
        <v>311</v>
      </c>
      <c r="I109" s="10"/>
    </row>
    <row r="110" spans="1:9" x14ac:dyDescent="0.2">
      <c r="A110" s="8">
        <v>104</v>
      </c>
      <c r="B110" s="9" t="s">
        <v>88</v>
      </c>
      <c r="C110" s="10">
        <f t="shared" si="4"/>
        <v>22654</v>
      </c>
      <c r="D110" s="10">
        <v>1249</v>
      </c>
      <c r="E110" s="12"/>
      <c r="F110" s="12">
        <v>21405</v>
      </c>
      <c r="G110" s="12">
        <v>961</v>
      </c>
      <c r="H110" s="10">
        <v>1062</v>
      </c>
      <c r="I110" s="10"/>
    </row>
    <row r="111" spans="1:9" x14ac:dyDescent="0.2">
      <c r="A111" s="8">
        <v>105</v>
      </c>
      <c r="B111" s="9" t="s">
        <v>66</v>
      </c>
      <c r="C111" s="12">
        <f t="shared" si="4"/>
        <v>18444</v>
      </c>
      <c r="D111" s="12">
        <v>904</v>
      </c>
      <c r="E111" s="12">
        <v>100</v>
      </c>
      <c r="F111" s="12">
        <v>17540</v>
      </c>
      <c r="G111" s="12">
        <v>296</v>
      </c>
      <c r="H111" s="12">
        <v>686</v>
      </c>
      <c r="I111" s="13"/>
    </row>
    <row r="112" spans="1:9" x14ac:dyDescent="0.2">
      <c r="A112" s="8">
        <v>106</v>
      </c>
      <c r="B112" s="9" t="s">
        <v>85</v>
      </c>
      <c r="C112" s="12">
        <f t="shared" si="4"/>
        <v>27489</v>
      </c>
      <c r="D112" s="12">
        <v>2395</v>
      </c>
      <c r="E112" s="12">
        <v>130</v>
      </c>
      <c r="F112" s="12">
        <v>25094</v>
      </c>
      <c r="G112" s="12">
        <v>997</v>
      </c>
      <c r="H112" s="12">
        <v>810</v>
      </c>
      <c r="I112" s="13"/>
    </row>
    <row r="113" spans="1:9" x14ac:dyDescent="0.2">
      <c r="A113" s="8">
        <v>107</v>
      </c>
      <c r="B113" s="9" t="s">
        <v>118</v>
      </c>
      <c r="C113" s="12">
        <f t="shared" si="4"/>
        <v>339</v>
      </c>
      <c r="D113" s="12">
        <v>250</v>
      </c>
      <c r="E113" s="12"/>
      <c r="F113" s="12">
        <v>89</v>
      </c>
      <c r="G113" s="12"/>
      <c r="H113" s="12"/>
      <c r="I113" s="13"/>
    </row>
    <row r="114" spans="1:9" x14ac:dyDescent="0.2">
      <c r="A114" s="8">
        <v>108</v>
      </c>
      <c r="B114" s="9" t="s">
        <v>92</v>
      </c>
      <c r="C114" s="10">
        <f>D114+F114+I114</f>
        <v>5799</v>
      </c>
      <c r="D114" s="10">
        <v>210</v>
      </c>
      <c r="E114" s="10"/>
      <c r="F114" s="10">
        <v>5589</v>
      </c>
      <c r="G114" s="10">
        <v>1575</v>
      </c>
      <c r="H114" s="12"/>
      <c r="I114" s="13"/>
    </row>
    <row r="115" spans="1:9" ht="14.25" customHeight="1" x14ac:dyDescent="0.2">
      <c r="A115" s="8">
        <v>109</v>
      </c>
      <c r="B115" s="9" t="s">
        <v>65</v>
      </c>
      <c r="C115" s="12">
        <f>D115+F115+I115</f>
        <v>21519</v>
      </c>
      <c r="D115" s="12">
        <f>1568-1</f>
        <v>1567</v>
      </c>
      <c r="E115" s="12">
        <v>150</v>
      </c>
      <c r="F115" s="12">
        <f>19952</f>
        <v>19952</v>
      </c>
      <c r="G115" s="12">
        <v>796</v>
      </c>
      <c r="H115" s="12">
        <v>2268</v>
      </c>
      <c r="I115" s="13"/>
    </row>
    <row r="116" spans="1:9" x14ac:dyDescent="0.2">
      <c r="A116" s="8">
        <v>110</v>
      </c>
      <c r="B116" s="9" t="s">
        <v>119</v>
      </c>
      <c r="C116" s="12">
        <f>D116+F116+I116</f>
        <v>1210</v>
      </c>
      <c r="D116" s="12">
        <v>200</v>
      </c>
      <c r="E116" s="12"/>
      <c r="F116" s="12">
        <f>810+200</f>
        <v>1010</v>
      </c>
      <c r="G116" s="12"/>
      <c r="H116" s="12"/>
      <c r="I116" s="13"/>
    </row>
    <row r="117" spans="1:9" ht="24" x14ac:dyDescent="0.2">
      <c r="A117" s="292"/>
      <c r="B117" s="294" t="s">
        <v>69</v>
      </c>
      <c r="C117" s="10">
        <v>18156</v>
      </c>
      <c r="D117" s="12">
        <v>50</v>
      </c>
      <c r="E117" s="12">
        <v>0</v>
      </c>
      <c r="F117" s="295">
        <v>18106</v>
      </c>
      <c r="G117" s="12">
        <v>0</v>
      </c>
      <c r="H117" s="295">
        <v>650</v>
      </c>
      <c r="I117" s="295">
        <v>0</v>
      </c>
    </row>
    <row r="118" spans="1:9" x14ac:dyDescent="0.2">
      <c r="A118" s="323" t="s">
        <v>120</v>
      </c>
      <c r="B118" s="323"/>
      <c r="C118" s="15">
        <f>SUM(C7:C117)</f>
        <v>720305</v>
      </c>
      <c r="D118" s="15">
        <f t="shared" ref="D118:I118" si="5">SUM(D7:D117)</f>
        <v>19135</v>
      </c>
      <c r="E118" s="15">
        <f t="shared" si="5"/>
        <v>1924</v>
      </c>
      <c r="F118" s="15">
        <f t="shared" si="5"/>
        <v>695535</v>
      </c>
      <c r="G118" s="15">
        <f t="shared" si="5"/>
        <v>19170</v>
      </c>
      <c r="H118" s="15">
        <f t="shared" si="5"/>
        <v>35733</v>
      </c>
      <c r="I118" s="15">
        <f t="shared" si="5"/>
        <v>5635</v>
      </c>
    </row>
  </sheetData>
  <mergeCells count="10">
    <mergeCell ref="A118:B118"/>
    <mergeCell ref="A1:I1"/>
    <mergeCell ref="A3:A5"/>
    <mergeCell ref="B3:B5"/>
    <mergeCell ref="C3:I3"/>
    <mergeCell ref="C4:C5"/>
    <mergeCell ref="D4:D5"/>
    <mergeCell ref="F4:F5"/>
    <mergeCell ref="G4:H4"/>
    <mergeCell ref="I4:I5"/>
  </mergeCells>
  <pageMargins left="0.39370078740157483" right="0" top="0.59055118110236227" bottom="0.59055118110236227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workbookViewId="0">
      <pane xSplit="2" ySplit="9" topLeftCell="C136" activePane="bottomRight" state="frozen"/>
      <selection pane="topRight" activeCell="C1" sqref="C1"/>
      <selection pane="bottomLeft" activeCell="A10" sqref="A10"/>
      <selection pane="bottomRight" activeCell="F162" sqref="F162"/>
    </sheetView>
  </sheetViews>
  <sheetFormatPr defaultRowHeight="12.75" x14ac:dyDescent="0.2"/>
  <cols>
    <col min="1" max="1" width="4.28515625" style="195" customWidth="1"/>
    <col min="2" max="2" width="34.28515625" style="195" customWidth="1"/>
    <col min="3" max="3" width="10.42578125" style="195" customWidth="1"/>
    <col min="4" max="4" width="10.5703125" style="195" customWidth="1"/>
    <col min="5" max="5" width="23.140625" style="195" customWidth="1"/>
    <col min="6" max="6" width="17.85546875" style="195" customWidth="1"/>
    <col min="7" max="7" width="12" style="195" customWidth="1"/>
    <col min="8" max="8" width="14.7109375" style="195" customWidth="1"/>
    <col min="9" max="9" width="16.140625" style="195" customWidth="1"/>
    <col min="10" max="10" width="14" style="195" customWidth="1"/>
    <col min="11" max="11" width="4.85546875" style="195" customWidth="1"/>
    <col min="12" max="16384" width="9.140625" style="195"/>
  </cols>
  <sheetData>
    <row r="1" spans="1:12" ht="33.75" customHeight="1" x14ac:dyDescent="0.2">
      <c r="A1" s="331" t="s">
        <v>450</v>
      </c>
      <c r="B1" s="331"/>
      <c r="C1" s="331"/>
      <c r="D1" s="331"/>
      <c r="E1" s="331"/>
      <c r="F1" s="331"/>
      <c r="G1" s="331"/>
      <c r="H1" s="331"/>
      <c r="I1" s="331"/>
      <c r="J1" s="331"/>
      <c r="K1" s="194"/>
    </row>
    <row r="2" spans="1:12" x14ac:dyDescent="0.2">
      <c r="A2" s="196"/>
      <c r="K2" s="197"/>
    </row>
    <row r="3" spans="1:12" s="199" customFormat="1" ht="15.75" customHeight="1" x14ac:dyDescent="0.2">
      <c r="A3" s="451" t="s">
        <v>0</v>
      </c>
      <c r="B3" s="451" t="s">
        <v>246</v>
      </c>
      <c r="C3" s="452" t="s">
        <v>451</v>
      </c>
      <c r="D3" s="451" t="s">
        <v>136</v>
      </c>
      <c r="E3" s="451"/>
      <c r="F3" s="451"/>
      <c r="G3" s="451"/>
      <c r="H3" s="451"/>
      <c r="I3" s="451"/>
      <c r="J3" s="451"/>
      <c r="K3" s="198"/>
    </row>
    <row r="4" spans="1:12" s="199" customFormat="1" ht="36" customHeight="1" x14ac:dyDescent="0.2">
      <c r="A4" s="451"/>
      <c r="B4" s="451"/>
      <c r="C4" s="453"/>
      <c r="D4" s="451" t="s">
        <v>452</v>
      </c>
      <c r="E4" s="451"/>
      <c r="F4" s="451"/>
      <c r="G4" s="451" t="s">
        <v>453</v>
      </c>
      <c r="H4" s="451"/>
      <c r="I4" s="451"/>
      <c r="J4" s="455" t="s">
        <v>454</v>
      </c>
      <c r="K4" s="200"/>
    </row>
    <row r="5" spans="1:12" s="199" customFormat="1" x14ac:dyDescent="0.2">
      <c r="A5" s="451"/>
      <c r="B5" s="451"/>
      <c r="C5" s="453"/>
      <c r="D5" s="452" t="s">
        <v>130</v>
      </c>
      <c r="E5" s="458" t="s">
        <v>136</v>
      </c>
      <c r="F5" s="459"/>
      <c r="G5" s="452" t="s">
        <v>130</v>
      </c>
      <c r="H5" s="451" t="s">
        <v>100</v>
      </c>
      <c r="I5" s="451"/>
      <c r="J5" s="456"/>
      <c r="K5" s="200"/>
    </row>
    <row r="6" spans="1:12" s="199" customFormat="1" ht="12.75" customHeight="1" x14ac:dyDescent="0.2">
      <c r="A6" s="451"/>
      <c r="B6" s="451"/>
      <c r="C6" s="453"/>
      <c r="D6" s="453"/>
      <c r="E6" s="460" t="s">
        <v>455</v>
      </c>
      <c r="F6" s="452" t="s">
        <v>456</v>
      </c>
      <c r="G6" s="453"/>
      <c r="H6" s="452" t="s">
        <v>457</v>
      </c>
      <c r="I6" s="451" t="s">
        <v>458</v>
      </c>
      <c r="J6" s="456"/>
      <c r="K6" s="200"/>
    </row>
    <row r="7" spans="1:12" s="199" customFormat="1" ht="12.75" customHeight="1" x14ac:dyDescent="0.2">
      <c r="A7" s="451"/>
      <c r="B7" s="451"/>
      <c r="C7" s="453"/>
      <c r="D7" s="453"/>
      <c r="E7" s="461"/>
      <c r="F7" s="453"/>
      <c r="G7" s="453"/>
      <c r="H7" s="453"/>
      <c r="I7" s="451"/>
      <c r="J7" s="456"/>
      <c r="K7" s="200"/>
    </row>
    <row r="8" spans="1:12" s="199" customFormat="1" ht="60" customHeight="1" x14ac:dyDescent="0.2">
      <c r="A8" s="451"/>
      <c r="B8" s="451"/>
      <c r="C8" s="454"/>
      <c r="D8" s="454"/>
      <c r="E8" s="462"/>
      <c r="F8" s="454"/>
      <c r="G8" s="454"/>
      <c r="H8" s="454"/>
      <c r="I8" s="451"/>
      <c r="J8" s="457"/>
      <c r="K8" s="200"/>
    </row>
    <row r="9" spans="1:12" s="199" customFormat="1" x14ac:dyDescent="0.2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0"/>
    </row>
    <row r="10" spans="1:12" x14ac:dyDescent="0.2">
      <c r="A10" s="202">
        <v>1</v>
      </c>
      <c r="B10" s="203" t="s">
        <v>13</v>
      </c>
      <c r="C10" s="204">
        <f>D10+G10+J10</f>
        <v>143891</v>
      </c>
      <c r="D10" s="204">
        <f>E10+F10</f>
        <v>12868</v>
      </c>
      <c r="E10" s="204">
        <v>1955</v>
      </c>
      <c r="F10" s="205">
        <v>10913</v>
      </c>
      <c r="G10" s="206">
        <f>H10+I10</f>
        <v>8846</v>
      </c>
      <c r="H10" s="204">
        <v>8342</v>
      </c>
      <c r="I10" s="204">
        <v>504</v>
      </c>
      <c r="J10" s="204">
        <f>'[4]Проф.с иными целями Пр.111'!C10</f>
        <v>122177</v>
      </c>
      <c r="K10" s="207"/>
      <c r="L10" s="208"/>
    </row>
    <row r="11" spans="1:12" ht="25.5" x14ac:dyDescent="0.2">
      <c r="A11" s="202">
        <v>2</v>
      </c>
      <c r="B11" s="203" t="s">
        <v>403</v>
      </c>
      <c r="C11" s="204">
        <f t="shared" ref="C11:C75" si="0">D11+G11+J11</f>
        <v>6000</v>
      </c>
      <c r="D11" s="204">
        <f t="shared" ref="D11:D75" si="1">E11+F11</f>
        <v>0</v>
      </c>
      <c r="E11" s="204">
        <v>0</v>
      </c>
      <c r="F11" s="209">
        <v>0</v>
      </c>
      <c r="G11" s="206">
        <f t="shared" ref="G11:G75" si="2">H11+I11</f>
        <v>0</v>
      </c>
      <c r="H11" s="204">
        <v>0</v>
      </c>
      <c r="I11" s="204">
        <v>0</v>
      </c>
      <c r="J11" s="204">
        <f>'[4]Проф.с иными целями Пр.111'!C11</f>
        <v>6000</v>
      </c>
      <c r="K11" s="207"/>
    </row>
    <row r="12" spans="1:12" s="208" customFormat="1" x14ac:dyDescent="0.2">
      <c r="A12" s="202">
        <v>3</v>
      </c>
      <c r="B12" s="210" t="s">
        <v>22</v>
      </c>
      <c r="C12" s="204">
        <f t="shared" si="0"/>
        <v>143099</v>
      </c>
      <c r="D12" s="204">
        <f t="shared" si="1"/>
        <v>12053</v>
      </c>
      <c r="E12" s="204">
        <v>1993</v>
      </c>
      <c r="F12" s="205">
        <v>10060</v>
      </c>
      <c r="G12" s="206">
        <f t="shared" si="2"/>
        <v>8671</v>
      </c>
      <c r="H12" s="204">
        <v>8503</v>
      </c>
      <c r="I12" s="204">
        <v>168</v>
      </c>
      <c r="J12" s="204">
        <f>'[4]Проф.с иными целями Пр.111'!C12</f>
        <v>122375</v>
      </c>
      <c r="K12" s="207"/>
    </row>
    <row r="13" spans="1:12" s="208" customFormat="1" x14ac:dyDescent="0.2">
      <c r="A13" s="202">
        <v>4</v>
      </c>
      <c r="B13" s="210" t="s">
        <v>343</v>
      </c>
      <c r="C13" s="204">
        <f t="shared" si="0"/>
        <v>5340</v>
      </c>
      <c r="D13" s="204">
        <f t="shared" si="1"/>
        <v>0</v>
      </c>
      <c r="E13" s="204">
        <v>0</v>
      </c>
      <c r="F13" s="209">
        <v>0</v>
      </c>
      <c r="G13" s="206">
        <f t="shared" si="2"/>
        <v>0</v>
      </c>
      <c r="H13" s="204">
        <v>0</v>
      </c>
      <c r="I13" s="204">
        <v>0</v>
      </c>
      <c r="J13" s="204">
        <f>'[4]Проф.с иными целями Пр.111'!C13</f>
        <v>5340</v>
      </c>
      <c r="K13" s="207"/>
    </row>
    <row r="14" spans="1:12" s="208" customFormat="1" x14ac:dyDescent="0.2">
      <c r="A14" s="448">
        <v>5</v>
      </c>
      <c r="B14" s="211" t="s">
        <v>70</v>
      </c>
      <c r="C14" s="204">
        <f t="shared" si="0"/>
        <v>346831</v>
      </c>
      <c r="D14" s="204">
        <f t="shared" si="1"/>
        <v>30606</v>
      </c>
      <c r="E14" s="204">
        <v>4637</v>
      </c>
      <c r="F14" s="205">
        <v>25969</v>
      </c>
      <c r="G14" s="206">
        <f t="shared" si="2"/>
        <v>19951</v>
      </c>
      <c r="H14" s="204">
        <v>19786</v>
      </c>
      <c r="I14" s="204">
        <v>165</v>
      </c>
      <c r="J14" s="204">
        <f>'[4]Проф.с иными целями Пр.111'!C14</f>
        <v>296274</v>
      </c>
      <c r="K14" s="207"/>
    </row>
    <row r="15" spans="1:12" s="208" customFormat="1" ht="51" x14ac:dyDescent="0.2">
      <c r="A15" s="449"/>
      <c r="B15" s="173" t="s">
        <v>71</v>
      </c>
      <c r="C15" s="204">
        <f t="shared" si="0"/>
        <v>44012</v>
      </c>
      <c r="D15" s="204">
        <f t="shared" si="1"/>
        <v>2859</v>
      </c>
      <c r="E15" s="204">
        <v>642</v>
      </c>
      <c r="F15" s="205">
        <v>2217</v>
      </c>
      <c r="G15" s="206">
        <f t="shared" si="2"/>
        <v>2762</v>
      </c>
      <c r="H15" s="204">
        <v>2737</v>
      </c>
      <c r="I15" s="204">
        <v>25</v>
      </c>
      <c r="J15" s="204">
        <f>'[4]Проф.с иными целями Пр.111'!C15</f>
        <v>38391</v>
      </c>
      <c r="K15" s="212"/>
    </row>
    <row r="16" spans="1:12" s="208" customFormat="1" x14ac:dyDescent="0.2">
      <c r="A16" s="202">
        <v>6</v>
      </c>
      <c r="B16" s="210" t="s">
        <v>52</v>
      </c>
      <c r="C16" s="204">
        <f t="shared" si="0"/>
        <v>108442</v>
      </c>
      <c r="D16" s="204">
        <f t="shared" si="1"/>
        <v>9438</v>
      </c>
      <c r="E16" s="204">
        <v>1523</v>
      </c>
      <c r="F16" s="205">
        <v>7915</v>
      </c>
      <c r="G16" s="206">
        <f t="shared" si="2"/>
        <v>6740</v>
      </c>
      <c r="H16" s="204">
        <v>6499</v>
      </c>
      <c r="I16" s="204">
        <v>241</v>
      </c>
      <c r="J16" s="204">
        <f>'[4]Проф.с иными целями Пр.111'!C16</f>
        <v>92264</v>
      </c>
      <c r="K16" s="207"/>
    </row>
    <row r="17" spans="1:11" s="208" customFormat="1" x14ac:dyDescent="0.2">
      <c r="A17" s="202">
        <v>7</v>
      </c>
      <c r="B17" s="210" t="s">
        <v>4</v>
      </c>
      <c r="C17" s="204">
        <f t="shared" si="0"/>
        <v>46506</v>
      </c>
      <c r="D17" s="204">
        <f t="shared" si="1"/>
        <v>4344</v>
      </c>
      <c r="E17" s="204">
        <v>662</v>
      </c>
      <c r="F17" s="205">
        <v>3682</v>
      </c>
      <c r="G17" s="206">
        <f t="shared" si="2"/>
        <v>2904</v>
      </c>
      <c r="H17" s="204">
        <v>2824</v>
      </c>
      <c r="I17" s="204">
        <v>80</v>
      </c>
      <c r="J17" s="204">
        <f>'[4]Проф.с иными целями Пр.111'!C17</f>
        <v>39258</v>
      </c>
      <c r="K17" s="207"/>
    </row>
    <row r="18" spans="1:11" s="208" customFormat="1" x14ac:dyDescent="0.2">
      <c r="A18" s="202">
        <v>8</v>
      </c>
      <c r="B18" s="210" t="s">
        <v>8</v>
      </c>
      <c r="C18" s="204">
        <f t="shared" si="0"/>
        <v>48400</v>
      </c>
      <c r="D18" s="204">
        <f t="shared" si="1"/>
        <v>4055</v>
      </c>
      <c r="E18" s="204">
        <v>687</v>
      </c>
      <c r="F18" s="205">
        <v>3368</v>
      </c>
      <c r="G18" s="206">
        <f t="shared" si="2"/>
        <v>3054</v>
      </c>
      <c r="H18" s="204">
        <v>2934</v>
      </c>
      <c r="I18" s="204">
        <v>120</v>
      </c>
      <c r="J18" s="204">
        <f>'[4]Проф.с иными целями Пр.111'!C18</f>
        <v>41291</v>
      </c>
      <c r="K18" s="207"/>
    </row>
    <row r="19" spans="1:11" s="208" customFormat="1" x14ac:dyDescent="0.2">
      <c r="A19" s="202">
        <v>9</v>
      </c>
      <c r="B19" s="210" t="s">
        <v>17</v>
      </c>
      <c r="C19" s="204">
        <f t="shared" si="0"/>
        <v>52178</v>
      </c>
      <c r="D19" s="204">
        <f t="shared" si="1"/>
        <v>4127</v>
      </c>
      <c r="E19" s="204">
        <v>785</v>
      </c>
      <c r="F19" s="205">
        <v>3342</v>
      </c>
      <c r="G19" s="206">
        <f t="shared" si="2"/>
        <v>3412</v>
      </c>
      <c r="H19" s="204">
        <v>3349</v>
      </c>
      <c r="I19" s="204">
        <v>63</v>
      </c>
      <c r="J19" s="204">
        <f>'[4]Проф.с иными целями Пр.111'!C19</f>
        <v>44639</v>
      </c>
      <c r="K19" s="207"/>
    </row>
    <row r="20" spans="1:11" s="208" customFormat="1" x14ac:dyDescent="0.2">
      <c r="A20" s="202">
        <v>10</v>
      </c>
      <c r="B20" s="210" t="s">
        <v>44</v>
      </c>
      <c r="C20" s="204">
        <f t="shared" si="0"/>
        <v>56246</v>
      </c>
      <c r="D20" s="204">
        <f t="shared" si="1"/>
        <v>5008</v>
      </c>
      <c r="E20" s="204">
        <v>803</v>
      </c>
      <c r="F20" s="205">
        <v>4205</v>
      </c>
      <c r="G20" s="206">
        <f t="shared" si="2"/>
        <v>3504</v>
      </c>
      <c r="H20" s="204">
        <v>3426</v>
      </c>
      <c r="I20" s="204">
        <v>78</v>
      </c>
      <c r="J20" s="204">
        <f>'[4]Проф.с иными целями Пр.111'!C20</f>
        <v>47734</v>
      </c>
      <c r="K20" s="207"/>
    </row>
    <row r="21" spans="1:11" s="208" customFormat="1" x14ac:dyDescent="0.2">
      <c r="A21" s="202">
        <v>11</v>
      </c>
      <c r="B21" s="211" t="s">
        <v>29</v>
      </c>
      <c r="C21" s="204">
        <f t="shared" si="0"/>
        <v>58712</v>
      </c>
      <c r="D21" s="204">
        <f t="shared" si="1"/>
        <v>5372</v>
      </c>
      <c r="E21" s="204">
        <v>832</v>
      </c>
      <c r="F21" s="205">
        <v>4540</v>
      </c>
      <c r="G21" s="206">
        <f t="shared" si="2"/>
        <v>3711</v>
      </c>
      <c r="H21" s="204">
        <v>3552</v>
      </c>
      <c r="I21" s="204">
        <v>159</v>
      </c>
      <c r="J21" s="204">
        <f>'[4]Проф.с иными целями Пр.111'!C21</f>
        <v>49629</v>
      </c>
      <c r="K21" s="207"/>
    </row>
    <row r="22" spans="1:11" s="208" customFormat="1" x14ac:dyDescent="0.2">
      <c r="A22" s="202">
        <v>12</v>
      </c>
      <c r="B22" s="210" t="s">
        <v>30</v>
      </c>
      <c r="C22" s="204">
        <f t="shared" si="0"/>
        <v>54893</v>
      </c>
      <c r="D22" s="204">
        <f t="shared" si="1"/>
        <v>4594</v>
      </c>
      <c r="E22" s="204">
        <v>782</v>
      </c>
      <c r="F22" s="205">
        <v>3812</v>
      </c>
      <c r="G22" s="206">
        <f t="shared" si="2"/>
        <v>3391</v>
      </c>
      <c r="H22" s="204">
        <v>3337</v>
      </c>
      <c r="I22" s="204">
        <v>54</v>
      </c>
      <c r="J22" s="204">
        <f>'[4]Проф.с иными целями Пр.111'!C22</f>
        <v>46908</v>
      </c>
      <c r="K22" s="207"/>
    </row>
    <row r="23" spans="1:11" s="208" customFormat="1" x14ac:dyDescent="0.2">
      <c r="A23" s="202">
        <v>13</v>
      </c>
      <c r="B23" s="211" t="s">
        <v>33</v>
      </c>
      <c r="C23" s="204">
        <f t="shared" si="0"/>
        <v>65075</v>
      </c>
      <c r="D23" s="204">
        <f t="shared" si="1"/>
        <v>5224</v>
      </c>
      <c r="E23" s="204">
        <v>957</v>
      </c>
      <c r="F23" s="205">
        <v>4267</v>
      </c>
      <c r="G23" s="206">
        <f t="shared" si="2"/>
        <v>4142</v>
      </c>
      <c r="H23" s="204">
        <v>4082</v>
      </c>
      <c r="I23" s="204">
        <v>60</v>
      </c>
      <c r="J23" s="204">
        <f>'[4]Проф.с иными целями Пр.111'!C23</f>
        <v>55709</v>
      </c>
      <c r="K23" s="207"/>
    </row>
    <row r="24" spans="1:11" s="208" customFormat="1" x14ac:dyDescent="0.2">
      <c r="A24" s="202">
        <v>14</v>
      </c>
      <c r="B24" s="210" t="s">
        <v>39</v>
      </c>
      <c r="C24" s="204">
        <f t="shared" si="0"/>
        <v>53222</v>
      </c>
      <c r="D24" s="204">
        <f t="shared" si="1"/>
        <v>5214</v>
      </c>
      <c r="E24" s="204">
        <v>742</v>
      </c>
      <c r="F24" s="205">
        <v>4472</v>
      </c>
      <c r="G24" s="206">
        <f t="shared" si="2"/>
        <v>3263</v>
      </c>
      <c r="H24" s="204">
        <v>3167</v>
      </c>
      <c r="I24" s="204">
        <v>96</v>
      </c>
      <c r="J24" s="204">
        <f>'[4]Проф.с иными целями Пр.111'!C24</f>
        <v>44745</v>
      </c>
      <c r="K24" s="207"/>
    </row>
    <row r="25" spans="1:11" s="208" customFormat="1" x14ac:dyDescent="0.2">
      <c r="A25" s="202">
        <v>15</v>
      </c>
      <c r="B25" s="210" t="s">
        <v>408</v>
      </c>
      <c r="C25" s="204">
        <f t="shared" si="0"/>
        <v>6</v>
      </c>
      <c r="D25" s="204">
        <f t="shared" si="1"/>
        <v>0</v>
      </c>
      <c r="E25" s="204">
        <v>0</v>
      </c>
      <c r="F25" s="209">
        <v>0</v>
      </c>
      <c r="G25" s="206">
        <f t="shared" si="2"/>
        <v>0</v>
      </c>
      <c r="H25" s="204">
        <v>0</v>
      </c>
      <c r="I25" s="204">
        <v>0</v>
      </c>
      <c r="J25" s="204">
        <f>'[4]Проф.с иными целями Пр.111'!C25</f>
        <v>6</v>
      </c>
      <c r="K25" s="207"/>
    </row>
    <row r="26" spans="1:11" s="208" customFormat="1" x14ac:dyDescent="0.2">
      <c r="A26" s="202">
        <v>16</v>
      </c>
      <c r="B26" s="210" t="s">
        <v>53</v>
      </c>
      <c r="C26" s="204">
        <f t="shared" si="0"/>
        <v>149647</v>
      </c>
      <c r="D26" s="204">
        <f t="shared" si="1"/>
        <v>14829</v>
      </c>
      <c r="E26" s="204">
        <v>2031</v>
      </c>
      <c r="F26" s="205">
        <v>12798</v>
      </c>
      <c r="G26" s="206">
        <f t="shared" si="2"/>
        <v>8870</v>
      </c>
      <c r="H26" s="204">
        <v>8665</v>
      </c>
      <c r="I26" s="204">
        <v>205</v>
      </c>
      <c r="J26" s="204">
        <f>'[4]Проф.с иными целями Пр.111'!C26</f>
        <v>125948</v>
      </c>
      <c r="K26" s="207"/>
    </row>
    <row r="27" spans="1:11" s="208" customFormat="1" ht="25.5" x14ac:dyDescent="0.2">
      <c r="A27" s="202">
        <v>17</v>
      </c>
      <c r="B27" s="213" t="s">
        <v>357</v>
      </c>
      <c r="C27" s="204">
        <f t="shared" si="0"/>
        <v>9821</v>
      </c>
      <c r="D27" s="204">
        <f t="shared" si="1"/>
        <v>0</v>
      </c>
      <c r="E27" s="204">
        <v>0</v>
      </c>
      <c r="F27" s="209">
        <v>0</v>
      </c>
      <c r="G27" s="206">
        <f t="shared" si="2"/>
        <v>0</v>
      </c>
      <c r="H27" s="204">
        <v>0</v>
      </c>
      <c r="I27" s="204">
        <v>0</v>
      </c>
      <c r="J27" s="204">
        <f>'[4]Проф.с иными целями Пр.111'!C27</f>
        <v>9821</v>
      </c>
      <c r="K27" s="207"/>
    </row>
    <row r="28" spans="1:11" s="208" customFormat="1" x14ac:dyDescent="0.2">
      <c r="A28" s="202">
        <v>18</v>
      </c>
      <c r="B28" s="210" t="s">
        <v>6</v>
      </c>
      <c r="C28" s="204">
        <f t="shared" si="0"/>
        <v>132361</v>
      </c>
      <c r="D28" s="204">
        <f t="shared" si="1"/>
        <v>12874</v>
      </c>
      <c r="E28" s="204">
        <v>1767</v>
      </c>
      <c r="F28" s="205">
        <v>11107</v>
      </c>
      <c r="G28" s="206">
        <f t="shared" si="2"/>
        <v>7665</v>
      </c>
      <c r="H28" s="204">
        <v>7542</v>
      </c>
      <c r="I28" s="204">
        <v>123</v>
      </c>
      <c r="J28" s="204">
        <f>'[4]Проф.с иными целями Пр.111'!C28</f>
        <v>111822</v>
      </c>
      <c r="K28" s="207"/>
    </row>
    <row r="29" spans="1:11" s="208" customFormat="1" x14ac:dyDescent="0.2">
      <c r="A29" s="202">
        <v>19</v>
      </c>
      <c r="B29" s="210" t="s">
        <v>11</v>
      </c>
      <c r="C29" s="204">
        <f t="shared" si="0"/>
        <v>258700</v>
      </c>
      <c r="D29" s="204">
        <f t="shared" si="1"/>
        <v>21419</v>
      </c>
      <c r="E29" s="204">
        <v>3437</v>
      </c>
      <c r="F29" s="205">
        <v>17982</v>
      </c>
      <c r="G29" s="206">
        <f t="shared" si="2"/>
        <v>15335</v>
      </c>
      <c r="H29" s="204">
        <v>14665</v>
      </c>
      <c r="I29" s="204">
        <v>670</v>
      </c>
      <c r="J29" s="204">
        <f>'[4]Проф.с иными целями Пр.111'!C29</f>
        <v>221946</v>
      </c>
      <c r="K29" s="207"/>
    </row>
    <row r="30" spans="1:11" s="208" customFormat="1" x14ac:dyDescent="0.2">
      <c r="A30" s="202">
        <v>20</v>
      </c>
      <c r="B30" s="210" t="s">
        <v>46</v>
      </c>
      <c r="C30" s="204">
        <f t="shared" si="0"/>
        <v>170244</v>
      </c>
      <c r="D30" s="204">
        <f t="shared" si="1"/>
        <v>13143</v>
      </c>
      <c r="E30" s="204">
        <v>2391</v>
      </c>
      <c r="F30" s="205">
        <v>10752</v>
      </c>
      <c r="G30" s="206">
        <f t="shared" si="2"/>
        <v>10538</v>
      </c>
      <c r="H30" s="204">
        <v>10200</v>
      </c>
      <c r="I30" s="204">
        <v>338</v>
      </c>
      <c r="J30" s="204">
        <f>'[4]Проф.с иными целями Пр.111'!C30</f>
        <v>146563</v>
      </c>
      <c r="K30" s="207"/>
    </row>
    <row r="31" spans="1:11" s="208" customFormat="1" x14ac:dyDescent="0.2">
      <c r="A31" s="202">
        <v>21</v>
      </c>
      <c r="B31" s="210" t="s">
        <v>348</v>
      </c>
      <c r="C31" s="204">
        <f t="shared" si="0"/>
        <v>38981</v>
      </c>
      <c r="D31" s="204">
        <f t="shared" si="1"/>
        <v>3150</v>
      </c>
      <c r="E31" s="204">
        <v>482</v>
      </c>
      <c r="F31" s="205">
        <v>2668</v>
      </c>
      <c r="G31" s="206">
        <f t="shared" si="2"/>
        <v>2107</v>
      </c>
      <c r="H31" s="204">
        <v>2060</v>
      </c>
      <c r="I31" s="204">
        <v>47</v>
      </c>
      <c r="J31" s="204">
        <f>'[4]Проф.с иными целями Пр.111'!C31</f>
        <v>33724</v>
      </c>
      <c r="K31" s="207"/>
    </row>
    <row r="32" spans="1:11" s="208" customFormat="1" x14ac:dyDescent="0.2">
      <c r="A32" s="202">
        <v>22</v>
      </c>
      <c r="B32" s="210" t="s">
        <v>48</v>
      </c>
      <c r="C32" s="204">
        <f t="shared" si="0"/>
        <v>71100</v>
      </c>
      <c r="D32" s="204">
        <f t="shared" si="1"/>
        <v>6704</v>
      </c>
      <c r="E32" s="204">
        <v>975</v>
      </c>
      <c r="F32" s="205">
        <v>5729</v>
      </c>
      <c r="G32" s="206">
        <f t="shared" si="2"/>
        <v>4278</v>
      </c>
      <c r="H32" s="204">
        <v>4158</v>
      </c>
      <c r="I32" s="204">
        <v>120</v>
      </c>
      <c r="J32" s="204">
        <f>'[4]Проф.с иными целями Пр.111'!C32</f>
        <v>60118</v>
      </c>
      <c r="K32" s="207"/>
    </row>
    <row r="33" spans="1:11" s="208" customFormat="1" x14ac:dyDescent="0.2">
      <c r="A33" s="202">
        <v>23</v>
      </c>
      <c r="B33" s="210" t="s">
        <v>1</v>
      </c>
      <c r="C33" s="204">
        <f t="shared" si="0"/>
        <v>96419</v>
      </c>
      <c r="D33" s="204">
        <f t="shared" si="1"/>
        <v>8972</v>
      </c>
      <c r="E33" s="204">
        <v>1289</v>
      </c>
      <c r="F33" s="205">
        <v>7683</v>
      </c>
      <c r="G33" s="206">
        <f t="shared" si="2"/>
        <v>5681</v>
      </c>
      <c r="H33" s="204">
        <v>5501</v>
      </c>
      <c r="I33" s="204">
        <v>180</v>
      </c>
      <c r="J33" s="204">
        <f>'[4]Проф.с иными целями Пр.111'!C33</f>
        <v>81766</v>
      </c>
      <c r="K33" s="207"/>
    </row>
    <row r="34" spans="1:11" s="208" customFormat="1" x14ac:dyDescent="0.2">
      <c r="A34" s="202">
        <v>24</v>
      </c>
      <c r="B34" s="210" t="s">
        <v>18</v>
      </c>
      <c r="C34" s="204">
        <f t="shared" si="0"/>
        <v>40681</v>
      </c>
      <c r="D34" s="204">
        <f t="shared" si="1"/>
        <v>4829</v>
      </c>
      <c r="E34" s="204">
        <v>517</v>
      </c>
      <c r="F34" s="205">
        <v>4312</v>
      </c>
      <c r="G34" s="206">
        <f t="shared" si="2"/>
        <v>2233</v>
      </c>
      <c r="H34" s="204">
        <v>2203</v>
      </c>
      <c r="I34" s="204">
        <v>30</v>
      </c>
      <c r="J34" s="204">
        <f>'[4]Проф.с иными целями Пр.111'!C34</f>
        <v>33619</v>
      </c>
      <c r="K34" s="207"/>
    </row>
    <row r="35" spans="1:11" s="208" customFormat="1" x14ac:dyDescent="0.2">
      <c r="A35" s="202">
        <v>25</v>
      </c>
      <c r="B35" s="210" t="s">
        <v>25</v>
      </c>
      <c r="C35" s="204">
        <f t="shared" si="0"/>
        <v>33808</v>
      </c>
      <c r="D35" s="204">
        <f t="shared" si="1"/>
        <v>3302</v>
      </c>
      <c r="E35" s="204">
        <v>470</v>
      </c>
      <c r="F35" s="205">
        <v>2832</v>
      </c>
      <c r="G35" s="206">
        <f t="shared" si="2"/>
        <v>2208</v>
      </c>
      <c r="H35" s="204">
        <v>2004</v>
      </c>
      <c r="I35" s="204">
        <v>204</v>
      </c>
      <c r="J35" s="204">
        <f>'[4]Проф.с иными целями Пр.111'!C35</f>
        <v>28298</v>
      </c>
      <c r="K35" s="207"/>
    </row>
    <row r="36" spans="1:11" s="208" customFormat="1" x14ac:dyDescent="0.2">
      <c r="A36" s="448">
        <v>26</v>
      </c>
      <c r="B36" s="210" t="s">
        <v>459</v>
      </c>
      <c r="C36" s="205">
        <v>81190</v>
      </c>
      <c r="D36" s="205">
        <v>2622</v>
      </c>
      <c r="E36" s="205">
        <v>2622</v>
      </c>
      <c r="F36" s="209">
        <v>0</v>
      </c>
      <c r="G36" s="205">
        <v>11188</v>
      </c>
      <c r="H36" s="205">
        <v>11188</v>
      </c>
      <c r="I36" s="209">
        <v>0</v>
      </c>
      <c r="J36" s="204">
        <f>'[4]Проф.с иными целями Пр.111'!C36</f>
        <v>67380</v>
      </c>
      <c r="K36" s="207"/>
    </row>
    <row r="37" spans="1:11" s="208" customFormat="1" ht="51.75" customHeight="1" x14ac:dyDescent="0.2">
      <c r="A37" s="449"/>
      <c r="B37" s="210" t="s">
        <v>460</v>
      </c>
      <c r="C37" s="205">
        <v>88232</v>
      </c>
      <c r="D37" s="205">
        <v>2247</v>
      </c>
      <c r="E37" s="205">
        <v>2247</v>
      </c>
      <c r="F37" s="209">
        <v>0</v>
      </c>
      <c r="G37" s="205">
        <v>9640</v>
      </c>
      <c r="H37" s="205">
        <v>9640</v>
      </c>
      <c r="I37" s="209">
        <v>0</v>
      </c>
      <c r="J37" s="204">
        <f>'[4]Проф.с иными целями Пр.111'!C37</f>
        <v>76345</v>
      </c>
      <c r="K37" s="207"/>
    </row>
    <row r="38" spans="1:11" s="208" customFormat="1" ht="25.5" x14ac:dyDescent="0.2">
      <c r="A38" s="202">
        <v>27</v>
      </c>
      <c r="B38" s="210" t="s">
        <v>55</v>
      </c>
      <c r="C38" s="214">
        <v>15575</v>
      </c>
      <c r="D38" s="215">
        <v>560</v>
      </c>
      <c r="E38" s="215">
        <v>560</v>
      </c>
      <c r="F38" s="215">
        <v>0</v>
      </c>
      <c r="G38" s="214">
        <v>2337</v>
      </c>
      <c r="H38" s="214">
        <v>2337</v>
      </c>
      <c r="I38" s="215">
        <v>0</v>
      </c>
      <c r="J38" s="216">
        <f>'[4]Проф.с иными целями Пр.111'!C38</f>
        <v>12678</v>
      </c>
      <c r="K38" s="212"/>
    </row>
    <row r="39" spans="1:11" s="208" customFormat="1" ht="25.5" x14ac:dyDescent="0.2">
      <c r="A39" s="202">
        <v>28</v>
      </c>
      <c r="B39" s="210" t="s">
        <v>72</v>
      </c>
      <c r="C39" s="216">
        <f t="shared" si="0"/>
        <v>129310</v>
      </c>
      <c r="D39" s="216">
        <f t="shared" si="1"/>
        <v>9475</v>
      </c>
      <c r="E39" s="216">
        <v>2588</v>
      </c>
      <c r="F39" s="214">
        <v>6887</v>
      </c>
      <c r="G39" s="217">
        <f t="shared" si="2"/>
        <v>11071</v>
      </c>
      <c r="H39" s="216">
        <v>11041</v>
      </c>
      <c r="I39" s="216">
        <v>30</v>
      </c>
      <c r="J39" s="216">
        <f>'[4]Проф.с иными целями Пр.111'!C39</f>
        <v>108764</v>
      </c>
      <c r="K39" s="207"/>
    </row>
    <row r="40" spans="1:11" s="208" customFormat="1" ht="25.5" x14ac:dyDescent="0.2">
      <c r="A40" s="448">
        <v>29</v>
      </c>
      <c r="B40" s="210" t="s">
        <v>73</v>
      </c>
      <c r="C40" s="204">
        <f t="shared" si="0"/>
        <v>76466</v>
      </c>
      <c r="D40" s="204">
        <f t="shared" si="1"/>
        <v>7518</v>
      </c>
      <c r="E40" s="204">
        <v>1072</v>
      </c>
      <c r="F40" s="205">
        <v>6446</v>
      </c>
      <c r="G40" s="206">
        <f t="shared" si="2"/>
        <v>4581</v>
      </c>
      <c r="H40" s="204">
        <v>4577</v>
      </c>
      <c r="I40" s="204">
        <v>4</v>
      </c>
      <c r="J40" s="204">
        <f>'[4]Проф.с иными целями Пр.111'!C40</f>
        <v>64367</v>
      </c>
      <c r="K40" s="207"/>
    </row>
    <row r="41" spans="1:11" s="208" customFormat="1" ht="51" x14ac:dyDescent="0.2">
      <c r="A41" s="449"/>
      <c r="B41" s="173" t="s">
        <v>461</v>
      </c>
      <c r="C41" s="204">
        <f t="shared" si="0"/>
        <v>113627</v>
      </c>
      <c r="D41" s="204">
        <f t="shared" si="1"/>
        <v>8733</v>
      </c>
      <c r="E41" s="204">
        <v>1598</v>
      </c>
      <c r="F41" s="205">
        <v>7135</v>
      </c>
      <c r="G41" s="206">
        <f t="shared" si="2"/>
        <v>6874</v>
      </c>
      <c r="H41" s="204">
        <v>6818</v>
      </c>
      <c r="I41" s="204">
        <v>56</v>
      </c>
      <c r="J41" s="204">
        <f>'[4]Проф.с иными целями Пр.111'!C41</f>
        <v>98020</v>
      </c>
      <c r="K41" s="207"/>
    </row>
    <row r="42" spans="1:11" s="208" customFormat="1" ht="25.5" x14ac:dyDescent="0.2">
      <c r="A42" s="202">
        <v>30</v>
      </c>
      <c r="B42" s="210" t="s">
        <v>89</v>
      </c>
      <c r="C42" s="204">
        <f t="shared" si="0"/>
        <v>1921</v>
      </c>
      <c r="D42" s="204">
        <f t="shared" si="1"/>
        <v>0</v>
      </c>
      <c r="E42" s="204">
        <v>0</v>
      </c>
      <c r="F42" s="209">
        <v>0</v>
      </c>
      <c r="G42" s="206">
        <f t="shared" si="2"/>
        <v>0</v>
      </c>
      <c r="H42" s="204">
        <v>0</v>
      </c>
      <c r="I42" s="204">
        <v>0</v>
      </c>
      <c r="J42" s="204">
        <f>'[4]Проф.с иными целями Пр.111'!C42</f>
        <v>1921</v>
      </c>
      <c r="K42" s="207"/>
    </row>
    <row r="43" spans="1:11" s="208" customFormat="1" ht="25.5" x14ac:dyDescent="0.2">
      <c r="A43" s="202">
        <v>31</v>
      </c>
      <c r="B43" s="210" t="s">
        <v>75</v>
      </c>
      <c r="C43" s="204">
        <f t="shared" si="0"/>
        <v>280157</v>
      </c>
      <c r="D43" s="204">
        <f t="shared" si="1"/>
        <v>35637</v>
      </c>
      <c r="E43" s="204">
        <v>0</v>
      </c>
      <c r="F43" s="205">
        <v>35637</v>
      </c>
      <c r="G43" s="206">
        <f t="shared" si="2"/>
        <v>285</v>
      </c>
      <c r="H43" s="204">
        <v>0</v>
      </c>
      <c r="I43" s="204">
        <v>285</v>
      </c>
      <c r="J43" s="204">
        <f>'[4]Проф.с иными целями Пр.111'!C43</f>
        <v>244235</v>
      </c>
      <c r="K43" s="207"/>
    </row>
    <row r="44" spans="1:11" s="208" customFormat="1" ht="25.5" x14ac:dyDescent="0.2">
      <c r="A44" s="202">
        <v>32</v>
      </c>
      <c r="B44" s="210" t="s">
        <v>413</v>
      </c>
      <c r="C44" s="204">
        <f t="shared" si="0"/>
        <v>12000</v>
      </c>
      <c r="D44" s="204">
        <f t="shared" si="1"/>
        <v>0</v>
      </c>
      <c r="E44" s="204">
        <v>0</v>
      </c>
      <c r="F44" s="209">
        <v>0</v>
      </c>
      <c r="G44" s="206">
        <f t="shared" si="2"/>
        <v>0</v>
      </c>
      <c r="H44" s="204">
        <v>0</v>
      </c>
      <c r="I44" s="204">
        <v>0</v>
      </c>
      <c r="J44" s="204">
        <f>'[4]Проф.с иными целями Пр.111'!C44</f>
        <v>12000</v>
      </c>
      <c r="K44" s="207"/>
    </row>
    <row r="45" spans="1:11" s="208" customFormat="1" x14ac:dyDescent="0.2">
      <c r="A45" s="202">
        <v>33</v>
      </c>
      <c r="B45" s="210" t="s">
        <v>76</v>
      </c>
      <c r="C45" s="204">
        <f t="shared" si="0"/>
        <v>10266</v>
      </c>
      <c r="D45" s="204">
        <f t="shared" si="1"/>
        <v>0</v>
      </c>
      <c r="E45" s="204">
        <v>0</v>
      </c>
      <c r="F45" s="209">
        <v>0</v>
      </c>
      <c r="G45" s="206">
        <f t="shared" si="2"/>
        <v>0</v>
      </c>
      <c r="H45" s="204">
        <v>0</v>
      </c>
      <c r="I45" s="204">
        <v>0</v>
      </c>
      <c r="J45" s="204">
        <f>'[4]Проф.с иными целями Пр.111'!C45</f>
        <v>10266</v>
      </c>
      <c r="K45" s="207"/>
    </row>
    <row r="46" spans="1:11" s="208" customFormat="1" x14ac:dyDescent="0.2">
      <c r="A46" s="448">
        <v>34</v>
      </c>
      <c r="B46" s="210" t="s">
        <v>54</v>
      </c>
      <c r="C46" s="204">
        <f t="shared" si="0"/>
        <v>136752</v>
      </c>
      <c r="D46" s="204">
        <f t="shared" si="1"/>
        <v>4162</v>
      </c>
      <c r="E46" s="204">
        <v>4162</v>
      </c>
      <c r="F46" s="209">
        <v>0</v>
      </c>
      <c r="G46" s="206">
        <f t="shared" si="2"/>
        <v>17756</v>
      </c>
      <c r="H46" s="204">
        <v>17756</v>
      </c>
      <c r="I46" s="204">
        <v>0</v>
      </c>
      <c r="J46" s="204">
        <f>'[4]Проф.с иными целями Пр.111'!C46</f>
        <v>114834</v>
      </c>
      <c r="K46" s="207"/>
    </row>
    <row r="47" spans="1:11" s="208" customFormat="1" ht="51" x14ac:dyDescent="0.2">
      <c r="A47" s="450"/>
      <c r="B47" s="173" t="s">
        <v>77</v>
      </c>
      <c r="C47" s="204">
        <f t="shared" si="0"/>
        <v>138452</v>
      </c>
      <c r="D47" s="204">
        <f t="shared" si="1"/>
        <v>21676</v>
      </c>
      <c r="E47" s="204">
        <v>0</v>
      </c>
      <c r="F47" s="205">
        <v>21676</v>
      </c>
      <c r="G47" s="206">
        <f t="shared" si="2"/>
        <v>285</v>
      </c>
      <c r="H47" s="204">
        <v>0</v>
      </c>
      <c r="I47" s="204">
        <v>285</v>
      </c>
      <c r="J47" s="204">
        <f>'[4]Проф.с иными целями Пр.111'!C47</f>
        <v>116491</v>
      </c>
      <c r="K47" s="212"/>
    </row>
    <row r="48" spans="1:11" s="208" customFormat="1" ht="38.25" x14ac:dyDescent="0.2">
      <c r="A48" s="449"/>
      <c r="B48" s="173" t="s">
        <v>462</v>
      </c>
      <c r="C48" s="204">
        <f t="shared" si="0"/>
        <v>22000</v>
      </c>
      <c r="D48" s="204">
        <f t="shared" si="1"/>
        <v>0</v>
      </c>
      <c r="E48" s="204">
        <v>0</v>
      </c>
      <c r="F48" s="209">
        <v>0</v>
      </c>
      <c r="G48" s="206">
        <f t="shared" si="2"/>
        <v>0</v>
      </c>
      <c r="H48" s="204">
        <v>0</v>
      </c>
      <c r="I48" s="204">
        <v>0</v>
      </c>
      <c r="J48" s="204">
        <f>'[4]Проф.с иными целями Пр.111'!C48</f>
        <v>22000</v>
      </c>
      <c r="K48" s="207"/>
    </row>
    <row r="49" spans="1:11" s="218" customFormat="1" ht="25.5" x14ac:dyDescent="0.2">
      <c r="A49" s="202">
        <v>35</v>
      </c>
      <c r="B49" s="210" t="s">
        <v>359</v>
      </c>
      <c r="C49" s="204">
        <f t="shared" si="0"/>
        <v>16800</v>
      </c>
      <c r="D49" s="204">
        <f t="shared" si="1"/>
        <v>0</v>
      </c>
      <c r="E49" s="204">
        <v>0</v>
      </c>
      <c r="F49" s="209">
        <v>0</v>
      </c>
      <c r="G49" s="206">
        <f t="shared" si="2"/>
        <v>0</v>
      </c>
      <c r="H49" s="204">
        <v>0</v>
      </c>
      <c r="I49" s="204">
        <v>0</v>
      </c>
      <c r="J49" s="204">
        <f>'[4]Проф.с иными целями Пр.111'!C49</f>
        <v>16800</v>
      </c>
      <c r="K49" s="207"/>
    </row>
    <row r="50" spans="1:11" s="208" customFormat="1" x14ac:dyDescent="0.2">
      <c r="A50" s="202">
        <v>36</v>
      </c>
      <c r="B50" s="210" t="s">
        <v>78</v>
      </c>
      <c r="C50" s="204">
        <f t="shared" si="0"/>
        <v>11900</v>
      </c>
      <c r="D50" s="204">
        <f t="shared" si="1"/>
        <v>0</v>
      </c>
      <c r="E50" s="204">
        <v>0</v>
      </c>
      <c r="F50" s="209">
        <v>0</v>
      </c>
      <c r="G50" s="206">
        <f t="shared" si="2"/>
        <v>0</v>
      </c>
      <c r="H50" s="204">
        <v>0</v>
      </c>
      <c r="I50" s="204">
        <v>0</v>
      </c>
      <c r="J50" s="204">
        <f>'[4]Проф.с иными целями Пр.111'!C50</f>
        <v>11900</v>
      </c>
      <c r="K50" s="207"/>
    </row>
    <row r="51" spans="1:11" s="208" customFormat="1" x14ac:dyDescent="0.2">
      <c r="A51" s="448">
        <v>37</v>
      </c>
      <c r="B51" s="210" t="s">
        <v>36</v>
      </c>
      <c r="C51" s="204">
        <f t="shared" si="0"/>
        <v>154455</v>
      </c>
      <c r="D51" s="204">
        <f t="shared" si="1"/>
        <v>12277</v>
      </c>
      <c r="E51" s="204">
        <v>2159</v>
      </c>
      <c r="F51" s="205">
        <v>10118</v>
      </c>
      <c r="G51" s="206">
        <f t="shared" si="2"/>
        <v>9453</v>
      </c>
      <c r="H51" s="204">
        <v>9212</v>
      </c>
      <c r="I51" s="204">
        <v>241</v>
      </c>
      <c r="J51" s="204">
        <f>'[4]Проф.с иными целями Пр.111'!C51</f>
        <v>132725</v>
      </c>
      <c r="K51" s="207"/>
    </row>
    <row r="52" spans="1:11" s="208" customFormat="1" ht="51" x14ac:dyDescent="0.2">
      <c r="A52" s="449"/>
      <c r="B52" s="173" t="s">
        <v>79</v>
      </c>
      <c r="C52" s="204">
        <f t="shared" si="0"/>
        <v>57198</v>
      </c>
      <c r="D52" s="204">
        <f t="shared" si="1"/>
        <v>4699</v>
      </c>
      <c r="E52" s="204">
        <v>782</v>
      </c>
      <c r="F52" s="205">
        <v>3917</v>
      </c>
      <c r="G52" s="206">
        <f t="shared" si="2"/>
        <v>3471</v>
      </c>
      <c r="H52" s="204">
        <v>3339</v>
      </c>
      <c r="I52" s="204">
        <v>132</v>
      </c>
      <c r="J52" s="204">
        <f>'[4]Проф.с иными целями Пр.111'!C52</f>
        <v>49028</v>
      </c>
      <c r="K52" s="207"/>
    </row>
    <row r="53" spans="1:11" s="208" customFormat="1" x14ac:dyDescent="0.2">
      <c r="A53" s="202">
        <v>38</v>
      </c>
      <c r="B53" s="210" t="s">
        <v>28</v>
      </c>
      <c r="C53" s="204">
        <f t="shared" si="0"/>
        <v>206673</v>
      </c>
      <c r="D53" s="204">
        <f t="shared" si="1"/>
        <v>17815</v>
      </c>
      <c r="E53" s="204">
        <v>2853</v>
      </c>
      <c r="F53" s="205">
        <v>14962</v>
      </c>
      <c r="G53" s="206">
        <f t="shared" si="2"/>
        <v>12544</v>
      </c>
      <c r="H53" s="204">
        <v>12173</v>
      </c>
      <c r="I53" s="204">
        <v>371</v>
      </c>
      <c r="J53" s="204">
        <f>'[4]Проф.с иными целями Пр.111'!C53</f>
        <v>176314</v>
      </c>
      <c r="K53" s="207"/>
    </row>
    <row r="54" spans="1:11" s="208" customFormat="1" x14ac:dyDescent="0.2">
      <c r="A54" s="202">
        <v>39</v>
      </c>
      <c r="B54" s="210" t="s">
        <v>37</v>
      </c>
      <c r="C54" s="204">
        <f t="shared" si="0"/>
        <v>196224</v>
      </c>
      <c r="D54" s="204">
        <f t="shared" si="1"/>
        <v>17661</v>
      </c>
      <c r="E54" s="204">
        <v>2730</v>
      </c>
      <c r="F54" s="205">
        <v>14931</v>
      </c>
      <c r="G54" s="206">
        <f t="shared" si="2"/>
        <v>12012</v>
      </c>
      <c r="H54" s="204">
        <v>11647</v>
      </c>
      <c r="I54" s="204">
        <v>365</v>
      </c>
      <c r="J54" s="204">
        <f>'[4]Проф.с иными целями Пр.111'!C54</f>
        <v>166551</v>
      </c>
      <c r="K54" s="207"/>
    </row>
    <row r="55" spans="1:11" s="208" customFormat="1" x14ac:dyDescent="0.2">
      <c r="A55" s="202">
        <v>40</v>
      </c>
      <c r="B55" s="210" t="s">
        <v>24</v>
      </c>
      <c r="C55" s="204">
        <f t="shared" si="0"/>
        <v>61092</v>
      </c>
      <c r="D55" s="204">
        <f t="shared" si="1"/>
        <v>5992</v>
      </c>
      <c r="E55" s="204">
        <v>840</v>
      </c>
      <c r="F55" s="205">
        <v>5152</v>
      </c>
      <c r="G55" s="206">
        <f t="shared" si="2"/>
        <v>3610</v>
      </c>
      <c r="H55" s="204">
        <v>3585</v>
      </c>
      <c r="I55" s="204">
        <v>25</v>
      </c>
      <c r="J55" s="204">
        <f>'[4]Проф.с иными целями Пр.111'!C55</f>
        <v>51490</v>
      </c>
      <c r="K55" s="207"/>
    </row>
    <row r="56" spans="1:11" s="208" customFormat="1" x14ac:dyDescent="0.2">
      <c r="A56" s="202">
        <v>41</v>
      </c>
      <c r="B56" s="210" t="s">
        <v>19</v>
      </c>
      <c r="C56" s="204">
        <f t="shared" si="0"/>
        <v>75768</v>
      </c>
      <c r="D56" s="204">
        <f t="shared" si="1"/>
        <v>7532</v>
      </c>
      <c r="E56" s="204">
        <v>1055</v>
      </c>
      <c r="F56" s="205">
        <v>6477</v>
      </c>
      <c r="G56" s="206">
        <f t="shared" si="2"/>
        <v>4587</v>
      </c>
      <c r="H56" s="204">
        <v>4502</v>
      </c>
      <c r="I56" s="204">
        <v>85</v>
      </c>
      <c r="J56" s="204">
        <f>'[4]Проф.с иными целями Пр.111'!C56</f>
        <v>63649</v>
      </c>
      <c r="K56" s="207"/>
    </row>
    <row r="57" spans="1:11" s="218" customFormat="1" x14ac:dyDescent="0.2">
      <c r="A57" s="202">
        <v>42</v>
      </c>
      <c r="B57" s="210" t="s">
        <v>34</v>
      </c>
      <c r="C57" s="204">
        <f t="shared" si="0"/>
        <v>70600</v>
      </c>
      <c r="D57" s="204">
        <f t="shared" si="1"/>
        <v>6671</v>
      </c>
      <c r="E57" s="204">
        <v>984</v>
      </c>
      <c r="F57" s="205">
        <v>5687</v>
      </c>
      <c r="G57" s="206">
        <f t="shared" si="2"/>
        <v>4253</v>
      </c>
      <c r="H57" s="204">
        <v>4200</v>
      </c>
      <c r="I57" s="204">
        <v>53</v>
      </c>
      <c r="J57" s="204">
        <f>'[4]Проф.с иными целями Пр.111'!C57</f>
        <v>59676</v>
      </c>
      <c r="K57" s="207"/>
    </row>
    <row r="58" spans="1:11" s="208" customFormat="1" x14ac:dyDescent="0.2">
      <c r="A58" s="202">
        <v>43</v>
      </c>
      <c r="B58" s="210" t="s">
        <v>43</v>
      </c>
      <c r="C58" s="204">
        <f t="shared" si="0"/>
        <v>45636</v>
      </c>
      <c r="D58" s="204">
        <f t="shared" si="1"/>
        <v>3961</v>
      </c>
      <c r="E58" s="204">
        <v>664</v>
      </c>
      <c r="F58" s="205">
        <v>3297</v>
      </c>
      <c r="G58" s="206">
        <f t="shared" si="2"/>
        <v>2992</v>
      </c>
      <c r="H58" s="204">
        <v>2834</v>
      </c>
      <c r="I58" s="204">
        <v>158</v>
      </c>
      <c r="J58" s="204">
        <f>'[4]Проф.с иными целями Пр.111'!C58</f>
        <v>38683</v>
      </c>
      <c r="K58" s="207"/>
    </row>
    <row r="59" spans="1:11" s="208" customFormat="1" x14ac:dyDescent="0.2">
      <c r="A59" s="202">
        <v>44</v>
      </c>
      <c r="B59" s="210" t="s">
        <v>5</v>
      </c>
      <c r="C59" s="204">
        <f t="shared" si="0"/>
        <v>78704</v>
      </c>
      <c r="D59" s="204">
        <f t="shared" si="1"/>
        <v>6728</v>
      </c>
      <c r="E59" s="204">
        <v>1160</v>
      </c>
      <c r="F59" s="205">
        <v>5568</v>
      </c>
      <c r="G59" s="206">
        <f t="shared" si="2"/>
        <v>5060</v>
      </c>
      <c r="H59" s="204">
        <v>4949</v>
      </c>
      <c r="I59" s="204">
        <v>111</v>
      </c>
      <c r="J59" s="204">
        <f>'[4]Проф.с иными целями Пр.111'!C59</f>
        <v>66916</v>
      </c>
      <c r="K59" s="207"/>
    </row>
    <row r="60" spans="1:11" s="218" customFormat="1" x14ac:dyDescent="0.2">
      <c r="A60" s="202">
        <v>45</v>
      </c>
      <c r="B60" s="210" t="s">
        <v>47</v>
      </c>
      <c r="C60" s="204">
        <f t="shared" si="0"/>
        <v>37153</v>
      </c>
      <c r="D60" s="204">
        <f t="shared" si="1"/>
        <v>2977</v>
      </c>
      <c r="E60" s="204">
        <v>554</v>
      </c>
      <c r="F60" s="205">
        <v>2423</v>
      </c>
      <c r="G60" s="206">
        <f t="shared" si="2"/>
        <v>2429</v>
      </c>
      <c r="H60" s="204">
        <v>2363</v>
      </c>
      <c r="I60" s="204">
        <v>66</v>
      </c>
      <c r="J60" s="204">
        <f>'[4]Проф.с иными целями Пр.111'!C60</f>
        <v>31747</v>
      </c>
      <c r="K60" s="207"/>
    </row>
    <row r="61" spans="1:11" s="208" customFormat="1" x14ac:dyDescent="0.2">
      <c r="A61" s="202">
        <v>46</v>
      </c>
      <c r="B61" s="219" t="s">
        <v>318</v>
      </c>
      <c r="C61" s="204">
        <f t="shared" si="0"/>
        <v>10931</v>
      </c>
      <c r="D61" s="204">
        <f t="shared" si="1"/>
        <v>366</v>
      </c>
      <c r="E61" s="204">
        <v>366</v>
      </c>
      <c r="F61" s="209">
        <v>0</v>
      </c>
      <c r="G61" s="206">
        <f t="shared" si="2"/>
        <v>1560</v>
      </c>
      <c r="H61" s="204">
        <v>1560</v>
      </c>
      <c r="I61" s="204">
        <v>0</v>
      </c>
      <c r="J61" s="204">
        <f>'[4]Проф.с иными целями Пр.111'!C61</f>
        <v>9005</v>
      </c>
      <c r="K61" s="207"/>
    </row>
    <row r="62" spans="1:11" s="208" customFormat="1" x14ac:dyDescent="0.2">
      <c r="A62" s="202">
        <v>47</v>
      </c>
      <c r="B62" s="210" t="s">
        <v>80</v>
      </c>
      <c r="C62" s="204">
        <f t="shared" si="0"/>
        <v>21637</v>
      </c>
      <c r="D62" s="204">
        <f t="shared" si="1"/>
        <v>702</v>
      </c>
      <c r="E62" s="204">
        <v>702</v>
      </c>
      <c r="F62" s="209">
        <v>0</v>
      </c>
      <c r="G62" s="206">
        <f t="shared" si="2"/>
        <v>2995</v>
      </c>
      <c r="H62" s="204">
        <v>2995</v>
      </c>
      <c r="I62" s="204">
        <v>0</v>
      </c>
      <c r="J62" s="204">
        <f>'[4]Проф.с иными целями Пр.111'!C62</f>
        <v>17940</v>
      </c>
      <c r="K62" s="207"/>
    </row>
    <row r="63" spans="1:11" s="208" customFormat="1" x14ac:dyDescent="0.2">
      <c r="A63" s="202">
        <v>48</v>
      </c>
      <c r="B63" s="203" t="s">
        <v>45</v>
      </c>
      <c r="C63" s="204">
        <f t="shared" si="0"/>
        <v>317692</v>
      </c>
      <c r="D63" s="204">
        <f t="shared" si="1"/>
        <v>28560</v>
      </c>
      <c r="E63" s="204">
        <v>4373</v>
      </c>
      <c r="F63" s="205">
        <v>24187</v>
      </c>
      <c r="G63" s="206">
        <f t="shared" si="2"/>
        <v>19359</v>
      </c>
      <c r="H63" s="204">
        <v>18657</v>
      </c>
      <c r="I63" s="204">
        <v>702</v>
      </c>
      <c r="J63" s="204">
        <f>'[4]Проф.с иными целями Пр.111'!C63</f>
        <v>269773</v>
      </c>
      <c r="K63" s="207"/>
    </row>
    <row r="64" spans="1:11" s="208" customFormat="1" x14ac:dyDescent="0.2">
      <c r="A64" s="202">
        <v>49</v>
      </c>
      <c r="B64" s="210" t="s">
        <v>9</v>
      </c>
      <c r="C64" s="204">
        <f t="shared" si="0"/>
        <v>219932</v>
      </c>
      <c r="D64" s="204">
        <f t="shared" si="1"/>
        <v>18080</v>
      </c>
      <c r="E64" s="204">
        <v>3164</v>
      </c>
      <c r="F64" s="205">
        <v>14916</v>
      </c>
      <c r="G64" s="206">
        <f t="shared" si="2"/>
        <v>13655</v>
      </c>
      <c r="H64" s="204">
        <v>13499</v>
      </c>
      <c r="I64" s="204">
        <v>156</v>
      </c>
      <c r="J64" s="204">
        <f>'[4]Проф.с иными целями Пр.111'!C64</f>
        <v>188197</v>
      </c>
      <c r="K64" s="207"/>
    </row>
    <row r="65" spans="1:11" s="208" customFormat="1" x14ac:dyDescent="0.2">
      <c r="A65" s="202">
        <v>50</v>
      </c>
      <c r="B65" s="203" t="s">
        <v>81</v>
      </c>
      <c r="C65" s="204">
        <f t="shared" si="0"/>
        <v>265387</v>
      </c>
      <c r="D65" s="204">
        <f t="shared" si="1"/>
        <v>22172</v>
      </c>
      <c r="E65" s="204">
        <v>3607</v>
      </c>
      <c r="F65" s="205">
        <v>18565</v>
      </c>
      <c r="G65" s="206">
        <f t="shared" si="2"/>
        <v>15728</v>
      </c>
      <c r="H65" s="204">
        <v>15385</v>
      </c>
      <c r="I65" s="204">
        <v>343</v>
      </c>
      <c r="J65" s="204">
        <f>'[4]Проф.с иными целями Пр.111'!C65</f>
        <v>227487</v>
      </c>
      <c r="K65" s="207"/>
    </row>
    <row r="66" spans="1:11" s="208" customFormat="1" ht="25.5" x14ac:dyDescent="0.2">
      <c r="A66" s="202">
        <v>51</v>
      </c>
      <c r="B66" s="203" t="s">
        <v>414</v>
      </c>
      <c r="C66" s="204">
        <f t="shared" si="0"/>
        <v>11200</v>
      </c>
      <c r="D66" s="204">
        <f t="shared" si="1"/>
        <v>0</v>
      </c>
      <c r="E66" s="204">
        <v>0</v>
      </c>
      <c r="F66" s="209">
        <v>0</v>
      </c>
      <c r="G66" s="206">
        <f t="shared" si="2"/>
        <v>0</v>
      </c>
      <c r="H66" s="204">
        <v>0</v>
      </c>
      <c r="I66" s="204">
        <v>0</v>
      </c>
      <c r="J66" s="204">
        <f>'[4]Проф.с иными целями Пр.111'!C66</f>
        <v>11200</v>
      </c>
      <c r="K66" s="207"/>
    </row>
    <row r="67" spans="1:11" s="208" customFormat="1" x14ac:dyDescent="0.2">
      <c r="A67" s="202">
        <v>52</v>
      </c>
      <c r="B67" s="210" t="s">
        <v>20</v>
      </c>
      <c r="C67" s="204">
        <f t="shared" si="0"/>
        <v>90001</v>
      </c>
      <c r="D67" s="204">
        <f t="shared" si="1"/>
        <v>7930</v>
      </c>
      <c r="E67" s="204">
        <v>1272</v>
      </c>
      <c r="F67" s="205">
        <v>6658</v>
      </c>
      <c r="G67" s="206">
        <f t="shared" si="2"/>
        <v>5587</v>
      </c>
      <c r="H67" s="204">
        <v>5430</v>
      </c>
      <c r="I67" s="204">
        <v>157</v>
      </c>
      <c r="J67" s="204">
        <f>'[4]Проф.с иными целями Пр.111'!C67</f>
        <v>76484</v>
      </c>
      <c r="K67" s="207"/>
    </row>
    <row r="68" spans="1:11" s="208" customFormat="1" x14ac:dyDescent="0.2">
      <c r="A68" s="202">
        <v>53</v>
      </c>
      <c r="B68" s="203" t="s">
        <v>7</v>
      </c>
      <c r="C68" s="204">
        <f t="shared" si="0"/>
        <v>64821</v>
      </c>
      <c r="D68" s="204">
        <f t="shared" si="1"/>
        <v>5601</v>
      </c>
      <c r="E68" s="204">
        <v>932</v>
      </c>
      <c r="F68" s="205">
        <v>4669</v>
      </c>
      <c r="G68" s="206">
        <f t="shared" si="2"/>
        <v>4114</v>
      </c>
      <c r="H68" s="204">
        <v>3979</v>
      </c>
      <c r="I68" s="204">
        <v>135</v>
      </c>
      <c r="J68" s="204">
        <f>'[4]Проф.с иными целями Пр.111'!C68</f>
        <v>55106</v>
      </c>
      <c r="K68" s="207"/>
    </row>
    <row r="69" spans="1:11" s="208" customFormat="1" x14ac:dyDescent="0.2">
      <c r="A69" s="202">
        <v>54</v>
      </c>
      <c r="B69" s="210" t="s">
        <v>12</v>
      </c>
      <c r="C69" s="204">
        <f t="shared" si="0"/>
        <v>50057</v>
      </c>
      <c r="D69" s="204">
        <f t="shared" si="1"/>
        <v>4505</v>
      </c>
      <c r="E69" s="204">
        <v>721</v>
      </c>
      <c r="F69" s="205">
        <v>3784</v>
      </c>
      <c r="G69" s="206">
        <f t="shared" si="2"/>
        <v>3243</v>
      </c>
      <c r="H69" s="204">
        <v>3077</v>
      </c>
      <c r="I69" s="204">
        <v>166</v>
      </c>
      <c r="J69" s="204">
        <f>'[4]Проф.с иными целями Пр.111'!C69</f>
        <v>42309</v>
      </c>
      <c r="K69" s="207"/>
    </row>
    <row r="70" spans="1:11" s="208" customFormat="1" x14ac:dyDescent="0.2">
      <c r="A70" s="202">
        <v>55</v>
      </c>
      <c r="B70" s="203" t="s">
        <v>27</v>
      </c>
      <c r="C70" s="204">
        <f t="shared" si="0"/>
        <v>75443</v>
      </c>
      <c r="D70" s="204">
        <f t="shared" si="1"/>
        <v>6513</v>
      </c>
      <c r="E70" s="204">
        <v>1096</v>
      </c>
      <c r="F70" s="205">
        <v>5417</v>
      </c>
      <c r="G70" s="206">
        <f t="shared" si="2"/>
        <v>4814</v>
      </c>
      <c r="H70" s="204">
        <v>4677</v>
      </c>
      <c r="I70" s="204">
        <v>137</v>
      </c>
      <c r="J70" s="204">
        <f>'[4]Проф.с иными целями Пр.111'!C70</f>
        <v>64116</v>
      </c>
      <c r="K70" s="207"/>
    </row>
    <row r="71" spans="1:11" s="208" customFormat="1" x14ac:dyDescent="0.2">
      <c r="A71" s="202">
        <v>56</v>
      </c>
      <c r="B71" s="203" t="s">
        <v>417</v>
      </c>
      <c r="C71" s="204">
        <f t="shared" si="0"/>
        <v>44</v>
      </c>
      <c r="D71" s="204">
        <f t="shared" si="1"/>
        <v>0</v>
      </c>
      <c r="E71" s="204">
        <v>0</v>
      </c>
      <c r="F71" s="209">
        <v>0</v>
      </c>
      <c r="G71" s="206">
        <f t="shared" si="2"/>
        <v>0</v>
      </c>
      <c r="H71" s="204">
        <v>0</v>
      </c>
      <c r="I71" s="204">
        <v>0</v>
      </c>
      <c r="J71" s="204">
        <f>'[4]Проф.с иными целями Пр.111'!C71</f>
        <v>44</v>
      </c>
      <c r="K71" s="207"/>
    </row>
    <row r="72" spans="1:11" s="208" customFormat="1" x14ac:dyDescent="0.2">
      <c r="A72" s="202">
        <v>57</v>
      </c>
      <c r="B72" s="210" t="s">
        <v>23</v>
      </c>
      <c r="C72" s="204">
        <f t="shared" si="0"/>
        <v>31604</v>
      </c>
      <c r="D72" s="204">
        <f t="shared" si="1"/>
        <v>2461</v>
      </c>
      <c r="E72" s="204">
        <v>476</v>
      </c>
      <c r="F72" s="205">
        <v>1985</v>
      </c>
      <c r="G72" s="206">
        <f t="shared" si="2"/>
        <v>2072</v>
      </c>
      <c r="H72" s="204">
        <v>2032</v>
      </c>
      <c r="I72" s="204">
        <v>40</v>
      </c>
      <c r="J72" s="204">
        <f>'[4]Проф.с иными целями Пр.111'!C72</f>
        <v>27071</v>
      </c>
      <c r="K72" s="207"/>
    </row>
    <row r="73" spans="1:11" s="208" customFormat="1" x14ac:dyDescent="0.2">
      <c r="A73" s="202">
        <v>58</v>
      </c>
      <c r="B73" s="210" t="s">
        <v>40</v>
      </c>
      <c r="C73" s="204">
        <f t="shared" si="0"/>
        <v>63378</v>
      </c>
      <c r="D73" s="204">
        <f t="shared" si="1"/>
        <v>5525</v>
      </c>
      <c r="E73" s="204">
        <v>903</v>
      </c>
      <c r="F73" s="205">
        <v>4622</v>
      </c>
      <c r="G73" s="206">
        <f t="shared" si="2"/>
        <v>3874</v>
      </c>
      <c r="H73" s="204">
        <v>3854</v>
      </c>
      <c r="I73" s="204">
        <v>20</v>
      </c>
      <c r="J73" s="204">
        <f>'[4]Проф.с иными целями Пр.111'!C73</f>
        <v>53979</v>
      </c>
      <c r="K73" s="207"/>
    </row>
    <row r="74" spans="1:11" s="208" customFormat="1" x14ac:dyDescent="0.2">
      <c r="A74" s="202">
        <v>59</v>
      </c>
      <c r="B74" s="210" t="s">
        <v>2</v>
      </c>
      <c r="C74" s="204">
        <f t="shared" si="0"/>
        <v>92914</v>
      </c>
      <c r="D74" s="204">
        <f t="shared" si="1"/>
        <v>8333</v>
      </c>
      <c r="E74" s="204">
        <v>1332</v>
      </c>
      <c r="F74" s="205">
        <v>7001</v>
      </c>
      <c r="G74" s="206">
        <f t="shared" si="2"/>
        <v>5801</v>
      </c>
      <c r="H74" s="204">
        <v>5680</v>
      </c>
      <c r="I74" s="204">
        <v>121</v>
      </c>
      <c r="J74" s="204">
        <f>'[4]Проф.с иными целями Пр.111'!C74</f>
        <v>78780</v>
      </c>
      <c r="K74" s="207"/>
    </row>
    <row r="75" spans="1:11" s="208" customFormat="1" x14ac:dyDescent="0.2">
      <c r="A75" s="202">
        <v>60</v>
      </c>
      <c r="B75" s="203" t="s">
        <v>51</v>
      </c>
      <c r="C75" s="204">
        <f t="shared" si="0"/>
        <v>50716</v>
      </c>
      <c r="D75" s="204">
        <f t="shared" si="1"/>
        <v>4626</v>
      </c>
      <c r="E75" s="204">
        <v>730</v>
      </c>
      <c r="F75" s="205">
        <v>3896</v>
      </c>
      <c r="G75" s="206">
        <f t="shared" si="2"/>
        <v>3220</v>
      </c>
      <c r="H75" s="204">
        <v>3115</v>
      </c>
      <c r="I75" s="204">
        <v>105</v>
      </c>
      <c r="J75" s="204">
        <f>'[4]Проф.с иными целями Пр.111'!C75</f>
        <v>42870</v>
      </c>
      <c r="K75" s="207"/>
    </row>
    <row r="76" spans="1:11" s="208" customFormat="1" ht="25.5" x14ac:dyDescent="0.2">
      <c r="A76" s="202">
        <v>61</v>
      </c>
      <c r="B76" s="210" t="s">
        <v>415</v>
      </c>
      <c r="C76" s="204">
        <f t="shared" ref="C76:C140" si="3">D76+G76+J76</f>
        <v>55</v>
      </c>
      <c r="D76" s="204">
        <f t="shared" ref="D76:D140" si="4">E76+F76</f>
        <v>0</v>
      </c>
      <c r="E76" s="204">
        <v>0</v>
      </c>
      <c r="F76" s="209">
        <v>0</v>
      </c>
      <c r="G76" s="206">
        <f t="shared" ref="G76:G140" si="5">H76+I76</f>
        <v>0</v>
      </c>
      <c r="H76" s="204">
        <v>0</v>
      </c>
      <c r="I76" s="204">
        <v>0</v>
      </c>
      <c r="J76" s="204">
        <f>'[4]Проф.с иными целями Пр.111'!C76</f>
        <v>55</v>
      </c>
      <c r="K76" s="207"/>
    </row>
    <row r="77" spans="1:11" s="208" customFormat="1" x14ac:dyDescent="0.2">
      <c r="A77" s="202">
        <v>62</v>
      </c>
      <c r="B77" s="210" t="s">
        <v>416</v>
      </c>
      <c r="C77" s="204">
        <f t="shared" si="3"/>
        <v>25</v>
      </c>
      <c r="D77" s="204">
        <f t="shared" si="4"/>
        <v>0</v>
      </c>
      <c r="E77" s="204">
        <v>0</v>
      </c>
      <c r="F77" s="209">
        <v>0</v>
      </c>
      <c r="G77" s="206">
        <f t="shared" si="5"/>
        <v>0</v>
      </c>
      <c r="H77" s="204">
        <v>0</v>
      </c>
      <c r="I77" s="204">
        <v>0</v>
      </c>
      <c r="J77" s="204">
        <f>'[4]Проф.с иными целями Пр.111'!C77</f>
        <v>25</v>
      </c>
      <c r="K77" s="207"/>
    </row>
    <row r="78" spans="1:11" s="208" customFormat="1" ht="25.5" x14ac:dyDescent="0.2">
      <c r="A78" s="202">
        <v>63</v>
      </c>
      <c r="B78" s="210" t="s">
        <v>419</v>
      </c>
      <c r="C78" s="204">
        <f t="shared" si="3"/>
        <v>22</v>
      </c>
      <c r="D78" s="204">
        <f t="shared" si="4"/>
        <v>0</v>
      </c>
      <c r="E78" s="204">
        <v>0</v>
      </c>
      <c r="F78" s="209">
        <v>0</v>
      </c>
      <c r="G78" s="206">
        <f t="shared" si="5"/>
        <v>0</v>
      </c>
      <c r="H78" s="204">
        <v>0</v>
      </c>
      <c r="I78" s="204">
        <v>0</v>
      </c>
      <c r="J78" s="204">
        <f>'[4]Проф.с иными целями Пр.111'!C78</f>
        <v>22</v>
      </c>
      <c r="K78" s="207"/>
    </row>
    <row r="79" spans="1:11" s="208" customFormat="1" x14ac:dyDescent="0.2">
      <c r="A79" s="202">
        <v>64</v>
      </c>
      <c r="B79" s="220" t="s">
        <v>376</v>
      </c>
      <c r="C79" s="204">
        <f t="shared" si="3"/>
        <v>226489</v>
      </c>
      <c r="D79" s="204">
        <f t="shared" si="4"/>
        <v>30348</v>
      </c>
      <c r="E79" s="204">
        <v>0</v>
      </c>
      <c r="F79" s="205">
        <v>30348</v>
      </c>
      <c r="G79" s="206">
        <f t="shared" si="5"/>
        <v>270</v>
      </c>
      <c r="H79" s="204">
        <v>0</v>
      </c>
      <c r="I79" s="204">
        <v>270</v>
      </c>
      <c r="J79" s="204">
        <f>'[4]Проф.с иными целями Пр.111'!C79</f>
        <v>195871</v>
      </c>
      <c r="K79" s="207"/>
    </row>
    <row r="80" spans="1:11" s="208" customFormat="1" x14ac:dyDescent="0.2">
      <c r="A80" s="202">
        <v>65</v>
      </c>
      <c r="B80" s="220" t="s">
        <v>377</v>
      </c>
      <c r="C80" s="204">
        <f t="shared" si="3"/>
        <v>195701</v>
      </c>
      <c r="D80" s="204">
        <f t="shared" si="4"/>
        <v>26067</v>
      </c>
      <c r="E80" s="204">
        <v>0</v>
      </c>
      <c r="F80" s="205">
        <v>26067</v>
      </c>
      <c r="G80" s="206">
        <f t="shared" si="5"/>
        <v>418</v>
      </c>
      <c r="H80" s="204">
        <v>0</v>
      </c>
      <c r="I80" s="204">
        <v>418</v>
      </c>
      <c r="J80" s="204">
        <f>'[4]Проф.с иными целями Пр.111'!C80</f>
        <v>169216</v>
      </c>
      <c r="K80" s="207"/>
    </row>
    <row r="81" spans="1:11" s="208" customFormat="1" x14ac:dyDescent="0.2">
      <c r="A81" s="202">
        <v>66</v>
      </c>
      <c r="B81" s="220" t="s">
        <v>378</v>
      </c>
      <c r="C81" s="204">
        <f t="shared" si="3"/>
        <v>267996</v>
      </c>
      <c r="D81" s="204">
        <f t="shared" si="4"/>
        <v>34032</v>
      </c>
      <c r="E81" s="204">
        <v>0</v>
      </c>
      <c r="F81" s="205">
        <v>34032</v>
      </c>
      <c r="G81" s="206">
        <f t="shared" si="5"/>
        <v>90</v>
      </c>
      <c r="H81" s="204">
        <v>0</v>
      </c>
      <c r="I81" s="204">
        <v>90</v>
      </c>
      <c r="J81" s="204">
        <f>'[4]Проф.с иными целями Пр.111'!C81</f>
        <v>233874</v>
      </c>
      <c r="K81" s="207"/>
    </row>
    <row r="82" spans="1:11" s="208" customFormat="1" x14ac:dyDescent="0.2">
      <c r="A82" s="202">
        <v>67</v>
      </c>
      <c r="B82" s="220" t="s">
        <v>379</v>
      </c>
      <c r="C82" s="204">
        <f t="shared" si="3"/>
        <v>334174</v>
      </c>
      <c r="D82" s="204">
        <f t="shared" si="4"/>
        <v>42137</v>
      </c>
      <c r="E82" s="204">
        <v>0</v>
      </c>
      <c r="F82" s="205">
        <v>42137</v>
      </c>
      <c r="G82" s="206">
        <f t="shared" si="5"/>
        <v>278</v>
      </c>
      <c r="H82" s="204">
        <v>0</v>
      </c>
      <c r="I82" s="204">
        <v>278</v>
      </c>
      <c r="J82" s="204">
        <f>'[4]Проф.с иными целями Пр.111'!C82</f>
        <v>291759</v>
      </c>
      <c r="K82" s="207"/>
    </row>
    <row r="83" spans="1:11" s="208" customFormat="1" x14ac:dyDescent="0.2">
      <c r="A83" s="202">
        <v>68</v>
      </c>
      <c r="B83" s="220" t="s">
        <v>380</v>
      </c>
      <c r="C83" s="204">
        <f t="shared" si="3"/>
        <v>123172</v>
      </c>
      <c r="D83" s="204">
        <f t="shared" si="4"/>
        <v>17540</v>
      </c>
      <c r="E83" s="204">
        <v>0</v>
      </c>
      <c r="F83" s="205">
        <v>17540</v>
      </c>
      <c r="G83" s="206">
        <f t="shared" si="5"/>
        <v>92</v>
      </c>
      <c r="H83" s="204">
        <v>0</v>
      </c>
      <c r="I83" s="204">
        <v>92</v>
      </c>
      <c r="J83" s="204">
        <f>'[4]Проф.с иными целями Пр.111'!C83</f>
        <v>105540</v>
      </c>
      <c r="K83" s="207"/>
    </row>
    <row r="84" spans="1:11" s="208" customFormat="1" ht="25.5" x14ac:dyDescent="0.2">
      <c r="A84" s="202">
        <v>69</v>
      </c>
      <c r="B84" s="220" t="s">
        <v>421</v>
      </c>
      <c r="C84" s="204">
        <f t="shared" si="3"/>
        <v>29476</v>
      </c>
      <c r="D84" s="204">
        <f t="shared" si="4"/>
        <v>0</v>
      </c>
      <c r="E84" s="204">
        <v>0</v>
      </c>
      <c r="F84" s="209">
        <v>0</v>
      </c>
      <c r="G84" s="206">
        <f t="shared" si="5"/>
        <v>0</v>
      </c>
      <c r="H84" s="204">
        <v>0</v>
      </c>
      <c r="I84" s="204">
        <v>0</v>
      </c>
      <c r="J84" s="204">
        <f>'[4]Проф.с иными целями Пр.111'!C84</f>
        <v>29476</v>
      </c>
      <c r="K84" s="207"/>
    </row>
    <row r="85" spans="1:11" s="208" customFormat="1" ht="25.5" x14ac:dyDescent="0.2">
      <c r="A85" s="202">
        <v>70</v>
      </c>
      <c r="B85" s="220" t="s">
        <v>381</v>
      </c>
      <c r="C85" s="204">
        <f t="shared" si="3"/>
        <v>31433</v>
      </c>
      <c r="D85" s="204">
        <f t="shared" si="4"/>
        <v>0</v>
      </c>
      <c r="E85" s="204">
        <v>0</v>
      </c>
      <c r="F85" s="209">
        <v>0</v>
      </c>
      <c r="G85" s="206">
        <f t="shared" si="5"/>
        <v>0</v>
      </c>
      <c r="H85" s="204">
        <v>0</v>
      </c>
      <c r="I85" s="204">
        <v>0</v>
      </c>
      <c r="J85" s="204">
        <f>'[4]Проф.с иными целями Пр.111'!C85</f>
        <v>31433</v>
      </c>
      <c r="K85" s="207"/>
    </row>
    <row r="86" spans="1:11" s="208" customFormat="1" x14ac:dyDescent="0.2">
      <c r="A86" s="202">
        <v>71</v>
      </c>
      <c r="B86" s="220" t="s">
        <v>365</v>
      </c>
      <c r="C86" s="204">
        <f t="shared" si="3"/>
        <v>88617</v>
      </c>
      <c r="D86" s="204">
        <f t="shared" si="4"/>
        <v>5584</v>
      </c>
      <c r="E86" s="204">
        <v>3062</v>
      </c>
      <c r="F86" s="205">
        <v>2522</v>
      </c>
      <c r="G86" s="206">
        <f t="shared" si="5"/>
        <v>13066</v>
      </c>
      <c r="H86" s="204">
        <v>13066</v>
      </c>
      <c r="I86" s="204">
        <v>0</v>
      </c>
      <c r="J86" s="204">
        <f>'[4]Проф.с иными целями Пр.111'!C86</f>
        <v>69967</v>
      </c>
      <c r="K86" s="207"/>
    </row>
    <row r="87" spans="1:11" s="208" customFormat="1" x14ac:dyDescent="0.2">
      <c r="A87" s="202">
        <v>72</v>
      </c>
      <c r="B87" s="220" t="s">
        <v>366</v>
      </c>
      <c r="C87" s="204">
        <f t="shared" si="3"/>
        <v>60426</v>
      </c>
      <c r="D87" s="204">
        <f t="shared" si="4"/>
        <v>1979</v>
      </c>
      <c r="E87" s="204">
        <v>1979</v>
      </c>
      <c r="F87" s="209">
        <v>0</v>
      </c>
      <c r="G87" s="206">
        <f t="shared" si="5"/>
        <v>8444</v>
      </c>
      <c r="H87" s="204">
        <v>8444</v>
      </c>
      <c r="I87" s="204">
        <v>0</v>
      </c>
      <c r="J87" s="204">
        <f>'[4]Проф.с иными целями Пр.111'!C87</f>
        <v>50003</v>
      </c>
      <c r="K87" s="207"/>
    </row>
    <row r="88" spans="1:11" s="208" customFormat="1" x14ac:dyDescent="0.2">
      <c r="A88" s="202">
        <v>73</v>
      </c>
      <c r="B88" s="220" t="s">
        <v>367</v>
      </c>
      <c r="C88" s="204">
        <f t="shared" si="3"/>
        <v>50365</v>
      </c>
      <c r="D88" s="204">
        <f t="shared" si="4"/>
        <v>1907</v>
      </c>
      <c r="E88" s="204">
        <v>1907</v>
      </c>
      <c r="F88" s="209">
        <v>0</v>
      </c>
      <c r="G88" s="206">
        <f t="shared" si="5"/>
        <v>8136</v>
      </c>
      <c r="H88" s="204">
        <v>8136</v>
      </c>
      <c r="I88" s="204">
        <v>0</v>
      </c>
      <c r="J88" s="204">
        <f>'[4]Проф.с иными целями Пр.111'!C88</f>
        <v>40322</v>
      </c>
      <c r="K88" s="207"/>
    </row>
    <row r="89" spans="1:11" s="208" customFormat="1" x14ac:dyDescent="0.2">
      <c r="A89" s="202">
        <v>74</v>
      </c>
      <c r="B89" s="220" t="s">
        <v>368</v>
      </c>
      <c r="C89" s="204">
        <f t="shared" si="3"/>
        <v>50798</v>
      </c>
      <c r="D89" s="204">
        <f t="shared" si="4"/>
        <v>1440</v>
      </c>
      <c r="E89" s="204">
        <v>1440</v>
      </c>
      <c r="F89" s="209">
        <v>0</v>
      </c>
      <c r="G89" s="206">
        <f t="shared" si="5"/>
        <v>6142</v>
      </c>
      <c r="H89" s="204">
        <v>6142</v>
      </c>
      <c r="I89" s="204">
        <v>0</v>
      </c>
      <c r="J89" s="204">
        <f>'[4]Проф.с иными целями Пр.111'!C89</f>
        <v>43216</v>
      </c>
      <c r="K89" s="207"/>
    </row>
    <row r="90" spans="1:11" s="208" customFormat="1" x14ac:dyDescent="0.2">
      <c r="A90" s="202">
        <v>75</v>
      </c>
      <c r="B90" s="220" t="s">
        <v>369</v>
      </c>
      <c r="C90" s="204">
        <f t="shared" si="3"/>
        <v>123946</v>
      </c>
      <c r="D90" s="204">
        <f t="shared" si="4"/>
        <v>3753</v>
      </c>
      <c r="E90" s="204">
        <v>3753</v>
      </c>
      <c r="F90" s="209">
        <v>0</v>
      </c>
      <c r="G90" s="206">
        <f t="shared" si="5"/>
        <v>15996</v>
      </c>
      <c r="H90" s="204">
        <v>15996</v>
      </c>
      <c r="I90" s="204">
        <v>0</v>
      </c>
      <c r="J90" s="204">
        <f>'[4]Проф.с иными целями Пр.111'!C90</f>
        <v>104197</v>
      </c>
      <c r="K90" s="207"/>
    </row>
    <row r="91" spans="1:11" s="208" customFormat="1" x14ac:dyDescent="0.2">
      <c r="A91" s="202">
        <v>76</v>
      </c>
      <c r="B91" s="220" t="s">
        <v>370</v>
      </c>
      <c r="C91" s="204">
        <f t="shared" si="3"/>
        <v>62996</v>
      </c>
      <c r="D91" s="204">
        <f t="shared" si="4"/>
        <v>1911</v>
      </c>
      <c r="E91" s="204">
        <v>1911</v>
      </c>
      <c r="F91" s="209">
        <v>0</v>
      </c>
      <c r="G91" s="206">
        <f t="shared" si="5"/>
        <v>8153</v>
      </c>
      <c r="H91" s="204">
        <v>8153</v>
      </c>
      <c r="I91" s="204">
        <v>0</v>
      </c>
      <c r="J91" s="204">
        <f>'[4]Проф.с иными целями Пр.111'!C91</f>
        <v>52932</v>
      </c>
      <c r="K91" s="207"/>
    </row>
    <row r="92" spans="1:11" s="208" customFormat="1" x14ac:dyDescent="0.2">
      <c r="A92" s="202">
        <v>77</v>
      </c>
      <c r="B92" s="220" t="s">
        <v>371</v>
      </c>
      <c r="C92" s="204">
        <f t="shared" si="3"/>
        <v>66420</v>
      </c>
      <c r="D92" s="204">
        <f t="shared" si="4"/>
        <v>2161</v>
      </c>
      <c r="E92" s="204">
        <v>2161</v>
      </c>
      <c r="F92" s="209">
        <v>0</v>
      </c>
      <c r="G92" s="206">
        <f t="shared" si="5"/>
        <v>9218</v>
      </c>
      <c r="H92" s="204">
        <v>9218</v>
      </c>
      <c r="I92" s="204">
        <v>0</v>
      </c>
      <c r="J92" s="204">
        <f>'[4]Проф.с иными целями Пр.111'!C92</f>
        <v>55041</v>
      </c>
      <c r="K92" s="207"/>
    </row>
    <row r="93" spans="1:11" s="208" customFormat="1" x14ac:dyDescent="0.2">
      <c r="A93" s="202">
        <v>78</v>
      </c>
      <c r="B93" s="220" t="s">
        <v>372</v>
      </c>
      <c r="C93" s="204">
        <f t="shared" si="3"/>
        <v>32525</v>
      </c>
      <c r="D93" s="204">
        <f t="shared" si="4"/>
        <v>1286</v>
      </c>
      <c r="E93" s="204">
        <v>1286</v>
      </c>
      <c r="F93" s="209">
        <v>0</v>
      </c>
      <c r="G93" s="206">
        <f t="shared" si="5"/>
        <v>5486</v>
      </c>
      <c r="H93" s="204">
        <v>5486</v>
      </c>
      <c r="I93" s="204">
        <v>0</v>
      </c>
      <c r="J93" s="204">
        <f>'[4]Проф.с иными целями Пр.111'!C93</f>
        <v>25753</v>
      </c>
      <c r="K93" s="207"/>
    </row>
    <row r="94" spans="1:11" s="208" customFormat="1" x14ac:dyDescent="0.2">
      <c r="A94" s="202">
        <v>79</v>
      </c>
      <c r="B94" s="220" t="s">
        <v>237</v>
      </c>
      <c r="C94" s="204">
        <f t="shared" si="3"/>
        <v>126054</v>
      </c>
      <c r="D94" s="204">
        <f t="shared" si="4"/>
        <v>3660</v>
      </c>
      <c r="E94" s="204">
        <v>3660</v>
      </c>
      <c r="F94" s="209">
        <v>0</v>
      </c>
      <c r="G94" s="206">
        <f t="shared" si="5"/>
        <v>15614</v>
      </c>
      <c r="H94" s="204">
        <v>15614</v>
      </c>
      <c r="I94" s="204">
        <v>0</v>
      </c>
      <c r="J94" s="204">
        <f>'[4]Проф.с иными целями Пр.111'!C94</f>
        <v>106780</v>
      </c>
      <c r="K94" s="207"/>
    </row>
    <row r="95" spans="1:11" s="208" customFormat="1" x14ac:dyDescent="0.2">
      <c r="A95" s="202">
        <v>80</v>
      </c>
      <c r="B95" s="220" t="s">
        <v>373</v>
      </c>
      <c r="C95" s="204">
        <f t="shared" si="3"/>
        <v>43138</v>
      </c>
      <c r="D95" s="204">
        <f t="shared" si="4"/>
        <v>1687</v>
      </c>
      <c r="E95" s="204">
        <v>1687</v>
      </c>
      <c r="F95" s="209">
        <v>0</v>
      </c>
      <c r="G95" s="206">
        <f t="shared" si="5"/>
        <v>7196</v>
      </c>
      <c r="H95" s="204">
        <v>7196</v>
      </c>
      <c r="I95" s="204">
        <v>0</v>
      </c>
      <c r="J95" s="204">
        <f>'[4]Проф.с иными целями Пр.111'!C95</f>
        <v>34255</v>
      </c>
      <c r="K95" s="207"/>
    </row>
    <row r="96" spans="1:11" s="208" customFormat="1" x14ac:dyDescent="0.2">
      <c r="A96" s="202">
        <v>81</v>
      </c>
      <c r="B96" s="220" t="s">
        <v>374</v>
      </c>
      <c r="C96" s="204">
        <f t="shared" si="3"/>
        <v>42231</v>
      </c>
      <c r="D96" s="204">
        <f t="shared" si="4"/>
        <v>1639</v>
      </c>
      <c r="E96" s="204">
        <v>1639</v>
      </c>
      <c r="F96" s="209">
        <v>0</v>
      </c>
      <c r="G96" s="206">
        <f t="shared" si="5"/>
        <v>6995</v>
      </c>
      <c r="H96" s="204">
        <v>6995</v>
      </c>
      <c r="I96" s="204">
        <v>0</v>
      </c>
      <c r="J96" s="204">
        <f>'[4]Проф.с иными целями Пр.111'!C96</f>
        <v>33597</v>
      </c>
      <c r="K96" s="207"/>
    </row>
    <row r="97" spans="1:11" s="208" customFormat="1" ht="25.5" x14ac:dyDescent="0.2">
      <c r="A97" s="202">
        <v>82</v>
      </c>
      <c r="B97" s="220" t="s">
        <v>422</v>
      </c>
      <c r="C97" s="204">
        <f t="shared" si="3"/>
        <v>3111</v>
      </c>
      <c r="D97" s="204">
        <f t="shared" si="4"/>
        <v>0</v>
      </c>
      <c r="E97" s="204">
        <v>0</v>
      </c>
      <c r="F97" s="209">
        <v>0</v>
      </c>
      <c r="G97" s="206">
        <f t="shared" si="5"/>
        <v>0</v>
      </c>
      <c r="H97" s="204">
        <v>0</v>
      </c>
      <c r="I97" s="204">
        <v>0</v>
      </c>
      <c r="J97" s="204">
        <f>'[4]Проф.с иными целями Пр.111'!C97</f>
        <v>3111</v>
      </c>
      <c r="K97" s="207"/>
    </row>
    <row r="98" spans="1:11" s="208" customFormat="1" ht="25.5" x14ac:dyDescent="0.2">
      <c r="A98" s="202">
        <v>83</v>
      </c>
      <c r="B98" s="220" t="s">
        <v>382</v>
      </c>
      <c r="C98" s="204">
        <f t="shared" si="3"/>
        <v>3578</v>
      </c>
      <c r="D98" s="204">
        <f t="shared" si="4"/>
        <v>0</v>
      </c>
      <c r="E98" s="204">
        <v>0</v>
      </c>
      <c r="F98" s="209">
        <v>0</v>
      </c>
      <c r="G98" s="206">
        <f t="shared" si="5"/>
        <v>0</v>
      </c>
      <c r="H98" s="204">
        <v>0</v>
      </c>
      <c r="I98" s="204">
        <v>0</v>
      </c>
      <c r="J98" s="204">
        <f>'[4]Проф.с иными целями Пр.111'!C98</f>
        <v>3578</v>
      </c>
      <c r="K98" s="207"/>
    </row>
    <row r="99" spans="1:11" s="208" customFormat="1" ht="25.5" x14ac:dyDescent="0.2">
      <c r="A99" s="202">
        <v>84</v>
      </c>
      <c r="B99" s="220" t="s">
        <v>423</v>
      </c>
      <c r="C99" s="204">
        <f t="shared" si="3"/>
        <v>4126</v>
      </c>
      <c r="D99" s="204">
        <f t="shared" si="4"/>
        <v>0</v>
      </c>
      <c r="E99" s="204">
        <v>0</v>
      </c>
      <c r="F99" s="209">
        <v>0</v>
      </c>
      <c r="G99" s="206">
        <f t="shared" si="5"/>
        <v>0</v>
      </c>
      <c r="H99" s="204">
        <v>0</v>
      </c>
      <c r="I99" s="204">
        <v>0</v>
      </c>
      <c r="J99" s="204">
        <f>'[4]Проф.с иными целями Пр.111'!C99</f>
        <v>4126</v>
      </c>
      <c r="K99" s="207"/>
    </row>
    <row r="100" spans="1:11" s="208" customFormat="1" ht="25.5" x14ac:dyDescent="0.2">
      <c r="A100" s="202">
        <v>85</v>
      </c>
      <c r="B100" s="220" t="s">
        <v>424</v>
      </c>
      <c r="C100" s="204">
        <f t="shared" si="3"/>
        <v>3480</v>
      </c>
      <c r="D100" s="204">
        <f t="shared" si="4"/>
        <v>0</v>
      </c>
      <c r="E100" s="204">
        <v>0</v>
      </c>
      <c r="F100" s="209">
        <v>0</v>
      </c>
      <c r="G100" s="206">
        <f t="shared" si="5"/>
        <v>0</v>
      </c>
      <c r="H100" s="204">
        <v>0</v>
      </c>
      <c r="I100" s="204">
        <v>0</v>
      </c>
      <c r="J100" s="204">
        <f>'[4]Проф.с иными целями Пр.111'!C100</f>
        <v>3480</v>
      </c>
      <c r="K100" s="207"/>
    </row>
    <row r="101" spans="1:11" s="208" customFormat="1" ht="25.5" x14ac:dyDescent="0.2">
      <c r="A101" s="202">
        <v>86</v>
      </c>
      <c r="B101" s="220" t="s">
        <v>425</v>
      </c>
      <c r="C101" s="204">
        <f t="shared" si="3"/>
        <v>13472</v>
      </c>
      <c r="D101" s="204">
        <f t="shared" si="4"/>
        <v>0</v>
      </c>
      <c r="E101" s="204">
        <v>0</v>
      </c>
      <c r="F101" s="209">
        <v>0</v>
      </c>
      <c r="G101" s="206">
        <f t="shared" si="5"/>
        <v>0</v>
      </c>
      <c r="H101" s="204">
        <v>0</v>
      </c>
      <c r="I101" s="204">
        <v>0</v>
      </c>
      <c r="J101" s="204">
        <f>'[4]Проф.с иными целями Пр.111'!C101</f>
        <v>13472</v>
      </c>
      <c r="K101" s="207"/>
    </row>
    <row r="102" spans="1:11" s="208" customFormat="1" ht="25.5" x14ac:dyDescent="0.2">
      <c r="A102" s="202">
        <v>87</v>
      </c>
      <c r="B102" s="220" t="s">
        <v>463</v>
      </c>
      <c r="C102" s="204">
        <f t="shared" si="3"/>
        <v>3172</v>
      </c>
      <c r="D102" s="204">
        <f t="shared" si="4"/>
        <v>0</v>
      </c>
      <c r="E102" s="204">
        <v>0</v>
      </c>
      <c r="F102" s="209">
        <v>0</v>
      </c>
      <c r="G102" s="206">
        <f t="shared" si="5"/>
        <v>0</v>
      </c>
      <c r="H102" s="204">
        <v>0</v>
      </c>
      <c r="I102" s="204">
        <v>0</v>
      </c>
      <c r="J102" s="204">
        <f>'[4]Проф.с иными целями Пр.111'!C102</f>
        <v>3172</v>
      </c>
      <c r="K102" s="207"/>
    </row>
    <row r="103" spans="1:11" s="208" customFormat="1" ht="25.5" x14ac:dyDescent="0.2">
      <c r="A103" s="202">
        <v>88</v>
      </c>
      <c r="B103" s="220" t="s">
        <v>464</v>
      </c>
      <c r="C103" s="204">
        <f t="shared" si="3"/>
        <v>2676</v>
      </c>
      <c r="D103" s="204">
        <f t="shared" si="4"/>
        <v>0</v>
      </c>
      <c r="E103" s="204">
        <v>0</v>
      </c>
      <c r="F103" s="209">
        <v>0</v>
      </c>
      <c r="G103" s="206">
        <f t="shared" si="5"/>
        <v>0</v>
      </c>
      <c r="H103" s="204">
        <v>0</v>
      </c>
      <c r="I103" s="204">
        <v>0</v>
      </c>
      <c r="J103" s="204">
        <f>'[4]Проф.с иными целями Пр.111'!C103</f>
        <v>2676</v>
      </c>
      <c r="K103" s="207"/>
    </row>
    <row r="104" spans="1:11" s="208" customFormat="1" x14ac:dyDescent="0.2">
      <c r="A104" s="202">
        <v>89</v>
      </c>
      <c r="B104" s="220" t="s">
        <v>428</v>
      </c>
      <c r="C104" s="204">
        <f t="shared" si="3"/>
        <v>199474</v>
      </c>
      <c r="D104" s="204">
        <f t="shared" si="4"/>
        <v>18106</v>
      </c>
      <c r="E104" s="204">
        <v>2198</v>
      </c>
      <c r="F104" s="205">
        <v>15908</v>
      </c>
      <c r="G104" s="206">
        <f t="shared" si="5"/>
        <v>9556</v>
      </c>
      <c r="H104" s="204">
        <v>9378</v>
      </c>
      <c r="I104" s="204">
        <v>178</v>
      </c>
      <c r="J104" s="204">
        <f>'[4]Проф.с иными целями Пр.111'!C104</f>
        <v>171812</v>
      </c>
      <c r="K104" s="207"/>
    </row>
    <row r="105" spans="1:11" s="208" customFormat="1" x14ac:dyDescent="0.2">
      <c r="A105" s="202">
        <v>90</v>
      </c>
      <c r="B105" s="220" t="s">
        <v>63</v>
      </c>
      <c r="C105" s="204">
        <f t="shared" si="3"/>
        <v>81794</v>
      </c>
      <c r="D105" s="204">
        <f t="shared" si="4"/>
        <v>2115</v>
      </c>
      <c r="E105" s="204">
        <v>2115</v>
      </c>
      <c r="F105" s="209">
        <v>0</v>
      </c>
      <c r="G105" s="206">
        <f t="shared" si="5"/>
        <v>9022</v>
      </c>
      <c r="H105" s="204">
        <v>9022</v>
      </c>
      <c r="I105" s="204">
        <v>0</v>
      </c>
      <c r="J105" s="204">
        <f>'[4]Проф.с иными целями Пр.111'!C105</f>
        <v>70657</v>
      </c>
      <c r="K105" s="207"/>
    </row>
    <row r="106" spans="1:11" s="208" customFormat="1" x14ac:dyDescent="0.2">
      <c r="A106" s="202">
        <v>91</v>
      </c>
      <c r="B106" s="220" t="s">
        <v>58</v>
      </c>
      <c r="C106" s="204">
        <f t="shared" si="3"/>
        <v>63892</v>
      </c>
      <c r="D106" s="204">
        <f t="shared" si="4"/>
        <v>1837</v>
      </c>
      <c r="E106" s="204">
        <v>1837</v>
      </c>
      <c r="F106" s="209">
        <v>0</v>
      </c>
      <c r="G106" s="206">
        <f t="shared" si="5"/>
        <v>7837</v>
      </c>
      <c r="H106" s="204">
        <v>7837</v>
      </c>
      <c r="I106" s="204">
        <v>0</v>
      </c>
      <c r="J106" s="204">
        <f>'[4]Проф.с иными целями Пр.111'!C106</f>
        <v>54218</v>
      </c>
      <c r="K106" s="207"/>
    </row>
    <row r="107" spans="1:11" s="208" customFormat="1" x14ac:dyDescent="0.2">
      <c r="A107" s="202">
        <v>92</v>
      </c>
      <c r="B107" s="220" t="s">
        <v>57</v>
      </c>
      <c r="C107" s="204">
        <f t="shared" si="3"/>
        <v>35082</v>
      </c>
      <c r="D107" s="204">
        <f t="shared" si="4"/>
        <v>1052</v>
      </c>
      <c r="E107" s="204">
        <v>1052</v>
      </c>
      <c r="F107" s="209">
        <v>0</v>
      </c>
      <c r="G107" s="206">
        <f t="shared" si="5"/>
        <v>4490</v>
      </c>
      <c r="H107" s="204">
        <v>4490</v>
      </c>
      <c r="I107" s="204">
        <v>0</v>
      </c>
      <c r="J107" s="204">
        <f>'[4]Проф.с иными целями Пр.111'!C107</f>
        <v>29540</v>
      </c>
      <c r="K107" s="207"/>
    </row>
    <row r="108" spans="1:11" s="208" customFormat="1" x14ac:dyDescent="0.2">
      <c r="A108" s="202">
        <v>93</v>
      </c>
      <c r="B108" s="220" t="s">
        <v>59</v>
      </c>
      <c r="C108" s="204">
        <f t="shared" si="3"/>
        <v>22488</v>
      </c>
      <c r="D108" s="204">
        <f t="shared" si="4"/>
        <v>487</v>
      </c>
      <c r="E108" s="204">
        <v>487</v>
      </c>
      <c r="F108" s="209">
        <v>0</v>
      </c>
      <c r="G108" s="206">
        <f t="shared" si="5"/>
        <v>2081</v>
      </c>
      <c r="H108" s="204">
        <v>2081</v>
      </c>
      <c r="I108" s="204">
        <v>0</v>
      </c>
      <c r="J108" s="204">
        <f>'[4]Проф.с иными целями Пр.111'!C108</f>
        <v>19920</v>
      </c>
      <c r="K108" s="207"/>
    </row>
    <row r="109" spans="1:11" s="208" customFormat="1" x14ac:dyDescent="0.2">
      <c r="A109" s="202">
        <v>94</v>
      </c>
      <c r="B109" s="220" t="s">
        <v>60</v>
      </c>
      <c r="C109" s="204">
        <f t="shared" si="3"/>
        <v>3259</v>
      </c>
      <c r="D109" s="204">
        <f t="shared" si="4"/>
        <v>74</v>
      </c>
      <c r="E109" s="204">
        <v>74</v>
      </c>
      <c r="F109" s="209">
        <v>0</v>
      </c>
      <c r="G109" s="206">
        <f t="shared" si="5"/>
        <v>192</v>
      </c>
      <c r="H109" s="204">
        <v>192</v>
      </c>
      <c r="I109" s="204">
        <v>0</v>
      </c>
      <c r="J109" s="204">
        <f>'[4]Проф.с иными целями Пр.111'!C109</f>
        <v>2993</v>
      </c>
      <c r="K109" s="207"/>
    </row>
    <row r="110" spans="1:11" s="208" customFormat="1" ht="51" x14ac:dyDescent="0.2">
      <c r="A110" s="448">
        <v>95</v>
      </c>
      <c r="B110" s="181" t="s">
        <v>200</v>
      </c>
      <c r="C110" s="204">
        <f t="shared" si="3"/>
        <v>25685</v>
      </c>
      <c r="D110" s="204">
        <f t="shared" si="4"/>
        <v>806</v>
      </c>
      <c r="E110" s="204">
        <v>806</v>
      </c>
      <c r="F110" s="209">
        <v>0</v>
      </c>
      <c r="G110" s="206">
        <f t="shared" si="5"/>
        <v>3560</v>
      </c>
      <c r="H110" s="204">
        <v>3560</v>
      </c>
      <c r="I110" s="204">
        <v>0</v>
      </c>
      <c r="J110" s="204">
        <f>'[4]Проф.с иными целями Пр.111'!C110</f>
        <v>21319</v>
      </c>
      <c r="K110" s="207"/>
    </row>
    <row r="111" spans="1:11" s="208" customFormat="1" x14ac:dyDescent="0.2">
      <c r="A111" s="449"/>
      <c r="B111" s="220" t="s">
        <v>61</v>
      </c>
      <c r="C111" s="204">
        <f t="shared" si="3"/>
        <v>198441</v>
      </c>
      <c r="D111" s="204">
        <f t="shared" si="4"/>
        <v>5565</v>
      </c>
      <c r="E111" s="204">
        <v>5565</v>
      </c>
      <c r="F111" s="209">
        <v>0</v>
      </c>
      <c r="G111" s="206">
        <f t="shared" si="5"/>
        <v>23741</v>
      </c>
      <c r="H111" s="204">
        <v>23741</v>
      </c>
      <c r="I111" s="204">
        <v>0</v>
      </c>
      <c r="J111" s="204">
        <f>'[4]Проф.с иными целями Пр.111'!C111</f>
        <v>169135</v>
      </c>
      <c r="K111" s="207"/>
    </row>
    <row r="112" spans="1:11" s="208" customFormat="1" x14ac:dyDescent="0.2">
      <c r="A112" s="202">
        <v>96</v>
      </c>
      <c r="B112" s="220" t="s">
        <v>64</v>
      </c>
      <c r="C112" s="204">
        <f t="shared" si="3"/>
        <v>200810</v>
      </c>
      <c r="D112" s="204">
        <f t="shared" si="4"/>
        <v>26100</v>
      </c>
      <c r="E112" s="204">
        <v>0</v>
      </c>
      <c r="F112" s="205">
        <v>26100</v>
      </c>
      <c r="G112" s="206">
        <f t="shared" si="5"/>
        <v>501</v>
      </c>
      <c r="H112" s="204">
        <v>0</v>
      </c>
      <c r="I112" s="204">
        <v>501</v>
      </c>
      <c r="J112" s="204">
        <f>'[4]Проф.с иными целями Пр.111'!C112</f>
        <v>174209</v>
      </c>
      <c r="K112" s="207"/>
    </row>
    <row r="113" spans="1:11" s="208" customFormat="1" x14ac:dyDescent="0.2">
      <c r="A113" s="202">
        <v>97</v>
      </c>
      <c r="B113" s="220" t="s">
        <v>62</v>
      </c>
      <c r="C113" s="204">
        <f t="shared" si="3"/>
        <v>79641</v>
      </c>
      <c r="D113" s="204">
        <f t="shared" si="4"/>
        <v>2082</v>
      </c>
      <c r="E113" s="204">
        <v>2082</v>
      </c>
      <c r="F113" s="209">
        <v>0</v>
      </c>
      <c r="G113" s="206">
        <f t="shared" si="5"/>
        <v>8885</v>
      </c>
      <c r="H113" s="204">
        <v>8885</v>
      </c>
      <c r="I113" s="204">
        <v>0</v>
      </c>
      <c r="J113" s="204">
        <f>'[4]Проф.с иными целями Пр.111'!C113</f>
        <v>68674</v>
      </c>
      <c r="K113" s="207"/>
    </row>
    <row r="114" spans="1:11" s="208" customFormat="1" x14ac:dyDescent="0.2">
      <c r="A114" s="202">
        <v>98</v>
      </c>
      <c r="B114" s="220" t="s">
        <v>82</v>
      </c>
      <c r="C114" s="204">
        <f t="shared" si="3"/>
        <v>45026</v>
      </c>
      <c r="D114" s="204">
        <f t="shared" si="4"/>
        <v>0</v>
      </c>
      <c r="E114" s="204">
        <v>0</v>
      </c>
      <c r="F114" s="209">
        <v>0</v>
      </c>
      <c r="G114" s="206">
        <f t="shared" si="5"/>
        <v>0</v>
      </c>
      <c r="H114" s="204">
        <v>0</v>
      </c>
      <c r="I114" s="204">
        <v>0</v>
      </c>
      <c r="J114" s="204">
        <f>'[4]Проф.с иными целями Пр.111'!C114</f>
        <v>45026</v>
      </c>
      <c r="K114" s="207"/>
    </row>
    <row r="115" spans="1:11" s="208" customFormat="1" x14ac:dyDescent="0.2">
      <c r="A115" s="448">
        <v>99</v>
      </c>
      <c r="B115" s="220" t="s">
        <v>65</v>
      </c>
      <c r="C115" s="204">
        <f t="shared" si="3"/>
        <v>22860</v>
      </c>
      <c r="D115" s="204">
        <f t="shared" si="4"/>
        <v>335</v>
      </c>
      <c r="E115" s="204">
        <v>335</v>
      </c>
      <c r="F115" s="209">
        <v>0</v>
      </c>
      <c r="G115" s="206">
        <f t="shared" si="5"/>
        <v>1430</v>
      </c>
      <c r="H115" s="204">
        <v>1430</v>
      </c>
      <c r="I115" s="204">
        <v>0</v>
      </c>
      <c r="J115" s="204">
        <f>'[4]Проф.с иными целями Пр.111'!C115</f>
        <v>21095</v>
      </c>
      <c r="K115" s="207"/>
    </row>
    <row r="116" spans="1:11" s="208" customFormat="1" ht="25.5" x14ac:dyDescent="0.2">
      <c r="A116" s="449"/>
      <c r="B116" s="220" t="s">
        <v>429</v>
      </c>
      <c r="C116" s="204">
        <f t="shared" si="3"/>
        <v>3600</v>
      </c>
      <c r="D116" s="204">
        <f t="shared" si="4"/>
        <v>0</v>
      </c>
      <c r="E116" s="204">
        <v>0</v>
      </c>
      <c r="F116" s="209">
        <v>0</v>
      </c>
      <c r="G116" s="206">
        <f t="shared" si="5"/>
        <v>0</v>
      </c>
      <c r="H116" s="204">
        <v>0</v>
      </c>
      <c r="I116" s="204">
        <v>0</v>
      </c>
      <c r="J116" s="204">
        <f>'[4]Проф.с иными целями Пр.111'!C116</f>
        <v>3600</v>
      </c>
      <c r="K116" s="207"/>
    </row>
    <row r="117" spans="1:11" s="208" customFormat="1" ht="25.5" x14ac:dyDescent="0.2">
      <c r="A117" s="202">
        <v>100</v>
      </c>
      <c r="B117" s="220" t="s">
        <v>83</v>
      </c>
      <c r="C117" s="204">
        <f t="shared" si="3"/>
        <v>8400</v>
      </c>
      <c r="D117" s="204">
        <f t="shared" si="4"/>
        <v>0</v>
      </c>
      <c r="E117" s="204">
        <v>0</v>
      </c>
      <c r="F117" s="209">
        <v>0</v>
      </c>
      <c r="G117" s="206">
        <f t="shared" si="5"/>
        <v>0</v>
      </c>
      <c r="H117" s="204">
        <v>0</v>
      </c>
      <c r="I117" s="204">
        <v>0</v>
      </c>
      <c r="J117" s="204">
        <f>'[4]Проф.с иными целями Пр.111'!C117</f>
        <v>8400</v>
      </c>
      <c r="K117" s="207"/>
    </row>
    <row r="118" spans="1:11" s="208" customFormat="1" x14ac:dyDescent="0.2">
      <c r="A118" s="202">
        <v>101</v>
      </c>
      <c r="B118" s="210" t="s">
        <v>430</v>
      </c>
      <c r="C118" s="204">
        <f t="shared" si="3"/>
        <v>7280</v>
      </c>
      <c r="D118" s="204">
        <f t="shared" si="4"/>
        <v>293</v>
      </c>
      <c r="E118" s="204">
        <v>293</v>
      </c>
      <c r="F118" s="209">
        <v>0</v>
      </c>
      <c r="G118" s="206">
        <f t="shared" si="5"/>
        <v>1251</v>
      </c>
      <c r="H118" s="204">
        <v>1251</v>
      </c>
      <c r="I118" s="204">
        <v>0</v>
      </c>
      <c r="J118" s="204">
        <f>'[4]Проф.с иными целями Пр.111'!C118</f>
        <v>5736</v>
      </c>
      <c r="K118" s="207"/>
    </row>
    <row r="119" spans="1:11" s="208" customFormat="1" x14ac:dyDescent="0.2">
      <c r="A119" s="202">
        <v>102</v>
      </c>
      <c r="B119" s="203" t="s">
        <v>3</v>
      </c>
      <c r="C119" s="204">
        <f t="shared" si="3"/>
        <v>41882</v>
      </c>
      <c r="D119" s="204">
        <f t="shared" si="4"/>
        <v>3938</v>
      </c>
      <c r="E119" s="204">
        <v>591</v>
      </c>
      <c r="F119" s="205">
        <v>3347</v>
      </c>
      <c r="G119" s="206">
        <f t="shared" si="5"/>
        <v>2632</v>
      </c>
      <c r="H119" s="204">
        <v>2521</v>
      </c>
      <c r="I119" s="204">
        <v>111</v>
      </c>
      <c r="J119" s="204">
        <f>'[4]Проф.с иными целями Пр.111'!C119</f>
        <v>35312</v>
      </c>
      <c r="K119" s="207"/>
    </row>
    <row r="120" spans="1:11" s="208" customFormat="1" x14ac:dyDescent="0.2">
      <c r="A120" s="202">
        <v>103</v>
      </c>
      <c r="B120" s="210" t="s">
        <v>10</v>
      </c>
      <c r="C120" s="204">
        <f t="shared" si="3"/>
        <v>43476</v>
      </c>
      <c r="D120" s="204">
        <f t="shared" si="4"/>
        <v>4398</v>
      </c>
      <c r="E120" s="204">
        <v>602</v>
      </c>
      <c r="F120" s="205">
        <v>3796</v>
      </c>
      <c r="G120" s="206">
        <f t="shared" si="5"/>
        <v>2585</v>
      </c>
      <c r="H120" s="204">
        <v>2569</v>
      </c>
      <c r="I120" s="204">
        <v>16</v>
      </c>
      <c r="J120" s="204">
        <f>'[4]Проф.с иными целями Пр.111'!C120</f>
        <v>36493</v>
      </c>
      <c r="K120" s="207"/>
    </row>
    <row r="121" spans="1:11" s="208" customFormat="1" x14ac:dyDescent="0.2">
      <c r="A121" s="202">
        <v>104</v>
      </c>
      <c r="B121" s="203" t="s">
        <v>15</v>
      </c>
      <c r="C121" s="204">
        <f t="shared" si="3"/>
        <v>116847</v>
      </c>
      <c r="D121" s="204">
        <f t="shared" si="4"/>
        <v>11431</v>
      </c>
      <c r="E121" s="204">
        <v>1593</v>
      </c>
      <c r="F121" s="205">
        <v>9838</v>
      </c>
      <c r="G121" s="206">
        <f t="shared" si="5"/>
        <v>6976</v>
      </c>
      <c r="H121" s="204">
        <v>6796</v>
      </c>
      <c r="I121" s="204">
        <v>180</v>
      </c>
      <c r="J121" s="204">
        <f>'[4]Проф.с иными целями Пр.111'!C121</f>
        <v>98440</v>
      </c>
      <c r="K121" s="207"/>
    </row>
    <row r="122" spans="1:11" s="208" customFormat="1" x14ac:dyDescent="0.2">
      <c r="A122" s="202">
        <v>105</v>
      </c>
      <c r="B122" s="210" t="s">
        <v>38</v>
      </c>
      <c r="C122" s="204">
        <f t="shared" si="3"/>
        <v>52599</v>
      </c>
      <c r="D122" s="204">
        <f t="shared" si="4"/>
        <v>5009</v>
      </c>
      <c r="E122" s="204">
        <v>736</v>
      </c>
      <c r="F122" s="205">
        <v>4273</v>
      </c>
      <c r="G122" s="206">
        <f t="shared" si="5"/>
        <v>3191</v>
      </c>
      <c r="H122" s="204">
        <v>3139</v>
      </c>
      <c r="I122" s="204">
        <v>52</v>
      </c>
      <c r="J122" s="204">
        <f>'[4]Проф.с иными целями Пр.111'!C122</f>
        <v>44399</v>
      </c>
      <c r="K122" s="207"/>
    </row>
    <row r="123" spans="1:11" s="208" customFormat="1" x14ac:dyDescent="0.2">
      <c r="A123" s="202">
        <v>106</v>
      </c>
      <c r="B123" s="210" t="s">
        <v>16</v>
      </c>
      <c r="C123" s="204">
        <f t="shared" si="3"/>
        <v>65377</v>
      </c>
      <c r="D123" s="204">
        <f t="shared" si="4"/>
        <v>5220</v>
      </c>
      <c r="E123" s="204">
        <v>948</v>
      </c>
      <c r="F123" s="205">
        <v>4272</v>
      </c>
      <c r="G123" s="206">
        <f t="shared" si="5"/>
        <v>4116</v>
      </c>
      <c r="H123" s="204">
        <v>4047</v>
      </c>
      <c r="I123" s="204">
        <v>69</v>
      </c>
      <c r="J123" s="204">
        <f>'[4]Проф.с иными целями Пр.111'!C123</f>
        <v>56041</v>
      </c>
      <c r="K123" s="207"/>
    </row>
    <row r="124" spans="1:11" s="208" customFormat="1" ht="25.5" x14ac:dyDescent="0.2">
      <c r="A124" s="202">
        <v>107</v>
      </c>
      <c r="B124" s="210" t="s">
        <v>432</v>
      </c>
      <c r="C124" s="204">
        <f t="shared" si="3"/>
        <v>28</v>
      </c>
      <c r="D124" s="204">
        <f t="shared" si="4"/>
        <v>0</v>
      </c>
      <c r="E124" s="204">
        <v>0</v>
      </c>
      <c r="F124" s="209">
        <v>0</v>
      </c>
      <c r="G124" s="206">
        <f t="shared" si="5"/>
        <v>0</v>
      </c>
      <c r="H124" s="204">
        <v>0</v>
      </c>
      <c r="I124" s="204">
        <v>0</v>
      </c>
      <c r="J124" s="204">
        <f>'[4]Проф.с иными целями Пр.111'!C124</f>
        <v>28</v>
      </c>
      <c r="K124" s="207"/>
    </row>
    <row r="125" spans="1:11" s="208" customFormat="1" x14ac:dyDescent="0.2">
      <c r="A125" s="202">
        <v>108</v>
      </c>
      <c r="B125" s="203" t="s">
        <v>26</v>
      </c>
      <c r="C125" s="204">
        <f t="shared" si="3"/>
        <v>125008</v>
      </c>
      <c r="D125" s="204">
        <f t="shared" si="4"/>
        <v>13087</v>
      </c>
      <c r="E125" s="204">
        <v>1677</v>
      </c>
      <c r="F125" s="205">
        <v>11410</v>
      </c>
      <c r="G125" s="206">
        <f t="shared" si="5"/>
        <v>7407</v>
      </c>
      <c r="H125" s="204">
        <v>7152</v>
      </c>
      <c r="I125" s="204">
        <v>255</v>
      </c>
      <c r="J125" s="204">
        <f>'[4]Проф.с иными целями Пр.111'!C125</f>
        <v>104514</v>
      </c>
      <c r="K125" s="207"/>
    </row>
    <row r="126" spans="1:11" s="208" customFormat="1" x14ac:dyDescent="0.2">
      <c r="A126" s="202">
        <v>109</v>
      </c>
      <c r="B126" s="203" t="s">
        <v>31</v>
      </c>
      <c r="C126" s="204">
        <f t="shared" si="3"/>
        <v>112310</v>
      </c>
      <c r="D126" s="204">
        <f t="shared" si="4"/>
        <v>10218</v>
      </c>
      <c r="E126" s="204">
        <v>1538</v>
      </c>
      <c r="F126" s="205">
        <v>8680</v>
      </c>
      <c r="G126" s="206">
        <f t="shared" si="5"/>
        <v>6681</v>
      </c>
      <c r="H126" s="204">
        <v>6561</v>
      </c>
      <c r="I126" s="204">
        <v>120</v>
      </c>
      <c r="J126" s="204">
        <f>'[4]Проф.с иными целями Пр.111'!C126</f>
        <v>95411</v>
      </c>
      <c r="K126" s="207"/>
    </row>
    <row r="127" spans="1:11" s="208" customFormat="1" x14ac:dyDescent="0.2">
      <c r="A127" s="202">
        <v>110</v>
      </c>
      <c r="B127" s="210" t="s">
        <v>32</v>
      </c>
      <c r="C127" s="204">
        <f t="shared" si="3"/>
        <v>39153</v>
      </c>
      <c r="D127" s="204">
        <f t="shared" si="4"/>
        <v>3860</v>
      </c>
      <c r="E127" s="204">
        <v>546</v>
      </c>
      <c r="F127" s="205">
        <v>3314</v>
      </c>
      <c r="G127" s="206">
        <f t="shared" si="5"/>
        <v>2374</v>
      </c>
      <c r="H127" s="204">
        <v>2329</v>
      </c>
      <c r="I127" s="204">
        <v>45</v>
      </c>
      <c r="J127" s="204">
        <f>'[4]Проф.с иными целями Пр.111'!C127</f>
        <v>32919</v>
      </c>
      <c r="K127" s="207"/>
    </row>
    <row r="128" spans="1:11" s="208" customFormat="1" x14ac:dyDescent="0.2">
      <c r="A128" s="202">
        <v>111</v>
      </c>
      <c r="B128" s="203" t="s">
        <v>35</v>
      </c>
      <c r="C128" s="204">
        <f t="shared" si="3"/>
        <v>61539</v>
      </c>
      <c r="D128" s="204">
        <f t="shared" si="4"/>
        <v>5504</v>
      </c>
      <c r="E128" s="204">
        <v>881</v>
      </c>
      <c r="F128" s="205">
        <v>4623</v>
      </c>
      <c r="G128" s="206">
        <f t="shared" si="5"/>
        <v>3824</v>
      </c>
      <c r="H128" s="204">
        <v>3759</v>
      </c>
      <c r="I128" s="204">
        <v>65</v>
      </c>
      <c r="J128" s="204">
        <f>'[4]Проф.с иными целями Пр.111'!C128</f>
        <v>52211</v>
      </c>
      <c r="K128" s="207"/>
    </row>
    <row r="129" spans="1:11" s="208" customFormat="1" x14ac:dyDescent="0.2">
      <c r="A129" s="202">
        <v>112</v>
      </c>
      <c r="B129" s="210" t="s">
        <v>42</v>
      </c>
      <c r="C129" s="204">
        <f t="shared" si="3"/>
        <v>59973</v>
      </c>
      <c r="D129" s="204">
        <f t="shared" si="4"/>
        <v>6036</v>
      </c>
      <c r="E129" s="204">
        <v>816</v>
      </c>
      <c r="F129" s="205">
        <v>5220</v>
      </c>
      <c r="G129" s="206">
        <f t="shared" si="5"/>
        <v>3571</v>
      </c>
      <c r="H129" s="204">
        <v>3481</v>
      </c>
      <c r="I129" s="204">
        <v>90</v>
      </c>
      <c r="J129" s="204">
        <f>'[4]Проф.с иными целями Пр.111'!C129</f>
        <v>50366</v>
      </c>
      <c r="K129" s="207"/>
    </row>
    <row r="130" spans="1:11" s="208" customFormat="1" x14ac:dyDescent="0.2">
      <c r="A130" s="202">
        <v>113</v>
      </c>
      <c r="B130" s="210" t="s">
        <v>21</v>
      </c>
      <c r="C130" s="204">
        <f t="shared" si="3"/>
        <v>75718</v>
      </c>
      <c r="D130" s="204">
        <f t="shared" si="4"/>
        <v>7196</v>
      </c>
      <c r="E130" s="204">
        <v>927</v>
      </c>
      <c r="F130" s="205">
        <v>6269</v>
      </c>
      <c r="G130" s="206">
        <f t="shared" si="5"/>
        <v>4013</v>
      </c>
      <c r="H130" s="204">
        <v>3957</v>
      </c>
      <c r="I130" s="204">
        <v>56</v>
      </c>
      <c r="J130" s="204">
        <f>'[4]Проф.с иными целями Пр.111'!C130</f>
        <v>64509</v>
      </c>
      <c r="K130" s="207"/>
    </row>
    <row r="131" spans="1:11" s="208" customFormat="1" x14ac:dyDescent="0.2">
      <c r="A131" s="202">
        <v>114</v>
      </c>
      <c r="B131" s="203" t="s">
        <v>41</v>
      </c>
      <c r="C131" s="204">
        <f t="shared" si="3"/>
        <v>45430</v>
      </c>
      <c r="D131" s="204">
        <f t="shared" si="4"/>
        <v>4651</v>
      </c>
      <c r="E131" s="204">
        <v>624</v>
      </c>
      <c r="F131" s="205">
        <v>4027</v>
      </c>
      <c r="G131" s="206">
        <f t="shared" si="5"/>
        <v>2782</v>
      </c>
      <c r="H131" s="204">
        <v>2664</v>
      </c>
      <c r="I131" s="204">
        <v>118</v>
      </c>
      <c r="J131" s="204">
        <f>'[4]Проф.с иными целями Пр.111'!C131</f>
        <v>37997</v>
      </c>
      <c r="K131" s="207"/>
    </row>
    <row r="132" spans="1:11" s="208" customFormat="1" x14ac:dyDescent="0.2">
      <c r="A132" s="202">
        <v>115</v>
      </c>
      <c r="B132" s="210" t="s">
        <v>49</v>
      </c>
      <c r="C132" s="204">
        <f t="shared" si="3"/>
        <v>67986</v>
      </c>
      <c r="D132" s="204">
        <f t="shared" si="4"/>
        <v>6174</v>
      </c>
      <c r="E132" s="204">
        <v>973</v>
      </c>
      <c r="F132" s="205">
        <v>5201</v>
      </c>
      <c r="G132" s="206">
        <f t="shared" si="5"/>
        <v>4227</v>
      </c>
      <c r="H132" s="204">
        <v>4152</v>
      </c>
      <c r="I132" s="204">
        <v>75</v>
      </c>
      <c r="J132" s="204">
        <f>'[4]Проф.с иными целями Пр.111'!C132</f>
        <v>57585</v>
      </c>
      <c r="K132" s="207"/>
    </row>
    <row r="133" spans="1:11" s="208" customFormat="1" x14ac:dyDescent="0.2">
      <c r="A133" s="202">
        <v>116</v>
      </c>
      <c r="B133" s="210" t="s">
        <v>50</v>
      </c>
      <c r="C133" s="204">
        <f t="shared" si="3"/>
        <v>113559</v>
      </c>
      <c r="D133" s="204">
        <f t="shared" si="4"/>
        <v>9943</v>
      </c>
      <c r="E133" s="204">
        <v>1621</v>
      </c>
      <c r="F133" s="205">
        <v>8322</v>
      </c>
      <c r="G133" s="206">
        <f t="shared" si="5"/>
        <v>6998</v>
      </c>
      <c r="H133" s="204">
        <v>6914</v>
      </c>
      <c r="I133" s="204">
        <v>84</v>
      </c>
      <c r="J133" s="204">
        <f>'[4]Проф.с иными целями Пр.111'!C133</f>
        <v>96618</v>
      </c>
      <c r="K133" s="207"/>
    </row>
    <row r="134" spans="1:11" s="208" customFormat="1" x14ac:dyDescent="0.2">
      <c r="A134" s="202">
        <v>117</v>
      </c>
      <c r="B134" s="210" t="s">
        <v>14</v>
      </c>
      <c r="C134" s="204">
        <f t="shared" si="3"/>
        <v>53965</v>
      </c>
      <c r="D134" s="204">
        <f t="shared" si="4"/>
        <v>5160</v>
      </c>
      <c r="E134" s="204">
        <v>766</v>
      </c>
      <c r="F134" s="205">
        <v>4394</v>
      </c>
      <c r="G134" s="206">
        <f t="shared" si="5"/>
        <v>3350</v>
      </c>
      <c r="H134" s="204">
        <v>3266</v>
      </c>
      <c r="I134" s="204">
        <v>84</v>
      </c>
      <c r="J134" s="204">
        <f>'[4]Проф.с иными целями Пр.111'!C134</f>
        <v>45455</v>
      </c>
      <c r="K134" s="207"/>
    </row>
    <row r="135" spans="1:11" s="208" customFormat="1" x14ac:dyDescent="0.2">
      <c r="A135" s="202">
        <v>118</v>
      </c>
      <c r="B135" s="221" t="s">
        <v>465</v>
      </c>
      <c r="C135" s="204">
        <f t="shared" si="3"/>
        <v>39950</v>
      </c>
      <c r="D135" s="204">
        <f t="shared" si="4"/>
        <v>950</v>
      </c>
      <c r="E135" s="204">
        <v>950</v>
      </c>
      <c r="F135" s="209">
        <v>0</v>
      </c>
      <c r="G135" s="206">
        <f t="shared" si="5"/>
        <v>4054</v>
      </c>
      <c r="H135" s="204">
        <v>4054</v>
      </c>
      <c r="I135" s="204">
        <v>0</v>
      </c>
      <c r="J135" s="204">
        <f>'[4]Проф.с иными целями Пр.111'!C135</f>
        <v>34946</v>
      </c>
      <c r="K135" s="207"/>
    </row>
    <row r="136" spans="1:11" s="208" customFormat="1" x14ac:dyDescent="0.2">
      <c r="A136" s="202">
        <v>119</v>
      </c>
      <c r="B136" s="220" t="s">
        <v>439</v>
      </c>
      <c r="C136" s="204">
        <f t="shared" si="3"/>
        <v>0</v>
      </c>
      <c r="D136" s="204">
        <f t="shared" si="4"/>
        <v>0</v>
      </c>
      <c r="E136" s="204">
        <v>0</v>
      </c>
      <c r="F136" s="209">
        <v>0</v>
      </c>
      <c r="G136" s="206">
        <f t="shared" si="5"/>
        <v>0</v>
      </c>
      <c r="H136" s="204">
        <v>0</v>
      </c>
      <c r="I136" s="204">
        <v>0</v>
      </c>
      <c r="J136" s="204">
        <f>'[4]Проф.с иными целями Пр.111'!C136</f>
        <v>0</v>
      </c>
      <c r="K136" s="207"/>
    </row>
    <row r="137" spans="1:11" s="222" customFormat="1" x14ac:dyDescent="0.2">
      <c r="A137" s="202">
        <v>120</v>
      </c>
      <c r="B137" s="203" t="s">
        <v>434</v>
      </c>
      <c r="C137" s="204">
        <f t="shared" si="3"/>
        <v>25</v>
      </c>
      <c r="D137" s="204">
        <f t="shared" si="4"/>
        <v>0</v>
      </c>
      <c r="E137" s="204">
        <v>0</v>
      </c>
      <c r="F137" s="209">
        <v>0</v>
      </c>
      <c r="G137" s="206">
        <f t="shared" si="5"/>
        <v>0</v>
      </c>
      <c r="H137" s="204">
        <v>0</v>
      </c>
      <c r="I137" s="204">
        <v>0</v>
      </c>
      <c r="J137" s="204">
        <f>'[4]Проф.с иными целями Пр.111'!C137</f>
        <v>25</v>
      </c>
      <c r="K137" s="207"/>
    </row>
    <row r="138" spans="1:11" x14ac:dyDescent="0.2">
      <c r="A138" s="202">
        <v>121</v>
      </c>
      <c r="B138" s="210" t="s">
        <v>435</v>
      </c>
      <c r="C138" s="204">
        <f t="shared" si="3"/>
        <v>66</v>
      </c>
      <c r="D138" s="204">
        <f t="shared" si="4"/>
        <v>0</v>
      </c>
      <c r="E138" s="204">
        <v>0</v>
      </c>
      <c r="F138" s="209">
        <v>0</v>
      </c>
      <c r="G138" s="206">
        <f t="shared" si="5"/>
        <v>0</v>
      </c>
      <c r="H138" s="204">
        <v>0</v>
      </c>
      <c r="I138" s="204">
        <v>0</v>
      </c>
      <c r="J138" s="204">
        <f>'[4]Проф.с иными целями Пр.111'!C138</f>
        <v>66</v>
      </c>
      <c r="K138" s="207"/>
    </row>
    <row r="139" spans="1:11" x14ac:dyDescent="0.2">
      <c r="A139" s="202">
        <v>122</v>
      </c>
      <c r="B139" s="210" t="s">
        <v>84</v>
      </c>
      <c r="C139" s="204">
        <f t="shared" si="3"/>
        <v>219</v>
      </c>
      <c r="D139" s="204">
        <f t="shared" si="4"/>
        <v>0</v>
      </c>
      <c r="E139" s="204">
        <v>0</v>
      </c>
      <c r="F139" s="209">
        <v>0</v>
      </c>
      <c r="G139" s="206">
        <f t="shared" si="5"/>
        <v>0</v>
      </c>
      <c r="H139" s="204">
        <v>0</v>
      </c>
      <c r="I139" s="204">
        <v>0</v>
      </c>
      <c r="J139" s="204">
        <f>'[4]Проф.с иными целями Пр.111'!C139</f>
        <v>219</v>
      </c>
      <c r="K139" s="207"/>
    </row>
    <row r="140" spans="1:11" ht="25.5" x14ac:dyDescent="0.2">
      <c r="A140" s="202">
        <v>123</v>
      </c>
      <c r="B140" s="210" t="s">
        <v>442</v>
      </c>
      <c r="C140" s="204">
        <f t="shared" si="3"/>
        <v>8</v>
      </c>
      <c r="D140" s="204">
        <f t="shared" si="4"/>
        <v>0</v>
      </c>
      <c r="E140" s="204">
        <v>0</v>
      </c>
      <c r="F140" s="209">
        <v>0</v>
      </c>
      <c r="G140" s="206">
        <f t="shared" si="5"/>
        <v>0</v>
      </c>
      <c r="H140" s="204">
        <v>0</v>
      </c>
      <c r="I140" s="204">
        <v>0</v>
      </c>
      <c r="J140" s="204">
        <f>'[4]Проф.с иными целями Пр.111'!C140</f>
        <v>8</v>
      </c>
      <c r="K140" s="207"/>
    </row>
    <row r="141" spans="1:11" ht="25.5" x14ac:dyDescent="0.2">
      <c r="A141" s="202">
        <v>124</v>
      </c>
      <c r="B141" s="210" t="s">
        <v>443</v>
      </c>
      <c r="C141" s="204">
        <f t="shared" ref="C141:C163" si="6">D141+G141+J141</f>
        <v>8</v>
      </c>
      <c r="D141" s="204">
        <f t="shared" ref="D141:D164" si="7">E141+F141</f>
        <v>0</v>
      </c>
      <c r="E141" s="204">
        <v>0</v>
      </c>
      <c r="F141" s="209">
        <v>0</v>
      </c>
      <c r="G141" s="206">
        <f t="shared" ref="G141:G163" si="8">H141+I141</f>
        <v>0</v>
      </c>
      <c r="H141" s="204">
        <v>0</v>
      </c>
      <c r="I141" s="204">
        <v>0</v>
      </c>
      <c r="J141" s="204">
        <f>'[4]Проф.с иными целями Пр.111'!C141</f>
        <v>8</v>
      </c>
      <c r="K141" s="207"/>
    </row>
    <row r="142" spans="1:11" ht="25.5" x14ac:dyDescent="0.2">
      <c r="A142" s="202">
        <v>125</v>
      </c>
      <c r="B142" s="210" t="s">
        <v>444</v>
      </c>
      <c r="C142" s="204">
        <f t="shared" si="6"/>
        <v>8</v>
      </c>
      <c r="D142" s="204">
        <f t="shared" si="7"/>
        <v>0</v>
      </c>
      <c r="E142" s="204">
        <v>0</v>
      </c>
      <c r="F142" s="209">
        <v>0</v>
      </c>
      <c r="G142" s="206">
        <f t="shared" si="8"/>
        <v>0</v>
      </c>
      <c r="H142" s="204">
        <v>0</v>
      </c>
      <c r="I142" s="204">
        <v>0</v>
      </c>
      <c r="J142" s="204">
        <f>'[4]Проф.с иными целями Пр.111'!C142</f>
        <v>8</v>
      </c>
      <c r="K142" s="207"/>
    </row>
    <row r="143" spans="1:11" x14ac:dyDescent="0.2">
      <c r="A143" s="202">
        <v>126</v>
      </c>
      <c r="B143" s="210" t="s">
        <v>85</v>
      </c>
      <c r="C143" s="204">
        <f t="shared" si="6"/>
        <v>217195</v>
      </c>
      <c r="D143" s="204">
        <f t="shared" si="7"/>
        <v>0</v>
      </c>
      <c r="E143" s="204">
        <v>0</v>
      </c>
      <c r="F143" s="209">
        <v>0</v>
      </c>
      <c r="G143" s="206">
        <f t="shared" si="8"/>
        <v>0</v>
      </c>
      <c r="H143" s="204">
        <v>0</v>
      </c>
      <c r="I143" s="204">
        <v>0</v>
      </c>
      <c r="J143" s="204">
        <f>'[4]Проф.с иными целями Пр.111'!C143</f>
        <v>217195</v>
      </c>
      <c r="K143" s="207"/>
    </row>
    <row r="144" spans="1:11" x14ac:dyDescent="0.2">
      <c r="A144" s="202">
        <v>127</v>
      </c>
      <c r="B144" s="210" t="s">
        <v>90</v>
      </c>
      <c r="C144" s="204">
        <f t="shared" si="6"/>
        <v>130000</v>
      </c>
      <c r="D144" s="204">
        <f t="shared" si="7"/>
        <v>0</v>
      </c>
      <c r="E144" s="204">
        <v>0</v>
      </c>
      <c r="F144" s="209">
        <v>0</v>
      </c>
      <c r="G144" s="206">
        <f t="shared" si="8"/>
        <v>0</v>
      </c>
      <c r="H144" s="204">
        <v>0</v>
      </c>
      <c r="I144" s="204">
        <v>0</v>
      </c>
      <c r="J144" s="204">
        <f>'[4]Проф.с иными целями Пр.111'!C144</f>
        <v>130000</v>
      </c>
      <c r="K144" s="207"/>
    </row>
    <row r="145" spans="1:11" x14ac:dyDescent="0.2">
      <c r="A145" s="202">
        <v>128</v>
      </c>
      <c r="B145" s="210" t="s">
        <v>91</v>
      </c>
      <c r="C145" s="204">
        <f t="shared" si="6"/>
        <v>85000</v>
      </c>
      <c r="D145" s="204">
        <f t="shared" si="7"/>
        <v>0</v>
      </c>
      <c r="E145" s="204">
        <v>0</v>
      </c>
      <c r="F145" s="209">
        <v>0</v>
      </c>
      <c r="G145" s="206">
        <f t="shared" si="8"/>
        <v>0</v>
      </c>
      <c r="H145" s="204">
        <v>0</v>
      </c>
      <c r="I145" s="204">
        <v>0</v>
      </c>
      <c r="J145" s="204">
        <f>'[4]Проф.с иными целями Пр.111'!C145</f>
        <v>85000</v>
      </c>
      <c r="K145" s="207"/>
    </row>
    <row r="146" spans="1:11" x14ac:dyDescent="0.2">
      <c r="A146" s="202">
        <v>129</v>
      </c>
      <c r="B146" s="210" t="s">
        <v>66</v>
      </c>
      <c r="C146" s="204">
        <f t="shared" si="6"/>
        <v>113400</v>
      </c>
      <c r="D146" s="204">
        <f t="shared" si="7"/>
        <v>0</v>
      </c>
      <c r="E146" s="204">
        <v>0</v>
      </c>
      <c r="F146" s="209">
        <v>0</v>
      </c>
      <c r="G146" s="206">
        <f t="shared" si="8"/>
        <v>0</v>
      </c>
      <c r="H146" s="204">
        <v>0</v>
      </c>
      <c r="I146" s="204">
        <v>0</v>
      </c>
      <c r="J146" s="204">
        <f>'[4]Проф.с иными целями Пр.111'!C146</f>
        <v>113400</v>
      </c>
      <c r="K146" s="207"/>
    </row>
    <row r="147" spans="1:11" x14ac:dyDescent="0.2">
      <c r="A147" s="202">
        <v>130</v>
      </c>
      <c r="B147" s="210" t="s">
        <v>86</v>
      </c>
      <c r="C147" s="204">
        <f t="shared" si="6"/>
        <v>8000</v>
      </c>
      <c r="D147" s="204">
        <f t="shared" si="7"/>
        <v>0</v>
      </c>
      <c r="E147" s="204">
        <v>0</v>
      </c>
      <c r="F147" s="209">
        <v>0</v>
      </c>
      <c r="G147" s="206">
        <f t="shared" si="8"/>
        <v>0</v>
      </c>
      <c r="H147" s="204">
        <v>0</v>
      </c>
      <c r="I147" s="204">
        <v>0</v>
      </c>
      <c r="J147" s="204">
        <f>'[4]Проф.с иными целями Пр.111'!C147</f>
        <v>8000</v>
      </c>
      <c r="K147" s="207"/>
    </row>
    <row r="148" spans="1:11" x14ac:dyDescent="0.2">
      <c r="A148" s="202">
        <v>131</v>
      </c>
      <c r="B148" s="210" t="s">
        <v>206</v>
      </c>
      <c r="C148" s="204">
        <f t="shared" si="6"/>
        <v>65356</v>
      </c>
      <c r="D148" s="204">
        <f t="shared" si="7"/>
        <v>0</v>
      </c>
      <c r="E148" s="204">
        <v>0</v>
      </c>
      <c r="F148" s="209">
        <v>0</v>
      </c>
      <c r="G148" s="206">
        <f t="shared" si="8"/>
        <v>0</v>
      </c>
      <c r="H148" s="204">
        <v>0</v>
      </c>
      <c r="I148" s="204">
        <v>0</v>
      </c>
      <c r="J148" s="204">
        <f>'[4]Проф.с иными целями Пр.111'!C148</f>
        <v>65356</v>
      </c>
      <c r="K148" s="207"/>
    </row>
    <row r="149" spans="1:11" x14ac:dyDescent="0.2">
      <c r="A149" s="202">
        <v>132</v>
      </c>
      <c r="B149" s="210" t="s">
        <v>87</v>
      </c>
      <c r="C149" s="204">
        <f t="shared" si="6"/>
        <v>57642</v>
      </c>
      <c r="D149" s="204">
        <f t="shared" si="7"/>
        <v>0</v>
      </c>
      <c r="E149" s="204">
        <v>0</v>
      </c>
      <c r="F149" s="209">
        <v>0</v>
      </c>
      <c r="G149" s="206">
        <f t="shared" si="8"/>
        <v>0</v>
      </c>
      <c r="H149" s="204">
        <v>0</v>
      </c>
      <c r="I149" s="204">
        <v>0</v>
      </c>
      <c r="J149" s="204">
        <f>'[4]Проф.с иными целями Пр.111'!C149</f>
        <v>57642</v>
      </c>
      <c r="K149" s="207"/>
    </row>
    <row r="150" spans="1:11" x14ac:dyDescent="0.2">
      <c r="A150" s="202">
        <v>133</v>
      </c>
      <c r="B150" s="210" t="s">
        <v>207</v>
      </c>
      <c r="C150" s="204">
        <f t="shared" si="6"/>
        <v>128000</v>
      </c>
      <c r="D150" s="204">
        <f t="shared" si="7"/>
        <v>0</v>
      </c>
      <c r="E150" s="204">
        <v>0</v>
      </c>
      <c r="F150" s="209">
        <v>0</v>
      </c>
      <c r="G150" s="206">
        <f t="shared" si="8"/>
        <v>0</v>
      </c>
      <c r="H150" s="204">
        <v>0</v>
      </c>
      <c r="I150" s="204">
        <v>0</v>
      </c>
      <c r="J150" s="204">
        <f>'[4]Проф.с иными целями Пр.111'!C150</f>
        <v>128000</v>
      </c>
      <c r="K150" s="207"/>
    </row>
    <row r="151" spans="1:11" x14ac:dyDescent="0.2">
      <c r="A151" s="202">
        <v>134</v>
      </c>
      <c r="B151" s="210" t="s">
        <v>208</v>
      </c>
      <c r="C151" s="204">
        <f t="shared" si="6"/>
        <v>10328</v>
      </c>
      <c r="D151" s="204">
        <f t="shared" si="7"/>
        <v>0</v>
      </c>
      <c r="E151" s="204">
        <v>0</v>
      </c>
      <c r="F151" s="209">
        <v>0</v>
      </c>
      <c r="G151" s="206">
        <f t="shared" si="8"/>
        <v>0</v>
      </c>
      <c r="H151" s="204">
        <v>0</v>
      </c>
      <c r="I151" s="204">
        <v>0</v>
      </c>
      <c r="J151" s="204">
        <f>'[4]Проф.с иными целями Пр.111'!C151</f>
        <v>10328</v>
      </c>
      <c r="K151" s="207"/>
    </row>
    <row r="152" spans="1:11" x14ac:dyDescent="0.2">
      <c r="A152" s="202">
        <v>135</v>
      </c>
      <c r="B152" s="210" t="s">
        <v>92</v>
      </c>
      <c r="C152" s="204">
        <f t="shared" si="6"/>
        <v>57392</v>
      </c>
      <c r="D152" s="204">
        <f t="shared" si="7"/>
        <v>0</v>
      </c>
      <c r="E152" s="204">
        <v>0</v>
      </c>
      <c r="F152" s="209">
        <v>0</v>
      </c>
      <c r="G152" s="206">
        <f t="shared" si="8"/>
        <v>0</v>
      </c>
      <c r="H152" s="204">
        <v>0</v>
      </c>
      <c r="I152" s="204">
        <v>0</v>
      </c>
      <c r="J152" s="204">
        <f>'[4]Проф.с иными целями Пр.111'!C152</f>
        <v>57392</v>
      </c>
      <c r="K152" s="207"/>
    </row>
    <row r="153" spans="1:11" x14ac:dyDescent="0.2">
      <c r="A153" s="202">
        <v>136</v>
      </c>
      <c r="B153" s="210" t="s">
        <v>67</v>
      </c>
      <c r="C153" s="204">
        <f t="shared" si="6"/>
        <v>1009</v>
      </c>
      <c r="D153" s="204">
        <f t="shared" si="7"/>
        <v>0</v>
      </c>
      <c r="E153" s="204">
        <v>0</v>
      </c>
      <c r="F153" s="209">
        <v>0</v>
      </c>
      <c r="G153" s="206">
        <f t="shared" si="8"/>
        <v>0</v>
      </c>
      <c r="H153" s="204">
        <v>0</v>
      </c>
      <c r="I153" s="204">
        <v>0</v>
      </c>
      <c r="J153" s="204">
        <f>'[4]Проф.с иными целями Пр.111'!C153</f>
        <v>1009</v>
      </c>
      <c r="K153" s="207"/>
    </row>
    <row r="154" spans="1:11" x14ac:dyDescent="0.2">
      <c r="A154" s="448">
        <v>137</v>
      </c>
      <c r="B154" s="210" t="s">
        <v>88</v>
      </c>
      <c r="C154" s="204">
        <f t="shared" si="6"/>
        <v>79488</v>
      </c>
      <c r="D154" s="204">
        <f t="shared" si="7"/>
        <v>1722</v>
      </c>
      <c r="E154" s="204">
        <v>1722</v>
      </c>
      <c r="F154" s="209">
        <v>0</v>
      </c>
      <c r="G154" s="206">
        <f t="shared" si="8"/>
        <v>7346</v>
      </c>
      <c r="H154" s="204">
        <v>7346</v>
      </c>
      <c r="I154" s="204">
        <v>0</v>
      </c>
      <c r="J154" s="204">
        <f>'[4]Проф.с иными целями Пр.111'!C154</f>
        <v>70420</v>
      </c>
      <c r="K154" s="207"/>
    </row>
    <row r="155" spans="1:11" ht="51" x14ac:dyDescent="0.2">
      <c r="A155" s="449"/>
      <c r="B155" s="223" t="s">
        <v>466</v>
      </c>
      <c r="C155" s="204">
        <f t="shared" si="6"/>
        <v>180622</v>
      </c>
      <c r="D155" s="204">
        <f t="shared" si="7"/>
        <v>21076</v>
      </c>
      <c r="E155" s="204">
        <v>2645</v>
      </c>
      <c r="F155" s="205">
        <v>18431</v>
      </c>
      <c r="G155" s="206">
        <f t="shared" si="8"/>
        <v>11449</v>
      </c>
      <c r="H155" s="204">
        <v>11284</v>
      </c>
      <c r="I155" s="204">
        <v>165</v>
      </c>
      <c r="J155" s="204">
        <f>'[4]Проф.с иными целями Пр.111'!C155</f>
        <v>148097</v>
      </c>
      <c r="K155" s="207"/>
    </row>
    <row r="156" spans="1:11" x14ac:dyDescent="0.2">
      <c r="A156" s="202">
        <v>138</v>
      </c>
      <c r="B156" s="210" t="s">
        <v>68</v>
      </c>
      <c r="C156" s="204">
        <f t="shared" si="6"/>
        <v>3000</v>
      </c>
      <c r="D156" s="204">
        <f t="shared" si="7"/>
        <v>0</v>
      </c>
      <c r="E156" s="204">
        <v>0</v>
      </c>
      <c r="F156" s="209">
        <v>0</v>
      </c>
      <c r="G156" s="206">
        <f t="shared" si="8"/>
        <v>0</v>
      </c>
      <c r="H156" s="204">
        <v>0</v>
      </c>
      <c r="I156" s="204">
        <v>0</v>
      </c>
      <c r="J156" s="204">
        <f>'[4]Проф.с иными целями Пр.111'!C156</f>
        <v>3000</v>
      </c>
      <c r="K156" s="207"/>
    </row>
    <row r="157" spans="1:11" x14ac:dyDescent="0.2">
      <c r="A157" s="202">
        <v>139</v>
      </c>
      <c r="B157" s="210" t="s">
        <v>447</v>
      </c>
      <c r="C157" s="204">
        <f t="shared" si="6"/>
        <v>9830</v>
      </c>
      <c r="D157" s="204">
        <f t="shared" si="7"/>
        <v>0</v>
      </c>
      <c r="E157" s="204">
        <v>0</v>
      </c>
      <c r="F157" s="209">
        <v>0</v>
      </c>
      <c r="G157" s="206">
        <f t="shared" si="8"/>
        <v>0</v>
      </c>
      <c r="H157" s="204">
        <v>0</v>
      </c>
      <c r="I157" s="204">
        <v>0</v>
      </c>
      <c r="J157" s="204">
        <f>'[4]Проф.с иными целями Пр.111'!C157</f>
        <v>9830</v>
      </c>
      <c r="K157" s="207"/>
    </row>
    <row r="158" spans="1:11" x14ac:dyDescent="0.2">
      <c r="A158" s="202">
        <v>140</v>
      </c>
      <c r="B158" s="224" t="s">
        <v>467</v>
      </c>
      <c r="C158" s="204">
        <f t="shared" si="6"/>
        <v>26480</v>
      </c>
      <c r="D158" s="204">
        <f t="shared" si="7"/>
        <v>0</v>
      </c>
      <c r="E158" s="204">
        <v>0</v>
      </c>
      <c r="F158" s="209">
        <v>0</v>
      </c>
      <c r="G158" s="206">
        <f t="shared" si="8"/>
        <v>0</v>
      </c>
      <c r="H158" s="204">
        <v>0</v>
      </c>
      <c r="I158" s="204">
        <v>0</v>
      </c>
      <c r="J158" s="204">
        <f>'[4]Проф.с иными целями Пр.111'!C158</f>
        <v>26480</v>
      </c>
      <c r="K158" s="207"/>
    </row>
    <row r="159" spans="1:11" x14ac:dyDescent="0.2">
      <c r="A159" s="202">
        <v>141</v>
      </c>
      <c r="B159" s="225" t="s">
        <v>468</v>
      </c>
      <c r="C159" s="204">
        <f t="shared" si="6"/>
        <v>10080</v>
      </c>
      <c r="D159" s="204">
        <f t="shared" si="7"/>
        <v>0</v>
      </c>
      <c r="E159" s="204">
        <v>0</v>
      </c>
      <c r="F159" s="209">
        <v>0</v>
      </c>
      <c r="G159" s="206">
        <f t="shared" si="8"/>
        <v>0</v>
      </c>
      <c r="H159" s="204">
        <v>0</v>
      </c>
      <c r="I159" s="204">
        <v>0</v>
      </c>
      <c r="J159" s="204">
        <f>'[4]Проф.с иными целями Пр.111'!C159</f>
        <v>10080</v>
      </c>
      <c r="K159" s="207"/>
    </row>
    <row r="160" spans="1:11" x14ac:dyDescent="0.2">
      <c r="A160" s="202">
        <v>142</v>
      </c>
      <c r="B160" s="226" t="s">
        <v>469</v>
      </c>
      <c r="C160" s="204">
        <f t="shared" si="6"/>
        <v>5480</v>
      </c>
      <c r="D160" s="204">
        <f t="shared" si="7"/>
        <v>0</v>
      </c>
      <c r="E160" s="204">
        <v>0</v>
      </c>
      <c r="F160" s="209">
        <v>0</v>
      </c>
      <c r="G160" s="206">
        <f t="shared" si="8"/>
        <v>0</v>
      </c>
      <c r="H160" s="204">
        <v>0</v>
      </c>
      <c r="I160" s="204">
        <v>0</v>
      </c>
      <c r="J160" s="204">
        <f>'[4]Проф.с иными целями Пр.111'!C160</f>
        <v>5480</v>
      </c>
      <c r="K160" s="207"/>
    </row>
    <row r="161" spans="1:11" x14ac:dyDescent="0.2">
      <c r="A161" s="202">
        <v>143</v>
      </c>
      <c r="B161" s="225" t="s">
        <v>470</v>
      </c>
      <c r="C161" s="204">
        <f t="shared" si="6"/>
        <v>2600</v>
      </c>
      <c r="D161" s="204">
        <f t="shared" si="7"/>
        <v>0</v>
      </c>
      <c r="E161" s="204">
        <v>0</v>
      </c>
      <c r="F161" s="209">
        <v>0</v>
      </c>
      <c r="G161" s="206">
        <f t="shared" si="8"/>
        <v>0</v>
      </c>
      <c r="H161" s="204">
        <v>0</v>
      </c>
      <c r="I161" s="204">
        <v>0</v>
      </c>
      <c r="J161" s="204">
        <f>'[4]Проф.с иными целями Пр.111'!C161</f>
        <v>2600</v>
      </c>
      <c r="K161" s="207"/>
    </row>
    <row r="162" spans="1:11" x14ac:dyDescent="0.2">
      <c r="A162" s="202">
        <v>144</v>
      </c>
      <c r="B162" s="210" t="s">
        <v>471</v>
      </c>
      <c r="C162" s="204">
        <f t="shared" si="6"/>
        <v>640</v>
      </c>
      <c r="D162" s="204">
        <f t="shared" si="7"/>
        <v>0</v>
      </c>
      <c r="E162" s="204">
        <v>0</v>
      </c>
      <c r="F162" s="209">
        <v>0</v>
      </c>
      <c r="G162" s="206">
        <f t="shared" si="8"/>
        <v>0</v>
      </c>
      <c r="H162" s="204">
        <v>0</v>
      </c>
      <c r="I162" s="204">
        <v>0</v>
      </c>
      <c r="J162" s="204">
        <f>'[4]Проф.с иными целями Пр.111'!C162</f>
        <v>640</v>
      </c>
      <c r="K162" s="207"/>
    </row>
    <row r="163" spans="1:11" x14ac:dyDescent="0.2">
      <c r="A163" s="227"/>
      <c r="B163" s="210" t="s">
        <v>69</v>
      </c>
      <c r="C163" s="204">
        <f t="shared" si="6"/>
        <v>788782</v>
      </c>
      <c r="D163" s="204">
        <f t="shared" si="7"/>
        <v>0</v>
      </c>
      <c r="E163" s="204">
        <v>0</v>
      </c>
      <c r="F163" s="209">
        <v>0</v>
      </c>
      <c r="G163" s="206">
        <f t="shared" si="8"/>
        <v>0</v>
      </c>
      <c r="H163" s="204">
        <v>0</v>
      </c>
      <c r="I163" s="204">
        <v>0</v>
      </c>
      <c r="J163" s="204">
        <f>'[4]Проф.с иными целями Пр.111'!C163</f>
        <v>788782</v>
      </c>
      <c r="K163" s="207"/>
    </row>
    <row r="164" spans="1:11" s="232" customFormat="1" x14ac:dyDescent="0.25">
      <c r="A164" s="228"/>
      <c r="B164" s="228" t="s">
        <v>120</v>
      </c>
      <c r="C164" s="229">
        <f>SUM(C10:C163)</f>
        <v>11801387</v>
      </c>
      <c r="D164" s="230">
        <f t="shared" si="7"/>
        <v>850857</v>
      </c>
      <c r="E164" s="229">
        <f t="shared" ref="E164:J164" si="9">SUM(E10:E163)</f>
        <v>140148</v>
      </c>
      <c r="F164" s="231">
        <f>SUM(F10:F163)</f>
        <v>710709</v>
      </c>
      <c r="G164" s="229">
        <f>SUM(G10:G163)</f>
        <v>609432</v>
      </c>
      <c r="H164" s="229">
        <f t="shared" si="9"/>
        <v>597941</v>
      </c>
      <c r="I164" s="229">
        <f t="shared" si="9"/>
        <v>11491</v>
      </c>
      <c r="J164" s="229">
        <f t="shared" si="9"/>
        <v>10341098</v>
      </c>
      <c r="K164" s="207"/>
    </row>
    <row r="165" spans="1:11" s="232" customFormat="1" x14ac:dyDescent="0.25">
      <c r="A165" s="233"/>
      <c r="B165" s="233"/>
      <c r="C165" s="234"/>
      <c r="D165" s="234"/>
      <c r="E165" s="235"/>
      <c r="F165" s="235"/>
      <c r="G165" s="235"/>
      <c r="H165" s="235"/>
      <c r="I165" s="235"/>
      <c r="J165" s="234"/>
      <c r="K165" s="234"/>
    </row>
  </sheetData>
  <mergeCells count="24">
    <mergeCell ref="A1:J1"/>
    <mergeCell ref="A3:A8"/>
    <mergeCell ref="B3:B8"/>
    <mergeCell ref="C3:C8"/>
    <mergeCell ref="D3:J3"/>
    <mergeCell ref="D4:F4"/>
    <mergeCell ref="G4:I4"/>
    <mergeCell ref="J4:J8"/>
    <mergeCell ref="D5:D8"/>
    <mergeCell ref="E5:F5"/>
    <mergeCell ref="G5:G8"/>
    <mergeCell ref="H5:I5"/>
    <mergeCell ref="E6:E8"/>
    <mergeCell ref="F6:F8"/>
    <mergeCell ref="H6:H8"/>
    <mergeCell ref="I6:I8"/>
    <mergeCell ref="A115:A116"/>
    <mergeCell ref="A154:A155"/>
    <mergeCell ref="A14:A15"/>
    <mergeCell ref="A36:A37"/>
    <mergeCell ref="A40:A41"/>
    <mergeCell ref="A46:A48"/>
    <mergeCell ref="A51:A52"/>
    <mergeCell ref="A110:A1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6"/>
  <sheetViews>
    <sheetView workbookViewId="0">
      <pane xSplit="2" ySplit="9" topLeftCell="C121" activePane="bottomRight" state="frozen"/>
      <selection pane="topRight" activeCell="C1" sqref="C1"/>
      <selection pane="bottomLeft" activeCell="A10" sqref="A10"/>
      <selection pane="bottomRight" activeCell="D165" sqref="D165"/>
    </sheetView>
  </sheetViews>
  <sheetFormatPr defaultRowHeight="15" x14ac:dyDescent="0.25"/>
  <cols>
    <col min="1" max="1" width="4.28515625" style="195" customWidth="1"/>
    <col min="2" max="2" width="32" style="195" customWidth="1"/>
    <col min="3" max="3" width="11.140625" style="236" customWidth="1"/>
    <col min="4" max="5" width="11" style="236" customWidth="1"/>
    <col min="6" max="6" width="13.42578125" style="236" customWidth="1"/>
    <col min="7" max="7" width="11.140625" style="236" customWidth="1"/>
    <col min="8" max="8" width="12.28515625" style="236" customWidth="1"/>
    <col min="9" max="9" width="11.140625" style="236" customWidth="1"/>
    <col min="10" max="11" width="9.140625" style="236"/>
    <col min="12" max="12" width="11.28515625" style="236" customWidth="1"/>
    <col min="13" max="13" width="11.140625" style="236" customWidth="1"/>
    <col min="14" max="15" width="9.140625" style="236"/>
    <col min="16" max="16" width="12.28515625" style="236" customWidth="1"/>
    <col min="17" max="17" width="11.7109375" style="236" customWidth="1"/>
    <col min="18" max="19" width="11.42578125" style="236" customWidth="1"/>
    <col min="20" max="20" width="13.140625" style="236" customWidth="1"/>
    <col min="21" max="16384" width="9.140625" style="236"/>
  </cols>
  <sheetData>
    <row r="1" spans="1:51" ht="18.75" x14ac:dyDescent="0.25">
      <c r="A1" s="236"/>
      <c r="B1" s="479" t="s">
        <v>472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</row>
    <row r="2" spans="1:51" x14ac:dyDescent="0.25">
      <c r="A2" s="196"/>
    </row>
    <row r="3" spans="1:51" x14ac:dyDescent="0.25">
      <c r="A3" s="473" t="s">
        <v>0</v>
      </c>
      <c r="B3" s="473" t="s">
        <v>246</v>
      </c>
      <c r="C3" s="472" t="s">
        <v>473</v>
      </c>
      <c r="D3" s="480" t="s">
        <v>136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77"/>
    </row>
    <row r="4" spans="1:51" ht="15" customHeight="1" x14ac:dyDescent="0.25">
      <c r="A4" s="474"/>
      <c r="B4" s="474"/>
      <c r="C4" s="472"/>
      <c r="D4" s="473" t="s">
        <v>474</v>
      </c>
      <c r="E4" s="467" t="s">
        <v>475</v>
      </c>
      <c r="F4" s="467"/>
      <c r="G4" s="468"/>
      <c r="H4" s="473" t="s">
        <v>476</v>
      </c>
      <c r="I4" s="466" t="s">
        <v>477</v>
      </c>
      <c r="J4" s="467"/>
      <c r="K4" s="467"/>
      <c r="L4" s="467"/>
      <c r="M4" s="467"/>
      <c r="N4" s="467"/>
      <c r="O4" s="472" t="s">
        <v>478</v>
      </c>
      <c r="P4" s="472"/>
      <c r="Q4" s="472"/>
      <c r="R4" s="466" t="s">
        <v>479</v>
      </c>
      <c r="S4" s="467"/>
      <c r="T4" s="468"/>
    </row>
    <row r="5" spans="1:51" ht="30.75" customHeight="1" x14ac:dyDescent="0.25">
      <c r="A5" s="474"/>
      <c r="B5" s="474"/>
      <c r="C5" s="472"/>
      <c r="D5" s="474"/>
      <c r="E5" s="470"/>
      <c r="F5" s="470"/>
      <c r="G5" s="471"/>
      <c r="H5" s="474"/>
      <c r="I5" s="469"/>
      <c r="J5" s="470"/>
      <c r="K5" s="470"/>
      <c r="L5" s="470"/>
      <c r="M5" s="470"/>
      <c r="N5" s="470"/>
      <c r="O5" s="472"/>
      <c r="P5" s="472"/>
      <c r="Q5" s="472"/>
      <c r="R5" s="469"/>
      <c r="S5" s="470"/>
      <c r="T5" s="471"/>
    </row>
    <row r="6" spans="1:51" x14ac:dyDescent="0.25">
      <c r="A6" s="474"/>
      <c r="B6" s="474"/>
      <c r="C6" s="472"/>
      <c r="D6" s="474"/>
      <c r="E6" s="467" t="s">
        <v>480</v>
      </c>
      <c r="F6" s="468"/>
      <c r="G6" s="472" t="s">
        <v>481</v>
      </c>
      <c r="H6" s="474"/>
      <c r="I6" s="473" t="s">
        <v>481</v>
      </c>
      <c r="J6" s="476" t="s">
        <v>482</v>
      </c>
      <c r="K6" s="477"/>
      <c r="L6" s="467" t="s">
        <v>480</v>
      </c>
      <c r="M6" s="468"/>
      <c r="N6" s="466" t="s">
        <v>483</v>
      </c>
      <c r="O6" s="472" t="s">
        <v>481</v>
      </c>
      <c r="P6" s="472" t="s">
        <v>480</v>
      </c>
      <c r="Q6" s="472"/>
      <c r="R6" s="473" t="s">
        <v>481</v>
      </c>
      <c r="S6" s="472" t="s">
        <v>480</v>
      </c>
      <c r="T6" s="472"/>
    </row>
    <row r="7" spans="1:51" x14ac:dyDescent="0.25">
      <c r="A7" s="474"/>
      <c r="B7" s="474"/>
      <c r="C7" s="472"/>
      <c r="D7" s="474"/>
      <c r="E7" s="470"/>
      <c r="F7" s="471"/>
      <c r="G7" s="472"/>
      <c r="H7" s="474"/>
      <c r="I7" s="474"/>
      <c r="J7" s="473" t="s">
        <v>484</v>
      </c>
      <c r="K7" s="473" t="s">
        <v>485</v>
      </c>
      <c r="L7" s="470"/>
      <c r="M7" s="471"/>
      <c r="N7" s="478"/>
      <c r="O7" s="472"/>
      <c r="P7" s="472"/>
      <c r="Q7" s="472"/>
      <c r="R7" s="474"/>
      <c r="S7" s="472"/>
      <c r="T7" s="472"/>
    </row>
    <row r="8" spans="1:51" ht="45" x14ac:dyDescent="0.25">
      <c r="A8" s="475"/>
      <c r="B8" s="475"/>
      <c r="C8" s="472"/>
      <c r="D8" s="475"/>
      <c r="E8" s="201" t="s">
        <v>401</v>
      </c>
      <c r="F8" s="201" t="s">
        <v>402</v>
      </c>
      <c r="G8" s="472"/>
      <c r="H8" s="475"/>
      <c r="I8" s="475"/>
      <c r="J8" s="475"/>
      <c r="K8" s="475"/>
      <c r="L8" s="237" t="s">
        <v>401</v>
      </c>
      <c r="M8" s="237" t="s">
        <v>402</v>
      </c>
      <c r="N8" s="469"/>
      <c r="O8" s="472"/>
      <c r="P8" s="201" t="s">
        <v>401</v>
      </c>
      <c r="Q8" s="201" t="s">
        <v>402</v>
      </c>
      <c r="R8" s="475"/>
      <c r="S8" s="201" t="s">
        <v>401</v>
      </c>
      <c r="T8" s="201" t="s">
        <v>402</v>
      </c>
    </row>
    <row r="9" spans="1:51" x14ac:dyDescent="0.25">
      <c r="A9" s="201">
        <v>1</v>
      </c>
      <c r="B9" s="201">
        <v>2</v>
      </c>
      <c r="C9" s="201">
        <v>3</v>
      </c>
      <c r="D9" s="201">
        <v>4</v>
      </c>
      <c r="E9" s="201">
        <v>5</v>
      </c>
      <c r="F9" s="201">
        <v>6</v>
      </c>
      <c r="G9" s="201">
        <v>7</v>
      </c>
      <c r="H9" s="201">
        <v>8</v>
      </c>
      <c r="I9" s="201">
        <v>9</v>
      </c>
      <c r="J9" s="201">
        <v>10</v>
      </c>
      <c r="K9" s="201">
        <v>11</v>
      </c>
      <c r="L9" s="201">
        <v>12</v>
      </c>
      <c r="M9" s="201">
        <v>13</v>
      </c>
      <c r="N9" s="201">
        <v>14</v>
      </c>
      <c r="O9" s="201"/>
      <c r="P9" s="201">
        <v>15</v>
      </c>
      <c r="Q9" s="201">
        <v>16</v>
      </c>
      <c r="R9" s="201">
        <v>17</v>
      </c>
      <c r="S9" s="201">
        <v>18</v>
      </c>
      <c r="T9" s="201">
        <v>19</v>
      </c>
    </row>
    <row r="10" spans="1:51" x14ac:dyDescent="0.25">
      <c r="A10" s="238">
        <v>1</v>
      </c>
      <c r="B10" s="239" t="s">
        <v>13</v>
      </c>
      <c r="C10" s="240">
        <f>D10+E10+F10+G10+H10+I10+J10+K10+L10+M10+N10+P10+Q10+R10+S10+T10+O10</f>
        <v>122177</v>
      </c>
      <c r="D10" s="240">
        <v>2111</v>
      </c>
      <c r="E10" s="240">
        <v>2367</v>
      </c>
      <c r="F10" s="240">
        <v>47085</v>
      </c>
      <c r="G10" s="240">
        <v>0</v>
      </c>
      <c r="H10" s="240">
        <v>8225</v>
      </c>
      <c r="I10" s="240">
        <v>0</v>
      </c>
      <c r="J10" s="240">
        <v>1025</v>
      </c>
      <c r="K10" s="240">
        <v>439</v>
      </c>
      <c r="L10" s="240">
        <f>1377</f>
        <v>1377</v>
      </c>
      <c r="M10" s="240">
        <v>24299</v>
      </c>
      <c r="N10" s="240"/>
      <c r="O10" s="240">
        <v>0</v>
      </c>
      <c r="P10" s="240">
        <v>0</v>
      </c>
      <c r="Q10" s="240">
        <v>11200</v>
      </c>
      <c r="R10" s="240">
        <v>0</v>
      </c>
      <c r="S10" s="240">
        <v>3756</v>
      </c>
      <c r="T10" s="240">
        <v>20293</v>
      </c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</row>
    <row r="11" spans="1:51" ht="22.5" x14ac:dyDescent="0.25">
      <c r="A11" s="238">
        <v>2</v>
      </c>
      <c r="B11" s="239" t="s">
        <v>403</v>
      </c>
      <c r="C11" s="240">
        <f t="shared" ref="C11:C75" si="0">D11+E11+F11+G11+H11+I11+J11+K11+L11+M11+N11+P11+Q11+R11+S11+T11+O11</f>
        <v>6000</v>
      </c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4500</v>
      </c>
      <c r="J11" s="240"/>
      <c r="K11" s="240"/>
      <c r="L11" s="240">
        <v>0</v>
      </c>
      <c r="M11" s="240">
        <v>0</v>
      </c>
      <c r="N11" s="240"/>
      <c r="O11" s="240">
        <v>1500</v>
      </c>
      <c r="P11" s="240">
        <v>0</v>
      </c>
      <c r="Q11" s="240">
        <v>0</v>
      </c>
      <c r="R11" s="240">
        <v>0</v>
      </c>
      <c r="S11" s="240">
        <v>0</v>
      </c>
      <c r="T11" s="240">
        <v>0</v>
      </c>
    </row>
    <row r="12" spans="1:51" x14ac:dyDescent="0.25">
      <c r="A12" s="238">
        <v>3</v>
      </c>
      <c r="B12" s="242" t="s">
        <v>22</v>
      </c>
      <c r="C12" s="240">
        <f t="shared" si="0"/>
        <v>122375</v>
      </c>
      <c r="D12" s="240">
        <v>2152</v>
      </c>
      <c r="E12" s="240">
        <v>1966</v>
      </c>
      <c r="F12" s="240">
        <v>45596</v>
      </c>
      <c r="G12" s="240">
        <v>0</v>
      </c>
      <c r="H12" s="240">
        <v>7186</v>
      </c>
      <c r="I12" s="240">
        <v>0</v>
      </c>
      <c r="J12" s="240">
        <v>1025</v>
      </c>
      <c r="K12" s="240">
        <v>439</v>
      </c>
      <c r="L12" s="240">
        <v>5481</v>
      </c>
      <c r="M12" s="240">
        <v>40984</v>
      </c>
      <c r="N12" s="240">
        <v>156</v>
      </c>
      <c r="O12" s="240">
        <v>0</v>
      </c>
      <c r="P12" s="240">
        <v>2194</v>
      </c>
      <c r="Q12" s="240">
        <v>2194</v>
      </c>
      <c r="R12" s="240">
        <v>0</v>
      </c>
      <c r="S12" s="240">
        <v>2459</v>
      </c>
      <c r="T12" s="240">
        <v>10543</v>
      </c>
    </row>
    <row r="13" spans="1:51" x14ac:dyDescent="0.25">
      <c r="A13" s="238">
        <v>4</v>
      </c>
      <c r="B13" s="242" t="s">
        <v>343</v>
      </c>
      <c r="C13" s="240">
        <f t="shared" si="0"/>
        <v>5340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3258</v>
      </c>
      <c r="J13" s="240"/>
      <c r="K13" s="240"/>
      <c r="L13" s="240">
        <v>0</v>
      </c>
      <c r="M13" s="240">
        <v>0</v>
      </c>
      <c r="N13" s="240"/>
      <c r="O13" s="240">
        <v>382</v>
      </c>
      <c r="P13" s="240">
        <v>0</v>
      </c>
      <c r="Q13" s="240">
        <v>0</v>
      </c>
      <c r="R13" s="240">
        <v>1700</v>
      </c>
      <c r="S13" s="240">
        <v>0</v>
      </c>
      <c r="T13" s="240">
        <v>0</v>
      </c>
    </row>
    <row r="14" spans="1:51" x14ac:dyDescent="0.25">
      <c r="A14" s="463">
        <v>5</v>
      </c>
      <c r="B14" s="243" t="s">
        <v>70</v>
      </c>
      <c r="C14" s="240">
        <f t="shared" si="0"/>
        <v>296274</v>
      </c>
      <c r="D14" s="240">
        <v>5006</v>
      </c>
      <c r="E14" s="240">
        <v>7059</v>
      </c>
      <c r="F14" s="240">
        <v>95530</v>
      </c>
      <c r="G14" s="240">
        <v>0</v>
      </c>
      <c r="H14" s="240">
        <v>13874</v>
      </c>
      <c r="I14" s="240">
        <v>0</v>
      </c>
      <c r="J14" s="240">
        <v>1025</v>
      </c>
      <c r="K14" s="240">
        <v>439</v>
      </c>
      <c r="L14" s="240">
        <f>30798+19</f>
        <v>30817</v>
      </c>
      <c r="M14" s="240">
        <v>78464</v>
      </c>
      <c r="N14" s="240"/>
      <c r="O14" s="240">
        <v>0</v>
      </c>
      <c r="P14" s="240">
        <v>5372</v>
      </c>
      <c r="Q14" s="240">
        <v>1340</v>
      </c>
      <c r="R14" s="240">
        <v>0</v>
      </c>
      <c r="S14" s="240">
        <v>17493</v>
      </c>
      <c r="T14" s="240">
        <v>39855</v>
      </c>
    </row>
    <row r="15" spans="1:51" ht="33.75" x14ac:dyDescent="0.25">
      <c r="A15" s="465"/>
      <c r="B15" s="244" t="s">
        <v>71</v>
      </c>
      <c r="C15" s="240">
        <f t="shared" si="0"/>
        <v>38391</v>
      </c>
      <c r="D15" s="240">
        <v>693</v>
      </c>
      <c r="E15" s="240">
        <v>746</v>
      </c>
      <c r="F15" s="240">
        <v>12809</v>
      </c>
      <c r="G15" s="240">
        <v>0</v>
      </c>
      <c r="H15" s="240">
        <v>0</v>
      </c>
      <c r="I15" s="240">
        <v>0</v>
      </c>
      <c r="J15" s="240"/>
      <c r="K15" s="240"/>
      <c r="L15" s="240">
        <v>1931</v>
      </c>
      <c r="M15" s="240">
        <v>7439</v>
      </c>
      <c r="N15" s="240"/>
      <c r="O15" s="240">
        <v>0</v>
      </c>
      <c r="P15" s="240">
        <v>4108</v>
      </c>
      <c r="Q15" s="240">
        <v>0</v>
      </c>
      <c r="R15" s="240">
        <v>0</v>
      </c>
      <c r="S15" s="240">
        <v>1215</v>
      </c>
      <c r="T15" s="240">
        <v>9450</v>
      </c>
    </row>
    <row r="16" spans="1:51" x14ac:dyDescent="0.25">
      <c r="A16" s="238">
        <v>6</v>
      </c>
      <c r="B16" s="242" t="s">
        <v>52</v>
      </c>
      <c r="C16" s="240">
        <f t="shared" si="0"/>
        <v>92264</v>
      </c>
      <c r="D16" s="240">
        <v>1644</v>
      </c>
      <c r="E16" s="240">
        <v>7300</v>
      </c>
      <c r="F16" s="240">
        <v>26561</v>
      </c>
      <c r="G16" s="240">
        <v>0</v>
      </c>
      <c r="H16" s="240">
        <v>0</v>
      </c>
      <c r="I16" s="240">
        <v>0</v>
      </c>
      <c r="J16" s="240">
        <v>1025</v>
      </c>
      <c r="K16" s="240">
        <v>439</v>
      </c>
      <c r="L16" s="240">
        <v>8950</v>
      </c>
      <c r="M16" s="240">
        <v>26885</v>
      </c>
      <c r="N16" s="240"/>
      <c r="O16" s="240">
        <v>0</v>
      </c>
      <c r="P16" s="240">
        <v>0</v>
      </c>
      <c r="Q16" s="240">
        <v>7111</v>
      </c>
      <c r="R16" s="240">
        <v>0</v>
      </c>
      <c r="S16" s="240">
        <v>1250</v>
      </c>
      <c r="T16" s="240">
        <v>11099</v>
      </c>
    </row>
    <row r="17" spans="1:20" x14ac:dyDescent="0.25">
      <c r="A17" s="238">
        <v>7</v>
      </c>
      <c r="B17" s="242" t="s">
        <v>4</v>
      </c>
      <c r="C17" s="240">
        <f t="shared" si="0"/>
        <v>39258</v>
      </c>
      <c r="D17" s="240">
        <v>714</v>
      </c>
      <c r="E17" s="240">
        <v>1974</v>
      </c>
      <c r="F17" s="240">
        <v>21984</v>
      </c>
      <c r="G17" s="240">
        <v>0</v>
      </c>
      <c r="H17" s="240">
        <v>0</v>
      </c>
      <c r="I17" s="240">
        <v>0</v>
      </c>
      <c r="J17" s="240"/>
      <c r="K17" s="240"/>
      <c r="L17" s="240">
        <v>6472</v>
      </c>
      <c r="M17" s="240">
        <v>4709</v>
      </c>
      <c r="N17" s="240"/>
      <c r="O17" s="240">
        <v>0</v>
      </c>
      <c r="P17" s="240">
        <v>0</v>
      </c>
      <c r="Q17" s="240">
        <v>1052</v>
      </c>
      <c r="R17" s="240">
        <v>0</v>
      </c>
      <c r="S17" s="240">
        <v>1554</v>
      </c>
      <c r="T17" s="240">
        <v>799</v>
      </c>
    </row>
    <row r="18" spans="1:20" x14ac:dyDescent="0.25">
      <c r="A18" s="238">
        <v>8</v>
      </c>
      <c r="B18" s="242" t="s">
        <v>8</v>
      </c>
      <c r="C18" s="240">
        <f t="shared" si="0"/>
        <v>41291</v>
      </c>
      <c r="D18" s="240">
        <v>742</v>
      </c>
      <c r="E18" s="240">
        <v>770</v>
      </c>
      <c r="F18" s="240">
        <v>14312</v>
      </c>
      <c r="G18" s="240">
        <v>0</v>
      </c>
      <c r="H18" s="240">
        <v>0</v>
      </c>
      <c r="I18" s="240">
        <v>0</v>
      </c>
      <c r="J18" s="240">
        <v>1025</v>
      </c>
      <c r="K18" s="240">
        <v>439</v>
      </c>
      <c r="L18" s="240">
        <v>7486</v>
      </c>
      <c r="M18" s="240">
        <v>6216</v>
      </c>
      <c r="N18" s="240"/>
      <c r="O18" s="240">
        <v>0</v>
      </c>
      <c r="P18" s="240">
        <v>0</v>
      </c>
      <c r="Q18" s="240">
        <v>3295</v>
      </c>
      <c r="R18" s="240">
        <v>0</v>
      </c>
      <c r="S18" s="240">
        <v>500</v>
      </c>
      <c r="T18" s="240">
        <v>6506</v>
      </c>
    </row>
    <row r="19" spans="1:20" x14ac:dyDescent="0.25">
      <c r="A19" s="238">
        <v>9</v>
      </c>
      <c r="B19" s="242" t="s">
        <v>17</v>
      </c>
      <c r="C19" s="240">
        <f t="shared" si="0"/>
        <v>44639</v>
      </c>
      <c r="D19" s="240">
        <v>847</v>
      </c>
      <c r="E19" s="240">
        <v>1496</v>
      </c>
      <c r="F19" s="240">
        <v>15023</v>
      </c>
      <c r="G19" s="240">
        <v>0</v>
      </c>
      <c r="H19" s="240">
        <v>0</v>
      </c>
      <c r="I19" s="240">
        <v>0</v>
      </c>
      <c r="J19" s="240"/>
      <c r="K19" s="240"/>
      <c r="L19" s="240">
        <v>3477</v>
      </c>
      <c r="M19" s="240">
        <v>9937</v>
      </c>
      <c r="N19" s="240"/>
      <c r="O19" s="240">
        <v>0</v>
      </c>
      <c r="P19" s="240">
        <v>2892</v>
      </c>
      <c r="Q19" s="240">
        <v>4370</v>
      </c>
      <c r="R19" s="240">
        <v>0</v>
      </c>
      <c r="S19" s="240">
        <v>1946</v>
      </c>
      <c r="T19" s="240">
        <v>4651</v>
      </c>
    </row>
    <row r="20" spans="1:20" x14ac:dyDescent="0.25">
      <c r="A20" s="238">
        <v>10</v>
      </c>
      <c r="B20" s="242" t="s">
        <v>44</v>
      </c>
      <c r="C20" s="240">
        <f t="shared" si="0"/>
        <v>47734</v>
      </c>
      <c r="D20" s="240">
        <v>867</v>
      </c>
      <c r="E20" s="240">
        <v>2785</v>
      </c>
      <c r="F20" s="240">
        <v>12790</v>
      </c>
      <c r="G20" s="240">
        <v>0</v>
      </c>
      <c r="H20" s="240">
        <v>0</v>
      </c>
      <c r="I20" s="240">
        <v>0</v>
      </c>
      <c r="J20" s="240"/>
      <c r="K20" s="240"/>
      <c r="L20" s="240">
        <v>6765</v>
      </c>
      <c r="M20" s="240">
        <v>14692</v>
      </c>
      <c r="N20" s="240"/>
      <c r="O20" s="240">
        <v>0</v>
      </c>
      <c r="P20" s="240">
        <v>1500</v>
      </c>
      <c r="Q20" s="240">
        <v>3618</v>
      </c>
      <c r="R20" s="240">
        <v>0</v>
      </c>
      <c r="S20" s="240">
        <v>650</v>
      </c>
      <c r="T20" s="240">
        <v>4067</v>
      </c>
    </row>
    <row r="21" spans="1:20" x14ac:dyDescent="0.25">
      <c r="A21" s="238">
        <v>11</v>
      </c>
      <c r="B21" s="243" t="s">
        <v>29</v>
      </c>
      <c r="C21" s="240">
        <f t="shared" si="0"/>
        <v>49629</v>
      </c>
      <c r="D21" s="240">
        <v>898</v>
      </c>
      <c r="E21" s="240">
        <v>1020</v>
      </c>
      <c r="F21" s="240">
        <v>16410</v>
      </c>
      <c r="G21" s="240">
        <v>0</v>
      </c>
      <c r="H21" s="240">
        <v>0</v>
      </c>
      <c r="I21" s="240">
        <v>0</v>
      </c>
      <c r="J21" s="240"/>
      <c r="K21" s="240"/>
      <c r="L21" s="240">
        <v>3572</v>
      </c>
      <c r="M21" s="240">
        <v>14436</v>
      </c>
      <c r="N21" s="240"/>
      <c r="O21" s="240">
        <v>0</v>
      </c>
      <c r="P21" s="240">
        <v>1488</v>
      </c>
      <c r="Q21" s="240">
        <v>0</v>
      </c>
      <c r="R21" s="240">
        <v>0</v>
      </c>
      <c r="S21" s="240">
        <v>5020</v>
      </c>
      <c r="T21" s="240">
        <v>6785</v>
      </c>
    </row>
    <row r="22" spans="1:20" x14ac:dyDescent="0.25">
      <c r="A22" s="238">
        <v>12</v>
      </c>
      <c r="B22" s="242" t="s">
        <v>30</v>
      </c>
      <c r="C22" s="240">
        <f t="shared" si="0"/>
        <v>46908</v>
      </c>
      <c r="D22" s="240">
        <v>844</v>
      </c>
      <c r="E22" s="240">
        <v>2536</v>
      </c>
      <c r="F22" s="240">
        <v>15882</v>
      </c>
      <c r="G22" s="240">
        <v>0</v>
      </c>
      <c r="H22" s="240">
        <v>0</v>
      </c>
      <c r="I22" s="240">
        <v>0</v>
      </c>
      <c r="J22" s="240">
        <v>1025</v>
      </c>
      <c r="K22" s="240">
        <v>439</v>
      </c>
      <c r="L22" s="240">
        <v>6136</v>
      </c>
      <c r="M22" s="240">
        <v>11010</v>
      </c>
      <c r="N22" s="240"/>
      <c r="O22" s="240">
        <v>0</v>
      </c>
      <c r="P22" s="240">
        <v>0</v>
      </c>
      <c r="Q22" s="240">
        <v>0</v>
      </c>
      <c r="R22" s="240">
        <v>0</v>
      </c>
      <c r="S22" s="240">
        <v>2328</v>
      </c>
      <c r="T22" s="240">
        <v>6708</v>
      </c>
    </row>
    <row r="23" spans="1:20" x14ac:dyDescent="0.25">
      <c r="A23" s="238">
        <v>13</v>
      </c>
      <c r="B23" s="243" t="s">
        <v>33</v>
      </c>
      <c r="C23" s="240">
        <f t="shared" si="0"/>
        <v>55709</v>
      </c>
      <c r="D23" s="240">
        <v>1032</v>
      </c>
      <c r="E23" s="240">
        <v>378</v>
      </c>
      <c r="F23" s="240">
        <v>11246</v>
      </c>
      <c r="G23" s="240">
        <v>0</v>
      </c>
      <c r="H23" s="240">
        <v>0</v>
      </c>
      <c r="I23" s="240">
        <v>0</v>
      </c>
      <c r="J23" s="240"/>
      <c r="K23" s="240"/>
      <c r="L23" s="240">
        <v>8459</v>
      </c>
      <c r="M23" s="240">
        <v>8082</v>
      </c>
      <c r="N23" s="240"/>
      <c r="O23" s="240">
        <v>0</v>
      </c>
      <c r="P23" s="240">
        <v>1500</v>
      </c>
      <c r="Q23" s="240">
        <v>4841</v>
      </c>
      <c r="R23" s="240">
        <v>0</v>
      </c>
      <c r="S23" s="240">
        <v>5163</v>
      </c>
      <c r="T23" s="240">
        <v>15008</v>
      </c>
    </row>
    <row r="24" spans="1:20" x14ac:dyDescent="0.25">
      <c r="A24" s="238">
        <v>14</v>
      </c>
      <c r="B24" s="242" t="s">
        <v>39</v>
      </c>
      <c r="C24" s="240">
        <f t="shared" si="0"/>
        <v>44745</v>
      </c>
      <c r="D24" s="240">
        <v>802</v>
      </c>
      <c r="E24" s="240">
        <v>590</v>
      </c>
      <c r="F24" s="240">
        <v>14679</v>
      </c>
      <c r="G24" s="240">
        <v>0</v>
      </c>
      <c r="H24" s="240">
        <v>0</v>
      </c>
      <c r="I24" s="240">
        <v>0</v>
      </c>
      <c r="J24" s="240"/>
      <c r="K24" s="240"/>
      <c r="L24" s="240">
        <v>1200</v>
      </c>
      <c r="M24" s="240">
        <v>11299</v>
      </c>
      <c r="N24" s="240"/>
      <c r="O24" s="240">
        <v>0</v>
      </c>
      <c r="P24" s="240">
        <v>900</v>
      </c>
      <c r="Q24" s="240">
        <v>4841</v>
      </c>
      <c r="R24" s="240">
        <v>0</v>
      </c>
      <c r="S24" s="240">
        <v>4310</v>
      </c>
      <c r="T24" s="240">
        <v>6124</v>
      </c>
    </row>
    <row r="25" spans="1:20" x14ac:dyDescent="0.25">
      <c r="A25" s="238">
        <v>15</v>
      </c>
      <c r="B25" s="242" t="s">
        <v>408</v>
      </c>
      <c r="C25" s="240">
        <f t="shared" si="0"/>
        <v>6</v>
      </c>
      <c r="D25" s="240">
        <v>0</v>
      </c>
      <c r="E25" s="240"/>
      <c r="F25" s="240"/>
      <c r="G25" s="240"/>
      <c r="H25" s="240">
        <v>0</v>
      </c>
      <c r="I25" s="240">
        <f>25-19</f>
        <v>6</v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</row>
    <row r="26" spans="1:20" x14ac:dyDescent="0.25">
      <c r="A26" s="238">
        <v>16</v>
      </c>
      <c r="B26" s="242" t="s">
        <v>53</v>
      </c>
      <c r="C26" s="240">
        <f t="shared" si="0"/>
        <v>125948</v>
      </c>
      <c r="D26" s="240">
        <v>2193</v>
      </c>
      <c r="E26" s="240">
        <v>3549</v>
      </c>
      <c r="F26" s="240">
        <v>28925</v>
      </c>
      <c r="G26" s="240">
        <v>0</v>
      </c>
      <c r="H26" s="240">
        <v>8103</v>
      </c>
      <c r="I26" s="240">
        <v>0</v>
      </c>
      <c r="J26" s="240">
        <v>1025</v>
      </c>
      <c r="K26" s="240">
        <v>439</v>
      </c>
      <c r="L26" s="240">
        <v>6342</v>
      </c>
      <c r="M26" s="240">
        <v>41181</v>
      </c>
      <c r="N26" s="240"/>
      <c r="O26" s="240">
        <v>0</v>
      </c>
      <c r="P26" s="240">
        <v>1000</v>
      </c>
      <c r="Q26" s="240">
        <v>7500</v>
      </c>
      <c r="R26" s="240">
        <v>0</v>
      </c>
      <c r="S26" s="240">
        <v>2309</v>
      </c>
      <c r="T26" s="240">
        <v>23382</v>
      </c>
    </row>
    <row r="27" spans="1:20" ht="22.5" x14ac:dyDescent="0.25">
      <c r="A27" s="238">
        <v>17</v>
      </c>
      <c r="B27" s="245" t="s">
        <v>357</v>
      </c>
      <c r="C27" s="240">
        <f t="shared" si="0"/>
        <v>9821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4408</v>
      </c>
      <c r="J27" s="240"/>
      <c r="K27" s="240"/>
      <c r="L27" s="240">
        <v>0</v>
      </c>
      <c r="M27" s="240">
        <v>0</v>
      </c>
      <c r="N27" s="240"/>
      <c r="O27" s="240">
        <v>3210</v>
      </c>
      <c r="P27" s="240">
        <v>0</v>
      </c>
      <c r="Q27" s="240">
        <v>0</v>
      </c>
      <c r="R27" s="240">
        <v>2203</v>
      </c>
      <c r="S27" s="240">
        <v>0</v>
      </c>
      <c r="T27" s="240">
        <v>0</v>
      </c>
    </row>
    <row r="28" spans="1:20" x14ac:dyDescent="0.25">
      <c r="A28" s="238">
        <v>18</v>
      </c>
      <c r="B28" s="242" t="s">
        <v>6</v>
      </c>
      <c r="C28" s="240">
        <f t="shared" si="0"/>
        <v>111822</v>
      </c>
      <c r="D28" s="240">
        <v>1908</v>
      </c>
      <c r="E28" s="240">
        <v>1886</v>
      </c>
      <c r="F28" s="240">
        <v>34332</v>
      </c>
      <c r="G28" s="240">
        <v>0</v>
      </c>
      <c r="H28" s="240">
        <v>0</v>
      </c>
      <c r="I28" s="240">
        <v>0</v>
      </c>
      <c r="J28" s="240"/>
      <c r="K28" s="240"/>
      <c r="L28" s="240">
        <v>19697</v>
      </c>
      <c r="M28" s="240">
        <v>24132</v>
      </c>
      <c r="N28" s="240"/>
      <c r="O28" s="240">
        <v>0</v>
      </c>
      <c r="P28" s="240">
        <v>2586</v>
      </c>
      <c r="Q28" s="240">
        <v>12648</v>
      </c>
      <c r="R28" s="240">
        <v>0</v>
      </c>
      <c r="S28" s="240">
        <v>831</v>
      </c>
      <c r="T28" s="240">
        <v>13802</v>
      </c>
    </row>
    <row r="29" spans="1:20" x14ac:dyDescent="0.25">
      <c r="A29" s="238">
        <v>19</v>
      </c>
      <c r="B29" s="242" t="s">
        <v>11</v>
      </c>
      <c r="C29" s="240">
        <f t="shared" si="0"/>
        <v>221946</v>
      </c>
      <c r="D29" s="240">
        <v>3710</v>
      </c>
      <c r="E29" s="240">
        <v>10380</v>
      </c>
      <c r="F29" s="240">
        <v>84024</v>
      </c>
      <c r="G29" s="240">
        <v>0</v>
      </c>
      <c r="H29" s="240">
        <v>12290</v>
      </c>
      <c r="I29" s="240">
        <v>0</v>
      </c>
      <c r="J29" s="240">
        <v>1025</v>
      </c>
      <c r="K29" s="240">
        <v>439</v>
      </c>
      <c r="L29" s="240">
        <v>19430</v>
      </c>
      <c r="M29" s="240">
        <v>26216</v>
      </c>
      <c r="N29" s="240"/>
      <c r="O29" s="240">
        <v>0</v>
      </c>
      <c r="P29" s="240">
        <v>0</v>
      </c>
      <c r="Q29" s="240">
        <v>40000</v>
      </c>
      <c r="R29" s="240">
        <v>0</v>
      </c>
      <c r="S29" s="240">
        <v>15190</v>
      </c>
      <c r="T29" s="240">
        <v>9242</v>
      </c>
    </row>
    <row r="30" spans="1:20" x14ac:dyDescent="0.25">
      <c r="A30" s="238">
        <v>20</v>
      </c>
      <c r="B30" s="242" t="s">
        <v>46</v>
      </c>
      <c r="C30" s="240">
        <f t="shared" si="0"/>
        <v>146563</v>
      </c>
      <c r="D30" s="240">
        <v>2581</v>
      </c>
      <c r="E30" s="240">
        <v>8527</v>
      </c>
      <c r="F30" s="240">
        <v>32482</v>
      </c>
      <c r="G30" s="240">
        <v>0</v>
      </c>
      <c r="H30" s="240">
        <v>0</v>
      </c>
      <c r="I30" s="240">
        <v>0</v>
      </c>
      <c r="J30" s="240">
        <v>1025</v>
      </c>
      <c r="K30" s="240">
        <v>439</v>
      </c>
      <c r="L30" s="240">
        <v>15684</v>
      </c>
      <c r="M30" s="240">
        <v>29951</v>
      </c>
      <c r="N30" s="240"/>
      <c r="O30" s="240">
        <v>0</v>
      </c>
      <c r="P30" s="240">
        <v>2000</v>
      </c>
      <c r="Q30" s="240">
        <v>15019</v>
      </c>
      <c r="R30" s="240">
        <v>0</v>
      </c>
      <c r="S30" s="240">
        <v>7789</v>
      </c>
      <c r="T30" s="240">
        <v>31066</v>
      </c>
    </row>
    <row r="31" spans="1:20" x14ac:dyDescent="0.25">
      <c r="A31" s="238">
        <v>21</v>
      </c>
      <c r="B31" s="242" t="s">
        <v>348</v>
      </c>
      <c r="C31" s="240">
        <f t="shared" si="0"/>
        <v>33724</v>
      </c>
      <c r="D31" s="240">
        <v>521</v>
      </c>
      <c r="E31" s="240">
        <v>386</v>
      </c>
      <c r="F31" s="240">
        <v>8114</v>
      </c>
      <c r="G31" s="240">
        <v>0</v>
      </c>
      <c r="H31" s="240">
        <v>0</v>
      </c>
      <c r="I31" s="240">
        <v>0</v>
      </c>
      <c r="J31" s="240"/>
      <c r="K31" s="240"/>
      <c r="L31" s="240">
        <v>9164</v>
      </c>
      <c r="M31" s="240">
        <v>4814</v>
      </c>
      <c r="N31" s="240"/>
      <c r="O31" s="240">
        <v>0</v>
      </c>
      <c r="P31" s="240">
        <v>950</v>
      </c>
      <c r="Q31" s="240">
        <v>2000</v>
      </c>
      <c r="R31" s="240">
        <v>0</v>
      </c>
      <c r="S31" s="240">
        <v>800</v>
      </c>
      <c r="T31" s="240">
        <v>6975</v>
      </c>
    </row>
    <row r="32" spans="1:20" x14ac:dyDescent="0.25">
      <c r="A32" s="238">
        <v>22</v>
      </c>
      <c r="B32" s="242" t="s">
        <v>48</v>
      </c>
      <c r="C32" s="240">
        <f t="shared" si="0"/>
        <v>60118</v>
      </c>
      <c r="D32" s="240">
        <v>1052</v>
      </c>
      <c r="E32" s="240">
        <v>729</v>
      </c>
      <c r="F32" s="240">
        <v>4576</v>
      </c>
      <c r="G32" s="240">
        <v>0</v>
      </c>
      <c r="H32" s="240">
        <v>0</v>
      </c>
      <c r="I32" s="240">
        <v>0</v>
      </c>
      <c r="J32" s="240"/>
      <c r="K32" s="240"/>
      <c r="L32" s="240">
        <v>1623</v>
      </c>
      <c r="M32" s="240">
        <v>15702</v>
      </c>
      <c r="N32" s="240"/>
      <c r="O32" s="240">
        <v>0</v>
      </c>
      <c r="P32" s="240">
        <v>2000</v>
      </c>
      <c r="Q32" s="240">
        <v>5612</v>
      </c>
      <c r="R32" s="240">
        <v>0</v>
      </c>
      <c r="S32" s="240">
        <v>2688</v>
      </c>
      <c r="T32" s="240">
        <v>26136</v>
      </c>
    </row>
    <row r="33" spans="1:20" x14ac:dyDescent="0.25">
      <c r="A33" s="238">
        <v>23</v>
      </c>
      <c r="B33" s="242" t="s">
        <v>1</v>
      </c>
      <c r="C33" s="240">
        <f t="shared" si="0"/>
        <v>81766</v>
      </c>
      <c r="D33" s="240">
        <v>1392</v>
      </c>
      <c r="E33" s="240">
        <v>2100</v>
      </c>
      <c r="F33" s="240">
        <v>33326</v>
      </c>
      <c r="G33" s="240">
        <v>0</v>
      </c>
      <c r="H33" s="240">
        <v>0</v>
      </c>
      <c r="I33" s="240">
        <v>0</v>
      </c>
      <c r="J33" s="240">
        <v>1025</v>
      </c>
      <c r="K33" s="240">
        <v>439</v>
      </c>
      <c r="L33" s="240">
        <v>7238</v>
      </c>
      <c r="M33" s="240">
        <v>11780</v>
      </c>
      <c r="N33" s="240"/>
      <c r="O33" s="240">
        <v>0</v>
      </c>
      <c r="P33" s="240">
        <v>0</v>
      </c>
      <c r="Q33" s="240">
        <v>9532</v>
      </c>
      <c r="R33" s="240">
        <v>0</v>
      </c>
      <c r="S33" s="240">
        <v>3462</v>
      </c>
      <c r="T33" s="240">
        <v>11472</v>
      </c>
    </row>
    <row r="34" spans="1:20" x14ac:dyDescent="0.25">
      <c r="A34" s="238">
        <v>24</v>
      </c>
      <c r="B34" s="242" t="s">
        <v>18</v>
      </c>
      <c r="C34" s="240">
        <f t="shared" si="0"/>
        <v>33619</v>
      </c>
      <c r="D34" s="240">
        <v>557</v>
      </c>
      <c r="E34" s="240">
        <v>3206</v>
      </c>
      <c r="F34" s="240">
        <v>7811</v>
      </c>
      <c r="G34" s="240">
        <v>0</v>
      </c>
      <c r="H34" s="240">
        <v>0</v>
      </c>
      <c r="I34" s="240">
        <v>0</v>
      </c>
      <c r="J34" s="240"/>
      <c r="K34" s="240"/>
      <c r="L34" s="240">
        <v>1776</v>
      </c>
      <c r="M34" s="240">
        <v>4930</v>
      </c>
      <c r="N34" s="240"/>
      <c r="O34" s="240">
        <v>0</v>
      </c>
      <c r="P34" s="240">
        <v>1290</v>
      </c>
      <c r="Q34" s="240">
        <v>4236</v>
      </c>
      <c r="R34" s="240">
        <v>0</v>
      </c>
      <c r="S34" s="240">
        <v>1728</v>
      </c>
      <c r="T34" s="240">
        <v>8085</v>
      </c>
    </row>
    <row r="35" spans="1:20" x14ac:dyDescent="0.25">
      <c r="A35" s="238">
        <v>25</v>
      </c>
      <c r="B35" s="242" t="s">
        <v>25</v>
      </c>
      <c r="C35" s="240">
        <f t="shared" si="0"/>
        <v>28298</v>
      </c>
      <c r="D35" s="240">
        <v>507</v>
      </c>
      <c r="E35" s="240">
        <v>961</v>
      </c>
      <c r="F35" s="240">
        <v>5714</v>
      </c>
      <c r="G35" s="240">
        <v>0</v>
      </c>
      <c r="H35" s="240">
        <v>0</v>
      </c>
      <c r="I35" s="240">
        <v>0</v>
      </c>
      <c r="J35" s="240"/>
      <c r="K35" s="240"/>
      <c r="L35" s="240">
        <v>1907</v>
      </c>
      <c r="M35" s="240">
        <v>4330</v>
      </c>
      <c r="N35" s="240"/>
      <c r="O35" s="240">
        <v>0</v>
      </c>
      <c r="P35" s="240">
        <v>660</v>
      </c>
      <c r="Q35" s="240">
        <v>2971</v>
      </c>
      <c r="R35" s="240">
        <v>0</v>
      </c>
      <c r="S35" s="240">
        <v>1972</v>
      </c>
      <c r="T35" s="240">
        <v>9276</v>
      </c>
    </row>
    <row r="36" spans="1:20" x14ac:dyDescent="0.25">
      <c r="A36" s="463">
        <v>26</v>
      </c>
      <c r="B36" s="242" t="s">
        <v>459</v>
      </c>
      <c r="C36" s="240">
        <f t="shared" si="0"/>
        <v>67380</v>
      </c>
      <c r="D36" s="246">
        <v>2831</v>
      </c>
      <c r="E36" s="246">
        <v>4118</v>
      </c>
      <c r="F36" s="246">
        <v>37568</v>
      </c>
      <c r="G36" s="247">
        <v>0</v>
      </c>
      <c r="H36" s="247">
        <v>0</v>
      </c>
      <c r="I36" s="247">
        <v>0</v>
      </c>
      <c r="J36" s="247">
        <v>0</v>
      </c>
      <c r="K36" s="247">
        <v>0</v>
      </c>
      <c r="L36" s="246">
        <v>12082</v>
      </c>
      <c r="M36" s="247">
        <v>230</v>
      </c>
      <c r="N36" s="246">
        <v>2179</v>
      </c>
      <c r="O36" s="247">
        <v>0</v>
      </c>
      <c r="P36" s="247">
        <v>0</v>
      </c>
      <c r="Q36" s="246">
        <v>2500</v>
      </c>
      <c r="R36" s="247">
        <v>0</v>
      </c>
      <c r="S36" s="246">
        <v>1000</v>
      </c>
      <c r="T36" s="246">
        <v>4872</v>
      </c>
    </row>
    <row r="37" spans="1:20" ht="51" customHeight="1" x14ac:dyDescent="0.25">
      <c r="A37" s="465"/>
      <c r="B37" s="210" t="s">
        <v>460</v>
      </c>
      <c r="C37" s="240">
        <f t="shared" si="0"/>
        <v>76345</v>
      </c>
      <c r="D37" s="246">
        <v>2579</v>
      </c>
      <c r="E37" s="246">
        <v>13395</v>
      </c>
      <c r="F37" s="246">
        <v>22049</v>
      </c>
      <c r="G37" s="247">
        <v>0</v>
      </c>
      <c r="H37" s="246">
        <v>15068</v>
      </c>
      <c r="I37" s="247">
        <v>0</v>
      </c>
      <c r="J37" s="247">
        <v>886</v>
      </c>
      <c r="K37" s="247">
        <v>438</v>
      </c>
      <c r="L37" s="246">
        <v>2340</v>
      </c>
      <c r="M37" s="246">
        <v>4591</v>
      </c>
      <c r="N37" s="247"/>
      <c r="O37" s="247">
        <v>0</v>
      </c>
      <c r="P37" s="247">
        <v>0</v>
      </c>
      <c r="Q37" s="246">
        <v>1528</v>
      </c>
      <c r="R37" s="247">
        <v>0</v>
      </c>
      <c r="S37" s="246">
        <v>10415</v>
      </c>
      <c r="T37" s="246">
        <v>3056</v>
      </c>
    </row>
    <row r="38" spans="1:20" ht="22.5" x14ac:dyDescent="0.25">
      <c r="A38" s="238">
        <v>27</v>
      </c>
      <c r="B38" s="242" t="s">
        <v>55</v>
      </c>
      <c r="C38" s="240">
        <f t="shared" si="0"/>
        <v>12678</v>
      </c>
      <c r="D38" s="247">
        <v>451</v>
      </c>
      <c r="E38" s="247">
        <v>221</v>
      </c>
      <c r="F38" s="246">
        <v>4410</v>
      </c>
      <c r="G38" s="247">
        <v>0</v>
      </c>
      <c r="H38" s="246">
        <v>3073</v>
      </c>
      <c r="I38" s="247">
        <v>0</v>
      </c>
      <c r="J38" s="247">
        <v>139</v>
      </c>
      <c r="K38" s="247">
        <v>1</v>
      </c>
      <c r="L38" s="247">
        <v>467</v>
      </c>
      <c r="M38" s="247">
        <v>918</v>
      </c>
      <c r="N38" s="247"/>
      <c r="O38" s="247">
        <v>0</v>
      </c>
      <c r="P38" s="247">
        <v>0</v>
      </c>
      <c r="Q38" s="247">
        <v>305</v>
      </c>
      <c r="R38" s="247">
        <v>0</v>
      </c>
      <c r="S38" s="246">
        <v>2082</v>
      </c>
      <c r="T38" s="247">
        <v>611</v>
      </c>
    </row>
    <row r="39" spans="1:20" ht="22.5" x14ac:dyDescent="0.25">
      <c r="A39" s="238">
        <v>28</v>
      </c>
      <c r="B39" s="242" t="s">
        <v>72</v>
      </c>
      <c r="C39" s="240">
        <f t="shared" si="0"/>
        <v>108764</v>
      </c>
      <c r="D39" s="248">
        <v>2793</v>
      </c>
      <c r="E39" s="248">
        <v>6539</v>
      </c>
      <c r="F39" s="248">
        <v>34612</v>
      </c>
      <c r="G39" s="248">
        <v>0</v>
      </c>
      <c r="H39" s="248">
        <v>0</v>
      </c>
      <c r="I39" s="248">
        <v>0</v>
      </c>
      <c r="J39" s="248">
        <v>1025</v>
      </c>
      <c r="K39" s="248">
        <v>439</v>
      </c>
      <c r="L39" s="248">
        <v>7276</v>
      </c>
      <c r="M39" s="248">
        <v>24491</v>
      </c>
      <c r="N39" s="248"/>
      <c r="O39" s="248">
        <v>0</v>
      </c>
      <c r="P39" s="248">
        <v>1326</v>
      </c>
      <c r="Q39" s="248">
        <v>11139</v>
      </c>
      <c r="R39" s="248">
        <v>0</v>
      </c>
      <c r="S39" s="248">
        <v>3859</v>
      </c>
      <c r="T39" s="248">
        <v>15265</v>
      </c>
    </row>
    <row r="40" spans="1:20" ht="22.5" x14ac:dyDescent="0.25">
      <c r="A40" s="463">
        <v>29</v>
      </c>
      <c r="B40" s="242" t="s">
        <v>73</v>
      </c>
      <c r="C40" s="240">
        <f t="shared" si="0"/>
        <v>64367</v>
      </c>
      <c r="D40" s="240">
        <v>1158</v>
      </c>
      <c r="E40" s="240">
        <v>5461</v>
      </c>
      <c r="F40" s="240">
        <v>17258</v>
      </c>
      <c r="G40" s="240">
        <v>0</v>
      </c>
      <c r="H40" s="240">
        <v>0</v>
      </c>
      <c r="I40" s="240">
        <v>0</v>
      </c>
      <c r="J40" s="240"/>
      <c r="K40" s="240"/>
      <c r="L40" s="240">
        <v>3953</v>
      </c>
      <c r="M40" s="240">
        <v>9867</v>
      </c>
      <c r="N40" s="240">
        <v>2428</v>
      </c>
      <c r="O40" s="240">
        <v>0</v>
      </c>
      <c r="P40" s="240">
        <v>0</v>
      </c>
      <c r="Q40" s="240">
        <v>8200</v>
      </c>
      <c r="R40" s="240">
        <v>0</v>
      </c>
      <c r="S40" s="240">
        <v>2586</v>
      </c>
      <c r="T40" s="240">
        <v>13456</v>
      </c>
    </row>
    <row r="41" spans="1:20" ht="45" x14ac:dyDescent="0.25">
      <c r="A41" s="465"/>
      <c r="B41" s="244" t="s">
        <v>74</v>
      </c>
      <c r="C41" s="240">
        <f t="shared" si="0"/>
        <v>98020</v>
      </c>
      <c r="D41" s="240">
        <v>1725</v>
      </c>
      <c r="E41" s="240">
        <v>3850</v>
      </c>
      <c r="F41" s="240">
        <v>29696</v>
      </c>
      <c r="G41" s="240">
        <v>0</v>
      </c>
      <c r="H41" s="240">
        <v>0</v>
      </c>
      <c r="I41" s="240">
        <v>0</v>
      </c>
      <c r="J41" s="240">
        <v>1025</v>
      </c>
      <c r="K41" s="240">
        <v>439</v>
      </c>
      <c r="L41" s="240">
        <v>6129</v>
      </c>
      <c r="M41" s="240">
        <v>17698</v>
      </c>
      <c r="N41" s="240"/>
      <c r="O41" s="240">
        <v>0</v>
      </c>
      <c r="P41" s="240">
        <v>500</v>
      </c>
      <c r="Q41" s="240">
        <v>8200</v>
      </c>
      <c r="R41" s="240">
        <v>0</v>
      </c>
      <c r="S41" s="240">
        <v>1266</v>
      </c>
      <c r="T41" s="240">
        <v>27492</v>
      </c>
    </row>
    <row r="42" spans="1:20" ht="22.5" x14ac:dyDescent="0.25">
      <c r="A42" s="238">
        <v>30</v>
      </c>
      <c r="B42" s="242" t="s">
        <v>89</v>
      </c>
      <c r="C42" s="240">
        <f t="shared" si="0"/>
        <v>1921</v>
      </c>
      <c r="D42" s="240">
        <v>0</v>
      </c>
      <c r="E42" s="240"/>
      <c r="F42" s="240"/>
      <c r="G42" s="240"/>
      <c r="H42" s="240">
        <v>0</v>
      </c>
      <c r="I42" s="240"/>
      <c r="J42" s="240"/>
      <c r="K42" s="240"/>
      <c r="L42" s="240"/>
      <c r="M42" s="240"/>
      <c r="N42" s="240">
        <v>1921</v>
      </c>
      <c r="O42" s="240"/>
      <c r="P42" s="240"/>
      <c r="Q42" s="240"/>
      <c r="R42" s="240"/>
      <c r="S42" s="240"/>
      <c r="T42" s="240"/>
    </row>
    <row r="43" spans="1:20" x14ac:dyDescent="0.25">
      <c r="A43" s="238">
        <v>31</v>
      </c>
      <c r="B43" s="242" t="s">
        <v>75</v>
      </c>
      <c r="C43" s="240">
        <f t="shared" si="0"/>
        <v>244235</v>
      </c>
      <c r="D43" s="240">
        <v>0</v>
      </c>
      <c r="E43" s="240">
        <v>640</v>
      </c>
      <c r="F43" s="240">
        <v>27460</v>
      </c>
      <c r="G43" s="240">
        <v>0</v>
      </c>
      <c r="H43" s="240">
        <v>5364</v>
      </c>
      <c r="I43" s="240">
        <v>0</v>
      </c>
      <c r="J43" s="240"/>
      <c r="K43" s="240"/>
      <c r="L43" s="240">
        <v>1759</v>
      </c>
      <c r="M43" s="240">
        <v>75118</v>
      </c>
      <c r="N43" s="240">
        <v>2430</v>
      </c>
      <c r="O43" s="240">
        <v>0</v>
      </c>
      <c r="P43" s="240">
        <v>0</v>
      </c>
      <c r="Q43" s="240">
        <v>4500</v>
      </c>
      <c r="R43" s="240">
        <v>0</v>
      </c>
      <c r="S43" s="240">
        <v>2601</v>
      </c>
      <c r="T43" s="240">
        <v>124363</v>
      </c>
    </row>
    <row r="44" spans="1:20" ht="22.5" x14ac:dyDescent="0.25">
      <c r="A44" s="238">
        <v>32</v>
      </c>
      <c r="B44" s="242" t="s">
        <v>413</v>
      </c>
      <c r="C44" s="240">
        <f t="shared" si="0"/>
        <v>12000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9200</v>
      </c>
      <c r="J44" s="240"/>
      <c r="K44" s="240"/>
      <c r="L44" s="240">
        <v>0</v>
      </c>
      <c r="M44" s="240">
        <v>0</v>
      </c>
      <c r="N44" s="240"/>
      <c r="O44" s="240">
        <v>2800</v>
      </c>
      <c r="P44" s="240">
        <v>0</v>
      </c>
      <c r="Q44" s="240">
        <v>0</v>
      </c>
      <c r="R44" s="240">
        <v>0</v>
      </c>
      <c r="S44" s="240">
        <v>0</v>
      </c>
      <c r="T44" s="240">
        <v>0</v>
      </c>
    </row>
    <row r="45" spans="1:20" x14ac:dyDescent="0.25">
      <c r="A45" s="238">
        <v>33</v>
      </c>
      <c r="B45" s="242" t="s">
        <v>76</v>
      </c>
      <c r="C45" s="240">
        <f t="shared" si="0"/>
        <v>10266</v>
      </c>
      <c r="D45" s="240">
        <v>0</v>
      </c>
      <c r="E45" s="240">
        <v>0</v>
      </c>
      <c r="F45" s="240">
        <v>0</v>
      </c>
      <c r="G45" s="240">
        <v>790</v>
      </c>
      <c r="H45" s="240">
        <v>0</v>
      </c>
      <c r="I45" s="240">
        <v>7516</v>
      </c>
      <c r="J45" s="240"/>
      <c r="K45" s="240"/>
      <c r="L45" s="240">
        <v>0</v>
      </c>
      <c r="M45" s="240">
        <v>0</v>
      </c>
      <c r="N45" s="240"/>
      <c r="O45" s="240">
        <v>0</v>
      </c>
      <c r="P45" s="240">
        <v>0</v>
      </c>
      <c r="Q45" s="240">
        <v>0</v>
      </c>
      <c r="R45" s="240">
        <v>1960</v>
      </c>
      <c r="S45" s="240">
        <v>0</v>
      </c>
      <c r="T45" s="240">
        <v>0</v>
      </c>
    </row>
    <row r="46" spans="1:20" x14ac:dyDescent="0.25">
      <c r="A46" s="463">
        <v>34</v>
      </c>
      <c r="B46" s="242" t="s">
        <v>54</v>
      </c>
      <c r="C46" s="240">
        <f t="shared" si="0"/>
        <v>114834</v>
      </c>
      <c r="D46" s="240">
        <v>4493</v>
      </c>
      <c r="E46" s="240">
        <v>70</v>
      </c>
      <c r="F46" s="240">
        <v>29053</v>
      </c>
      <c r="G46" s="240">
        <v>0</v>
      </c>
      <c r="H46" s="240">
        <v>11808</v>
      </c>
      <c r="I46" s="240">
        <v>0</v>
      </c>
      <c r="J46" s="240">
        <v>1025</v>
      </c>
      <c r="K46" s="240">
        <v>439</v>
      </c>
      <c r="L46" s="240">
        <v>14656</v>
      </c>
      <c r="M46" s="240">
        <v>39500</v>
      </c>
      <c r="N46" s="240"/>
      <c r="O46" s="240">
        <v>0</v>
      </c>
      <c r="P46" s="240">
        <v>5000</v>
      </c>
      <c r="Q46" s="240">
        <v>8050</v>
      </c>
      <c r="R46" s="240">
        <v>0</v>
      </c>
      <c r="S46" s="240">
        <v>540</v>
      </c>
      <c r="T46" s="240">
        <v>200</v>
      </c>
    </row>
    <row r="47" spans="1:20" ht="45" x14ac:dyDescent="0.25">
      <c r="A47" s="464"/>
      <c r="B47" s="244" t="s">
        <v>77</v>
      </c>
      <c r="C47" s="240">
        <f t="shared" si="0"/>
        <v>116491</v>
      </c>
      <c r="D47" s="240">
        <v>0</v>
      </c>
      <c r="E47" s="240">
        <v>0</v>
      </c>
      <c r="F47" s="240">
        <v>15130</v>
      </c>
      <c r="G47" s="240">
        <v>0</v>
      </c>
      <c r="H47" s="240">
        <v>0</v>
      </c>
      <c r="I47" s="240">
        <v>0</v>
      </c>
      <c r="J47" s="240"/>
      <c r="K47" s="240"/>
      <c r="L47" s="240">
        <v>2000</v>
      </c>
      <c r="M47" s="240">
        <v>36076</v>
      </c>
      <c r="N47" s="240"/>
      <c r="O47" s="240">
        <v>0</v>
      </c>
      <c r="P47" s="240">
        <v>0</v>
      </c>
      <c r="Q47" s="240">
        <v>10500</v>
      </c>
      <c r="R47" s="240">
        <v>0</v>
      </c>
      <c r="S47" s="240">
        <v>6100</v>
      </c>
      <c r="T47" s="240">
        <v>46685</v>
      </c>
    </row>
    <row r="48" spans="1:20" ht="33.75" x14ac:dyDescent="0.25">
      <c r="A48" s="465"/>
      <c r="B48" s="244" t="s">
        <v>462</v>
      </c>
      <c r="C48" s="240">
        <f t="shared" si="0"/>
        <v>22000</v>
      </c>
      <c r="D48" s="240">
        <v>0</v>
      </c>
      <c r="E48" s="240">
        <v>0</v>
      </c>
      <c r="F48" s="240">
        <v>0</v>
      </c>
      <c r="G48" s="240">
        <v>6000</v>
      </c>
      <c r="H48" s="240">
        <v>0</v>
      </c>
      <c r="I48" s="240">
        <v>7890</v>
      </c>
      <c r="J48" s="240"/>
      <c r="K48" s="240"/>
      <c r="L48" s="240">
        <v>0</v>
      </c>
      <c r="M48" s="240">
        <v>0</v>
      </c>
      <c r="N48" s="240"/>
      <c r="O48" s="240">
        <v>500</v>
      </c>
      <c r="P48" s="240">
        <v>0</v>
      </c>
      <c r="Q48" s="240">
        <v>0</v>
      </c>
      <c r="R48" s="240">
        <v>7610</v>
      </c>
      <c r="S48" s="240">
        <v>0</v>
      </c>
      <c r="T48" s="240">
        <v>0</v>
      </c>
    </row>
    <row r="49" spans="1:20" ht="22.5" x14ac:dyDescent="0.25">
      <c r="A49" s="238">
        <v>35</v>
      </c>
      <c r="B49" s="242" t="s">
        <v>359</v>
      </c>
      <c r="C49" s="240">
        <f t="shared" si="0"/>
        <v>16800</v>
      </c>
      <c r="D49" s="240">
        <v>0</v>
      </c>
      <c r="E49" s="240">
        <v>0</v>
      </c>
      <c r="F49" s="240">
        <v>0</v>
      </c>
      <c r="G49" s="240">
        <v>0</v>
      </c>
      <c r="H49" s="240">
        <v>0</v>
      </c>
      <c r="I49" s="240">
        <v>10800</v>
      </c>
      <c r="J49" s="240"/>
      <c r="K49" s="240"/>
      <c r="L49" s="240">
        <v>0</v>
      </c>
      <c r="M49" s="240">
        <v>0</v>
      </c>
      <c r="N49" s="240"/>
      <c r="O49" s="240">
        <v>6000</v>
      </c>
      <c r="P49" s="240">
        <v>0</v>
      </c>
      <c r="Q49" s="240">
        <v>0</v>
      </c>
      <c r="R49" s="240">
        <v>0</v>
      </c>
      <c r="S49" s="240">
        <v>0</v>
      </c>
      <c r="T49" s="240">
        <v>0</v>
      </c>
    </row>
    <row r="50" spans="1:20" x14ac:dyDescent="0.25">
      <c r="A50" s="238">
        <v>36</v>
      </c>
      <c r="B50" s="242" t="s">
        <v>78</v>
      </c>
      <c r="C50" s="240">
        <f t="shared" si="0"/>
        <v>11900</v>
      </c>
      <c r="D50" s="240">
        <v>0</v>
      </c>
      <c r="E50" s="240">
        <v>0</v>
      </c>
      <c r="F50" s="240">
        <v>0</v>
      </c>
      <c r="G50" s="240">
        <v>440</v>
      </c>
      <c r="H50" s="240">
        <v>0</v>
      </c>
      <c r="I50" s="240">
        <v>2000</v>
      </c>
      <c r="J50" s="240"/>
      <c r="K50" s="240"/>
      <c r="L50" s="240">
        <v>0</v>
      </c>
      <c r="M50" s="240">
        <v>0</v>
      </c>
      <c r="N50" s="240"/>
      <c r="O50" s="240">
        <v>0</v>
      </c>
      <c r="P50" s="240">
        <v>0</v>
      </c>
      <c r="Q50" s="240">
        <v>0</v>
      </c>
      <c r="R50" s="240">
        <v>9460</v>
      </c>
      <c r="S50" s="240">
        <v>0</v>
      </c>
      <c r="T50" s="240">
        <v>0</v>
      </c>
    </row>
    <row r="51" spans="1:20" x14ac:dyDescent="0.25">
      <c r="A51" s="463">
        <v>37</v>
      </c>
      <c r="B51" s="242" t="s">
        <v>36</v>
      </c>
      <c r="C51" s="240">
        <f t="shared" si="0"/>
        <v>132725</v>
      </c>
      <c r="D51" s="240">
        <v>2331</v>
      </c>
      <c r="E51" s="240">
        <v>6592</v>
      </c>
      <c r="F51" s="240">
        <v>37890</v>
      </c>
      <c r="G51" s="240">
        <v>0</v>
      </c>
      <c r="H51" s="240">
        <v>6893</v>
      </c>
      <c r="I51" s="240">
        <v>0</v>
      </c>
      <c r="J51" s="240">
        <v>1025</v>
      </c>
      <c r="K51" s="240">
        <v>439</v>
      </c>
      <c r="L51" s="240">
        <v>12032</v>
      </c>
      <c r="M51" s="240">
        <v>45108</v>
      </c>
      <c r="N51" s="240"/>
      <c r="O51" s="240">
        <v>0</v>
      </c>
      <c r="P51" s="240">
        <v>4311</v>
      </c>
      <c r="Q51" s="240">
        <v>2800</v>
      </c>
      <c r="R51" s="240">
        <v>0</v>
      </c>
      <c r="S51" s="240">
        <v>2065</v>
      </c>
      <c r="T51" s="240">
        <v>11239</v>
      </c>
    </row>
    <row r="52" spans="1:20" ht="45" x14ac:dyDescent="0.25">
      <c r="A52" s="465"/>
      <c r="B52" s="244" t="s">
        <v>79</v>
      </c>
      <c r="C52" s="240">
        <f t="shared" si="0"/>
        <v>49028</v>
      </c>
      <c r="D52" s="240">
        <v>845</v>
      </c>
      <c r="E52" s="240">
        <v>809</v>
      </c>
      <c r="F52" s="240">
        <v>16559</v>
      </c>
      <c r="G52" s="240">
        <v>0</v>
      </c>
      <c r="H52" s="240">
        <v>0</v>
      </c>
      <c r="I52" s="240">
        <v>0</v>
      </c>
      <c r="J52" s="240"/>
      <c r="K52" s="240"/>
      <c r="L52" s="240">
        <v>3171</v>
      </c>
      <c r="M52" s="240">
        <v>22709</v>
      </c>
      <c r="N52" s="240"/>
      <c r="O52" s="240">
        <v>0</v>
      </c>
      <c r="P52" s="240">
        <v>0</v>
      </c>
      <c r="Q52" s="240">
        <v>0</v>
      </c>
      <c r="R52" s="240">
        <v>0</v>
      </c>
      <c r="S52" s="240">
        <v>2860</v>
      </c>
      <c r="T52" s="240">
        <v>2075</v>
      </c>
    </row>
    <row r="53" spans="1:20" x14ac:dyDescent="0.25">
      <c r="A53" s="238">
        <v>38</v>
      </c>
      <c r="B53" s="242" t="s">
        <v>28</v>
      </c>
      <c r="C53" s="240">
        <f t="shared" si="0"/>
        <v>176314</v>
      </c>
      <c r="D53" s="240">
        <v>3080</v>
      </c>
      <c r="E53" s="240">
        <v>10805</v>
      </c>
      <c r="F53" s="240">
        <v>44597</v>
      </c>
      <c r="G53" s="240">
        <v>0</v>
      </c>
      <c r="H53" s="240">
        <v>4221</v>
      </c>
      <c r="I53" s="240">
        <v>0</v>
      </c>
      <c r="J53" s="240"/>
      <c r="K53" s="240"/>
      <c r="L53" s="240">
        <v>9551</v>
      </c>
      <c r="M53" s="240">
        <v>45745</v>
      </c>
      <c r="N53" s="240"/>
      <c r="O53" s="240">
        <v>0</v>
      </c>
      <c r="P53" s="240">
        <v>17114</v>
      </c>
      <c r="Q53" s="240">
        <v>10486</v>
      </c>
      <c r="R53" s="240">
        <v>0</v>
      </c>
      <c r="S53" s="240">
        <v>2530</v>
      </c>
      <c r="T53" s="240">
        <v>28185</v>
      </c>
    </row>
    <row r="54" spans="1:20" x14ac:dyDescent="0.25">
      <c r="A54" s="238">
        <v>39</v>
      </c>
      <c r="B54" s="242" t="s">
        <v>37</v>
      </c>
      <c r="C54" s="240">
        <f t="shared" si="0"/>
        <v>166551</v>
      </c>
      <c r="D54" s="240">
        <v>2947</v>
      </c>
      <c r="E54" s="240">
        <v>4628</v>
      </c>
      <c r="F54" s="240">
        <v>48577</v>
      </c>
      <c r="G54" s="240">
        <v>0</v>
      </c>
      <c r="H54" s="240">
        <v>0</v>
      </c>
      <c r="I54" s="240">
        <v>0</v>
      </c>
      <c r="J54" s="240">
        <v>1025</v>
      </c>
      <c r="K54" s="240">
        <v>439</v>
      </c>
      <c r="L54" s="240">
        <v>12585</v>
      </c>
      <c r="M54" s="240">
        <v>61344</v>
      </c>
      <c r="N54" s="240"/>
      <c r="O54" s="240">
        <v>0</v>
      </c>
      <c r="P54" s="240">
        <v>7111</v>
      </c>
      <c r="Q54" s="240">
        <v>300</v>
      </c>
      <c r="R54" s="240">
        <v>0</v>
      </c>
      <c r="S54" s="240">
        <v>2776</v>
      </c>
      <c r="T54" s="240">
        <v>24819</v>
      </c>
    </row>
    <row r="55" spans="1:20" x14ac:dyDescent="0.25">
      <c r="A55" s="238">
        <v>40</v>
      </c>
      <c r="B55" s="242" t="s">
        <v>24</v>
      </c>
      <c r="C55" s="240">
        <f t="shared" si="0"/>
        <v>51490</v>
      </c>
      <c r="D55" s="240">
        <v>907</v>
      </c>
      <c r="E55" s="240">
        <v>860</v>
      </c>
      <c r="F55" s="240">
        <v>11852</v>
      </c>
      <c r="G55" s="240">
        <v>0</v>
      </c>
      <c r="H55" s="240">
        <v>0</v>
      </c>
      <c r="I55" s="240">
        <v>0</v>
      </c>
      <c r="J55" s="240"/>
      <c r="K55" s="240"/>
      <c r="L55" s="240">
        <f>5490-3000</f>
        <v>2490</v>
      </c>
      <c r="M55" s="240">
        <v>6872</v>
      </c>
      <c r="N55" s="240"/>
      <c r="O55" s="240">
        <v>0</v>
      </c>
      <c r="P55" s="240">
        <v>2016</v>
      </c>
      <c r="Q55" s="240">
        <v>6808</v>
      </c>
      <c r="R55" s="240">
        <v>0</v>
      </c>
      <c r="S55" s="240">
        <f>3134+3000</f>
        <v>6134</v>
      </c>
      <c r="T55" s="240">
        <v>13551</v>
      </c>
    </row>
    <row r="56" spans="1:20" x14ac:dyDescent="0.25">
      <c r="A56" s="238">
        <v>41</v>
      </c>
      <c r="B56" s="242" t="s">
        <v>19</v>
      </c>
      <c r="C56" s="240">
        <f t="shared" si="0"/>
        <v>63649</v>
      </c>
      <c r="D56" s="240">
        <v>1139</v>
      </c>
      <c r="E56" s="240">
        <v>3018</v>
      </c>
      <c r="F56" s="240">
        <v>24139</v>
      </c>
      <c r="G56" s="240">
        <v>0</v>
      </c>
      <c r="H56" s="240">
        <v>0</v>
      </c>
      <c r="I56" s="240">
        <v>0</v>
      </c>
      <c r="J56" s="240"/>
      <c r="K56" s="240"/>
      <c r="L56" s="240">
        <v>4830</v>
      </c>
      <c r="M56" s="240">
        <v>18093</v>
      </c>
      <c r="N56" s="240"/>
      <c r="O56" s="240">
        <v>0</v>
      </c>
      <c r="P56" s="240">
        <v>850</v>
      </c>
      <c r="Q56" s="240">
        <v>5901</v>
      </c>
      <c r="R56" s="240">
        <v>0</v>
      </c>
      <c r="S56" s="240">
        <v>1502</v>
      </c>
      <c r="T56" s="240">
        <v>4177</v>
      </c>
    </row>
    <row r="57" spans="1:20" x14ac:dyDescent="0.25">
      <c r="A57" s="238">
        <v>42</v>
      </c>
      <c r="B57" s="242" t="s">
        <v>34</v>
      </c>
      <c r="C57" s="240">
        <f t="shared" si="0"/>
        <v>59676</v>
      </c>
      <c r="D57" s="240">
        <v>1062</v>
      </c>
      <c r="E57" s="240">
        <v>663</v>
      </c>
      <c r="F57" s="240">
        <v>20533</v>
      </c>
      <c r="G57" s="240">
        <v>0</v>
      </c>
      <c r="H57" s="240">
        <v>0</v>
      </c>
      <c r="I57" s="240">
        <v>0</v>
      </c>
      <c r="J57" s="240"/>
      <c r="K57" s="240"/>
      <c r="L57" s="240">
        <v>3942</v>
      </c>
      <c r="M57" s="240">
        <v>17244</v>
      </c>
      <c r="N57" s="240"/>
      <c r="O57" s="240">
        <v>0</v>
      </c>
      <c r="P57" s="240">
        <v>3150</v>
      </c>
      <c r="Q57" s="240">
        <v>4717</v>
      </c>
      <c r="R57" s="240">
        <v>0</v>
      </c>
      <c r="S57" s="240">
        <v>1253</v>
      </c>
      <c r="T57" s="240">
        <v>7112</v>
      </c>
    </row>
    <row r="58" spans="1:20" x14ac:dyDescent="0.25">
      <c r="A58" s="238">
        <v>43</v>
      </c>
      <c r="B58" s="242" t="s">
        <v>43</v>
      </c>
      <c r="C58" s="240">
        <f t="shared" si="0"/>
        <v>38683</v>
      </c>
      <c r="D58" s="240">
        <v>717</v>
      </c>
      <c r="E58" s="240">
        <v>734</v>
      </c>
      <c r="F58" s="240">
        <v>12725</v>
      </c>
      <c r="G58" s="240">
        <v>0</v>
      </c>
      <c r="H58" s="240">
        <v>0</v>
      </c>
      <c r="I58" s="240">
        <v>0</v>
      </c>
      <c r="J58" s="240"/>
      <c r="K58" s="240"/>
      <c r="L58" s="240">
        <v>737</v>
      </c>
      <c r="M58" s="240">
        <v>11558</v>
      </c>
      <c r="N58" s="240"/>
      <c r="O58" s="240">
        <v>0</v>
      </c>
      <c r="P58" s="240">
        <v>4085</v>
      </c>
      <c r="Q58" s="240">
        <v>0</v>
      </c>
      <c r="R58" s="240">
        <v>0</v>
      </c>
      <c r="S58" s="240">
        <v>444</v>
      </c>
      <c r="T58" s="240">
        <v>7683</v>
      </c>
    </row>
    <row r="59" spans="1:20" x14ac:dyDescent="0.25">
      <c r="A59" s="238">
        <v>44</v>
      </c>
      <c r="B59" s="242" t="s">
        <v>5</v>
      </c>
      <c r="C59" s="240">
        <f t="shared" si="0"/>
        <v>66916</v>
      </c>
      <c r="D59" s="240">
        <v>1253</v>
      </c>
      <c r="E59" s="240">
        <v>2709</v>
      </c>
      <c r="F59" s="240">
        <v>26786</v>
      </c>
      <c r="G59" s="240">
        <v>0</v>
      </c>
      <c r="H59" s="240">
        <v>0</v>
      </c>
      <c r="I59" s="240">
        <v>0</v>
      </c>
      <c r="J59" s="240"/>
      <c r="K59" s="240"/>
      <c r="L59" s="240">
        <v>3014</v>
      </c>
      <c r="M59" s="240">
        <v>19415</v>
      </c>
      <c r="N59" s="240"/>
      <c r="O59" s="240">
        <v>0</v>
      </c>
      <c r="P59" s="240">
        <v>469</v>
      </c>
      <c r="Q59" s="240">
        <v>6203</v>
      </c>
      <c r="R59" s="240">
        <v>0</v>
      </c>
      <c r="S59" s="240">
        <v>1008</v>
      </c>
      <c r="T59" s="240">
        <v>6059</v>
      </c>
    </row>
    <row r="60" spans="1:20" x14ac:dyDescent="0.25">
      <c r="A60" s="238">
        <v>45</v>
      </c>
      <c r="B60" s="242" t="s">
        <v>47</v>
      </c>
      <c r="C60" s="240">
        <f t="shared" si="0"/>
        <v>31747</v>
      </c>
      <c r="D60" s="240">
        <v>598</v>
      </c>
      <c r="E60" s="240">
        <v>699</v>
      </c>
      <c r="F60" s="240">
        <v>11851</v>
      </c>
      <c r="G60" s="240">
        <v>0</v>
      </c>
      <c r="H60" s="240">
        <v>0</v>
      </c>
      <c r="I60" s="240">
        <v>0</v>
      </c>
      <c r="J60" s="240"/>
      <c r="K60" s="240"/>
      <c r="L60" s="240">
        <v>2189</v>
      </c>
      <c r="M60" s="240">
        <v>6570</v>
      </c>
      <c r="N60" s="240"/>
      <c r="O60" s="240">
        <v>0</v>
      </c>
      <c r="P60" s="240">
        <v>949</v>
      </c>
      <c r="Q60" s="240">
        <v>4085</v>
      </c>
      <c r="R60" s="240">
        <v>0</v>
      </c>
      <c r="S60" s="240">
        <v>2163</v>
      </c>
      <c r="T60" s="240">
        <v>2643</v>
      </c>
    </row>
    <row r="61" spans="1:20" x14ac:dyDescent="0.25">
      <c r="A61" s="238">
        <v>46</v>
      </c>
      <c r="B61" s="249" t="s">
        <v>318</v>
      </c>
      <c r="C61" s="240">
        <f t="shared" si="0"/>
        <v>9005</v>
      </c>
      <c r="D61" s="240">
        <v>395</v>
      </c>
      <c r="E61" s="240">
        <v>185</v>
      </c>
      <c r="F61" s="240">
        <v>4915</v>
      </c>
      <c r="G61" s="240">
        <v>0</v>
      </c>
      <c r="H61" s="240">
        <v>0</v>
      </c>
      <c r="I61" s="240">
        <v>0</v>
      </c>
      <c r="J61" s="240"/>
      <c r="K61" s="240"/>
      <c r="L61" s="240">
        <v>514</v>
      </c>
      <c r="M61" s="240">
        <v>2248</v>
      </c>
      <c r="N61" s="240"/>
      <c r="O61" s="240">
        <v>0</v>
      </c>
      <c r="P61" s="240">
        <v>120</v>
      </c>
      <c r="Q61" s="240">
        <v>0</v>
      </c>
      <c r="R61" s="240">
        <v>0</v>
      </c>
      <c r="S61" s="240">
        <v>181</v>
      </c>
      <c r="T61" s="240">
        <v>447</v>
      </c>
    </row>
    <row r="62" spans="1:20" x14ac:dyDescent="0.25">
      <c r="A62" s="238">
        <v>47</v>
      </c>
      <c r="B62" s="242" t="s">
        <v>80</v>
      </c>
      <c r="C62" s="240">
        <f t="shared" si="0"/>
        <v>17940</v>
      </c>
      <c r="D62" s="240">
        <v>757</v>
      </c>
      <c r="E62" s="240">
        <v>600</v>
      </c>
      <c r="F62" s="240">
        <v>9530</v>
      </c>
      <c r="G62" s="240">
        <v>0</v>
      </c>
      <c r="H62" s="240">
        <v>0</v>
      </c>
      <c r="I62" s="240">
        <v>0</v>
      </c>
      <c r="J62" s="240"/>
      <c r="K62" s="240"/>
      <c r="L62" s="240">
        <v>2070</v>
      </c>
      <c r="M62" s="240">
        <v>2641</v>
      </c>
      <c r="N62" s="240"/>
      <c r="O62" s="240">
        <v>0</v>
      </c>
      <c r="P62" s="240">
        <v>0</v>
      </c>
      <c r="Q62" s="240">
        <v>0</v>
      </c>
      <c r="R62" s="240">
        <v>0</v>
      </c>
      <c r="S62" s="240">
        <v>1930</v>
      </c>
      <c r="T62" s="240">
        <v>412</v>
      </c>
    </row>
    <row r="63" spans="1:20" x14ac:dyDescent="0.25">
      <c r="A63" s="238">
        <v>48</v>
      </c>
      <c r="B63" s="239" t="s">
        <v>45</v>
      </c>
      <c r="C63" s="240">
        <f t="shared" si="0"/>
        <v>269773</v>
      </c>
      <c r="D63" s="240">
        <v>4720</v>
      </c>
      <c r="E63" s="240">
        <v>3147</v>
      </c>
      <c r="F63" s="240">
        <v>69593</v>
      </c>
      <c r="G63" s="240">
        <v>0</v>
      </c>
      <c r="H63" s="240">
        <v>2652</v>
      </c>
      <c r="I63" s="240">
        <v>0</v>
      </c>
      <c r="J63" s="240">
        <v>1025</v>
      </c>
      <c r="K63" s="240">
        <v>439</v>
      </c>
      <c r="L63" s="240">
        <v>29957</v>
      </c>
      <c r="M63" s="240">
        <v>72034</v>
      </c>
      <c r="N63" s="240">
        <v>239</v>
      </c>
      <c r="O63" s="240">
        <v>0</v>
      </c>
      <c r="P63" s="240">
        <v>0</v>
      </c>
      <c r="Q63" s="240">
        <v>7716</v>
      </c>
      <c r="R63" s="240">
        <v>0</v>
      </c>
      <c r="S63" s="240">
        <v>17296</v>
      </c>
      <c r="T63" s="240">
        <v>60955</v>
      </c>
    </row>
    <row r="64" spans="1:20" x14ac:dyDescent="0.25">
      <c r="A64" s="238">
        <v>49</v>
      </c>
      <c r="B64" s="242" t="s">
        <v>9</v>
      </c>
      <c r="C64" s="240">
        <f t="shared" si="0"/>
        <v>188197</v>
      </c>
      <c r="D64" s="240">
        <v>3415</v>
      </c>
      <c r="E64" s="240">
        <v>8817</v>
      </c>
      <c r="F64" s="240">
        <v>46471</v>
      </c>
      <c r="G64" s="240">
        <v>0</v>
      </c>
      <c r="H64" s="240">
        <v>0</v>
      </c>
      <c r="I64" s="240">
        <v>0</v>
      </c>
      <c r="J64" s="240">
        <v>1025</v>
      </c>
      <c r="K64" s="240">
        <v>439</v>
      </c>
      <c r="L64" s="240">
        <v>10207</v>
      </c>
      <c r="M64" s="240">
        <v>47549</v>
      </c>
      <c r="N64" s="240"/>
      <c r="O64" s="240">
        <v>0</v>
      </c>
      <c r="P64" s="240">
        <v>7950</v>
      </c>
      <c r="Q64" s="240">
        <v>25486</v>
      </c>
      <c r="R64" s="240">
        <v>0</v>
      </c>
      <c r="S64" s="240">
        <v>2526</v>
      </c>
      <c r="T64" s="240">
        <v>34312</v>
      </c>
    </row>
    <row r="65" spans="1:20" x14ac:dyDescent="0.25">
      <c r="A65" s="238">
        <v>50</v>
      </c>
      <c r="B65" s="239" t="s">
        <v>81</v>
      </c>
      <c r="C65" s="240">
        <f t="shared" si="0"/>
        <v>227487</v>
      </c>
      <c r="D65" s="240">
        <v>3893</v>
      </c>
      <c r="E65" s="240">
        <v>10740</v>
      </c>
      <c r="F65" s="240">
        <v>95249</v>
      </c>
      <c r="G65" s="240">
        <v>0</v>
      </c>
      <c r="H65" s="240">
        <v>19289</v>
      </c>
      <c r="I65" s="240">
        <v>0</v>
      </c>
      <c r="J65" s="240">
        <v>1025</v>
      </c>
      <c r="K65" s="240">
        <v>439</v>
      </c>
      <c r="L65" s="240">
        <v>5602</v>
      </c>
      <c r="M65" s="240">
        <v>59555</v>
      </c>
      <c r="N65" s="240">
        <v>1135</v>
      </c>
      <c r="O65" s="240">
        <v>0</v>
      </c>
      <c r="P65" s="240">
        <v>590</v>
      </c>
      <c r="Q65" s="240">
        <v>110</v>
      </c>
      <c r="R65" s="240">
        <v>0</v>
      </c>
      <c r="S65" s="240">
        <v>15368</v>
      </c>
      <c r="T65" s="240">
        <v>14492</v>
      </c>
    </row>
    <row r="66" spans="1:20" ht="22.5" x14ac:dyDescent="0.25">
      <c r="A66" s="238">
        <v>51</v>
      </c>
      <c r="B66" s="239" t="s">
        <v>414</v>
      </c>
      <c r="C66" s="240">
        <f t="shared" si="0"/>
        <v>11200</v>
      </c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1200</v>
      </c>
      <c r="J66" s="240"/>
      <c r="K66" s="240"/>
      <c r="L66" s="240">
        <v>0</v>
      </c>
      <c r="M66" s="240">
        <v>0</v>
      </c>
      <c r="N66" s="240"/>
      <c r="O66" s="240">
        <v>10000</v>
      </c>
      <c r="P66" s="240">
        <v>0</v>
      </c>
      <c r="Q66" s="240">
        <v>0</v>
      </c>
      <c r="R66" s="240">
        <v>0</v>
      </c>
      <c r="S66" s="240">
        <v>0</v>
      </c>
      <c r="T66" s="240">
        <v>0</v>
      </c>
    </row>
    <row r="67" spans="1:20" x14ac:dyDescent="0.25">
      <c r="A67" s="238">
        <v>52</v>
      </c>
      <c r="B67" s="242" t="s">
        <v>20</v>
      </c>
      <c r="C67" s="240">
        <f t="shared" si="0"/>
        <v>76484</v>
      </c>
      <c r="D67" s="240">
        <v>1374</v>
      </c>
      <c r="E67" s="240">
        <v>2924</v>
      </c>
      <c r="F67" s="240">
        <v>10724</v>
      </c>
      <c r="G67" s="240">
        <v>0</v>
      </c>
      <c r="H67" s="240">
        <v>0</v>
      </c>
      <c r="I67" s="240">
        <v>0</v>
      </c>
      <c r="J67" s="240">
        <v>1025</v>
      </c>
      <c r="K67" s="240">
        <v>439</v>
      </c>
      <c r="L67" s="240">
        <v>7291</v>
      </c>
      <c r="M67" s="240">
        <v>28875</v>
      </c>
      <c r="N67" s="240"/>
      <c r="O67" s="240">
        <v>0</v>
      </c>
      <c r="P67" s="240">
        <v>800</v>
      </c>
      <c r="Q67" s="240">
        <v>6052</v>
      </c>
      <c r="R67" s="240">
        <v>0</v>
      </c>
      <c r="S67" s="240">
        <v>1485</v>
      </c>
      <c r="T67" s="240">
        <v>15495</v>
      </c>
    </row>
    <row r="68" spans="1:20" x14ac:dyDescent="0.25">
      <c r="A68" s="238">
        <v>53</v>
      </c>
      <c r="B68" s="239" t="s">
        <v>7</v>
      </c>
      <c r="C68" s="240">
        <f t="shared" si="0"/>
        <v>55106</v>
      </c>
      <c r="D68" s="240">
        <v>1007</v>
      </c>
      <c r="E68" s="240">
        <v>2143</v>
      </c>
      <c r="F68" s="240">
        <v>17853</v>
      </c>
      <c r="G68" s="240">
        <v>0</v>
      </c>
      <c r="H68" s="240">
        <v>0</v>
      </c>
      <c r="I68" s="240">
        <v>0</v>
      </c>
      <c r="J68" s="240"/>
      <c r="K68" s="240"/>
      <c r="L68" s="240">
        <v>2856</v>
      </c>
      <c r="M68" s="240">
        <v>18613</v>
      </c>
      <c r="N68" s="240"/>
      <c r="O68" s="240">
        <v>0</v>
      </c>
      <c r="P68" s="240">
        <v>0</v>
      </c>
      <c r="Q68" s="240">
        <v>4506</v>
      </c>
      <c r="R68" s="240">
        <v>0</v>
      </c>
      <c r="S68" s="240">
        <v>2901</v>
      </c>
      <c r="T68" s="240">
        <v>5227</v>
      </c>
    </row>
    <row r="69" spans="1:20" x14ac:dyDescent="0.25">
      <c r="A69" s="238">
        <v>54</v>
      </c>
      <c r="B69" s="242" t="s">
        <v>12</v>
      </c>
      <c r="C69" s="240">
        <f t="shared" si="0"/>
        <v>42309</v>
      </c>
      <c r="D69" s="240">
        <v>778</v>
      </c>
      <c r="E69" s="240">
        <v>4085</v>
      </c>
      <c r="F69" s="240">
        <v>17561</v>
      </c>
      <c r="G69" s="240">
        <v>0</v>
      </c>
      <c r="H69" s="240">
        <v>0</v>
      </c>
      <c r="I69" s="240">
        <v>0</v>
      </c>
      <c r="J69" s="240"/>
      <c r="K69" s="240"/>
      <c r="L69" s="240">
        <f>2727+75</f>
        <v>2802</v>
      </c>
      <c r="M69" s="240">
        <v>8095</v>
      </c>
      <c r="N69" s="240"/>
      <c r="O69" s="240">
        <v>0</v>
      </c>
      <c r="P69" s="240">
        <v>0</v>
      </c>
      <c r="Q69" s="240">
        <v>4241</v>
      </c>
      <c r="R69" s="240">
        <v>0</v>
      </c>
      <c r="S69" s="240">
        <v>1188</v>
      </c>
      <c r="T69" s="240">
        <v>3559</v>
      </c>
    </row>
    <row r="70" spans="1:20" x14ac:dyDescent="0.25">
      <c r="A70" s="238">
        <v>55</v>
      </c>
      <c r="B70" s="239" t="s">
        <v>27</v>
      </c>
      <c r="C70" s="240">
        <f t="shared" si="0"/>
        <v>64116</v>
      </c>
      <c r="D70" s="240">
        <v>1183</v>
      </c>
      <c r="E70" s="240">
        <v>1255</v>
      </c>
      <c r="F70" s="240">
        <v>30391</v>
      </c>
      <c r="G70" s="240">
        <v>0</v>
      </c>
      <c r="H70" s="240">
        <v>0</v>
      </c>
      <c r="I70" s="240">
        <v>0</v>
      </c>
      <c r="J70" s="240"/>
      <c r="K70" s="240"/>
      <c r="L70" s="240">
        <f>7671+6</f>
        <v>7677</v>
      </c>
      <c r="M70" s="240">
        <v>7342</v>
      </c>
      <c r="N70" s="240"/>
      <c r="O70" s="240">
        <v>0</v>
      </c>
      <c r="P70" s="240">
        <v>2388</v>
      </c>
      <c r="Q70" s="240">
        <v>3387</v>
      </c>
      <c r="R70" s="240">
        <v>0</v>
      </c>
      <c r="S70" s="240">
        <v>3784</v>
      </c>
      <c r="T70" s="240">
        <v>6709</v>
      </c>
    </row>
    <row r="71" spans="1:20" x14ac:dyDescent="0.25">
      <c r="A71" s="238">
        <v>56</v>
      </c>
      <c r="B71" s="239" t="s">
        <v>417</v>
      </c>
      <c r="C71" s="240">
        <f t="shared" si="0"/>
        <v>44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f>50-6</f>
        <v>44</v>
      </c>
      <c r="J71" s="240"/>
      <c r="K71" s="240"/>
      <c r="L71" s="240">
        <v>0</v>
      </c>
      <c r="M71" s="240">
        <v>0</v>
      </c>
      <c r="N71" s="240"/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</row>
    <row r="72" spans="1:20" x14ac:dyDescent="0.25">
      <c r="A72" s="238">
        <v>57</v>
      </c>
      <c r="B72" s="242" t="s">
        <v>23</v>
      </c>
      <c r="C72" s="240">
        <f t="shared" si="0"/>
        <v>27071</v>
      </c>
      <c r="D72" s="240">
        <v>514</v>
      </c>
      <c r="E72" s="240">
        <v>1024</v>
      </c>
      <c r="F72" s="240">
        <v>12049</v>
      </c>
      <c r="G72" s="240">
        <v>0</v>
      </c>
      <c r="H72" s="240">
        <v>0</v>
      </c>
      <c r="I72" s="240">
        <v>0</v>
      </c>
      <c r="J72" s="240"/>
      <c r="K72" s="240"/>
      <c r="L72" s="240">
        <f>2368</f>
        <v>2368</v>
      </c>
      <c r="M72" s="240">
        <v>4396</v>
      </c>
      <c r="N72" s="240"/>
      <c r="O72" s="240">
        <v>0</v>
      </c>
      <c r="P72" s="240">
        <v>200</v>
      </c>
      <c r="Q72" s="240">
        <v>2808</v>
      </c>
      <c r="R72" s="240">
        <v>0</v>
      </c>
      <c r="S72" s="240">
        <v>408</v>
      </c>
      <c r="T72" s="240">
        <v>3304</v>
      </c>
    </row>
    <row r="73" spans="1:20" x14ac:dyDescent="0.25">
      <c r="A73" s="238">
        <v>58</v>
      </c>
      <c r="B73" s="242" t="s">
        <v>40</v>
      </c>
      <c r="C73" s="240">
        <f t="shared" si="0"/>
        <v>53979</v>
      </c>
      <c r="D73" s="240">
        <v>975</v>
      </c>
      <c r="E73" s="240">
        <v>780</v>
      </c>
      <c r="F73" s="240">
        <v>17489</v>
      </c>
      <c r="G73" s="240">
        <v>0</v>
      </c>
      <c r="H73" s="240">
        <v>0</v>
      </c>
      <c r="I73" s="240">
        <v>0</v>
      </c>
      <c r="J73" s="240">
        <v>1025</v>
      </c>
      <c r="K73" s="240">
        <v>439</v>
      </c>
      <c r="L73" s="240">
        <f>1271+105</f>
        <v>1376</v>
      </c>
      <c r="M73" s="240">
        <v>12034</v>
      </c>
      <c r="N73" s="240"/>
      <c r="O73" s="240">
        <v>0</v>
      </c>
      <c r="P73" s="240">
        <v>6354</v>
      </c>
      <c r="Q73" s="240">
        <v>1700</v>
      </c>
      <c r="R73" s="240">
        <v>0</v>
      </c>
      <c r="S73" s="240">
        <v>595</v>
      </c>
      <c r="T73" s="240">
        <v>11212</v>
      </c>
    </row>
    <row r="74" spans="1:20" x14ac:dyDescent="0.25">
      <c r="A74" s="238">
        <v>59</v>
      </c>
      <c r="B74" s="242" t="s">
        <v>2</v>
      </c>
      <c r="C74" s="240">
        <f t="shared" si="0"/>
        <v>78780</v>
      </c>
      <c r="D74" s="240">
        <v>1437</v>
      </c>
      <c r="E74" s="240">
        <v>6520</v>
      </c>
      <c r="F74" s="240">
        <v>30053</v>
      </c>
      <c r="G74" s="240">
        <v>0</v>
      </c>
      <c r="H74" s="240">
        <v>0</v>
      </c>
      <c r="I74" s="240">
        <v>0</v>
      </c>
      <c r="J74" s="240"/>
      <c r="K74" s="240"/>
      <c r="L74" s="240">
        <v>4572</v>
      </c>
      <c r="M74" s="240">
        <v>24688</v>
      </c>
      <c r="N74" s="240"/>
      <c r="O74" s="240">
        <v>0</v>
      </c>
      <c r="P74" s="240">
        <v>600</v>
      </c>
      <c r="Q74" s="240">
        <v>5301</v>
      </c>
      <c r="R74" s="240">
        <v>0</v>
      </c>
      <c r="S74" s="240">
        <v>408</v>
      </c>
      <c r="T74" s="240">
        <v>5201</v>
      </c>
    </row>
    <row r="75" spans="1:20" x14ac:dyDescent="0.25">
      <c r="A75" s="238">
        <v>60</v>
      </c>
      <c r="B75" s="239" t="s">
        <v>51</v>
      </c>
      <c r="C75" s="240">
        <f t="shared" si="0"/>
        <v>42870</v>
      </c>
      <c r="D75" s="240">
        <v>788</v>
      </c>
      <c r="E75" s="240">
        <v>735</v>
      </c>
      <c r="F75" s="240">
        <v>10588</v>
      </c>
      <c r="G75" s="240">
        <v>0</v>
      </c>
      <c r="H75" s="240">
        <v>0</v>
      </c>
      <c r="I75" s="240">
        <v>0</v>
      </c>
      <c r="J75" s="240"/>
      <c r="K75" s="240"/>
      <c r="L75" s="240">
        <v>3646</v>
      </c>
      <c r="M75" s="240">
        <v>10228</v>
      </c>
      <c r="N75" s="240"/>
      <c r="O75" s="240">
        <v>0</v>
      </c>
      <c r="P75" s="240">
        <v>3278</v>
      </c>
      <c r="Q75" s="240">
        <v>2925</v>
      </c>
      <c r="R75" s="240">
        <v>0</v>
      </c>
      <c r="S75" s="240">
        <v>2431</v>
      </c>
      <c r="T75" s="240">
        <v>8251</v>
      </c>
    </row>
    <row r="76" spans="1:20" ht="22.5" x14ac:dyDescent="0.25">
      <c r="A76" s="238">
        <v>61</v>
      </c>
      <c r="B76" s="242" t="s">
        <v>415</v>
      </c>
      <c r="C76" s="240">
        <f t="shared" ref="C76:C140" si="1">D76+E76+F76+G76+H76+I76+J76+K76+L76+M76+N76+P76+Q76+R76+S76+T76+O76</f>
        <v>55</v>
      </c>
      <c r="D76" s="240">
        <v>0</v>
      </c>
      <c r="E76" s="240"/>
      <c r="F76" s="240"/>
      <c r="G76" s="240"/>
      <c r="H76" s="240">
        <v>0</v>
      </c>
      <c r="I76" s="240">
        <f>157-102</f>
        <v>55</v>
      </c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1:20" x14ac:dyDescent="0.25">
      <c r="A77" s="238">
        <v>62</v>
      </c>
      <c r="B77" s="242" t="s">
        <v>416</v>
      </c>
      <c r="C77" s="240">
        <f t="shared" si="1"/>
        <v>25</v>
      </c>
      <c r="D77" s="240">
        <v>0</v>
      </c>
      <c r="E77" s="240"/>
      <c r="F77" s="240"/>
      <c r="G77" s="240"/>
      <c r="H77" s="240">
        <v>0</v>
      </c>
      <c r="I77" s="240">
        <f>100-75</f>
        <v>25</v>
      </c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1:20" ht="22.5" x14ac:dyDescent="0.25">
      <c r="A78" s="238">
        <v>63</v>
      </c>
      <c r="B78" s="242" t="s">
        <v>419</v>
      </c>
      <c r="C78" s="240">
        <f t="shared" si="1"/>
        <v>22</v>
      </c>
      <c r="D78" s="240">
        <v>0</v>
      </c>
      <c r="E78" s="240"/>
      <c r="F78" s="240"/>
      <c r="G78" s="240"/>
      <c r="H78" s="240">
        <v>0</v>
      </c>
      <c r="I78" s="240">
        <f>25-3</f>
        <v>22</v>
      </c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1:20" x14ac:dyDescent="0.25">
      <c r="A79" s="238">
        <v>64</v>
      </c>
      <c r="B79" s="250" t="s">
        <v>376</v>
      </c>
      <c r="C79" s="240">
        <f t="shared" si="1"/>
        <v>195871</v>
      </c>
      <c r="D79" s="240">
        <v>0</v>
      </c>
      <c r="E79" s="240">
        <v>4104</v>
      </c>
      <c r="F79" s="240">
        <v>21706</v>
      </c>
      <c r="G79" s="240">
        <v>0</v>
      </c>
      <c r="H79" s="240">
        <v>0</v>
      </c>
      <c r="I79" s="240">
        <v>0</v>
      </c>
      <c r="J79" s="240"/>
      <c r="K79" s="240"/>
      <c r="L79" s="240">
        <v>4712</v>
      </c>
      <c r="M79" s="240">
        <v>46993</v>
      </c>
      <c r="N79" s="240">
        <v>609</v>
      </c>
      <c r="O79" s="240">
        <v>0</v>
      </c>
      <c r="P79" s="240">
        <v>0</v>
      </c>
      <c r="Q79" s="240">
        <v>0</v>
      </c>
      <c r="R79" s="240">
        <v>0</v>
      </c>
      <c r="S79" s="240">
        <v>1284</v>
      </c>
      <c r="T79" s="240">
        <v>116463</v>
      </c>
    </row>
    <row r="80" spans="1:20" x14ac:dyDescent="0.25">
      <c r="A80" s="238">
        <v>65</v>
      </c>
      <c r="B80" s="250" t="s">
        <v>377</v>
      </c>
      <c r="C80" s="240">
        <f t="shared" si="1"/>
        <v>169216</v>
      </c>
      <c r="D80" s="240">
        <v>0</v>
      </c>
      <c r="E80" s="240">
        <v>2050</v>
      </c>
      <c r="F80" s="240">
        <v>20390</v>
      </c>
      <c r="G80" s="240">
        <v>0</v>
      </c>
      <c r="H80" s="240">
        <v>0</v>
      </c>
      <c r="I80" s="240">
        <v>0</v>
      </c>
      <c r="J80" s="240"/>
      <c r="K80" s="240"/>
      <c r="L80" s="240">
        <v>2470</v>
      </c>
      <c r="M80" s="240">
        <v>52970</v>
      </c>
      <c r="N80" s="240"/>
      <c r="O80" s="240">
        <v>0</v>
      </c>
      <c r="P80" s="240">
        <v>0</v>
      </c>
      <c r="Q80" s="240">
        <v>0</v>
      </c>
      <c r="R80" s="240">
        <v>0</v>
      </c>
      <c r="S80" s="240">
        <v>480</v>
      </c>
      <c r="T80" s="240">
        <v>90856</v>
      </c>
    </row>
    <row r="81" spans="1:20" x14ac:dyDescent="0.25">
      <c r="A81" s="238">
        <v>66</v>
      </c>
      <c r="B81" s="250" t="s">
        <v>378</v>
      </c>
      <c r="C81" s="240">
        <f t="shared" si="1"/>
        <v>233874</v>
      </c>
      <c r="D81" s="240">
        <v>0</v>
      </c>
      <c r="E81" s="240">
        <v>3590</v>
      </c>
      <c r="F81" s="240">
        <v>26410</v>
      </c>
      <c r="G81" s="240">
        <v>0</v>
      </c>
      <c r="H81" s="240">
        <v>0</v>
      </c>
      <c r="I81" s="240">
        <v>0</v>
      </c>
      <c r="J81" s="240"/>
      <c r="K81" s="240"/>
      <c r="L81" s="240">
        <v>4950</v>
      </c>
      <c r="M81" s="240">
        <v>62182</v>
      </c>
      <c r="N81" s="240"/>
      <c r="O81" s="240">
        <v>0</v>
      </c>
      <c r="P81" s="240">
        <v>0</v>
      </c>
      <c r="Q81" s="240">
        <v>0</v>
      </c>
      <c r="R81" s="240">
        <v>0</v>
      </c>
      <c r="S81" s="240">
        <v>1960</v>
      </c>
      <c r="T81" s="240">
        <v>134782</v>
      </c>
    </row>
    <row r="82" spans="1:20" x14ac:dyDescent="0.25">
      <c r="A82" s="238">
        <v>67</v>
      </c>
      <c r="B82" s="250" t="s">
        <v>379</v>
      </c>
      <c r="C82" s="240">
        <f t="shared" si="1"/>
        <v>291759</v>
      </c>
      <c r="D82" s="240">
        <v>0</v>
      </c>
      <c r="E82" s="240">
        <v>3822</v>
      </c>
      <c r="F82" s="240">
        <v>28678</v>
      </c>
      <c r="G82" s="240">
        <v>0</v>
      </c>
      <c r="H82" s="240">
        <v>8310</v>
      </c>
      <c r="I82" s="240">
        <v>0</v>
      </c>
      <c r="J82" s="240"/>
      <c r="K82" s="240"/>
      <c r="L82" s="240">
        <v>3115</v>
      </c>
      <c r="M82" s="240">
        <v>65641</v>
      </c>
      <c r="N82" s="240"/>
      <c r="O82" s="240">
        <v>0</v>
      </c>
      <c r="P82" s="240">
        <v>0</v>
      </c>
      <c r="Q82" s="240">
        <v>0</v>
      </c>
      <c r="R82" s="240">
        <v>0</v>
      </c>
      <c r="S82" s="240">
        <v>16563</v>
      </c>
      <c r="T82" s="240">
        <v>165630</v>
      </c>
    </row>
    <row r="83" spans="1:20" x14ac:dyDescent="0.25">
      <c r="A83" s="238">
        <v>68</v>
      </c>
      <c r="B83" s="250" t="s">
        <v>380</v>
      </c>
      <c r="C83" s="240">
        <f t="shared" si="1"/>
        <v>105540</v>
      </c>
      <c r="D83" s="240">
        <v>0</v>
      </c>
      <c r="E83" s="240">
        <v>244</v>
      </c>
      <c r="F83" s="240">
        <v>19065</v>
      </c>
      <c r="G83" s="240">
        <v>0</v>
      </c>
      <c r="H83" s="240">
        <v>0</v>
      </c>
      <c r="I83" s="240">
        <v>0</v>
      </c>
      <c r="J83" s="240"/>
      <c r="K83" s="240"/>
      <c r="L83" s="240">
        <v>3533</v>
      </c>
      <c r="M83" s="240">
        <v>33564</v>
      </c>
      <c r="N83" s="240"/>
      <c r="O83" s="240">
        <v>0</v>
      </c>
      <c r="P83" s="240">
        <v>0</v>
      </c>
      <c r="Q83" s="240">
        <v>0</v>
      </c>
      <c r="R83" s="240">
        <v>0</v>
      </c>
      <c r="S83" s="240">
        <v>1903</v>
      </c>
      <c r="T83" s="240">
        <v>47231</v>
      </c>
    </row>
    <row r="84" spans="1:20" ht="22.5" x14ac:dyDescent="0.25">
      <c r="A84" s="238">
        <v>69</v>
      </c>
      <c r="B84" s="250" t="s">
        <v>421</v>
      </c>
      <c r="C84" s="240">
        <f t="shared" si="1"/>
        <v>29476</v>
      </c>
      <c r="D84" s="240">
        <v>0</v>
      </c>
      <c r="E84" s="240">
        <v>0</v>
      </c>
      <c r="F84" s="240">
        <v>0</v>
      </c>
      <c r="G84" s="240">
        <v>0</v>
      </c>
      <c r="H84" s="240">
        <v>0</v>
      </c>
      <c r="I84" s="240">
        <f>19413+2992+63</f>
        <v>22468</v>
      </c>
      <c r="J84" s="240"/>
      <c r="K84" s="240"/>
      <c r="L84" s="240">
        <v>0</v>
      </c>
      <c r="M84" s="240">
        <v>0</v>
      </c>
      <c r="N84" s="240"/>
      <c r="O84" s="240">
        <f>10000-3000</f>
        <v>7000</v>
      </c>
      <c r="P84" s="240">
        <v>0</v>
      </c>
      <c r="Q84" s="240">
        <v>0</v>
      </c>
      <c r="R84" s="240">
        <f>0+8</f>
        <v>8</v>
      </c>
      <c r="S84" s="240">
        <v>0</v>
      </c>
      <c r="T84" s="240">
        <v>0</v>
      </c>
    </row>
    <row r="85" spans="1:20" ht="22.5" x14ac:dyDescent="0.25">
      <c r="A85" s="238">
        <v>70</v>
      </c>
      <c r="B85" s="250" t="s">
        <v>381</v>
      </c>
      <c r="C85" s="240">
        <f t="shared" si="1"/>
        <v>31433</v>
      </c>
      <c r="D85" s="240">
        <v>0</v>
      </c>
      <c r="E85" s="240">
        <v>0</v>
      </c>
      <c r="F85" s="240">
        <v>0</v>
      </c>
      <c r="G85" s="240">
        <v>0</v>
      </c>
      <c r="H85" s="240">
        <v>0</v>
      </c>
      <c r="I85" s="240">
        <f>11100+64</f>
        <v>11164</v>
      </c>
      <c r="J85" s="240"/>
      <c r="K85" s="240"/>
      <c r="L85" s="240">
        <v>0</v>
      </c>
      <c r="M85" s="240">
        <v>0</v>
      </c>
      <c r="N85" s="240"/>
      <c r="O85" s="240">
        <v>20269</v>
      </c>
      <c r="P85" s="240">
        <v>0</v>
      </c>
      <c r="Q85" s="240">
        <v>0</v>
      </c>
      <c r="R85" s="240">
        <v>0</v>
      </c>
      <c r="S85" s="240">
        <v>0</v>
      </c>
      <c r="T85" s="240">
        <v>0</v>
      </c>
    </row>
    <row r="86" spans="1:20" x14ac:dyDescent="0.25">
      <c r="A86" s="238">
        <v>71</v>
      </c>
      <c r="B86" s="250" t="s">
        <v>365</v>
      </c>
      <c r="C86" s="240">
        <f t="shared" si="1"/>
        <v>69967</v>
      </c>
      <c r="D86" s="240">
        <v>3306</v>
      </c>
      <c r="E86" s="240">
        <v>2898</v>
      </c>
      <c r="F86" s="240">
        <v>37798</v>
      </c>
      <c r="G86" s="240">
        <v>0</v>
      </c>
      <c r="H86" s="240">
        <v>0</v>
      </c>
      <c r="I86" s="240">
        <v>0</v>
      </c>
      <c r="J86" s="240">
        <v>1025</v>
      </c>
      <c r="K86" s="240">
        <v>439</v>
      </c>
      <c r="L86" s="240">
        <v>1082</v>
      </c>
      <c r="M86" s="240">
        <v>15485</v>
      </c>
      <c r="N86" s="240"/>
      <c r="O86" s="240">
        <v>0</v>
      </c>
      <c r="P86" s="240">
        <v>0</v>
      </c>
      <c r="Q86" s="240">
        <v>454</v>
      </c>
      <c r="R86" s="240">
        <v>0</v>
      </c>
      <c r="S86" s="240">
        <v>1520</v>
      </c>
      <c r="T86" s="240">
        <v>5960</v>
      </c>
    </row>
    <row r="87" spans="1:20" x14ac:dyDescent="0.25">
      <c r="A87" s="238">
        <v>72</v>
      </c>
      <c r="B87" s="250" t="s">
        <v>366</v>
      </c>
      <c r="C87" s="240">
        <f t="shared" si="1"/>
        <v>50003</v>
      </c>
      <c r="D87" s="240">
        <v>2137</v>
      </c>
      <c r="E87" s="240">
        <v>2800</v>
      </c>
      <c r="F87" s="240">
        <v>17330</v>
      </c>
      <c r="G87" s="240">
        <v>0</v>
      </c>
      <c r="H87" s="240">
        <v>9428</v>
      </c>
      <c r="I87" s="240">
        <v>0</v>
      </c>
      <c r="J87" s="240"/>
      <c r="K87" s="240"/>
      <c r="L87" s="240">
        <v>3000</v>
      </c>
      <c r="M87" s="240">
        <v>8413</v>
      </c>
      <c r="N87" s="240"/>
      <c r="O87" s="240">
        <v>0</v>
      </c>
      <c r="P87" s="240">
        <v>0</v>
      </c>
      <c r="Q87" s="240">
        <v>0</v>
      </c>
      <c r="R87" s="240">
        <v>0</v>
      </c>
      <c r="S87" s="240">
        <v>1200</v>
      </c>
      <c r="T87" s="240">
        <v>5695</v>
      </c>
    </row>
    <row r="88" spans="1:20" x14ac:dyDescent="0.25">
      <c r="A88" s="238">
        <v>73</v>
      </c>
      <c r="B88" s="250" t="s">
        <v>367</v>
      </c>
      <c r="C88" s="240">
        <f t="shared" si="1"/>
        <v>40322</v>
      </c>
      <c r="D88" s="240">
        <v>2058</v>
      </c>
      <c r="E88" s="240">
        <v>5117</v>
      </c>
      <c r="F88" s="240">
        <v>19633</v>
      </c>
      <c r="G88" s="240">
        <v>0</v>
      </c>
      <c r="H88" s="240">
        <v>0</v>
      </c>
      <c r="I88" s="240">
        <v>0</v>
      </c>
      <c r="J88" s="240"/>
      <c r="K88" s="240"/>
      <c r="L88" s="240">
        <v>6986</v>
      </c>
      <c r="M88" s="240">
        <v>684</v>
      </c>
      <c r="N88" s="240"/>
      <c r="O88" s="240">
        <v>0</v>
      </c>
      <c r="P88" s="240">
        <v>220</v>
      </c>
      <c r="Q88" s="240">
        <v>0</v>
      </c>
      <c r="R88" s="240">
        <v>0</v>
      </c>
      <c r="S88" s="240">
        <v>2477</v>
      </c>
      <c r="T88" s="240">
        <v>3147</v>
      </c>
    </row>
    <row r="89" spans="1:20" x14ac:dyDescent="0.25">
      <c r="A89" s="238">
        <v>74</v>
      </c>
      <c r="B89" s="250" t="s">
        <v>368</v>
      </c>
      <c r="C89" s="240">
        <f t="shared" si="1"/>
        <v>43216</v>
      </c>
      <c r="D89" s="240">
        <v>1554</v>
      </c>
      <c r="E89" s="240">
        <v>3085</v>
      </c>
      <c r="F89" s="240">
        <v>14254</v>
      </c>
      <c r="G89" s="240">
        <v>0</v>
      </c>
      <c r="H89" s="240">
        <v>13986</v>
      </c>
      <c r="I89" s="240">
        <v>0</v>
      </c>
      <c r="J89" s="240"/>
      <c r="K89" s="240"/>
      <c r="L89" s="240">
        <v>3415</v>
      </c>
      <c r="M89" s="240">
        <v>2512</v>
      </c>
      <c r="N89" s="240"/>
      <c r="O89" s="240">
        <v>0</v>
      </c>
      <c r="P89" s="240">
        <v>0</v>
      </c>
      <c r="Q89" s="240">
        <v>0</v>
      </c>
      <c r="R89" s="240">
        <v>0</v>
      </c>
      <c r="S89" s="240">
        <v>0</v>
      </c>
      <c r="T89" s="240">
        <v>4410</v>
      </c>
    </row>
    <row r="90" spans="1:20" x14ac:dyDescent="0.25">
      <c r="A90" s="238">
        <v>75</v>
      </c>
      <c r="B90" s="250" t="s">
        <v>369</v>
      </c>
      <c r="C90" s="240">
        <f t="shared" si="1"/>
        <v>104197</v>
      </c>
      <c r="D90" s="240">
        <v>4047</v>
      </c>
      <c r="E90" s="240">
        <v>17010</v>
      </c>
      <c r="F90" s="240">
        <v>21579</v>
      </c>
      <c r="G90" s="240">
        <v>0</v>
      </c>
      <c r="H90" s="240">
        <v>0</v>
      </c>
      <c r="I90" s="240">
        <v>0</v>
      </c>
      <c r="J90" s="240">
        <v>1025</v>
      </c>
      <c r="K90" s="240">
        <v>439</v>
      </c>
      <c r="L90" s="240">
        <v>18557</v>
      </c>
      <c r="M90" s="240">
        <v>23542</v>
      </c>
      <c r="N90" s="240"/>
      <c r="O90" s="240">
        <v>0</v>
      </c>
      <c r="P90" s="240">
        <v>0</v>
      </c>
      <c r="Q90" s="240">
        <v>0</v>
      </c>
      <c r="R90" s="240">
        <v>0</v>
      </c>
      <c r="S90" s="240">
        <v>7933</v>
      </c>
      <c r="T90" s="240">
        <v>10065</v>
      </c>
    </row>
    <row r="91" spans="1:20" x14ac:dyDescent="0.25">
      <c r="A91" s="238">
        <v>76</v>
      </c>
      <c r="B91" s="250" t="s">
        <v>370</v>
      </c>
      <c r="C91" s="240">
        <f t="shared" si="1"/>
        <v>52932</v>
      </c>
      <c r="D91" s="240">
        <v>2062</v>
      </c>
      <c r="E91" s="240">
        <v>5177</v>
      </c>
      <c r="F91" s="240">
        <v>10473</v>
      </c>
      <c r="G91" s="240">
        <v>0</v>
      </c>
      <c r="H91" s="240">
        <v>0</v>
      </c>
      <c r="I91" s="240">
        <v>0</v>
      </c>
      <c r="J91" s="240">
        <v>1025</v>
      </c>
      <c r="K91" s="240">
        <v>439</v>
      </c>
      <c r="L91" s="240">
        <v>6946</v>
      </c>
      <c r="M91" s="240">
        <v>14840</v>
      </c>
      <c r="N91" s="240"/>
      <c r="O91" s="240">
        <v>0</v>
      </c>
      <c r="P91" s="240">
        <v>0</v>
      </c>
      <c r="Q91" s="240">
        <v>0</v>
      </c>
      <c r="R91" s="240">
        <v>0</v>
      </c>
      <c r="S91" s="240">
        <v>8945</v>
      </c>
      <c r="T91" s="240">
        <v>3025</v>
      </c>
    </row>
    <row r="92" spans="1:20" x14ac:dyDescent="0.25">
      <c r="A92" s="238">
        <v>77</v>
      </c>
      <c r="B92" s="250" t="s">
        <v>371</v>
      </c>
      <c r="C92" s="240">
        <f t="shared" si="1"/>
        <v>55041</v>
      </c>
      <c r="D92" s="240">
        <v>2332</v>
      </c>
      <c r="E92" s="240">
        <v>3032</v>
      </c>
      <c r="F92" s="240">
        <v>27289</v>
      </c>
      <c r="G92" s="240">
        <v>0</v>
      </c>
      <c r="H92" s="240">
        <v>9234</v>
      </c>
      <c r="I92" s="240">
        <v>0</v>
      </c>
      <c r="J92" s="240">
        <v>1025</v>
      </c>
      <c r="K92" s="240">
        <v>439</v>
      </c>
      <c r="L92" s="240">
        <v>4347</v>
      </c>
      <c r="M92" s="240">
        <v>1864</v>
      </c>
      <c r="N92" s="240">
        <v>397</v>
      </c>
      <c r="O92" s="240">
        <v>0</v>
      </c>
      <c r="P92" s="240">
        <v>0</v>
      </c>
      <c r="Q92" s="240">
        <v>0</v>
      </c>
      <c r="R92" s="240">
        <v>0</v>
      </c>
      <c r="S92" s="240">
        <v>3181</v>
      </c>
      <c r="T92" s="240">
        <v>1901</v>
      </c>
    </row>
    <row r="93" spans="1:20" x14ac:dyDescent="0.25">
      <c r="A93" s="238">
        <v>78</v>
      </c>
      <c r="B93" s="250" t="s">
        <v>372</v>
      </c>
      <c r="C93" s="240">
        <f t="shared" si="1"/>
        <v>25753</v>
      </c>
      <c r="D93" s="240">
        <v>1388</v>
      </c>
      <c r="E93" s="240">
        <v>2003</v>
      </c>
      <c r="F93" s="240">
        <v>15613</v>
      </c>
      <c r="G93" s="240">
        <v>0</v>
      </c>
      <c r="H93" s="240">
        <v>0</v>
      </c>
      <c r="I93" s="240">
        <v>0</v>
      </c>
      <c r="J93" s="240"/>
      <c r="K93" s="240"/>
      <c r="L93" s="240">
        <v>1282</v>
      </c>
      <c r="M93" s="240">
        <v>2122</v>
      </c>
      <c r="N93" s="240"/>
      <c r="O93" s="240">
        <v>0</v>
      </c>
      <c r="P93" s="240">
        <v>0</v>
      </c>
      <c r="Q93" s="240">
        <v>0</v>
      </c>
      <c r="R93" s="240">
        <v>0</v>
      </c>
      <c r="S93" s="240">
        <v>1715</v>
      </c>
      <c r="T93" s="240">
        <v>1630</v>
      </c>
    </row>
    <row r="94" spans="1:20" x14ac:dyDescent="0.25">
      <c r="A94" s="238">
        <v>79</v>
      </c>
      <c r="B94" s="250" t="s">
        <v>237</v>
      </c>
      <c r="C94" s="240">
        <f t="shared" si="1"/>
        <v>106780</v>
      </c>
      <c r="D94" s="240">
        <v>3950</v>
      </c>
      <c r="E94" s="240">
        <f>8255</f>
        <v>8255</v>
      </c>
      <c r="F94" s="240">
        <v>41578</v>
      </c>
      <c r="G94" s="240">
        <v>0</v>
      </c>
      <c r="H94" s="240">
        <v>0</v>
      </c>
      <c r="I94" s="240">
        <v>0</v>
      </c>
      <c r="J94" s="240">
        <v>1025</v>
      </c>
      <c r="K94" s="240">
        <v>439</v>
      </c>
      <c r="L94" s="240">
        <f>14955</f>
        <v>14955</v>
      </c>
      <c r="M94" s="240">
        <f>18719+10000</f>
        <v>28719</v>
      </c>
      <c r="N94" s="240"/>
      <c r="O94" s="240">
        <v>0</v>
      </c>
      <c r="P94" s="240">
        <v>0</v>
      </c>
      <c r="Q94" s="240">
        <v>0</v>
      </c>
      <c r="R94" s="240">
        <v>0</v>
      </c>
      <c r="S94" s="240">
        <v>6045</v>
      </c>
      <c r="T94" s="240">
        <f>11814-10000</f>
        <v>1814</v>
      </c>
    </row>
    <row r="95" spans="1:20" x14ac:dyDescent="0.25">
      <c r="A95" s="238">
        <v>80</v>
      </c>
      <c r="B95" s="250" t="s">
        <v>373</v>
      </c>
      <c r="C95" s="240">
        <f t="shared" si="1"/>
        <v>34255</v>
      </c>
      <c r="D95" s="240">
        <v>1821</v>
      </c>
      <c r="E95" s="240">
        <v>1000</v>
      </c>
      <c r="F95" s="240">
        <v>19158</v>
      </c>
      <c r="G95" s="240">
        <v>0</v>
      </c>
      <c r="H95" s="240">
        <v>0</v>
      </c>
      <c r="I95" s="240">
        <v>0</v>
      </c>
      <c r="J95" s="240"/>
      <c r="K95" s="240"/>
      <c r="L95" s="240">
        <v>5800</v>
      </c>
      <c r="M95" s="240">
        <v>1017</v>
      </c>
      <c r="N95" s="240"/>
      <c r="O95" s="240">
        <v>0</v>
      </c>
      <c r="P95" s="240">
        <v>0</v>
      </c>
      <c r="Q95" s="240">
        <v>0</v>
      </c>
      <c r="R95" s="240">
        <v>0</v>
      </c>
      <c r="S95" s="240">
        <v>760</v>
      </c>
      <c r="T95" s="240">
        <v>4699</v>
      </c>
    </row>
    <row r="96" spans="1:20" x14ac:dyDescent="0.25">
      <c r="A96" s="238">
        <v>81</v>
      </c>
      <c r="B96" s="250" t="s">
        <v>374</v>
      </c>
      <c r="C96" s="240">
        <f t="shared" si="1"/>
        <v>33597</v>
      </c>
      <c r="D96" s="240">
        <v>1770</v>
      </c>
      <c r="E96" s="240">
        <v>3700</v>
      </c>
      <c r="F96" s="240">
        <v>13800</v>
      </c>
      <c r="G96" s="240">
        <v>0</v>
      </c>
      <c r="H96" s="240">
        <v>0</v>
      </c>
      <c r="I96" s="240">
        <v>0</v>
      </c>
      <c r="J96" s="240"/>
      <c r="K96" s="240"/>
      <c r="L96" s="240">
        <v>5979</v>
      </c>
      <c r="M96" s="240">
        <v>2557</v>
      </c>
      <c r="N96" s="240"/>
      <c r="O96" s="240">
        <v>0</v>
      </c>
      <c r="P96" s="240">
        <v>0</v>
      </c>
      <c r="Q96" s="240">
        <v>0</v>
      </c>
      <c r="R96" s="240">
        <v>0</v>
      </c>
      <c r="S96" s="240">
        <v>3691</v>
      </c>
      <c r="T96" s="240">
        <v>2100</v>
      </c>
    </row>
    <row r="97" spans="1:20" ht="22.5" x14ac:dyDescent="0.25">
      <c r="A97" s="238">
        <v>82</v>
      </c>
      <c r="B97" s="250" t="s">
        <v>422</v>
      </c>
      <c r="C97" s="240">
        <f t="shared" si="1"/>
        <v>3111</v>
      </c>
      <c r="D97" s="240">
        <v>0</v>
      </c>
      <c r="E97" s="240">
        <v>0</v>
      </c>
      <c r="F97" s="240">
        <v>0</v>
      </c>
      <c r="G97" s="240">
        <v>0</v>
      </c>
      <c r="H97" s="240">
        <v>0</v>
      </c>
      <c r="I97" s="240">
        <v>2398</v>
      </c>
      <c r="J97" s="240"/>
      <c r="K97" s="240"/>
      <c r="L97" s="240">
        <v>0</v>
      </c>
      <c r="M97" s="240">
        <v>0</v>
      </c>
      <c r="N97" s="240"/>
      <c r="O97" s="240">
        <v>319</v>
      </c>
      <c r="P97" s="240">
        <v>0</v>
      </c>
      <c r="Q97" s="240">
        <v>0</v>
      </c>
      <c r="R97" s="240">
        <v>394</v>
      </c>
      <c r="S97" s="240">
        <v>0</v>
      </c>
      <c r="T97" s="240">
        <v>0</v>
      </c>
    </row>
    <row r="98" spans="1:20" ht="22.5" x14ac:dyDescent="0.25">
      <c r="A98" s="238">
        <v>83</v>
      </c>
      <c r="B98" s="250" t="s">
        <v>382</v>
      </c>
      <c r="C98" s="240">
        <f t="shared" si="1"/>
        <v>3578</v>
      </c>
      <c r="D98" s="240">
        <v>0</v>
      </c>
      <c r="E98" s="240">
        <v>0</v>
      </c>
      <c r="F98" s="240">
        <v>0</v>
      </c>
      <c r="G98" s="240">
        <v>0</v>
      </c>
      <c r="H98" s="240">
        <v>0</v>
      </c>
      <c r="I98" s="240">
        <v>3478</v>
      </c>
      <c r="J98" s="240"/>
      <c r="K98" s="240"/>
      <c r="L98" s="240">
        <v>0</v>
      </c>
      <c r="M98" s="240">
        <v>0</v>
      </c>
      <c r="N98" s="240"/>
      <c r="O98" s="240">
        <v>0</v>
      </c>
      <c r="P98" s="240">
        <v>0</v>
      </c>
      <c r="Q98" s="240">
        <v>0</v>
      </c>
      <c r="R98" s="240">
        <v>100</v>
      </c>
      <c r="S98" s="240">
        <v>0</v>
      </c>
      <c r="T98" s="240">
        <v>0</v>
      </c>
    </row>
    <row r="99" spans="1:20" ht="22.5" x14ac:dyDescent="0.25">
      <c r="A99" s="238">
        <v>84</v>
      </c>
      <c r="B99" s="250" t="s">
        <v>423</v>
      </c>
      <c r="C99" s="240">
        <f t="shared" si="1"/>
        <v>4126</v>
      </c>
      <c r="D99" s="240">
        <v>0</v>
      </c>
      <c r="E99" s="240">
        <v>0</v>
      </c>
      <c r="F99" s="240">
        <v>0</v>
      </c>
      <c r="G99" s="240">
        <v>0</v>
      </c>
      <c r="H99" s="240">
        <v>0</v>
      </c>
      <c r="I99" s="240">
        <v>3883</v>
      </c>
      <c r="J99" s="240"/>
      <c r="K99" s="240"/>
      <c r="L99" s="240">
        <v>0</v>
      </c>
      <c r="M99" s="240">
        <v>0</v>
      </c>
      <c r="N99" s="240"/>
      <c r="O99" s="240">
        <v>143</v>
      </c>
      <c r="P99" s="240">
        <v>0</v>
      </c>
      <c r="Q99" s="240">
        <v>0</v>
      </c>
      <c r="R99" s="240">
        <v>100</v>
      </c>
      <c r="S99" s="240">
        <v>0</v>
      </c>
      <c r="T99" s="240">
        <v>0</v>
      </c>
    </row>
    <row r="100" spans="1:20" ht="22.5" x14ac:dyDescent="0.25">
      <c r="A100" s="238">
        <v>85</v>
      </c>
      <c r="B100" s="250" t="s">
        <v>424</v>
      </c>
      <c r="C100" s="240">
        <f t="shared" si="1"/>
        <v>3480</v>
      </c>
      <c r="D100" s="240">
        <v>0</v>
      </c>
      <c r="E100" s="240">
        <v>0</v>
      </c>
      <c r="F100" s="240">
        <v>0</v>
      </c>
      <c r="G100" s="240">
        <v>0</v>
      </c>
      <c r="H100" s="240">
        <v>0</v>
      </c>
      <c r="I100" s="240">
        <v>2770</v>
      </c>
      <c r="J100" s="240"/>
      <c r="K100" s="240"/>
      <c r="L100" s="240">
        <v>0</v>
      </c>
      <c r="M100" s="240">
        <v>0</v>
      </c>
      <c r="N100" s="240"/>
      <c r="O100" s="240">
        <v>420</v>
      </c>
      <c r="P100" s="240">
        <v>0</v>
      </c>
      <c r="Q100" s="240">
        <v>0</v>
      </c>
      <c r="R100" s="240">
        <v>290</v>
      </c>
      <c r="S100" s="240">
        <v>0</v>
      </c>
      <c r="T100" s="240">
        <v>0</v>
      </c>
    </row>
    <row r="101" spans="1:20" ht="22.5" x14ac:dyDescent="0.25">
      <c r="A101" s="238">
        <v>86</v>
      </c>
      <c r="B101" s="250" t="s">
        <v>425</v>
      </c>
      <c r="C101" s="240">
        <f t="shared" si="1"/>
        <v>13472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6425</v>
      </c>
      <c r="J101" s="240"/>
      <c r="K101" s="240"/>
      <c r="L101" s="240">
        <v>0</v>
      </c>
      <c r="M101" s="240">
        <v>0</v>
      </c>
      <c r="N101" s="240"/>
      <c r="O101" s="240">
        <v>6627</v>
      </c>
      <c r="P101" s="240">
        <v>0</v>
      </c>
      <c r="Q101" s="240">
        <v>0</v>
      </c>
      <c r="R101" s="240">
        <v>420</v>
      </c>
      <c r="S101" s="240">
        <v>0</v>
      </c>
      <c r="T101" s="240">
        <v>0</v>
      </c>
    </row>
    <row r="102" spans="1:20" ht="22.5" x14ac:dyDescent="0.25">
      <c r="A102" s="238">
        <v>87</v>
      </c>
      <c r="B102" s="250" t="s">
        <v>463</v>
      </c>
      <c r="C102" s="240">
        <f t="shared" si="1"/>
        <v>3172</v>
      </c>
      <c r="D102" s="240">
        <v>0</v>
      </c>
      <c r="E102" s="240">
        <v>0</v>
      </c>
      <c r="F102" s="240">
        <v>0</v>
      </c>
      <c r="G102" s="240">
        <v>0</v>
      </c>
      <c r="H102" s="240">
        <v>0</v>
      </c>
      <c r="I102" s="240">
        <v>2782</v>
      </c>
      <c r="J102" s="240"/>
      <c r="K102" s="240"/>
      <c r="L102" s="240">
        <v>0</v>
      </c>
      <c r="M102" s="240">
        <v>0</v>
      </c>
      <c r="N102" s="240"/>
      <c r="O102" s="240">
        <v>240</v>
      </c>
      <c r="P102" s="240">
        <v>0</v>
      </c>
      <c r="Q102" s="240">
        <v>0</v>
      </c>
      <c r="R102" s="240">
        <v>150</v>
      </c>
      <c r="S102" s="240">
        <v>0</v>
      </c>
      <c r="T102" s="240">
        <v>0</v>
      </c>
    </row>
    <row r="103" spans="1:20" ht="22.5" x14ac:dyDescent="0.25">
      <c r="A103" s="238">
        <v>88</v>
      </c>
      <c r="B103" s="250" t="s">
        <v>464</v>
      </c>
      <c r="C103" s="240">
        <f t="shared" si="1"/>
        <v>2676</v>
      </c>
      <c r="D103" s="240">
        <v>0</v>
      </c>
      <c r="E103" s="240">
        <v>0</v>
      </c>
      <c r="F103" s="240">
        <v>0</v>
      </c>
      <c r="G103" s="240">
        <v>0</v>
      </c>
      <c r="H103" s="240">
        <v>0</v>
      </c>
      <c r="I103" s="240">
        <v>2676</v>
      </c>
      <c r="J103" s="240"/>
      <c r="K103" s="240"/>
      <c r="L103" s="240">
        <v>0</v>
      </c>
      <c r="M103" s="240">
        <v>0</v>
      </c>
      <c r="N103" s="240"/>
      <c r="O103" s="240">
        <v>0</v>
      </c>
      <c r="P103" s="240">
        <v>0</v>
      </c>
      <c r="Q103" s="240">
        <v>0</v>
      </c>
      <c r="R103" s="240">
        <v>0</v>
      </c>
      <c r="S103" s="240">
        <v>0</v>
      </c>
      <c r="T103" s="240">
        <v>0</v>
      </c>
    </row>
    <row r="104" spans="1:20" x14ac:dyDescent="0.25">
      <c r="A104" s="238">
        <v>89</v>
      </c>
      <c r="B104" s="250" t="s">
        <v>428</v>
      </c>
      <c r="C104" s="240">
        <f t="shared" si="1"/>
        <v>171812</v>
      </c>
      <c r="D104" s="240">
        <v>2372</v>
      </c>
      <c r="E104" s="240">
        <v>8058</v>
      </c>
      <c r="F104" s="240">
        <v>29974</v>
      </c>
      <c r="G104" s="240">
        <v>0</v>
      </c>
      <c r="H104" s="240">
        <v>7128</v>
      </c>
      <c r="I104" s="240">
        <v>0</v>
      </c>
      <c r="J104" s="240"/>
      <c r="K104" s="240"/>
      <c r="L104" s="240">
        <v>6500</v>
      </c>
      <c r="M104" s="240">
        <v>34363</v>
      </c>
      <c r="N104" s="240"/>
      <c r="O104" s="240">
        <v>0</v>
      </c>
      <c r="P104" s="240">
        <v>5500</v>
      </c>
      <c r="Q104" s="240">
        <v>2300</v>
      </c>
      <c r="R104" s="240">
        <v>0</v>
      </c>
      <c r="S104" s="240">
        <v>4142</v>
      </c>
      <c r="T104" s="240">
        <v>71475</v>
      </c>
    </row>
    <row r="105" spans="1:20" x14ac:dyDescent="0.25">
      <c r="A105" s="238">
        <v>90</v>
      </c>
      <c r="B105" s="250" t="s">
        <v>63</v>
      </c>
      <c r="C105" s="240">
        <f t="shared" si="1"/>
        <v>70657</v>
      </c>
      <c r="D105" s="240">
        <v>2283</v>
      </c>
      <c r="E105" s="240">
        <v>9068</v>
      </c>
      <c r="F105" s="240">
        <v>17107</v>
      </c>
      <c r="G105" s="240">
        <v>0</v>
      </c>
      <c r="H105" s="240">
        <v>0</v>
      </c>
      <c r="I105" s="240">
        <v>0</v>
      </c>
      <c r="J105" s="240">
        <v>1025</v>
      </c>
      <c r="K105" s="240">
        <v>439</v>
      </c>
      <c r="L105" s="240">
        <v>12720</v>
      </c>
      <c r="M105" s="240">
        <v>18610</v>
      </c>
      <c r="N105" s="240">
        <v>2635</v>
      </c>
      <c r="O105" s="240">
        <v>0</v>
      </c>
      <c r="P105" s="240">
        <v>0</v>
      </c>
      <c r="Q105" s="240">
        <v>0</v>
      </c>
      <c r="R105" s="240">
        <v>0</v>
      </c>
      <c r="S105" s="240">
        <v>2612</v>
      </c>
      <c r="T105" s="240">
        <v>4158</v>
      </c>
    </row>
    <row r="106" spans="1:20" x14ac:dyDescent="0.25">
      <c r="A106" s="238">
        <v>91</v>
      </c>
      <c r="B106" s="250" t="s">
        <v>58</v>
      </c>
      <c r="C106" s="240">
        <f t="shared" si="1"/>
        <v>54218</v>
      </c>
      <c r="D106" s="240">
        <v>1983</v>
      </c>
      <c r="E106" s="240">
        <v>4730</v>
      </c>
      <c r="F106" s="240">
        <v>26353</v>
      </c>
      <c r="G106" s="240">
        <v>0</v>
      </c>
      <c r="H106" s="240">
        <v>0</v>
      </c>
      <c r="I106" s="240">
        <v>0</v>
      </c>
      <c r="J106" s="240"/>
      <c r="K106" s="240"/>
      <c r="L106" s="240">
        <v>5340</v>
      </c>
      <c r="M106" s="240">
        <v>5473</v>
      </c>
      <c r="N106" s="240">
        <v>66</v>
      </c>
      <c r="O106" s="240">
        <v>0</v>
      </c>
      <c r="P106" s="240">
        <v>1500</v>
      </c>
      <c r="Q106" s="240">
        <v>1500</v>
      </c>
      <c r="R106" s="240">
        <v>0</v>
      </c>
      <c r="S106" s="240">
        <v>4030</v>
      </c>
      <c r="T106" s="240">
        <v>3243</v>
      </c>
    </row>
    <row r="107" spans="1:20" x14ac:dyDescent="0.25">
      <c r="A107" s="238">
        <v>92</v>
      </c>
      <c r="B107" s="250" t="s">
        <v>57</v>
      </c>
      <c r="C107" s="240">
        <f t="shared" si="1"/>
        <v>29540</v>
      </c>
      <c r="D107" s="240">
        <v>1136</v>
      </c>
      <c r="E107" s="240">
        <v>1680</v>
      </c>
      <c r="F107" s="240">
        <v>9864</v>
      </c>
      <c r="G107" s="240">
        <v>0</v>
      </c>
      <c r="H107" s="240">
        <v>0</v>
      </c>
      <c r="I107" s="240">
        <v>0</v>
      </c>
      <c r="J107" s="240"/>
      <c r="K107" s="240"/>
      <c r="L107" s="240">
        <v>4730</v>
      </c>
      <c r="M107" s="240">
        <v>4668</v>
      </c>
      <c r="N107" s="240"/>
      <c r="O107" s="240">
        <v>0</v>
      </c>
      <c r="P107" s="240">
        <v>2450</v>
      </c>
      <c r="Q107" s="240">
        <v>0</v>
      </c>
      <c r="R107" s="240">
        <v>0</v>
      </c>
      <c r="S107" s="240">
        <v>1540</v>
      </c>
      <c r="T107" s="240">
        <v>3472</v>
      </c>
    </row>
    <row r="108" spans="1:20" x14ac:dyDescent="0.25">
      <c r="A108" s="238">
        <v>93</v>
      </c>
      <c r="B108" s="250" t="s">
        <v>59</v>
      </c>
      <c r="C108" s="240">
        <f t="shared" si="1"/>
        <v>19920</v>
      </c>
      <c r="D108" s="240">
        <v>527</v>
      </c>
      <c r="E108" s="240">
        <v>291</v>
      </c>
      <c r="F108" s="240">
        <v>5281</v>
      </c>
      <c r="G108" s="240">
        <v>0</v>
      </c>
      <c r="H108" s="240">
        <v>8357</v>
      </c>
      <c r="I108" s="240">
        <v>0</v>
      </c>
      <c r="J108" s="240">
        <v>1025</v>
      </c>
      <c r="K108" s="240">
        <v>439</v>
      </c>
      <c r="L108" s="240">
        <v>106</v>
      </c>
      <c r="M108" s="240">
        <v>1921</v>
      </c>
      <c r="N108" s="240"/>
      <c r="O108" s="240">
        <v>0</v>
      </c>
      <c r="P108" s="240">
        <v>0</v>
      </c>
      <c r="Q108" s="240">
        <v>0</v>
      </c>
      <c r="R108" s="240">
        <v>0</v>
      </c>
      <c r="S108" s="240">
        <v>103</v>
      </c>
      <c r="T108" s="240">
        <v>1870</v>
      </c>
    </row>
    <row r="109" spans="1:20" x14ac:dyDescent="0.25">
      <c r="A109" s="238">
        <v>94</v>
      </c>
      <c r="B109" s="250" t="s">
        <v>60</v>
      </c>
      <c r="C109" s="240">
        <f t="shared" si="1"/>
        <v>2993</v>
      </c>
      <c r="D109" s="240">
        <v>71</v>
      </c>
      <c r="E109" s="240">
        <v>92</v>
      </c>
      <c r="F109" s="240">
        <v>838</v>
      </c>
      <c r="G109" s="240">
        <v>0</v>
      </c>
      <c r="H109" s="240">
        <v>0</v>
      </c>
      <c r="I109" s="240">
        <v>0</v>
      </c>
      <c r="J109" s="240"/>
      <c r="K109" s="240"/>
      <c r="L109" s="240">
        <v>232</v>
      </c>
      <c r="M109" s="240">
        <v>443</v>
      </c>
      <c r="N109" s="240"/>
      <c r="O109" s="240">
        <v>0</v>
      </c>
      <c r="P109" s="240">
        <v>0</v>
      </c>
      <c r="Q109" s="240">
        <v>704</v>
      </c>
      <c r="R109" s="240">
        <v>0</v>
      </c>
      <c r="S109" s="240">
        <v>204</v>
      </c>
      <c r="T109" s="240">
        <v>409</v>
      </c>
    </row>
    <row r="110" spans="1:20" ht="51" x14ac:dyDescent="0.25">
      <c r="A110" s="463">
        <v>95</v>
      </c>
      <c r="B110" s="181" t="s">
        <v>375</v>
      </c>
      <c r="C110" s="240">
        <f t="shared" si="1"/>
        <v>21319</v>
      </c>
      <c r="D110" s="240">
        <v>878</v>
      </c>
      <c r="E110" s="240">
        <v>1974</v>
      </c>
      <c r="F110" s="240">
        <v>4191</v>
      </c>
      <c r="G110" s="240">
        <v>0</v>
      </c>
      <c r="H110" s="240">
        <v>0</v>
      </c>
      <c r="I110" s="240">
        <v>0</v>
      </c>
      <c r="J110" s="240"/>
      <c r="K110" s="240"/>
      <c r="L110" s="240">
        <v>3605</v>
      </c>
      <c r="M110" s="240">
        <v>2213</v>
      </c>
      <c r="N110" s="240"/>
      <c r="O110" s="240">
        <v>0</v>
      </c>
      <c r="P110" s="240">
        <v>0</v>
      </c>
      <c r="Q110" s="240">
        <v>3520</v>
      </c>
      <c r="R110" s="240">
        <v>0</v>
      </c>
      <c r="S110" s="240">
        <v>2893</v>
      </c>
      <c r="T110" s="240">
        <v>2045</v>
      </c>
    </row>
    <row r="111" spans="1:20" x14ac:dyDescent="0.25">
      <c r="A111" s="465"/>
      <c r="B111" s="250" t="s">
        <v>61</v>
      </c>
      <c r="C111" s="240">
        <f t="shared" si="1"/>
        <v>169135</v>
      </c>
      <c r="D111" s="240">
        <v>6007</v>
      </c>
      <c r="E111" s="240">
        <v>28580</v>
      </c>
      <c r="F111" s="240">
        <v>49490</v>
      </c>
      <c r="G111" s="240">
        <v>0</v>
      </c>
      <c r="H111" s="240">
        <v>0</v>
      </c>
      <c r="I111" s="240">
        <v>0</v>
      </c>
      <c r="J111" s="240">
        <v>3075</v>
      </c>
      <c r="K111" s="240">
        <v>1317</v>
      </c>
      <c r="L111" s="240">
        <v>23350</v>
      </c>
      <c r="M111" s="240">
        <v>23474</v>
      </c>
      <c r="N111" s="240">
        <v>11491</v>
      </c>
      <c r="O111" s="240">
        <v>0</v>
      </c>
      <c r="P111" s="240">
        <v>500</v>
      </c>
      <c r="Q111" s="240">
        <v>0</v>
      </c>
      <c r="R111" s="240">
        <v>0</v>
      </c>
      <c r="S111" s="240">
        <v>10520</v>
      </c>
      <c r="T111" s="240">
        <v>11331</v>
      </c>
    </row>
    <row r="112" spans="1:20" x14ac:dyDescent="0.25">
      <c r="A112" s="238">
        <v>96</v>
      </c>
      <c r="B112" s="250" t="s">
        <v>64</v>
      </c>
      <c r="C112" s="240">
        <f t="shared" si="1"/>
        <v>174209</v>
      </c>
      <c r="D112" s="240">
        <v>0</v>
      </c>
      <c r="E112" s="240">
        <v>1169</v>
      </c>
      <c r="F112" s="240">
        <v>21160</v>
      </c>
      <c r="G112" s="240">
        <v>0</v>
      </c>
      <c r="H112" s="240">
        <v>5304</v>
      </c>
      <c r="I112" s="240">
        <v>0</v>
      </c>
      <c r="J112" s="240"/>
      <c r="K112" s="240"/>
      <c r="L112" s="240">
        <v>2250</v>
      </c>
      <c r="M112" s="240">
        <v>28291</v>
      </c>
      <c r="N112" s="240"/>
      <c r="O112" s="240">
        <v>0</v>
      </c>
      <c r="P112" s="240">
        <v>0</v>
      </c>
      <c r="Q112" s="240">
        <v>0</v>
      </c>
      <c r="R112" s="240">
        <v>0</v>
      </c>
      <c r="S112" s="240">
        <v>1881</v>
      </c>
      <c r="T112" s="240">
        <v>114154</v>
      </c>
    </row>
    <row r="113" spans="1:20" x14ac:dyDescent="0.25">
      <c r="A113" s="238">
        <v>97</v>
      </c>
      <c r="B113" s="250" t="s">
        <v>62</v>
      </c>
      <c r="C113" s="240">
        <f t="shared" si="1"/>
        <v>68674</v>
      </c>
      <c r="D113" s="240">
        <v>2247</v>
      </c>
      <c r="E113" s="240">
        <v>10409</v>
      </c>
      <c r="F113" s="240">
        <v>17342</v>
      </c>
      <c r="G113" s="240">
        <v>0</v>
      </c>
      <c r="H113" s="240">
        <v>9827</v>
      </c>
      <c r="I113" s="240">
        <v>0</v>
      </c>
      <c r="J113" s="240"/>
      <c r="K113" s="240"/>
      <c r="L113" s="240">
        <v>5361</v>
      </c>
      <c r="M113" s="240">
        <v>8999</v>
      </c>
      <c r="N113" s="240">
        <v>3000</v>
      </c>
      <c r="O113" s="240">
        <v>0</v>
      </c>
      <c r="P113" s="240">
        <v>0</v>
      </c>
      <c r="Q113" s="240">
        <v>351</v>
      </c>
      <c r="R113" s="240">
        <v>0</v>
      </c>
      <c r="S113" s="240">
        <v>4230</v>
      </c>
      <c r="T113" s="240">
        <v>6908</v>
      </c>
    </row>
    <row r="114" spans="1:20" x14ac:dyDescent="0.25">
      <c r="A114" s="238">
        <v>98</v>
      </c>
      <c r="B114" s="250" t="s">
        <v>82</v>
      </c>
      <c r="C114" s="240">
        <f t="shared" si="1"/>
        <v>45026</v>
      </c>
      <c r="D114" s="240">
        <v>0</v>
      </c>
      <c r="E114" s="240">
        <v>0</v>
      </c>
      <c r="F114" s="240">
        <v>0</v>
      </c>
      <c r="G114" s="240">
        <v>26184</v>
      </c>
      <c r="H114" s="240">
        <v>0</v>
      </c>
      <c r="I114" s="240">
        <v>8842</v>
      </c>
      <c r="J114" s="240"/>
      <c r="K114" s="240"/>
      <c r="L114" s="240">
        <v>0</v>
      </c>
      <c r="M114" s="240">
        <v>0</v>
      </c>
      <c r="N114" s="240"/>
      <c r="O114" s="240">
        <v>0</v>
      </c>
      <c r="P114" s="240">
        <v>0</v>
      </c>
      <c r="Q114" s="240">
        <v>0</v>
      </c>
      <c r="R114" s="240">
        <v>10000</v>
      </c>
      <c r="S114" s="240">
        <v>0</v>
      </c>
      <c r="T114" s="240">
        <v>0</v>
      </c>
    </row>
    <row r="115" spans="1:20" x14ac:dyDescent="0.25">
      <c r="A115" s="463">
        <v>99</v>
      </c>
      <c r="B115" s="250" t="s">
        <v>65</v>
      </c>
      <c r="C115" s="240">
        <f t="shared" si="1"/>
        <v>21095</v>
      </c>
      <c r="D115" s="240">
        <v>362</v>
      </c>
      <c r="E115" s="240">
        <v>50</v>
      </c>
      <c r="F115" s="240">
        <v>4650</v>
      </c>
      <c r="G115" s="240">
        <v>0</v>
      </c>
      <c r="H115" s="240">
        <v>0</v>
      </c>
      <c r="I115" s="240">
        <v>0</v>
      </c>
      <c r="J115" s="240"/>
      <c r="K115" s="240"/>
      <c r="L115" s="240">
        <v>750</v>
      </c>
      <c r="M115" s="240">
        <v>4154</v>
      </c>
      <c r="N115" s="240">
        <v>7077</v>
      </c>
      <c r="O115" s="240">
        <v>0</v>
      </c>
      <c r="P115" s="240">
        <v>0</v>
      </c>
      <c r="Q115" s="240">
        <v>0</v>
      </c>
      <c r="R115" s="240">
        <v>0</v>
      </c>
      <c r="S115" s="240">
        <v>0</v>
      </c>
      <c r="T115" s="240">
        <v>4052</v>
      </c>
    </row>
    <row r="116" spans="1:20" ht="22.5" x14ac:dyDescent="0.25">
      <c r="A116" s="465"/>
      <c r="B116" s="250" t="s">
        <v>429</v>
      </c>
      <c r="C116" s="240">
        <f t="shared" si="1"/>
        <v>3600</v>
      </c>
      <c r="D116" s="240">
        <v>0</v>
      </c>
      <c r="E116" s="240">
        <v>0</v>
      </c>
      <c r="F116" s="240">
        <v>0</v>
      </c>
      <c r="G116" s="240">
        <v>0</v>
      </c>
      <c r="H116" s="240">
        <v>0</v>
      </c>
      <c r="I116" s="240">
        <v>3600</v>
      </c>
      <c r="J116" s="240"/>
      <c r="K116" s="240"/>
      <c r="L116" s="240">
        <v>0</v>
      </c>
      <c r="M116" s="240">
        <v>0</v>
      </c>
      <c r="N116" s="240"/>
      <c r="O116" s="240">
        <v>0</v>
      </c>
      <c r="P116" s="240">
        <v>0</v>
      </c>
      <c r="Q116" s="240">
        <v>0</v>
      </c>
      <c r="R116" s="240">
        <v>0</v>
      </c>
      <c r="S116" s="240">
        <v>0</v>
      </c>
      <c r="T116" s="240">
        <v>0</v>
      </c>
    </row>
    <row r="117" spans="1:20" ht="22.5" x14ac:dyDescent="0.25">
      <c r="A117" s="238">
        <v>100</v>
      </c>
      <c r="B117" s="250" t="s">
        <v>83</v>
      </c>
      <c r="C117" s="240">
        <f t="shared" si="1"/>
        <v>8400</v>
      </c>
      <c r="D117" s="240">
        <v>0</v>
      </c>
      <c r="E117" s="240">
        <v>0</v>
      </c>
      <c r="F117" s="240">
        <v>0</v>
      </c>
      <c r="G117" s="240">
        <v>0</v>
      </c>
      <c r="H117" s="240">
        <v>0</v>
      </c>
      <c r="I117" s="240">
        <v>7400</v>
      </c>
      <c r="J117" s="240"/>
      <c r="K117" s="240"/>
      <c r="L117" s="240">
        <v>0</v>
      </c>
      <c r="M117" s="240">
        <v>0</v>
      </c>
      <c r="N117" s="240"/>
      <c r="O117" s="240">
        <v>0</v>
      </c>
      <c r="P117" s="240">
        <v>0</v>
      </c>
      <c r="Q117" s="240">
        <v>0</v>
      </c>
      <c r="R117" s="240">
        <v>1000</v>
      </c>
      <c r="S117" s="240">
        <v>0</v>
      </c>
      <c r="T117" s="240">
        <v>0</v>
      </c>
    </row>
    <row r="118" spans="1:20" x14ac:dyDescent="0.25">
      <c r="A118" s="238">
        <v>101</v>
      </c>
      <c r="B118" s="242" t="s">
        <v>430</v>
      </c>
      <c r="C118" s="240">
        <f t="shared" si="1"/>
        <v>5736</v>
      </c>
      <c r="D118" s="240">
        <v>317</v>
      </c>
      <c r="E118" s="240">
        <v>0</v>
      </c>
      <c r="F118" s="240">
        <v>3030</v>
      </c>
      <c r="G118" s="240">
        <v>0</v>
      </c>
      <c r="H118" s="240">
        <v>0</v>
      </c>
      <c r="I118" s="240">
        <v>0</v>
      </c>
      <c r="J118" s="240"/>
      <c r="K118" s="240"/>
      <c r="L118" s="240">
        <v>615</v>
      </c>
      <c r="M118" s="240">
        <v>889</v>
      </c>
      <c r="N118" s="240"/>
      <c r="O118" s="240">
        <v>0</v>
      </c>
      <c r="P118" s="240">
        <v>0</v>
      </c>
      <c r="Q118" s="240">
        <v>0</v>
      </c>
      <c r="R118" s="240">
        <v>0</v>
      </c>
      <c r="S118" s="240">
        <v>585</v>
      </c>
      <c r="T118" s="240">
        <v>300</v>
      </c>
    </row>
    <row r="119" spans="1:20" x14ac:dyDescent="0.25">
      <c r="A119" s="238">
        <v>102</v>
      </c>
      <c r="B119" s="239" t="s">
        <v>3</v>
      </c>
      <c r="C119" s="240">
        <f t="shared" si="1"/>
        <v>35312</v>
      </c>
      <c r="D119" s="240">
        <v>637</v>
      </c>
      <c r="E119" s="240">
        <v>2082</v>
      </c>
      <c r="F119" s="240">
        <v>19591</v>
      </c>
      <c r="G119" s="240">
        <v>0</v>
      </c>
      <c r="H119" s="240">
        <v>0</v>
      </c>
      <c r="I119" s="240">
        <v>0</v>
      </c>
      <c r="J119" s="240"/>
      <c r="K119" s="240"/>
      <c r="L119" s="240">
        <v>3365</v>
      </c>
      <c r="M119" s="240">
        <v>1278</v>
      </c>
      <c r="N119" s="240"/>
      <c r="O119" s="240">
        <v>0</v>
      </c>
      <c r="P119" s="240">
        <v>1150</v>
      </c>
      <c r="Q119" s="240">
        <v>4913</v>
      </c>
      <c r="R119" s="240">
        <v>0</v>
      </c>
      <c r="S119" s="240">
        <v>1171</v>
      </c>
      <c r="T119" s="240">
        <v>1125</v>
      </c>
    </row>
    <row r="120" spans="1:20" x14ac:dyDescent="0.25">
      <c r="A120" s="238">
        <v>103</v>
      </c>
      <c r="B120" s="242" t="s">
        <v>10</v>
      </c>
      <c r="C120" s="240">
        <f t="shared" si="1"/>
        <v>36493</v>
      </c>
      <c r="D120" s="240">
        <v>650</v>
      </c>
      <c r="E120" s="240">
        <v>0</v>
      </c>
      <c r="F120" s="240">
        <v>4923</v>
      </c>
      <c r="G120" s="240">
        <v>0</v>
      </c>
      <c r="H120" s="240">
        <v>0</v>
      </c>
      <c r="I120" s="240">
        <v>0</v>
      </c>
      <c r="J120" s="240"/>
      <c r="K120" s="240"/>
      <c r="L120" s="240">
        <v>2252</v>
      </c>
      <c r="M120" s="240">
        <v>12096</v>
      </c>
      <c r="N120" s="240"/>
      <c r="O120" s="240">
        <v>0</v>
      </c>
      <c r="P120" s="240">
        <v>550</v>
      </c>
      <c r="Q120" s="240">
        <v>3329</v>
      </c>
      <c r="R120" s="240">
        <v>0</v>
      </c>
      <c r="S120" s="240">
        <v>1198</v>
      </c>
      <c r="T120" s="240">
        <v>11495</v>
      </c>
    </row>
    <row r="121" spans="1:20" x14ac:dyDescent="0.25">
      <c r="A121" s="238">
        <v>104</v>
      </c>
      <c r="B121" s="239" t="s">
        <v>15</v>
      </c>
      <c r="C121" s="240">
        <f t="shared" si="1"/>
        <v>98440</v>
      </c>
      <c r="D121" s="240">
        <v>1719</v>
      </c>
      <c r="E121" s="240">
        <v>1024</v>
      </c>
      <c r="F121" s="240">
        <v>10942</v>
      </c>
      <c r="G121" s="240">
        <v>0</v>
      </c>
      <c r="H121" s="240">
        <v>0</v>
      </c>
      <c r="I121" s="240">
        <v>0</v>
      </c>
      <c r="J121" s="240"/>
      <c r="K121" s="240"/>
      <c r="L121" s="240">
        <f>7315+75</f>
        <v>7390</v>
      </c>
      <c r="M121" s="240">
        <v>36314</v>
      </c>
      <c r="N121" s="240"/>
      <c r="O121" s="240">
        <v>0</v>
      </c>
      <c r="P121" s="240">
        <v>1117</v>
      </c>
      <c r="Q121" s="240">
        <v>1758</v>
      </c>
      <c r="R121" s="240">
        <v>0</v>
      </c>
      <c r="S121" s="240">
        <v>5744</v>
      </c>
      <c r="T121" s="240">
        <v>32432</v>
      </c>
    </row>
    <row r="122" spans="1:20" x14ac:dyDescent="0.25">
      <c r="A122" s="238">
        <v>105</v>
      </c>
      <c r="B122" s="242" t="s">
        <v>38</v>
      </c>
      <c r="C122" s="240">
        <f t="shared" si="1"/>
        <v>44399</v>
      </c>
      <c r="D122" s="240">
        <v>794</v>
      </c>
      <c r="E122" s="240">
        <v>1230</v>
      </c>
      <c r="F122" s="240">
        <v>5064</v>
      </c>
      <c r="G122" s="240">
        <v>0</v>
      </c>
      <c r="H122" s="240">
        <v>0</v>
      </c>
      <c r="I122" s="240">
        <v>0</v>
      </c>
      <c r="J122" s="240"/>
      <c r="K122" s="240"/>
      <c r="L122" s="240">
        <v>3500</v>
      </c>
      <c r="M122" s="240">
        <v>13680</v>
      </c>
      <c r="N122" s="240"/>
      <c r="O122" s="240">
        <v>0</v>
      </c>
      <c r="P122" s="240">
        <v>132</v>
      </c>
      <c r="Q122" s="240">
        <v>4388</v>
      </c>
      <c r="R122" s="240">
        <v>0</v>
      </c>
      <c r="S122" s="240">
        <v>2638</v>
      </c>
      <c r="T122" s="240">
        <v>12973</v>
      </c>
    </row>
    <row r="123" spans="1:20" x14ac:dyDescent="0.25">
      <c r="A123" s="238">
        <v>106</v>
      </c>
      <c r="B123" s="242" t="s">
        <v>16</v>
      </c>
      <c r="C123" s="240">
        <f t="shared" si="1"/>
        <v>56041</v>
      </c>
      <c r="D123" s="240">
        <v>1024</v>
      </c>
      <c r="E123" s="240">
        <v>5991</v>
      </c>
      <c r="F123" s="240">
        <v>13062</v>
      </c>
      <c r="G123" s="240">
        <v>0</v>
      </c>
      <c r="H123" s="240">
        <v>0</v>
      </c>
      <c r="I123" s="240">
        <v>0</v>
      </c>
      <c r="J123" s="240">
        <v>1025</v>
      </c>
      <c r="K123" s="240">
        <v>439</v>
      </c>
      <c r="L123" s="240">
        <f>4803+22</f>
        <v>4825</v>
      </c>
      <c r="M123" s="240">
        <v>11554</v>
      </c>
      <c r="N123" s="240"/>
      <c r="O123" s="240">
        <v>0</v>
      </c>
      <c r="P123" s="240">
        <v>502</v>
      </c>
      <c r="Q123" s="240">
        <v>6050</v>
      </c>
      <c r="R123" s="240">
        <v>0</v>
      </c>
      <c r="S123" s="240">
        <v>4404</v>
      </c>
      <c r="T123" s="240">
        <v>7165</v>
      </c>
    </row>
    <row r="124" spans="1:20" ht="22.5" x14ac:dyDescent="0.25">
      <c r="A124" s="238">
        <v>107</v>
      </c>
      <c r="B124" s="242" t="s">
        <v>432</v>
      </c>
      <c r="C124" s="240">
        <f t="shared" si="1"/>
        <v>28</v>
      </c>
      <c r="D124" s="240">
        <v>0</v>
      </c>
      <c r="E124" s="240"/>
      <c r="F124" s="240"/>
      <c r="G124" s="240"/>
      <c r="H124" s="240">
        <v>0</v>
      </c>
      <c r="I124" s="240">
        <f>50-22</f>
        <v>28</v>
      </c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</row>
    <row r="125" spans="1:20" x14ac:dyDescent="0.25">
      <c r="A125" s="238">
        <v>108</v>
      </c>
      <c r="B125" s="239" t="s">
        <v>26</v>
      </c>
      <c r="C125" s="240">
        <f t="shared" si="1"/>
        <v>104514</v>
      </c>
      <c r="D125" s="240">
        <v>1809</v>
      </c>
      <c r="E125" s="240">
        <v>2181</v>
      </c>
      <c r="F125" s="240">
        <v>30357</v>
      </c>
      <c r="G125" s="240">
        <v>0</v>
      </c>
      <c r="H125" s="240">
        <v>0</v>
      </c>
      <c r="I125" s="240">
        <v>0</v>
      </c>
      <c r="J125" s="240"/>
      <c r="K125" s="240"/>
      <c r="L125" s="240">
        <v>3900</v>
      </c>
      <c r="M125" s="240">
        <v>30313</v>
      </c>
      <c r="N125" s="240"/>
      <c r="O125" s="240">
        <v>0</v>
      </c>
      <c r="P125" s="240">
        <v>2249</v>
      </c>
      <c r="Q125" s="240">
        <v>4000</v>
      </c>
      <c r="R125" s="240">
        <v>0</v>
      </c>
      <c r="S125" s="240">
        <v>3370</v>
      </c>
      <c r="T125" s="240">
        <v>26335</v>
      </c>
    </row>
    <row r="126" spans="1:20" x14ac:dyDescent="0.25">
      <c r="A126" s="238">
        <v>109</v>
      </c>
      <c r="B126" s="239" t="s">
        <v>31</v>
      </c>
      <c r="C126" s="240">
        <f t="shared" si="1"/>
        <v>95411</v>
      </c>
      <c r="D126" s="240">
        <v>1660</v>
      </c>
      <c r="E126" s="240">
        <v>1400</v>
      </c>
      <c r="F126" s="240">
        <v>22735</v>
      </c>
      <c r="G126" s="240">
        <v>0</v>
      </c>
      <c r="H126" s="240">
        <v>0</v>
      </c>
      <c r="I126" s="240">
        <v>0</v>
      </c>
      <c r="J126" s="240"/>
      <c r="K126" s="240"/>
      <c r="L126" s="240">
        <v>9396</v>
      </c>
      <c r="M126" s="240">
        <v>20499</v>
      </c>
      <c r="N126" s="240"/>
      <c r="O126" s="240">
        <v>0</v>
      </c>
      <c r="P126" s="240">
        <v>5200</v>
      </c>
      <c r="Q126" s="240">
        <v>8926</v>
      </c>
      <c r="R126" s="240">
        <v>0</v>
      </c>
      <c r="S126" s="240">
        <v>15630</v>
      </c>
      <c r="T126" s="240">
        <v>9965</v>
      </c>
    </row>
    <row r="127" spans="1:20" x14ac:dyDescent="0.25">
      <c r="A127" s="238">
        <v>110</v>
      </c>
      <c r="B127" s="242" t="s">
        <v>32</v>
      </c>
      <c r="C127" s="240">
        <f t="shared" si="1"/>
        <v>32919</v>
      </c>
      <c r="D127" s="240">
        <v>589</v>
      </c>
      <c r="E127" s="240">
        <v>1877</v>
      </c>
      <c r="F127" s="240">
        <v>11994</v>
      </c>
      <c r="G127" s="240">
        <v>0</v>
      </c>
      <c r="H127" s="240">
        <v>0</v>
      </c>
      <c r="I127" s="240">
        <v>0</v>
      </c>
      <c r="J127" s="240"/>
      <c r="K127" s="240"/>
      <c r="L127" s="240">
        <v>5648</v>
      </c>
      <c r="M127" s="240">
        <v>1345</v>
      </c>
      <c r="N127" s="240"/>
      <c r="O127" s="240">
        <v>0</v>
      </c>
      <c r="P127" s="240">
        <v>0</v>
      </c>
      <c r="Q127" s="240">
        <v>3177</v>
      </c>
      <c r="R127" s="240">
        <v>0</v>
      </c>
      <c r="S127" s="240">
        <v>875</v>
      </c>
      <c r="T127" s="240">
        <v>7414</v>
      </c>
    </row>
    <row r="128" spans="1:20" x14ac:dyDescent="0.25">
      <c r="A128" s="238">
        <v>111</v>
      </c>
      <c r="B128" s="239" t="s">
        <v>35</v>
      </c>
      <c r="C128" s="240">
        <f t="shared" si="1"/>
        <v>52211</v>
      </c>
      <c r="D128" s="240">
        <v>951</v>
      </c>
      <c r="E128" s="240">
        <v>1987</v>
      </c>
      <c r="F128" s="240">
        <v>18019</v>
      </c>
      <c r="G128" s="240">
        <v>0</v>
      </c>
      <c r="H128" s="240">
        <v>0</v>
      </c>
      <c r="I128" s="240">
        <v>0</v>
      </c>
      <c r="J128" s="240"/>
      <c r="K128" s="240"/>
      <c r="L128" s="240">
        <v>3667</v>
      </c>
      <c r="M128" s="240">
        <v>10122</v>
      </c>
      <c r="N128" s="240"/>
      <c r="O128" s="240">
        <v>0</v>
      </c>
      <c r="P128" s="240">
        <v>810</v>
      </c>
      <c r="Q128" s="240">
        <v>4637</v>
      </c>
      <c r="R128" s="240">
        <v>0</v>
      </c>
      <c r="S128" s="240">
        <v>2536</v>
      </c>
      <c r="T128" s="240">
        <v>9482</v>
      </c>
    </row>
    <row r="129" spans="1:20" x14ac:dyDescent="0.25">
      <c r="A129" s="238">
        <v>112</v>
      </c>
      <c r="B129" s="242" t="s">
        <v>42</v>
      </c>
      <c r="C129" s="240">
        <f t="shared" si="1"/>
        <v>50366</v>
      </c>
      <c r="D129" s="240">
        <v>881</v>
      </c>
      <c r="E129" s="240">
        <v>1099</v>
      </c>
      <c r="F129" s="240">
        <v>10649</v>
      </c>
      <c r="G129" s="240">
        <v>0</v>
      </c>
      <c r="H129" s="240">
        <v>0</v>
      </c>
      <c r="I129" s="240">
        <v>0</v>
      </c>
      <c r="J129" s="240"/>
      <c r="K129" s="240"/>
      <c r="L129" s="240">
        <v>8268</v>
      </c>
      <c r="M129" s="240">
        <v>10007</v>
      </c>
      <c r="N129" s="240">
        <v>402</v>
      </c>
      <c r="O129" s="240">
        <v>0</v>
      </c>
      <c r="P129" s="240">
        <v>0</v>
      </c>
      <c r="Q129" s="240">
        <v>3175</v>
      </c>
      <c r="R129" s="240">
        <v>0</v>
      </c>
      <c r="S129" s="240">
        <v>3033</v>
      </c>
      <c r="T129" s="240">
        <v>12852</v>
      </c>
    </row>
    <row r="130" spans="1:20" x14ac:dyDescent="0.25">
      <c r="A130" s="238">
        <v>113</v>
      </c>
      <c r="B130" s="242" t="s">
        <v>21</v>
      </c>
      <c r="C130" s="240">
        <f t="shared" si="1"/>
        <v>64509</v>
      </c>
      <c r="D130" s="240">
        <v>1002</v>
      </c>
      <c r="E130" s="240">
        <v>1480</v>
      </c>
      <c r="F130" s="240">
        <v>12744</v>
      </c>
      <c r="G130" s="240">
        <v>0</v>
      </c>
      <c r="H130" s="240">
        <v>5362</v>
      </c>
      <c r="I130" s="240">
        <v>0</v>
      </c>
      <c r="J130" s="240">
        <v>1025</v>
      </c>
      <c r="K130" s="240">
        <v>439</v>
      </c>
      <c r="L130" s="240">
        <v>7980</v>
      </c>
      <c r="M130" s="240">
        <v>15665</v>
      </c>
      <c r="N130" s="240"/>
      <c r="O130" s="240">
        <v>0</v>
      </c>
      <c r="P130" s="240">
        <v>2320</v>
      </c>
      <c r="Q130" s="240">
        <v>3875</v>
      </c>
      <c r="R130" s="240">
        <v>0</v>
      </c>
      <c r="S130" s="240">
        <v>1320</v>
      </c>
      <c r="T130" s="240">
        <v>11297</v>
      </c>
    </row>
    <row r="131" spans="1:20" x14ac:dyDescent="0.25">
      <c r="A131" s="238">
        <v>114</v>
      </c>
      <c r="B131" s="239" t="s">
        <v>41</v>
      </c>
      <c r="C131" s="240">
        <f t="shared" si="1"/>
        <v>37997</v>
      </c>
      <c r="D131" s="240">
        <v>674</v>
      </c>
      <c r="E131" s="240">
        <v>0</v>
      </c>
      <c r="F131" s="240">
        <v>9093</v>
      </c>
      <c r="G131" s="240">
        <v>0</v>
      </c>
      <c r="H131" s="240">
        <v>0</v>
      </c>
      <c r="I131" s="240">
        <v>0</v>
      </c>
      <c r="J131" s="240"/>
      <c r="K131" s="240"/>
      <c r="L131" s="240">
        <v>7054</v>
      </c>
      <c r="M131" s="240">
        <v>7596</v>
      </c>
      <c r="N131" s="240"/>
      <c r="O131" s="240">
        <v>0</v>
      </c>
      <c r="P131" s="240">
        <v>600</v>
      </c>
      <c r="Q131" s="240">
        <v>2875</v>
      </c>
      <c r="R131" s="240">
        <v>0</v>
      </c>
      <c r="S131" s="240">
        <v>4346</v>
      </c>
      <c r="T131" s="240">
        <v>5759</v>
      </c>
    </row>
    <row r="132" spans="1:20" x14ac:dyDescent="0.25">
      <c r="A132" s="238">
        <v>115</v>
      </c>
      <c r="B132" s="242" t="s">
        <v>49</v>
      </c>
      <c r="C132" s="240">
        <f t="shared" si="1"/>
        <v>57585</v>
      </c>
      <c r="D132" s="240">
        <v>1051</v>
      </c>
      <c r="E132" s="240">
        <v>3555</v>
      </c>
      <c r="F132" s="240">
        <v>23608</v>
      </c>
      <c r="G132" s="240">
        <v>0</v>
      </c>
      <c r="H132" s="240">
        <v>0</v>
      </c>
      <c r="I132" s="240">
        <v>0</v>
      </c>
      <c r="J132" s="240"/>
      <c r="K132" s="240"/>
      <c r="L132" s="240">
        <v>5155</v>
      </c>
      <c r="M132" s="240">
        <v>11683</v>
      </c>
      <c r="N132" s="240"/>
      <c r="O132" s="240">
        <v>0</v>
      </c>
      <c r="P132" s="240">
        <v>1460</v>
      </c>
      <c r="Q132" s="240">
        <v>5046</v>
      </c>
      <c r="R132" s="240">
        <v>0</v>
      </c>
      <c r="S132" s="240">
        <v>830</v>
      </c>
      <c r="T132" s="240">
        <v>5197</v>
      </c>
    </row>
    <row r="133" spans="1:20" x14ac:dyDescent="0.25">
      <c r="A133" s="238">
        <v>116</v>
      </c>
      <c r="B133" s="242" t="s">
        <v>50</v>
      </c>
      <c r="C133" s="240">
        <f t="shared" si="1"/>
        <v>96618</v>
      </c>
      <c r="D133" s="240">
        <v>1749</v>
      </c>
      <c r="E133" s="240">
        <v>5920</v>
      </c>
      <c r="F133" s="240">
        <v>45838</v>
      </c>
      <c r="G133" s="240">
        <v>0</v>
      </c>
      <c r="H133" s="240">
        <v>0</v>
      </c>
      <c r="I133" s="240">
        <v>0</v>
      </c>
      <c r="J133" s="240"/>
      <c r="K133" s="240"/>
      <c r="L133" s="240">
        <v>6540</v>
      </c>
      <c r="M133" s="240">
        <v>13812</v>
      </c>
      <c r="N133" s="240"/>
      <c r="O133" s="240">
        <v>0</v>
      </c>
      <c r="P133" s="240">
        <v>1272</v>
      </c>
      <c r="Q133" s="240">
        <v>6203</v>
      </c>
      <c r="R133" s="240">
        <v>0</v>
      </c>
      <c r="S133" s="240">
        <v>6168</v>
      </c>
      <c r="T133" s="240">
        <v>9116</v>
      </c>
    </row>
    <row r="134" spans="1:20" x14ac:dyDescent="0.25">
      <c r="A134" s="238">
        <v>117</v>
      </c>
      <c r="B134" s="242" t="s">
        <v>14</v>
      </c>
      <c r="C134" s="240">
        <f t="shared" si="1"/>
        <v>45455</v>
      </c>
      <c r="D134" s="240">
        <v>827</v>
      </c>
      <c r="E134" s="240">
        <v>1230</v>
      </c>
      <c r="F134" s="240">
        <v>10862</v>
      </c>
      <c r="G134" s="240">
        <v>0</v>
      </c>
      <c r="H134" s="240">
        <v>0</v>
      </c>
      <c r="I134" s="240">
        <v>0</v>
      </c>
      <c r="J134" s="240"/>
      <c r="K134" s="240"/>
      <c r="L134" s="240">
        <v>2230</v>
      </c>
      <c r="M134" s="240">
        <v>13805</v>
      </c>
      <c r="N134" s="240"/>
      <c r="O134" s="240">
        <v>0</v>
      </c>
      <c r="P134" s="240">
        <v>1580</v>
      </c>
      <c r="Q134" s="240">
        <v>3110</v>
      </c>
      <c r="R134" s="240">
        <v>0</v>
      </c>
      <c r="S134" s="240">
        <v>2160</v>
      </c>
      <c r="T134" s="240">
        <v>9651</v>
      </c>
    </row>
    <row r="135" spans="1:20" x14ac:dyDescent="0.25">
      <c r="A135" s="238">
        <v>118</v>
      </c>
      <c r="B135" s="251" t="s">
        <v>465</v>
      </c>
      <c r="C135" s="240">
        <f t="shared" si="1"/>
        <v>34946</v>
      </c>
      <c r="D135" s="240">
        <v>1025</v>
      </c>
      <c r="E135" s="240">
        <v>1170</v>
      </c>
      <c r="F135" s="240">
        <v>10925</v>
      </c>
      <c r="G135" s="240">
        <v>0</v>
      </c>
      <c r="H135" s="240">
        <v>0</v>
      </c>
      <c r="I135" s="240">
        <v>0</v>
      </c>
      <c r="J135" s="240">
        <v>2051</v>
      </c>
      <c r="K135" s="240">
        <v>877</v>
      </c>
      <c r="L135" s="240">
        <v>3260</v>
      </c>
      <c r="M135" s="240">
        <v>8154</v>
      </c>
      <c r="N135" s="240"/>
      <c r="O135" s="240">
        <v>0</v>
      </c>
      <c r="P135" s="240">
        <v>0</v>
      </c>
      <c r="Q135" s="240">
        <v>0</v>
      </c>
      <c r="R135" s="240">
        <v>0</v>
      </c>
      <c r="S135" s="240">
        <v>570</v>
      </c>
      <c r="T135" s="240">
        <v>6914</v>
      </c>
    </row>
    <row r="136" spans="1:20" x14ac:dyDescent="0.25">
      <c r="A136" s="238">
        <v>119</v>
      </c>
      <c r="B136" s="250" t="s">
        <v>439</v>
      </c>
      <c r="C136" s="240">
        <f t="shared" si="1"/>
        <v>0</v>
      </c>
      <c r="D136" s="240">
        <v>0</v>
      </c>
      <c r="E136" s="240"/>
      <c r="F136" s="240"/>
      <c r="G136" s="240"/>
      <c r="H136" s="240">
        <v>0</v>
      </c>
      <c r="I136" s="240">
        <f>32-32</f>
        <v>0</v>
      </c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</row>
    <row r="137" spans="1:20" x14ac:dyDescent="0.25">
      <c r="A137" s="238">
        <v>120</v>
      </c>
      <c r="B137" s="239" t="s">
        <v>434</v>
      </c>
      <c r="C137" s="240">
        <f t="shared" si="1"/>
        <v>25</v>
      </c>
      <c r="D137" s="240">
        <v>0</v>
      </c>
      <c r="E137" s="240">
        <v>0</v>
      </c>
      <c r="F137" s="240">
        <v>0</v>
      </c>
      <c r="G137" s="240">
        <v>0</v>
      </c>
      <c r="H137" s="240">
        <v>0</v>
      </c>
      <c r="I137" s="240">
        <f>30-10</f>
        <v>20</v>
      </c>
      <c r="J137" s="240"/>
      <c r="K137" s="240"/>
      <c r="L137" s="240">
        <v>0</v>
      </c>
      <c r="M137" s="240">
        <v>0</v>
      </c>
      <c r="N137" s="240"/>
      <c r="O137" s="240">
        <f>70-65</f>
        <v>5</v>
      </c>
      <c r="P137" s="240">
        <v>0</v>
      </c>
      <c r="Q137" s="240">
        <v>0</v>
      </c>
      <c r="R137" s="240">
        <v>0</v>
      </c>
      <c r="S137" s="240">
        <v>0</v>
      </c>
      <c r="T137" s="240">
        <v>0</v>
      </c>
    </row>
    <row r="138" spans="1:20" x14ac:dyDescent="0.25">
      <c r="A138" s="238">
        <v>121</v>
      </c>
      <c r="B138" s="242" t="s">
        <v>435</v>
      </c>
      <c r="C138" s="240">
        <f t="shared" si="1"/>
        <v>66</v>
      </c>
      <c r="D138" s="240">
        <v>0</v>
      </c>
      <c r="E138" s="240"/>
      <c r="F138" s="240"/>
      <c r="G138" s="240"/>
      <c r="H138" s="240">
        <v>0</v>
      </c>
      <c r="I138" s="240">
        <f>75-9</f>
        <v>66</v>
      </c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</row>
    <row r="139" spans="1:20" x14ac:dyDescent="0.25">
      <c r="A139" s="238">
        <v>122</v>
      </c>
      <c r="B139" s="242" t="s">
        <v>84</v>
      </c>
      <c r="C139" s="240">
        <f t="shared" si="1"/>
        <v>219</v>
      </c>
      <c r="D139" s="240">
        <v>0</v>
      </c>
      <c r="E139" s="240">
        <v>0</v>
      </c>
      <c r="F139" s="240">
        <v>0</v>
      </c>
      <c r="G139" s="240">
        <v>0</v>
      </c>
      <c r="H139" s="240">
        <v>0</v>
      </c>
      <c r="I139" s="240">
        <f>265-46</f>
        <v>219</v>
      </c>
      <c r="J139" s="240"/>
      <c r="K139" s="240"/>
      <c r="L139" s="240">
        <v>0</v>
      </c>
      <c r="M139" s="240">
        <v>0</v>
      </c>
      <c r="N139" s="240"/>
      <c r="O139" s="240">
        <v>0</v>
      </c>
      <c r="P139" s="240">
        <v>0</v>
      </c>
      <c r="Q139" s="240">
        <v>0</v>
      </c>
      <c r="R139" s="240">
        <v>0</v>
      </c>
      <c r="S139" s="240">
        <v>0</v>
      </c>
      <c r="T139" s="240">
        <v>0</v>
      </c>
    </row>
    <row r="140" spans="1:20" x14ac:dyDescent="0.25">
      <c r="A140" s="238">
        <v>123</v>
      </c>
      <c r="B140" s="242" t="s">
        <v>442</v>
      </c>
      <c r="C140" s="240">
        <f t="shared" si="1"/>
        <v>8</v>
      </c>
      <c r="D140" s="240">
        <v>0</v>
      </c>
      <c r="E140" s="240"/>
      <c r="F140" s="240"/>
      <c r="G140" s="240"/>
      <c r="H140" s="240">
        <v>0</v>
      </c>
      <c r="I140" s="240">
        <f>32-24</f>
        <v>8</v>
      </c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</row>
    <row r="141" spans="1:20" ht="22.5" x14ac:dyDescent="0.25">
      <c r="A141" s="238">
        <v>124</v>
      </c>
      <c r="B141" s="242" t="s">
        <v>443</v>
      </c>
      <c r="C141" s="240">
        <f t="shared" ref="C141:C162" si="2">D141+E141+F141+G141+H141+I141+J141+K141+L141+M141+N141+P141+Q141+R141+S141+T141+O141</f>
        <v>8</v>
      </c>
      <c r="D141" s="240">
        <v>0</v>
      </c>
      <c r="E141" s="240"/>
      <c r="F141" s="240"/>
      <c r="G141" s="240"/>
      <c r="H141" s="240">
        <v>0</v>
      </c>
      <c r="I141" s="240">
        <f>32-24</f>
        <v>8</v>
      </c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</row>
    <row r="142" spans="1:20" ht="22.5" x14ac:dyDescent="0.25">
      <c r="A142" s="238">
        <v>125</v>
      </c>
      <c r="B142" s="242" t="s">
        <v>444</v>
      </c>
      <c r="C142" s="240">
        <f t="shared" si="2"/>
        <v>8</v>
      </c>
      <c r="D142" s="240">
        <v>0</v>
      </c>
      <c r="E142" s="240"/>
      <c r="F142" s="240"/>
      <c r="G142" s="240"/>
      <c r="H142" s="240">
        <v>0</v>
      </c>
      <c r="I142" s="240">
        <f>32-24</f>
        <v>8</v>
      </c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</row>
    <row r="143" spans="1:20" x14ac:dyDescent="0.25">
      <c r="A143" s="238">
        <v>126</v>
      </c>
      <c r="B143" s="242" t="s">
        <v>85</v>
      </c>
      <c r="C143" s="240">
        <f t="shared" si="2"/>
        <v>217195</v>
      </c>
      <c r="D143" s="240">
        <v>0</v>
      </c>
      <c r="E143" s="240"/>
      <c r="F143" s="240"/>
      <c r="G143" s="240"/>
      <c r="H143" s="240">
        <v>0</v>
      </c>
      <c r="I143" s="240"/>
      <c r="J143" s="240"/>
      <c r="K143" s="240"/>
      <c r="L143" s="240"/>
      <c r="M143" s="240"/>
      <c r="N143" s="240">
        <v>217195</v>
      </c>
      <c r="O143" s="240"/>
      <c r="P143" s="240"/>
      <c r="Q143" s="240"/>
      <c r="R143" s="240"/>
      <c r="S143" s="240"/>
      <c r="T143" s="240"/>
    </row>
    <row r="144" spans="1:20" x14ac:dyDescent="0.25">
      <c r="A144" s="238">
        <v>127</v>
      </c>
      <c r="B144" s="242" t="s">
        <v>90</v>
      </c>
      <c r="C144" s="240">
        <f t="shared" si="2"/>
        <v>130000</v>
      </c>
      <c r="D144" s="240">
        <v>0</v>
      </c>
      <c r="E144" s="240"/>
      <c r="F144" s="240"/>
      <c r="G144" s="240"/>
      <c r="H144" s="240">
        <v>0</v>
      </c>
      <c r="I144" s="240"/>
      <c r="J144" s="240"/>
      <c r="K144" s="240"/>
      <c r="L144" s="240"/>
      <c r="M144" s="240"/>
      <c r="N144" s="240">
        <v>130000</v>
      </c>
      <c r="O144" s="240"/>
      <c r="P144" s="240"/>
      <c r="Q144" s="240"/>
      <c r="R144" s="240"/>
      <c r="S144" s="240"/>
      <c r="T144" s="240"/>
    </row>
    <row r="145" spans="1:20" x14ac:dyDescent="0.25">
      <c r="A145" s="238">
        <v>128</v>
      </c>
      <c r="B145" s="242" t="s">
        <v>91</v>
      </c>
      <c r="C145" s="240">
        <f t="shared" si="2"/>
        <v>85000</v>
      </c>
      <c r="D145" s="240">
        <v>0</v>
      </c>
      <c r="E145" s="240"/>
      <c r="F145" s="240"/>
      <c r="G145" s="240"/>
      <c r="H145" s="240">
        <v>0</v>
      </c>
      <c r="I145" s="240"/>
      <c r="J145" s="240"/>
      <c r="K145" s="240"/>
      <c r="L145" s="240"/>
      <c r="M145" s="240"/>
      <c r="N145" s="240">
        <v>85000</v>
      </c>
      <c r="O145" s="240"/>
      <c r="P145" s="240"/>
      <c r="Q145" s="240"/>
      <c r="R145" s="240"/>
      <c r="S145" s="240"/>
      <c r="T145" s="240"/>
    </row>
    <row r="146" spans="1:20" x14ac:dyDescent="0.25">
      <c r="A146" s="238">
        <v>129</v>
      </c>
      <c r="B146" s="242" t="s">
        <v>66</v>
      </c>
      <c r="C146" s="240">
        <f t="shared" si="2"/>
        <v>113400</v>
      </c>
      <c r="D146" s="240">
        <v>0</v>
      </c>
      <c r="E146" s="240"/>
      <c r="F146" s="240"/>
      <c r="G146" s="240"/>
      <c r="H146" s="240">
        <v>0</v>
      </c>
      <c r="I146" s="240"/>
      <c r="J146" s="240"/>
      <c r="K146" s="240"/>
      <c r="L146" s="240"/>
      <c r="M146" s="240"/>
      <c r="N146" s="240">
        <v>113400</v>
      </c>
      <c r="O146" s="240"/>
      <c r="P146" s="240"/>
      <c r="Q146" s="240"/>
      <c r="R146" s="240"/>
      <c r="S146" s="240"/>
      <c r="T146" s="240"/>
    </row>
    <row r="147" spans="1:20" x14ac:dyDescent="0.25">
      <c r="A147" s="238">
        <v>130</v>
      </c>
      <c r="B147" s="242" t="s">
        <v>86</v>
      </c>
      <c r="C147" s="240">
        <f t="shared" si="2"/>
        <v>8000</v>
      </c>
      <c r="D147" s="240">
        <v>0</v>
      </c>
      <c r="E147" s="240"/>
      <c r="F147" s="240"/>
      <c r="G147" s="240"/>
      <c r="H147" s="240">
        <v>0</v>
      </c>
      <c r="I147" s="240"/>
      <c r="J147" s="240"/>
      <c r="K147" s="240"/>
      <c r="L147" s="240"/>
      <c r="M147" s="240"/>
      <c r="N147" s="240">
        <v>8000</v>
      </c>
      <c r="O147" s="240"/>
      <c r="P147" s="240"/>
      <c r="Q147" s="240"/>
      <c r="R147" s="240"/>
      <c r="S147" s="240"/>
      <c r="T147" s="240"/>
    </row>
    <row r="148" spans="1:20" x14ac:dyDescent="0.25">
      <c r="A148" s="238">
        <v>131</v>
      </c>
      <c r="B148" s="242" t="s">
        <v>206</v>
      </c>
      <c r="C148" s="240">
        <f t="shared" si="2"/>
        <v>65356</v>
      </c>
      <c r="D148" s="240">
        <v>0</v>
      </c>
      <c r="E148" s="240"/>
      <c r="F148" s="240"/>
      <c r="G148" s="240"/>
      <c r="H148" s="240">
        <v>0</v>
      </c>
      <c r="I148" s="240"/>
      <c r="J148" s="240"/>
      <c r="K148" s="240"/>
      <c r="L148" s="240"/>
      <c r="M148" s="240"/>
      <c r="N148" s="240">
        <v>65356</v>
      </c>
      <c r="O148" s="240"/>
      <c r="P148" s="240"/>
      <c r="Q148" s="240"/>
      <c r="R148" s="240"/>
      <c r="S148" s="240"/>
      <c r="T148" s="240"/>
    </row>
    <row r="149" spans="1:20" x14ac:dyDescent="0.25">
      <c r="A149" s="238">
        <v>132</v>
      </c>
      <c r="B149" s="242" t="s">
        <v>87</v>
      </c>
      <c r="C149" s="240">
        <f t="shared" si="2"/>
        <v>57642</v>
      </c>
      <c r="D149" s="240">
        <v>0</v>
      </c>
      <c r="E149" s="240">
        <v>0</v>
      </c>
      <c r="F149" s="240">
        <v>0</v>
      </c>
      <c r="G149" s="240">
        <v>21500</v>
      </c>
      <c r="H149" s="240">
        <v>0</v>
      </c>
      <c r="I149" s="240">
        <v>22142</v>
      </c>
      <c r="J149" s="240"/>
      <c r="K149" s="240"/>
      <c r="L149" s="240">
        <v>0</v>
      </c>
      <c r="M149" s="240">
        <v>0</v>
      </c>
      <c r="N149" s="240">
        <v>4000</v>
      </c>
      <c r="O149" s="240">
        <v>0</v>
      </c>
      <c r="P149" s="240">
        <v>0</v>
      </c>
      <c r="Q149" s="240">
        <v>0</v>
      </c>
      <c r="R149" s="240">
        <v>10000</v>
      </c>
      <c r="S149" s="240">
        <v>0</v>
      </c>
      <c r="T149" s="240">
        <v>0</v>
      </c>
    </row>
    <row r="150" spans="1:20" x14ac:dyDescent="0.25">
      <c r="A150" s="238">
        <v>133</v>
      </c>
      <c r="B150" s="242" t="s">
        <v>207</v>
      </c>
      <c r="C150" s="240">
        <f t="shared" si="2"/>
        <v>128000</v>
      </c>
      <c r="D150" s="240">
        <v>0</v>
      </c>
      <c r="E150" s="240"/>
      <c r="F150" s="240"/>
      <c r="G150" s="240"/>
      <c r="H150" s="240">
        <v>0</v>
      </c>
      <c r="I150" s="240"/>
      <c r="J150" s="240"/>
      <c r="K150" s="240"/>
      <c r="L150" s="240"/>
      <c r="M150" s="240"/>
      <c r="N150" s="240">
        <v>128000</v>
      </c>
      <c r="O150" s="240"/>
      <c r="P150" s="240"/>
      <c r="Q150" s="240"/>
      <c r="R150" s="240"/>
      <c r="S150" s="240"/>
      <c r="T150" s="240"/>
    </row>
    <row r="151" spans="1:20" x14ac:dyDescent="0.25">
      <c r="A151" s="238">
        <v>134</v>
      </c>
      <c r="B151" s="242" t="s">
        <v>208</v>
      </c>
      <c r="C151" s="240">
        <f t="shared" si="2"/>
        <v>10328</v>
      </c>
      <c r="D151" s="240">
        <v>0</v>
      </c>
      <c r="E151" s="240"/>
      <c r="F151" s="240"/>
      <c r="G151" s="240"/>
      <c r="H151" s="240">
        <v>10178</v>
      </c>
      <c r="I151" s="240"/>
      <c r="J151" s="240"/>
      <c r="K151" s="240"/>
      <c r="L151" s="240"/>
      <c r="M151" s="240"/>
      <c r="N151" s="240">
        <v>150</v>
      </c>
      <c r="O151" s="240"/>
      <c r="P151" s="240"/>
      <c r="Q151" s="240"/>
      <c r="R151" s="240"/>
      <c r="S151" s="240"/>
      <c r="T151" s="240"/>
    </row>
    <row r="152" spans="1:20" x14ac:dyDescent="0.25">
      <c r="A152" s="238">
        <v>135</v>
      </c>
      <c r="B152" s="242" t="s">
        <v>92</v>
      </c>
      <c r="C152" s="240">
        <f t="shared" si="2"/>
        <v>57392</v>
      </c>
      <c r="D152" s="240">
        <v>0</v>
      </c>
      <c r="E152" s="240"/>
      <c r="F152" s="240"/>
      <c r="G152" s="240"/>
      <c r="H152" s="240">
        <v>0</v>
      </c>
      <c r="I152" s="240"/>
      <c r="J152" s="240">
        <v>3075</v>
      </c>
      <c r="K152" s="240">
        <v>1317</v>
      </c>
      <c r="L152" s="240"/>
      <c r="M152" s="240"/>
      <c r="N152" s="240">
        <v>53000</v>
      </c>
      <c r="O152" s="240"/>
      <c r="P152" s="240"/>
      <c r="Q152" s="240"/>
      <c r="R152" s="240"/>
      <c r="S152" s="240"/>
      <c r="T152" s="240"/>
    </row>
    <row r="153" spans="1:20" x14ac:dyDescent="0.25">
      <c r="A153" s="238">
        <v>136</v>
      </c>
      <c r="B153" s="242" t="s">
        <v>67</v>
      </c>
      <c r="C153" s="240">
        <f t="shared" si="2"/>
        <v>1009</v>
      </c>
      <c r="D153" s="240">
        <v>0</v>
      </c>
      <c r="E153" s="240"/>
      <c r="F153" s="240"/>
      <c r="G153" s="240"/>
      <c r="H153" s="240">
        <v>0</v>
      </c>
      <c r="I153" s="240"/>
      <c r="J153" s="240"/>
      <c r="K153" s="240"/>
      <c r="L153" s="240"/>
      <c r="M153" s="240"/>
      <c r="N153" s="240">
        <v>1009</v>
      </c>
      <c r="O153" s="240"/>
      <c r="P153" s="240"/>
      <c r="Q153" s="240"/>
      <c r="R153" s="240"/>
      <c r="S153" s="240"/>
      <c r="T153" s="240"/>
    </row>
    <row r="154" spans="1:20" x14ac:dyDescent="0.25">
      <c r="A154" s="463">
        <v>137</v>
      </c>
      <c r="B154" s="242" t="s">
        <v>88</v>
      </c>
      <c r="C154" s="240">
        <f t="shared" si="2"/>
        <v>70420</v>
      </c>
      <c r="D154" s="240">
        <v>1858</v>
      </c>
      <c r="E154" s="240">
        <v>16055</v>
      </c>
      <c r="F154" s="240">
        <v>14008</v>
      </c>
      <c r="G154" s="240">
        <v>0</v>
      </c>
      <c r="H154" s="240">
        <v>0</v>
      </c>
      <c r="I154" s="240">
        <v>0</v>
      </c>
      <c r="J154" s="240"/>
      <c r="K154" s="240"/>
      <c r="L154" s="240">
        <v>12508</v>
      </c>
      <c r="M154" s="240">
        <v>6617</v>
      </c>
      <c r="N154" s="240">
        <v>4030</v>
      </c>
      <c r="O154" s="240">
        <v>0</v>
      </c>
      <c r="P154" s="240">
        <v>0</v>
      </c>
      <c r="Q154" s="240">
        <v>3000</v>
      </c>
      <c r="R154" s="240">
        <v>0</v>
      </c>
      <c r="S154" s="240">
        <v>7337</v>
      </c>
      <c r="T154" s="240">
        <v>5007</v>
      </c>
    </row>
    <row r="155" spans="1:20" ht="34.5" x14ac:dyDescent="0.25">
      <c r="A155" s="465"/>
      <c r="B155" s="252" t="s">
        <v>446</v>
      </c>
      <c r="C155" s="240">
        <f t="shared" si="2"/>
        <v>148097</v>
      </c>
      <c r="D155" s="240">
        <v>2855</v>
      </c>
      <c r="E155" s="240">
        <v>7565</v>
      </c>
      <c r="F155" s="240">
        <v>57488</v>
      </c>
      <c r="G155" s="240">
        <v>0</v>
      </c>
      <c r="H155" s="240">
        <v>0</v>
      </c>
      <c r="I155" s="240">
        <v>0</v>
      </c>
      <c r="J155" s="240"/>
      <c r="K155" s="240"/>
      <c r="L155" s="240">
        <v>5171</v>
      </c>
      <c r="M155" s="240">
        <v>38347</v>
      </c>
      <c r="N155" s="240"/>
      <c r="O155" s="240">
        <v>0</v>
      </c>
      <c r="P155" s="240">
        <v>2376</v>
      </c>
      <c r="Q155" s="240">
        <v>0</v>
      </c>
      <c r="R155" s="240">
        <v>0</v>
      </c>
      <c r="S155" s="240">
        <v>5388</v>
      </c>
      <c r="T155" s="240">
        <v>28907</v>
      </c>
    </row>
    <row r="156" spans="1:20" x14ac:dyDescent="0.25">
      <c r="A156" s="238">
        <v>138</v>
      </c>
      <c r="B156" s="242" t="s">
        <v>68</v>
      </c>
      <c r="C156" s="240">
        <f t="shared" si="2"/>
        <v>3000</v>
      </c>
      <c r="D156" s="240">
        <v>0</v>
      </c>
      <c r="E156" s="240"/>
      <c r="F156" s="240"/>
      <c r="G156" s="240"/>
      <c r="H156" s="240">
        <v>0</v>
      </c>
      <c r="I156" s="240"/>
      <c r="J156" s="240"/>
      <c r="K156" s="240"/>
      <c r="L156" s="240"/>
      <c r="M156" s="240"/>
      <c r="N156" s="240">
        <v>3000</v>
      </c>
      <c r="O156" s="240"/>
      <c r="P156" s="240"/>
      <c r="Q156" s="240"/>
      <c r="R156" s="240"/>
      <c r="S156" s="240"/>
      <c r="T156" s="240"/>
    </row>
    <row r="157" spans="1:20" x14ac:dyDescent="0.25">
      <c r="A157" s="238">
        <v>139</v>
      </c>
      <c r="B157" s="242" t="s">
        <v>447</v>
      </c>
      <c r="C157" s="240">
        <f t="shared" si="2"/>
        <v>9830</v>
      </c>
      <c r="D157" s="240">
        <v>0</v>
      </c>
      <c r="E157" s="240"/>
      <c r="F157" s="240"/>
      <c r="G157" s="240"/>
      <c r="H157" s="240">
        <v>0</v>
      </c>
      <c r="I157" s="240"/>
      <c r="J157" s="240"/>
      <c r="K157" s="240"/>
      <c r="L157" s="240"/>
      <c r="M157" s="240"/>
      <c r="N157" s="240">
        <v>9830</v>
      </c>
      <c r="O157" s="240"/>
      <c r="P157" s="240"/>
      <c r="Q157" s="240"/>
      <c r="R157" s="240"/>
      <c r="S157" s="240"/>
      <c r="T157" s="240"/>
    </row>
    <row r="158" spans="1:20" x14ac:dyDescent="0.25">
      <c r="A158" s="238">
        <v>140</v>
      </c>
      <c r="B158" s="253" t="s">
        <v>467</v>
      </c>
      <c r="C158" s="240">
        <f t="shared" si="2"/>
        <v>26480</v>
      </c>
      <c r="D158" s="240">
        <v>0</v>
      </c>
      <c r="E158" s="240"/>
      <c r="F158" s="240"/>
      <c r="G158" s="240">
        <v>2648</v>
      </c>
      <c r="H158" s="240">
        <v>0</v>
      </c>
      <c r="I158" s="240">
        <v>23832</v>
      </c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</row>
    <row r="159" spans="1:20" x14ac:dyDescent="0.25">
      <c r="A159" s="238">
        <v>141</v>
      </c>
      <c r="B159" s="254" t="s">
        <v>468</v>
      </c>
      <c r="C159" s="240">
        <f t="shared" si="2"/>
        <v>10080</v>
      </c>
      <c r="D159" s="240">
        <v>0</v>
      </c>
      <c r="E159" s="240"/>
      <c r="F159" s="240"/>
      <c r="G159" s="240">
        <v>1008</v>
      </c>
      <c r="H159" s="240">
        <v>0</v>
      </c>
      <c r="I159" s="240">
        <v>9072</v>
      </c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</row>
    <row r="160" spans="1:20" x14ac:dyDescent="0.25">
      <c r="A160" s="238">
        <v>142</v>
      </c>
      <c r="B160" s="255" t="s">
        <v>469</v>
      </c>
      <c r="C160" s="240">
        <f t="shared" si="2"/>
        <v>5480</v>
      </c>
      <c r="D160" s="240">
        <v>0</v>
      </c>
      <c r="E160" s="240"/>
      <c r="F160" s="240"/>
      <c r="G160" s="240">
        <v>548</v>
      </c>
      <c r="H160" s="240">
        <v>0</v>
      </c>
      <c r="I160" s="240">
        <v>4932</v>
      </c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</row>
    <row r="161" spans="1:20" x14ac:dyDescent="0.25">
      <c r="A161" s="238">
        <v>143</v>
      </c>
      <c r="B161" s="254" t="s">
        <v>470</v>
      </c>
      <c r="C161" s="240">
        <f t="shared" si="2"/>
        <v>2600</v>
      </c>
      <c r="D161" s="240">
        <v>0</v>
      </c>
      <c r="E161" s="240"/>
      <c r="F161" s="240"/>
      <c r="G161" s="240">
        <v>260</v>
      </c>
      <c r="H161" s="240">
        <v>0</v>
      </c>
      <c r="I161" s="240">
        <v>2340</v>
      </c>
      <c r="J161" s="240"/>
      <c r="K161" s="240"/>
      <c r="L161" s="240"/>
      <c r="M161" s="240"/>
      <c r="N161" s="240"/>
      <c r="O161" s="240"/>
      <c r="P161" s="240"/>
      <c r="Q161" s="240"/>
      <c r="R161" s="240"/>
      <c r="S161" s="240"/>
      <c r="T161" s="240"/>
    </row>
    <row r="162" spans="1:20" x14ac:dyDescent="0.25">
      <c r="A162" s="238">
        <v>144</v>
      </c>
      <c r="B162" s="242" t="s">
        <v>471</v>
      </c>
      <c r="C162" s="240">
        <f t="shared" si="2"/>
        <v>640</v>
      </c>
      <c r="D162" s="240">
        <v>0</v>
      </c>
      <c r="E162" s="240"/>
      <c r="F162" s="240"/>
      <c r="G162" s="240">
        <v>64</v>
      </c>
      <c r="H162" s="240">
        <v>0</v>
      </c>
      <c r="I162" s="240">
        <v>576</v>
      </c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</row>
    <row r="163" spans="1:20" x14ac:dyDescent="0.25">
      <c r="A163" s="256"/>
      <c r="B163" s="242" t="s">
        <v>69</v>
      </c>
      <c r="C163" s="240">
        <f>D163+E163+F163+G163+H163+I163+J163+K163+L163+M163+N163+P163+Q163+R163+S163+T163+O163+161119+356543</f>
        <v>788782</v>
      </c>
      <c r="D163" s="240">
        <v>0</v>
      </c>
      <c r="E163" s="240"/>
      <c r="F163" s="240"/>
      <c r="G163" s="240">
        <v>484</v>
      </c>
      <c r="H163" s="240">
        <v>0</v>
      </c>
      <c r="I163" s="240">
        <f>4356+32</f>
        <v>4388</v>
      </c>
      <c r="J163" s="240"/>
      <c r="K163" s="240"/>
      <c r="L163" s="240">
        <v>266248</v>
      </c>
      <c r="M163" s="240"/>
      <c r="N163" s="240"/>
      <c r="O163" s="240"/>
      <c r="P163" s="240"/>
      <c r="Q163" s="240"/>
      <c r="R163" s="240"/>
      <c r="S163" s="240"/>
      <c r="T163" s="240"/>
    </row>
    <row r="164" spans="1:20" x14ac:dyDescent="0.25">
      <c r="A164" s="257"/>
      <c r="B164" s="257" t="s">
        <v>120</v>
      </c>
      <c r="C164" s="258">
        <f>SUM(C10:C163)</f>
        <v>10341098</v>
      </c>
      <c r="D164" s="258">
        <f t="shared" ref="D164:T164" si="3">SUM(D10:D163)</f>
        <v>151281</v>
      </c>
      <c r="E164" s="258">
        <f t="shared" si="3"/>
        <v>361311</v>
      </c>
      <c r="F164" s="258">
        <f t="shared" si="3"/>
        <v>2310358</v>
      </c>
      <c r="G164" s="258">
        <f t="shared" si="3"/>
        <v>59926</v>
      </c>
      <c r="H164" s="258">
        <f t="shared" si="3"/>
        <v>205160</v>
      </c>
      <c r="I164" s="258">
        <f t="shared" si="3"/>
        <v>196449</v>
      </c>
      <c r="J164" s="258">
        <f t="shared" si="3"/>
        <v>38951</v>
      </c>
      <c r="K164" s="258">
        <f t="shared" si="3"/>
        <v>16681</v>
      </c>
      <c r="L164" s="258">
        <f t="shared" si="3"/>
        <v>886170</v>
      </c>
      <c r="M164" s="258">
        <f t="shared" si="3"/>
        <v>1942423</v>
      </c>
      <c r="N164" s="258">
        <f t="shared" si="3"/>
        <v>858135</v>
      </c>
      <c r="O164" s="258">
        <f t="shared" si="3"/>
        <v>59415</v>
      </c>
      <c r="P164" s="258">
        <f t="shared" si="3"/>
        <v>131089</v>
      </c>
      <c r="Q164" s="258">
        <f t="shared" si="3"/>
        <v>381125</v>
      </c>
      <c r="R164" s="258">
        <f t="shared" si="3"/>
        <v>45395</v>
      </c>
      <c r="S164" s="258">
        <f t="shared" si="3"/>
        <v>349213</v>
      </c>
      <c r="T164" s="258">
        <f t="shared" si="3"/>
        <v>1830354</v>
      </c>
    </row>
    <row r="165" spans="1:20" x14ac:dyDescent="0.25">
      <c r="A165" s="233"/>
      <c r="B165" s="233"/>
    </row>
    <row r="168" spans="1:20" x14ac:dyDescent="0.25"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</row>
    <row r="171" spans="1:20" x14ac:dyDescent="0.25">
      <c r="C171" s="241"/>
    </row>
    <row r="172" spans="1:20" x14ac:dyDescent="0.25">
      <c r="E172" s="241"/>
      <c r="F172" s="241"/>
    </row>
    <row r="173" spans="1:20" x14ac:dyDescent="0.25">
      <c r="E173" s="241"/>
      <c r="F173" s="241"/>
      <c r="I173" s="241"/>
    </row>
    <row r="174" spans="1:20" x14ac:dyDescent="0.25">
      <c r="E174" s="241"/>
    </row>
    <row r="175" spans="1:20" x14ac:dyDescent="0.25">
      <c r="A175" s="236"/>
      <c r="B175" s="236"/>
      <c r="E175" s="241"/>
    </row>
    <row r="176" spans="1:20" x14ac:dyDescent="0.25">
      <c r="A176" s="236"/>
      <c r="B176" s="236"/>
      <c r="E176" s="241"/>
    </row>
  </sheetData>
  <mergeCells count="31">
    <mergeCell ref="B1:S1"/>
    <mergeCell ref="A3:A8"/>
    <mergeCell ref="B3:B8"/>
    <mergeCell ref="C3:C8"/>
    <mergeCell ref="D3:T3"/>
    <mergeCell ref="D4:D8"/>
    <mergeCell ref="E4:G5"/>
    <mergeCell ref="H4:H8"/>
    <mergeCell ref="I4:N5"/>
    <mergeCell ref="O4:Q5"/>
    <mergeCell ref="A40:A41"/>
    <mergeCell ref="R4:T5"/>
    <mergeCell ref="E6:F7"/>
    <mergeCell ref="G6:G8"/>
    <mergeCell ref="I6:I8"/>
    <mergeCell ref="J6:K6"/>
    <mergeCell ref="L6:M7"/>
    <mergeCell ref="N6:N8"/>
    <mergeCell ref="O6:O8"/>
    <mergeCell ref="P6:Q7"/>
    <mergeCell ref="R6:R8"/>
    <mergeCell ref="S6:T7"/>
    <mergeCell ref="J7:J8"/>
    <mergeCell ref="K7:K8"/>
    <mergeCell ref="A14:A15"/>
    <mergeCell ref="A36:A37"/>
    <mergeCell ref="A46:A48"/>
    <mergeCell ref="A51:A52"/>
    <mergeCell ref="A110:A111"/>
    <mergeCell ref="A115:A116"/>
    <mergeCell ref="A154:A15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D49" sqref="D49"/>
    </sheetView>
  </sheetViews>
  <sheetFormatPr defaultRowHeight="12.75" x14ac:dyDescent="0.2"/>
  <cols>
    <col min="1" max="1" width="4.140625" style="260" customWidth="1"/>
    <col min="2" max="2" width="31.28515625" style="260" customWidth="1"/>
    <col min="3" max="3" width="12.5703125" style="260" customWidth="1"/>
    <col min="4" max="4" width="18.7109375" style="260" customWidth="1"/>
    <col min="5" max="5" width="18.85546875" style="260" customWidth="1"/>
    <col min="6" max="6" width="19.28515625" style="260" customWidth="1"/>
    <col min="7" max="7" width="14" style="260" customWidth="1"/>
    <col min="8" max="8" width="18.85546875" style="260" customWidth="1"/>
    <col min="9" max="9" width="14" style="260" customWidth="1"/>
    <col min="10" max="16384" width="9.140625" style="260"/>
  </cols>
  <sheetData>
    <row r="1" spans="1:11" ht="18.75" customHeight="1" x14ac:dyDescent="0.2">
      <c r="H1" s="483"/>
      <c r="I1" s="483"/>
    </row>
    <row r="2" spans="1:11" ht="18.75" x14ac:dyDescent="0.3">
      <c r="B2" s="484" t="s">
        <v>486</v>
      </c>
      <c r="C2" s="484"/>
      <c r="D2" s="484"/>
      <c r="E2" s="484"/>
      <c r="F2" s="484"/>
      <c r="G2" s="484"/>
      <c r="H2" s="484"/>
      <c r="I2" s="484"/>
    </row>
    <row r="4" spans="1:11" ht="12" customHeight="1" x14ac:dyDescent="0.2">
      <c r="A4" s="485" t="s">
        <v>487</v>
      </c>
      <c r="B4" s="488" t="s">
        <v>93</v>
      </c>
      <c r="C4" s="488" t="s">
        <v>488</v>
      </c>
      <c r="D4" s="488" t="s">
        <v>394</v>
      </c>
      <c r="E4" s="488"/>
      <c r="F4" s="489" t="s">
        <v>489</v>
      </c>
      <c r="G4" s="489"/>
      <c r="H4" s="489"/>
      <c r="I4" s="489"/>
    </row>
    <row r="5" spans="1:11" ht="24" customHeight="1" x14ac:dyDescent="0.2">
      <c r="A5" s="486"/>
      <c r="B5" s="488"/>
      <c r="C5" s="488"/>
      <c r="D5" s="488"/>
      <c r="E5" s="488"/>
      <c r="F5" s="490" t="s">
        <v>490</v>
      </c>
      <c r="G5" s="490"/>
      <c r="H5" s="490" t="s">
        <v>491</v>
      </c>
      <c r="I5" s="490"/>
    </row>
    <row r="6" spans="1:11" ht="12" customHeight="1" x14ac:dyDescent="0.2">
      <c r="A6" s="486"/>
      <c r="B6" s="488"/>
      <c r="C6" s="488"/>
      <c r="D6" s="488" t="s">
        <v>492</v>
      </c>
      <c r="E6" s="488" t="s">
        <v>493</v>
      </c>
      <c r="F6" s="488" t="s">
        <v>492</v>
      </c>
      <c r="G6" s="488" t="s">
        <v>493</v>
      </c>
      <c r="H6" s="488" t="s">
        <v>492</v>
      </c>
      <c r="I6" s="488" t="s">
        <v>493</v>
      </c>
    </row>
    <row r="7" spans="1:11" ht="38.25" customHeight="1" x14ac:dyDescent="0.2">
      <c r="A7" s="487"/>
      <c r="B7" s="488"/>
      <c r="C7" s="488"/>
      <c r="D7" s="488"/>
      <c r="E7" s="488"/>
      <c r="F7" s="488"/>
      <c r="G7" s="488"/>
      <c r="H7" s="488"/>
      <c r="I7" s="488"/>
    </row>
    <row r="8" spans="1:11" s="263" customFormat="1" ht="11.25" x14ac:dyDescent="0.2">
      <c r="A8" s="261">
        <v>1</v>
      </c>
      <c r="B8" s="261">
        <v>2</v>
      </c>
      <c r="C8" s="262">
        <v>3</v>
      </c>
      <c r="D8" s="262">
        <v>4</v>
      </c>
      <c r="E8" s="262">
        <v>5</v>
      </c>
      <c r="F8" s="262">
        <v>6</v>
      </c>
      <c r="G8" s="262">
        <v>7</v>
      </c>
      <c r="H8" s="262">
        <v>8</v>
      </c>
      <c r="I8" s="262">
        <v>9</v>
      </c>
    </row>
    <row r="9" spans="1:11" x14ac:dyDescent="0.2">
      <c r="A9" s="264">
        <v>1</v>
      </c>
      <c r="B9" s="265" t="s">
        <v>11</v>
      </c>
      <c r="C9" s="266">
        <f>D9+E9</f>
        <v>12290</v>
      </c>
      <c r="D9" s="266">
        <f t="shared" ref="D9:E31" si="0">F9+H9</f>
        <v>9826</v>
      </c>
      <c r="E9" s="266">
        <f t="shared" si="0"/>
        <v>2464</v>
      </c>
      <c r="F9" s="266">
        <f>'[5]ЦЗ 2020 Пр.110 объемы уточ.'!F9+'[5]ЦЗ  Пр.111 уточнение объемов'!F9</f>
        <v>7394</v>
      </c>
      <c r="G9" s="266">
        <f>'[5]ЦЗ 2020 Пр.110 объемы уточ.'!G9+'[5]ЦЗ  Пр.111 уточнение объемов'!G9</f>
        <v>1855</v>
      </c>
      <c r="H9" s="266">
        <f>'[5]ЦЗ 2020 Пр.110 объемы уточ.'!H9+'[5]ЦЗ  Пр.111 уточнение объемов'!H9</f>
        <v>2432</v>
      </c>
      <c r="I9" s="266">
        <f>'[5]ЦЗ 2020 Пр.110 объемы уточ.'!I9+'[5]ЦЗ  Пр.111 уточнение объемов'!I9</f>
        <v>609</v>
      </c>
      <c r="K9" s="267"/>
    </row>
    <row r="10" spans="1:11" x14ac:dyDescent="0.2">
      <c r="A10" s="264">
        <v>2</v>
      </c>
      <c r="B10" s="265" t="s">
        <v>13</v>
      </c>
      <c r="C10" s="266">
        <f t="shared" ref="C10:C31" si="1">D10+E10</f>
        <v>8225</v>
      </c>
      <c r="D10" s="266">
        <f t="shared" si="0"/>
        <v>6584</v>
      </c>
      <c r="E10" s="266">
        <f t="shared" si="0"/>
        <v>1641</v>
      </c>
      <c r="F10" s="266">
        <f>'[5]ЦЗ 2020 Пр.110 объемы уточ.'!F10+'[5]ЦЗ  Пр.111 уточнение объемов'!F10</f>
        <v>5095</v>
      </c>
      <c r="G10" s="266">
        <f>'[5]ЦЗ 2020 Пр.110 объемы уточ.'!G10+'[5]ЦЗ  Пр.111 уточнение объемов'!G10</f>
        <v>1269</v>
      </c>
      <c r="H10" s="266">
        <f>'[5]ЦЗ 2020 Пр.110 объемы уточ.'!H10+'[5]ЦЗ  Пр.111 уточнение объемов'!H10</f>
        <v>1489</v>
      </c>
      <c r="I10" s="266">
        <f>'[5]ЦЗ 2020 Пр.110 объемы уточ.'!I10+'[5]ЦЗ  Пр.111 уточнение объемов'!I10</f>
        <v>372</v>
      </c>
      <c r="K10" s="267"/>
    </row>
    <row r="11" spans="1:11" x14ac:dyDescent="0.2">
      <c r="A11" s="264">
        <v>3</v>
      </c>
      <c r="B11" s="265" t="s">
        <v>36</v>
      </c>
      <c r="C11" s="266">
        <f t="shared" si="1"/>
        <v>6893</v>
      </c>
      <c r="D11" s="266">
        <f t="shared" si="0"/>
        <v>6382</v>
      </c>
      <c r="E11" s="266">
        <f t="shared" si="0"/>
        <v>511</v>
      </c>
      <c r="F11" s="266">
        <f>'[5]ЦЗ 2020 Пр.110 объемы уточ.'!F11+'[5]ЦЗ  Пр.111 уточнение объемов'!F11</f>
        <v>5144</v>
      </c>
      <c r="G11" s="266">
        <f>'[5]ЦЗ 2020 Пр.110 объемы уточ.'!G11+'[5]ЦЗ  Пр.111 уточнение объемов'!G11</f>
        <v>196</v>
      </c>
      <c r="H11" s="266">
        <f>'[5]ЦЗ 2020 Пр.110 объемы уточ.'!H11+'[5]ЦЗ  Пр.111 уточнение объемов'!H11</f>
        <v>1238</v>
      </c>
      <c r="I11" s="266">
        <f>'[5]ЦЗ 2020 Пр.110 объемы уточ.'!I11+'[5]ЦЗ  Пр.111 уточнение объемов'!I11</f>
        <v>315</v>
      </c>
      <c r="K11" s="267"/>
    </row>
    <row r="12" spans="1:11" x14ac:dyDescent="0.2">
      <c r="A12" s="264">
        <v>4</v>
      </c>
      <c r="B12" s="265" t="s">
        <v>21</v>
      </c>
      <c r="C12" s="266">
        <f t="shared" si="1"/>
        <v>5362</v>
      </c>
      <c r="D12" s="266">
        <f t="shared" si="0"/>
        <v>4268</v>
      </c>
      <c r="E12" s="266">
        <f t="shared" si="0"/>
        <v>1094</v>
      </c>
      <c r="F12" s="266">
        <f>'[5]ЦЗ 2020 Пр.110 объемы уточ.'!F12+'[5]ЦЗ  Пр.111 уточнение объемов'!F12</f>
        <v>3208</v>
      </c>
      <c r="G12" s="266">
        <f>'[5]ЦЗ 2020 Пр.110 объемы уточ.'!G12+'[5]ЦЗ  Пр.111 уточнение объемов'!G12</f>
        <v>829</v>
      </c>
      <c r="H12" s="266">
        <f>'[5]ЦЗ 2020 Пр.110 объемы уточ.'!H12+'[5]ЦЗ  Пр.111 уточнение объемов'!H12</f>
        <v>1060</v>
      </c>
      <c r="I12" s="266">
        <f>'[5]ЦЗ 2020 Пр.110 объемы уточ.'!I12+'[5]ЦЗ  Пр.111 уточнение объемов'!I12</f>
        <v>265</v>
      </c>
      <c r="K12" s="267"/>
    </row>
    <row r="13" spans="1:11" x14ac:dyDescent="0.2">
      <c r="A13" s="264">
        <v>5</v>
      </c>
      <c r="B13" s="265" t="s">
        <v>147</v>
      </c>
      <c r="C13" s="266">
        <f t="shared" si="1"/>
        <v>13874</v>
      </c>
      <c r="D13" s="266">
        <f t="shared" si="0"/>
        <v>11099</v>
      </c>
      <c r="E13" s="266">
        <f t="shared" si="0"/>
        <v>2775</v>
      </c>
      <c r="F13" s="266">
        <f>'[5]ЦЗ 2020 Пр.110 объемы уточ.'!F13+'[5]ЦЗ  Пр.111 уточнение объемов'!F13</f>
        <v>8584</v>
      </c>
      <c r="G13" s="266">
        <f>'[5]ЦЗ 2020 Пр.110 объемы уточ.'!G13+'[5]ЦЗ  Пр.111 уточнение объемов'!G13</f>
        <v>2146</v>
      </c>
      <c r="H13" s="266">
        <f>'[5]ЦЗ 2020 Пр.110 объемы уточ.'!H13+'[5]ЦЗ  Пр.111 уточнение объемов'!H13</f>
        <v>2515</v>
      </c>
      <c r="I13" s="266">
        <f>'[5]ЦЗ 2020 Пр.110 объемы уточ.'!I13+'[5]ЦЗ  Пр.111 уточнение объемов'!I13</f>
        <v>629</v>
      </c>
      <c r="K13" s="267"/>
    </row>
    <row r="14" spans="1:11" x14ac:dyDescent="0.2">
      <c r="A14" s="264">
        <v>6</v>
      </c>
      <c r="B14" s="265" t="s">
        <v>53</v>
      </c>
      <c r="C14" s="266">
        <f t="shared" si="1"/>
        <v>8103</v>
      </c>
      <c r="D14" s="266">
        <f t="shared" si="0"/>
        <v>6482</v>
      </c>
      <c r="E14" s="266">
        <f t="shared" si="0"/>
        <v>1621</v>
      </c>
      <c r="F14" s="266">
        <f>'[5]ЦЗ 2020 Пр.110 объемы уточ.'!F14+'[5]ЦЗ  Пр.111 уточнение объемов'!F14</f>
        <v>4789</v>
      </c>
      <c r="G14" s="266">
        <f>'[5]ЦЗ 2020 Пр.110 объемы уточ.'!G14+'[5]ЦЗ  Пр.111 уточнение объемов'!G14</f>
        <v>1197</v>
      </c>
      <c r="H14" s="266">
        <f>'[5]ЦЗ 2020 Пр.110 объемы уточ.'!H14+'[5]ЦЗ  Пр.111 уточнение объемов'!H14</f>
        <v>1693</v>
      </c>
      <c r="I14" s="266">
        <f>'[5]ЦЗ 2020 Пр.110 объемы уточ.'!I14+'[5]ЦЗ  Пр.111 уточнение объемов'!I14</f>
        <v>424</v>
      </c>
      <c r="K14" s="267"/>
    </row>
    <row r="15" spans="1:11" ht="25.5" x14ac:dyDescent="0.2">
      <c r="A15" s="264">
        <v>7</v>
      </c>
      <c r="B15" s="265" t="s">
        <v>55</v>
      </c>
      <c r="C15" s="266">
        <f t="shared" si="1"/>
        <v>3073</v>
      </c>
      <c r="D15" s="266">
        <f t="shared" si="0"/>
        <v>1874</v>
      </c>
      <c r="E15" s="266">
        <f t="shared" si="0"/>
        <v>1199</v>
      </c>
      <c r="F15" s="266">
        <v>1874</v>
      </c>
      <c r="G15" s="266">
        <v>1199</v>
      </c>
      <c r="H15" s="266">
        <f>'[5]ЦЗ 2020 Пр.110 объемы уточ.'!H15+'[5]ЦЗ  Пр.111 уточнение объемов'!H15</f>
        <v>0</v>
      </c>
      <c r="I15" s="266">
        <f>'[5]ЦЗ 2020 Пр.110 объемы уточ.'!I15+'[5]ЦЗ  Пр.111 уточнение объемов'!I15</f>
        <v>0</v>
      </c>
      <c r="K15" s="267"/>
    </row>
    <row r="16" spans="1:11" ht="51" x14ac:dyDescent="0.2">
      <c r="A16" s="264">
        <v>8</v>
      </c>
      <c r="B16" s="268" t="s">
        <v>460</v>
      </c>
      <c r="C16" s="266">
        <f t="shared" si="1"/>
        <v>15068</v>
      </c>
      <c r="D16" s="266">
        <f t="shared" si="0"/>
        <v>12572</v>
      </c>
      <c r="E16" s="266">
        <f t="shared" si="0"/>
        <v>2496</v>
      </c>
      <c r="F16" s="266">
        <v>12572</v>
      </c>
      <c r="G16" s="266">
        <v>2496</v>
      </c>
      <c r="H16" s="266">
        <v>0</v>
      </c>
      <c r="I16" s="266">
        <v>0</v>
      </c>
      <c r="K16" s="267"/>
    </row>
    <row r="17" spans="1:11" x14ac:dyDescent="0.2">
      <c r="A17" s="264">
        <v>9</v>
      </c>
      <c r="B17" s="265" t="s">
        <v>152</v>
      </c>
      <c r="C17" s="266">
        <f>D17+E17</f>
        <v>19289</v>
      </c>
      <c r="D17" s="266">
        <f t="shared" si="0"/>
        <v>15432</v>
      </c>
      <c r="E17" s="266">
        <f t="shared" si="0"/>
        <v>3857</v>
      </c>
      <c r="F17" s="266">
        <f>'[5]ЦЗ 2020 Пр.110 объемы уточ.'!F16+'[5]ЦЗ  Пр.111 уточнение объемов'!F17</f>
        <v>13659</v>
      </c>
      <c r="G17" s="266">
        <f>'[5]ЦЗ 2020 Пр.110 объемы уточ.'!G16+'[5]ЦЗ  Пр.111 уточнение объемов'!G17</f>
        <v>3415</v>
      </c>
      <c r="H17" s="266">
        <f>'[5]ЦЗ 2020 Пр.110 объемы уточ.'!H16+'[5]ЦЗ  Пр.111 уточнение объемов'!H17</f>
        <v>1773</v>
      </c>
      <c r="I17" s="266">
        <f>'[5]ЦЗ 2020 Пр.110 объемы уточ.'!I16+'[5]ЦЗ  Пр.111 уточнение объемов'!I17</f>
        <v>442</v>
      </c>
      <c r="K17" s="267"/>
    </row>
    <row r="18" spans="1:11" x14ac:dyDescent="0.2">
      <c r="A18" s="264">
        <v>10</v>
      </c>
      <c r="B18" s="265" t="s">
        <v>208</v>
      </c>
      <c r="C18" s="266">
        <f t="shared" si="1"/>
        <v>10178</v>
      </c>
      <c r="D18" s="266">
        <f t="shared" si="0"/>
        <v>8121</v>
      </c>
      <c r="E18" s="266">
        <f t="shared" si="0"/>
        <v>2057</v>
      </c>
      <c r="F18" s="266">
        <f>'[5]ЦЗ 2020 Пр.110 объемы уточ.'!F17+'[5]ЦЗ  Пр.111 уточнение объемов'!F18</f>
        <v>7153</v>
      </c>
      <c r="G18" s="266">
        <f>'[5]ЦЗ 2020 Пр.110 объемы уточ.'!G17+'[5]ЦЗ  Пр.111 уточнение объемов'!G18</f>
        <v>1815</v>
      </c>
      <c r="H18" s="266">
        <f>'[5]ЦЗ 2020 Пр.110 объемы уточ.'!H17+'[5]ЦЗ  Пр.111 уточнение объемов'!H18</f>
        <v>968</v>
      </c>
      <c r="I18" s="266">
        <f>'[5]ЦЗ 2020 Пр.110 объемы уточ.'!I17+'[5]ЦЗ  Пр.111 уточнение объемов'!I18</f>
        <v>242</v>
      </c>
      <c r="K18" s="267"/>
    </row>
    <row r="19" spans="1:11" x14ac:dyDescent="0.2">
      <c r="A19" s="264">
        <v>11</v>
      </c>
      <c r="B19" s="265" t="s">
        <v>362</v>
      </c>
      <c r="C19" s="266">
        <f t="shared" si="1"/>
        <v>5364</v>
      </c>
      <c r="D19" s="266">
        <f t="shared" si="0"/>
        <v>4287</v>
      </c>
      <c r="E19" s="266">
        <f t="shared" si="0"/>
        <v>1077</v>
      </c>
      <c r="F19" s="266">
        <f>'[5]ЦЗ 2020 Пр.110 объемы уточ.'!F18+'[5]ЦЗ  Пр.111 уточнение объемов'!F19</f>
        <v>0</v>
      </c>
      <c r="G19" s="266">
        <f>'[5]ЦЗ 2020 Пр.110 объемы уточ.'!G18+'[5]ЦЗ  Пр.111 уточнение объемов'!G19</f>
        <v>0</v>
      </c>
      <c r="H19" s="266">
        <f>'[5]ЦЗ 2020 Пр.110 объемы уточ.'!H18+'[5]ЦЗ  Пр.111 уточнение объемов'!H19</f>
        <v>4287</v>
      </c>
      <c r="I19" s="266">
        <f>'[5]ЦЗ 2020 Пр.110 объемы уточ.'!I18+'[5]ЦЗ  Пр.111 уточнение объемов'!I19</f>
        <v>1077</v>
      </c>
      <c r="K19" s="267"/>
    </row>
    <row r="20" spans="1:11" x14ac:dyDescent="0.2">
      <c r="A20" s="264">
        <v>12</v>
      </c>
      <c r="B20" s="265" t="s">
        <v>22</v>
      </c>
      <c r="C20" s="266">
        <f t="shared" si="1"/>
        <v>7186</v>
      </c>
      <c r="D20" s="266">
        <f t="shared" si="0"/>
        <v>5746</v>
      </c>
      <c r="E20" s="266">
        <f t="shared" si="0"/>
        <v>1440</v>
      </c>
      <c r="F20" s="266">
        <f>'[5]ЦЗ 2020 Пр.110 объемы уточ.'!F19+'[5]ЦЗ  Пр.111 уточнение объемов'!F20</f>
        <v>4509</v>
      </c>
      <c r="G20" s="266">
        <f>'[5]ЦЗ 2020 Пр.110 объемы уточ.'!G19+'[5]ЦЗ  Пр.111 уточнение объемов'!G20</f>
        <v>1129</v>
      </c>
      <c r="H20" s="266">
        <f>'[5]ЦЗ 2020 Пр.110 объемы уточ.'!H19+'[5]ЦЗ  Пр.111 уточнение объемов'!H20</f>
        <v>1237</v>
      </c>
      <c r="I20" s="266">
        <f>'[5]ЦЗ 2020 Пр.110 объемы уточ.'!I19+'[5]ЦЗ  Пр.111 уточнение объемов'!I20</f>
        <v>311</v>
      </c>
      <c r="K20" s="267"/>
    </row>
    <row r="21" spans="1:11" x14ac:dyDescent="0.2">
      <c r="A21" s="264">
        <v>13</v>
      </c>
      <c r="B21" s="265" t="s">
        <v>28</v>
      </c>
      <c r="C21" s="266">
        <f t="shared" si="1"/>
        <v>4221</v>
      </c>
      <c r="D21" s="266">
        <f t="shared" si="0"/>
        <v>3378</v>
      </c>
      <c r="E21" s="266">
        <f t="shared" si="0"/>
        <v>843</v>
      </c>
      <c r="F21" s="266">
        <f>'[5]ЦЗ 2020 Пр.110 объемы уточ.'!F20+'[5]ЦЗ  Пр.111 уточнение объемов'!F21</f>
        <v>2607</v>
      </c>
      <c r="G21" s="266">
        <f>'[5]ЦЗ 2020 Пр.110 объемы уточ.'!G20+'[5]ЦЗ  Пр.111 уточнение объемов'!G21</f>
        <v>651</v>
      </c>
      <c r="H21" s="266">
        <f>'[5]ЦЗ 2020 Пр.110 объемы уточ.'!H20+'[5]ЦЗ  Пр.111 уточнение объемов'!H21</f>
        <v>771</v>
      </c>
      <c r="I21" s="266">
        <f>'[5]ЦЗ 2020 Пр.110 объемы уточ.'!I20+'[5]ЦЗ  Пр.111 уточнение объемов'!I21</f>
        <v>192</v>
      </c>
      <c r="K21" s="267"/>
    </row>
    <row r="22" spans="1:11" x14ac:dyDescent="0.2">
      <c r="A22" s="264">
        <v>14</v>
      </c>
      <c r="B22" s="265" t="s">
        <v>54</v>
      </c>
      <c r="C22" s="266">
        <f t="shared" si="1"/>
        <v>11808</v>
      </c>
      <c r="D22" s="266">
        <f t="shared" si="0"/>
        <v>9472</v>
      </c>
      <c r="E22" s="266">
        <f t="shared" si="0"/>
        <v>2336</v>
      </c>
      <c r="F22" s="266">
        <f>'[5]ЦЗ 2020 Пр.110 объемы уточ.'!F21+'[5]ЦЗ  Пр.111 уточнение объемов'!F22</f>
        <v>7443</v>
      </c>
      <c r="G22" s="266">
        <f>'[5]ЦЗ 2020 Пр.110 объемы уточ.'!G21+'[5]ЦЗ  Пр.111 уточнение объемов'!G22</f>
        <v>1829</v>
      </c>
      <c r="H22" s="266">
        <f>'[5]ЦЗ 2020 Пр.110 объемы уточ.'!H21+'[5]ЦЗ  Пр.111 уточнение объемов'!H22</f>
        <v>2029</v>
      </c>
      <c r="I22" s="266">
        <f>'[5]ЦЗ 2020 Пр.110 объемы уточ.'!I21+'[5]ЦЗ  Пр.111 уточнение объемов'!I22</f>
        <v>507</v>
      </c>
      <c r="K22" s="267"/>
    </row>
    <row r="23" spans="1:11" x14ac:dyDescent="0.2">
      <c r="A23" s="264">
        <v>15</v>
      </c>
      <c r="B23" s="265" t="s">
        <v>45</v>
      </c>
      <c r="C23" s="266">
        <f t="shared" si="1"/>
        <v>2652</v>
      </c>
      <c r="D23" s="266">
        <f t="shared" si="0"/>
        <v>2122</v>
      </c>
      <c r="E23" s="266">
        <f t="shared" si="0"/>
        <v>530</v>
      </c>
      <c r="F23" s="266">
        <f>'[5]ЦЗ 2020 Пр.110 объемы уточ.'!F22+'[5]ЦЗ  Пр.111 уточнение объемов'!F23</f>
        <v>0</v>
      </c>
      <c r="G23" s="266">
        <f>'[5]ЦЗ 2020 Пр.110 объемы уточ.'!G22+'[5]ЦЗ  Пр.111 уточнение объемов'!G23</f>
        <v>0</v>
      </c>
      <c r="H23" s="266">
        <f>'[5]ЦЗ 2020 Пр.110 объемы уточ.'!H22+'[5]ЦЗ  Пр.111 уточнение объемов'!H23</f>
        <v>2122</v>
      </c>
      <c r="I23" s="266">
        <f>'[5]ЦЗ 2020 Пр.110 объемы уточ.'!I22+'[5]ЦЗ  Пр.111 уточнение объемов'!I23</f>
        <v>530</v>
      </c>
      <c r="K23" s="267"/>
    </row>
    <row r="24" spans="1:11" ht="25.5" x14ac:dyDescent="0.2">
      <c r="A24" s="264">
        <v>16</v>
      </c>
      <c r="B24" s="265" t="s">
        <v>379</v>
      </c>
      <c r="C24" s="266">
        <f t="shared" si="1"/>
        <v>8310</v>
      </c>
      <c r="D24" s="266">
        <f t="shared" si="0"/>
        <v>6645</v>
      </c>
      <c r="E24" s="266">
        <f t="shared" si="0"/>
        <v>1665</v>
      </c>
      <c r="F24" s="266">
        <f>'[5]ЦЗ 2020 Пр.110 объемы уточ.'!F23+'[5]ЦЗ  Пр.111 уточнение объемов'!F24</f>
        <v>0</v>
      </c>
      <c r="G24" s="266">
        <f>'[5]ЦЗ 2020 Пр.110 объемы уточ.'!G23+'[5]ЦЗ  Пр.111 уточнение объемов'!G24</f>
        <v>0</v>
      </c>
      <c r="H24" s="266">
        <f>'[5]ЦЗ 2020 Пр.110 объемы уточ.'!H23+'[5]ЦЗ  Пр.111 уточнение объемов'!H24</f>
        <v>6645</v>
      </c>
      <c r="I24" s="266">
        <f>'[5]ЦЗ 2020 Пр.110 объемы уточ.'!I23+'[5]ЦЗ  Пр.111 уточнение объемов'!I24</f>
        <v>1665</v>
      </c>
      <c r="K24" s="267"/>
    </row>
    <row r="25" spans="1:11" x14ac:dyDescent="0.2">
      <c r="A25" s="264">
        <v>17</v>
      </c>
      <c r="B25" s="265" t="s">
        <v>366</v>
      </c>
      <c r="C25" s="266">
        <f t="shared" si="1"/>
        <v>9428</v>
      </c>
      <c r="D25" s="266">
        <f t="shared" si="0"/>
        <v>7534</v>
      </c>
      <c r="E25" s="266">
        <f t="shared" si="0"/>
        <v>1894</v>
      </c>
      <c r="F25" s="266">
        <f>'[5]ЦЗ 2020 Пр.110 объемы уточ.'!F24+'[5]ЦЗ  Пр.111 уточнение объемов'!F25</f>
        <v>7534</v>
      </c>
      <c r="G25" s="266">
        <f>'[5]ЦЗ 2020 Пр.110 объемы уточ.'!G24+'[5]ЦЗ  Пр.111 уточнение объемов'!G25</f>
        <v>1894</v>
      </c>
      <c r="H25" s="266">
        <f>'[5]ЦЗ 2020 Пр.110 объемы уточ.'!H24+'[5]ЦЗ  Пр.111 уточнение объемов'!H25</f>
        <v>0</v>
      </c>
      <c r="I25" s="266">
        <f>'[5]ЦЗ 2020 Пр.110 объемы уточ.'!I24+'[5]ЦЗ  Пр.111 уточнение объемов'!I25</f>
        <v>0</v>
      </c>
      <c r="K25" s="267"/>
    </row>
    <row r="26" spans="1:11" x14ac:dyDescent="0.2">
      <c r="A26" s="264">
        <v>18</v>
      </c>
      <c r="B26" s="265" t="s">
        <v>368</v>
      </c>
      <c r="C26" s="266">
        <f t="shared" si="1"/>
        <v>13986</v>
      </c>
      <c r="D26" s="266">
        <f t="shared" si="0"/>
        <v>11140</v>
      </c>
      <c r="E26" s="266">
        <f t="shared" si="0"/>
        <v>2846</v>
      </c>
      <c r="F26" s="266">
        <f>'[5]ЦЗ 2020 Пр.110 объемы уточ.'!F25+'[5]ЦЗ  Пр.111 уточнение объемов'!F26</f>
        <v>11140</v>
      </c>
      <c r="G26" s="266">
        <f>'[5]ЦЗ 2020 Пр.110 объемы уточ.'!G25+'[5]ЦЗ  Пр.111 уточнение объемов'!G26</f>
        <v>2846</v>
      </c>
      <c r="H26" s="266">
        <f>'[5]ЦЗ 2020 Пр.110 объемы уточ.'!H25+'[5]ЦЗ  Пр.111 уточнение объемов'!H26</f>
        <v>0</v>
      </c>
      <c r="I26" s="266">
        <f>'[5]ЦЗ 2020 Пр.110 объемы уточ.'!I25+'[5]ЦЗ  Пр.111 уточнение объемов'!I26</f>
        <v>0</v>
      </c>
      <c r="K26" s="267"/>
    </row>
    <row r="27" spans="1:11" x14ac:dyDescent="0.2">
      <c r="A27" s="264">
        <v>19</v>
      </c>
      <c r="B27" s="265" t="s">
        <v>371</v>
      </c>
      <c r="C27" s="266">
        <f t="shared" si="1"/>
        <v>9234</v>
      </c>
      <c r="D27" s="266">
        <f t="shared" si="0"/>
        <v>7387</v>
      </c>
      <c r="E27" s="266">
        <f t="shared" si="0"/>
        <v>1847</v>
      </c>
      <c r="F27" s="266">
        <f>'[5]ЦЗ 2020 Пр.110 объемы уточ.'!F26+'[5]ЦЗ  Пр.111 уточнение объемов'!F27</f>
        <v>7387</v>
      </c>
      <c r="G27" s="266">
        <f>'[5]ЦЗ 2020 Пр.110 объемы уточ.'!G26+'[5]ЦЗ  Пр.111 уточнение объемов'!G27</f>
        <v>1847</v>
      </c>
      <c r="H27" s="266">
        <f>'[5]ЦЗ 2020 Пр.110 объемы уточ.'!H26+'[5]ЦЗ  Пр.111 уточнение объемов'!H27</f>
        <v>0</v>
      </c>
      <c r="I27" s="266">
        <f>'[5]ЦЗ 2020 Пр.110 объемы уточ.'!I26+'[5]ЦЗ  Пр.111 уточнение объемов'!I27</f>
        <v>0</v>
      </c>
      <c r="K27" s="267"/>
    </row>
    <row r="28" spans="1:11" ht="15" customHeight="1" x14ac:dyDescent="0.2">
      <c r="A28" s="264">
        <v>20</v>
      </c>
      <c r="B28" s="265" t="s">
        <v>194</v>
      </c>
      <c r="C28" s="266">
        <f t="shared" si="1"/>
        <v>7128</v>
      </c>
      <c r="D28" s="266">
        <f t="shared" si="0"/>
        <v>5697</v>
      </c>
      <c r="E28" s="266">
        <f t="shared" si="0"/>
        <v>1431</v>
      </c>
      <c r="F28" s="266">
        <f>'[5]ЦЗ 2020 Пр.110 объемы уточ.'!F27+'[5]ЦЗ  Пр.111 уточнение объемов'!F28</f>
        <v>4448</v>
      </c>
      <c r="G28" s="266">
        <f>'[5]ЦЗ 2020 Пр.110 объемы уточ.'!G27+'[5]ЦЗ  Пр.111 уточнение объемов'!G28</f>
        <v>1113</v>
      </c>
      <c r="H28" s="266">
        <f>'[5]ЦЗ 2020 Пр.110 объемы уточ.'!H27+'[5]ЦЗ  Пр.111 уточнение объемов'!H28</f>
        <v>1249</v>
      </c>
      <c r="I28" s="266">
        <f>'[5]ЦЗ 2020 Пр.110 объемы уточ.'!I27+'[5]ЦЗ  Пр.111 уточнение объемов'!I28</f>
        <v>318</v>
      </c>
      <c r="K28" s="267"/>
    </row>
    <row r="29" spans="1:11" x14ac:dyDescent="0.2">
      <c r="A29" s="264">
        <v>21</v>
      </c>
      <c r="B29" s="265" t="s">
        <v>59</v>
      </c>
      <c r="C29" s="266">
        <f t="shared" si="1"/>
        <v>8357</v>
      </c>
      <c r="D29" s="266">
        <f t="shared" si="0"/>
        <v>6669</v>
      </c>
      <c r="E29" s="266">
        <f t="shared" si="0"/>
        <v>1688</v>
      </c>
      <c r="F29" s="266">
        <f>'[5]ЦЗ 2020 Пр.110 объемы уточ.'!F28+'[5]ЦЗ  Пр.111 уточнение объемов'!F29</f>
        <v>5272</v>
      </c>
      <c r="G29" s="266">
        <f>'[5]ЦЗ 2020 Пр.110 объемы уточ.'!G28+'[5]ЦЗ  Пр.111 уточнение объемов'!G29</f>
        <v>1337</v>
      </c>
      <c r="H29" s="266">
        <f>'[5]ЦЗ 2020 Пр.110 объемы уточ.'!H28+'[5]ЦЗ  Пр.111 уточнение объемов'!H29</f>
        <v>1397</v>
      </c>
      <c r="I29" s="266">
        <f>'[5]ЦЗ 2020 Пр.110 объемы уточ.'!I28+'[5]ЦЗ  Пр.111 уточнение объемов'!I29</f>
        <v>351</v>
      </c>
      <c r="K29" s="267"/>
    </row>
    <row r="30" spans="1:11" x14ac:dyDescent="0.2">
      <c r="A30" s="264">
        <v>22</v>
      </c>
      <c r="B30" s="265" t="s">
        <v>64</v>
      </c>
      <c r="C30" s="266">
        <f t="shared" si="1"/>
        <v>5304</v>
      </c>
      <c r="D30" s="266">
        <f t="shared" si="0"/>
        <v>4243</v>
      </c>
      <c r="E30" s="266">
        <f t="shared" si="0"/>
        <v>1061</v>
      </c>
      <c r="F30" s="266">
        <f>'[5]ЦЗ 2020 Пр.110 объемы уточ.'!F29+'[5]ЦЗ  Пр.111 уточнение объемов'!F30</f>
        <v>0</v>
      </c>
      <c r="G30" s="266">
        <f>'[5]ЦЗ 2020 Пр.110 объемы уточ.'!G29+'[5]ЦЗ  Пр.111 уточнение объемов'!G30</f>
        <v>0</v>
      </c>
      <c r="H30" s="266">
        <f>'[5]ЦЗ 2020 Пр.110 объемы уточ.'!H29+'[5]ЦЗ  Пр.111 уточнение объемов'!H30</f>
        <v>4243</v>
      </c>
      <c r="I30" s="266">
        <f>'[5]ЦЗ 2020 Пр.110 объемы уточ.'!I29+'[5]ЦЗ  Пр.111 уточнение объемов'!I30</f>
        <v>1061</v>
      </c>
      <c r="K30" s="267"/>
    </row>
    <row r="31" spans="1:11" x14ac:dyDescent="0.2">
      <c r="A31" s="264">
        <v>23</v>
      </c>
      <c r="B31" s="265" t="s">
        <v>494</v>
      </c>
      <c r="C31" s="266">
        <f t="shared" si="1"/>
        <v>9827</v>
      </c>
      <c r="D31" s="266">
        <f t="shared" si="0"/>
        <v>7828</v>
      </c>
      <c r="E31" s="266">
        <f t="shared" si="0"/>
        <v>1999</v>
      </c>
      <c r="F31" s="266">
        <f>'[5]ЦЗ 2020 Пр.110 объемы уточ.'!F30+'[5]ЦЗ  Пр.111 уточнение объемов'!F31</f>
        <v>7828</v>
      </c>
      <c r="G31" s="266">
        <f>'[5]ЦЗ 2020 Пр.110 объемы уточ.'!G30+'[5]ЦЗ  Пр.111 уточнение объемов'!G31</f>
        <v>1999</v>
      </c>
      <c r="H31" s="266">
        <f>'[5]ЦЗ 2020 Пр.110 объемы уточ.'!H30+'[5]ЦЗ  Пр.111 уточнение объемов'!H31</f>
        <v>0</v>
      </c>
      <c r="I31" s="266">
        <f>'[5]ЦЗ 2020 Пр.110 объемы уточ.'!I30+'[5]ЦЗ  Пр.111 уточнение объемов'!I31</f>
        <v>0</v>
      </c>
      <c r="K31" s="267"/>
    </row>
    <row r="32" spans="1:11" ht="15" customHeight="1" x14ac:dyDescent="0.2">
      <c r="A32" s="481" t="s">
        <v>120</v>
      </c>
      <c r="B32" s="482"/>
      <c r="C32" s="269">
        <f>SUM(C9:C31)</f>
        <v>205160</v>
      </c>
      <c r="D32" s="269">
        <f t="shared" ref="D32:I32" si="2">SUM(D9:D31)</f>
        <v>164788</v>
      </c>
      <c r="E32" s="269">
        <f t="shared" si="2"/>
        <v>40372</v>
      </c>
      <c r="F32" s="269">
        <f t="shared" si="2"/>
        <v>127640</v>
      </c>
      <c r="G32" s="269">
        <f t="shared" si="2"/>
        <v>31062</v>
      </c>
      <c r="H32" s="269">
        <f t="shared" si="2"/>
        <v>37148</v>
      </c>
      <c r="I32" s="269">
        <f t="shared" si="2"/>
        <v>9310</v>
      </c>
      <c r="K32" s="267"/>
    </row>
    <row r="34" spans="2:9" x14ac:dyDescent="0.2">
      <c r="B34" s="270"/>
      <c r="C34" s="270"/>
      <c r="D34" s="270"/>
      <c r="E34" s="270"/>
      <c r="F34" s="271"/>
      <c r="G34" s="271"/>
      <c r="H34" s="271"/>
      <c r="I34" s="271"/>
    </row>
    <row r="35" spans="2:9" x14ac:dyDescent="0.2">
      <c r="B35" s="270"/>
      <c r="C35" s="271"/>
      <c r="D35" s="271"/>
      <c r="E35" s="271"/>
      <c r="F35" s="270"/>
      <c r="G35" s="270"/>
      <c r="H35" s="270"/>
      <c r="I35" s="270"/>
    </row>
  </sheetData>
  <mergeCells count="16">
    <mergeCell ref="A32:B32"/>
    <mergeCell ref="H1:I1"/>
    <mergeCell ref="B2:I2"/>
    <mergeCell ref="A4:A7"/>
    <mergeCell ref="B4:B7"/>
    <mergeCell ref="C4:C7"/>
    <mergeCell ref="D4:E5"/>
    <mergeCell ref="F4:I4"/>
    <mergeCell ref="F5:G5"/>
    <mergeCell ref="H5:I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D67" sqref="D67:I67"/>
    </sheetView>
  </sheetViews>
  <sheetFormatPr defaultRowHeight="12.75" x14ac:dyDescent="0.25"/>
  <cols>
    <col min="1" max="1" width="4.85546875" style="232" customWidth="1"/>
    <col min="2" max="2" width="60.85546875" style="232" customWidth="1"/>
    <col min="3" max="3" width="9.140625" style="232"/>
    <col min="4" max="4" width="14.28515625" style="232" customWidth="1"/>
    <col min="5" max="16384" width="9.140625" style="232"/>
  </cols>
  <sheetData>
    <row r="1" spans="1:9" ht="15" x14ac:dyDescent="0.25">
      <c r="A1" s="331" t="s">
        <v>495</v>
      </c>
      <c r="B1" s="332"/>
    </row>
    <row r="3" spans="1:9" s="275" customFormat="1" ht="99.75" customHeight="1" x14ac:dyDescent="0.25">
      <c r="A3" s="333" t="s">
        <v>0</v>
      </c>
      <c r="B3" s="333" t="s">
        <v>246</v>
      </c>
      <c r="C3" s="335" t="s">
        <v>496</v>
      </c>
      <c r="D3" s="274" t="s">
        <v>497</v>
      </c>
      <c r="E3" s="337" t="s">
        <v>136</v>
      </c>
      <c r="F3" s="337"/>
      <c r="G3" s="337"/>
      <c r="H3" s="337"/>
      <c r="I3" s="337"/>
    </row>
    <row r="4" spans="1:9" s="275" customFormat="1" ht="64.5" customHeight="1" x14ac:dyDescent="0.25">
      <c r="A4" s="334"/>
      <c r="B4" s="334"/>
      <c r="C4" s="336"/>
      <c r="D4" s="276" t="s">
        <v>498</v>
      </c>
      <c r="E4" s="276" t="s">
        <v>499</v>
      </c>
      <c r="F4" s="276" t="s">
        <v>500</v>
      </c>
      <c r="G4" s="276" t="s">
        <v>501</v>
      </c>
      <c r="H4" s="276" t="s">
        <v>500</v>
      </c>
      <c r="I4" s="276" t="s">
        <v>502</v>
      </c>
    </row>
    <row r="5" spans="1:9" x14ac:dyDescent="0.25">
      <c r="A5" s="277">
        <v>1</v>
      </c>
      <c r="B5" s="278" t="s">
        <v>46</v>
      </c>
      <c r="C5" s="279"/>
      <c r="D5" s="280">
        <v>20032</v>
      </c>
      <c r="E5" s="280">
        <v>20032</v>
      </c>
      <c r="F5" s="279">
        <v>4</v>
      </c>
      <c r="G5" s="209"/>
      <c r="H5" s="279"/>
      <c r="I5" s="279"/>
    </row>
    <row r="6" spans="1:9" x14ac:dyDescent="0.25">
      <c r="A6" s="277">
        <v>2</v>
      </c>
      <c r="B6" s="278" t="s">
        <v>48</v>
      </c>
      <c r="C6" s="279"/>
      <c r="D6" s="280">
        <v>8313</v>
      </c>
      <c r="E6" s="279">
        <v>8313</v>
      </c>
      <c r="F6" s="279">
        <v>2</v>
      </c>
      <c r="G6" s="209"/>
      <c r="H6" s="279"/>
      <c r="I6" s="279"/>
    </row>
    <row r="7" spans="1:9" x14ac:dyDescent="0.25">
      <c r="A7" s="277">
        <v>3</v>
      </c>
      <c r="B7" s="278" t="s">
        <v>3</v>
      </c>
      <c r="C7" s="279"/>
      <c r="D7" s="280">
        <v>4854</v>
      </c>
      <c r="E7" s="279">
        <v>4854</v>
      </c>
      <c r="F7" s="279">
        <v>5</v>
      </c>
      <c r="G7" s="209"/>
      <c r="H7" s="279"/>
      <c r="I7" s="279"/>
    </row>
    <row r="8" spans="1:9" x14ac:dyDescent="0.25">
      <c r="A8" s="277">
        <v>4</v>
      </c>
      <c r="B8" s="278" t="s">
        <v>1</v>
      </c>
      <c r="C8" s="279"/>
      <c r="D8" s="280">
        <v>11442</v>
      </c>
      <c r="E8" s="279">
        <v>11442</v>
      </c>
      <c r="F8" s="279">
        <v>5</v>
      </c>
      <c r="G8" s="209"/>
      <c r="H8" s="279"/>
      <c r="I8" s="279"/>
    </row>
    <row r="9" spans="1:9" x14ac:dyDescent="0.25">
      <c r="A9" s="277">
        <v>5</v>
      </c>
      <c r="B9" s="278" t="s">
        <v>4</v>
      </c>
      <c r="C9" s="279"/>
      <c r="D9" s="280">
        <v>5486</v>
      </c>
      <c r="E9" s="279">
        <v>5486</v>
      </c>
      <c r="F9" s="279">
        <v>10</v>
      </c>
      <c r="G9" s="209"/>
      <c r="H9" s="279"/>
      <c r="I9" s="279"/>
    </row>
    <row r="10" spans="1:9" x14ac:dyDescent="0.25">
      <c r="A10" s="277">
        <v>6</v>
      </c>
      <c r="B10" s="278" t="s">
        <v>6</v>
      </c>
      <c r="C10" s="279"/>
      <c r="D10" s="280">
        <v>15471</v>
      </c>
      <c r="E10" s="279">
        <v>15471</v>
      </c>
      <c r="F10" s="279">
        <v>15</v>
      </c>
      <c r="G10" s="209"/>
      <c r="H10" s="279"/>
      <c r="I10" s="279"/>
    </row>
    <row r="11" spans="1:9" x14ac:dyDescent="0.25">
      <c r="A11" s="277">
        <v>7</v>
      </c>
      <c r="B11" s="278" t="s">
        <v>7</v>
      </c>
      <c r="C11" s="279"/>
      <c r="D11" s="280">
        <v>7530</v>
      </c>
      <c r="E11" s="279">
        <v>7530</v>
      </c>
      <c r="F11" s="279">
        <v>10</v>
      </c>
      <c r="G11" s="209"/>
      <c r="H11" s="279"/>
      <c r="I11" s="279"/>
    </row>
    <row r="12" spans="1:9" x14ac:dyDescent="0.25">
      <c r="A12" s="277">
        <v>8</v>
      </c>
      <c r="B12" s="278" t="s">
        <v>8</v>
      </c>
      <c r="C12" s="279"/>
      <c r="D12" s="280">
        <v>5501</v>
      </c>
      <c r="E12" s="279">
        <v>5501</v>
      </c>
      <c r="F12" s="279">
        <v>2</v>
      </c>
      <c r="G12" s="209"/>
      <c r="H12" s="279"/>
      <c r="I12" s="279"/>
    </row>
    <row r="13" spans="1:9" x14ac:dyDescent="0.25">
      <c r="A13" s="277">
        <v>9</v>
      </c>
      <c r="B13" s="278" t="s">
        <v>9</v>
      </c>
      <c r="C13" s="279"/>
      <c r="D13" s="280">
        <v>25600</v>
      </c>
      <c r="E13" s="279">
        <v>25600</v>
      </c>
      <c r="F13" s="279">
        <v>12</v>
      </c>
      <c r="G13" s="209"/>
      <c r="H13" s="279"/>
      <c r="I13" s="279"/>
    </row>
    <row r="14" spans="1:9" x14ac:dyDescent="0.25">
      <c r="A14" s="277">
        <v>10</v>
      </c>
      <c r="B14" s="278" t="s">
        <v>10</v>
      </c>
      <c r="C14" s="279"/>
      <c r="D14" s="281">
        <v>847</v>
      </c>
      <c r="E14" s="279">
        <v>847</v>
      </c>
      <c r="F14" s="279">
        <v>3</v>
      </c>
      <c r="G14" s="209"/>
      <c r="H14" s="279"/>
      <c r="I14" s="279"/>
    </row>
    <row r="15" spans="1:9" x14ac:dyDescent="0.25">
      <c r="A15" s="277">
        <v>11</v>
      </c>
      <c r="B15" s="278" t="s">
        <v>11</v>
      </c>
      <c r="C15" s="279"/>
      <c r="D15" s="280">
        <v>28503</v>
      </c>
      <c r="E15" s="279">
        <v>28503</v>
      </c>
      <c r="F15" s="279">
        <v>12</v>
      </c>
      <c r="G15" s="209"/>
      <c r="H15" s="279"/>
      <c r="I15" s="279"/>
    </row>
    <row r="16" spans="1:9" x14ac:dyDescent="0.25">
      <c r="A16" s="277">
        <v>12</v>
      </c>
      <c r="B16" s="278" t="s">
        <v>12</v>
      </c>
      <c r="C16" s="279"/>
      <c r="D16" s="280">
        <v>5828</v>
      </c>
      <c r="E16" s="279">
        <v>5828</v>
      </c>
      <c r="F16" s="279">
        <v>21</v>
      </c>
      <c r="G16" s="209"/>
      <c r="H16" s="279"/>
      <c r="I16" s="279"/>
    </row>
    <row r="17" spans="1:9" x14ac:dyDescent="0.25">
      <c r="A17" s="277">
        <v>13</v>
      </c>
      <c r="B17" s="278" t="s">
        <v>13</v>
      </c>
      <c r="C17" s="279"/>
      <c r="D17" s="280">
        <v>16463</v>
      </c>
      <c r="E17" s="279">
        <v>16463</v>
      </c>
      <c r="F17" s="279">
        <v>10</v>
      </c>
      <c r="G17" s="209"/>
      <c r="H17" s="279"/>
      <c r="I17" s="279"/>
    </row>
    <row r="18" spans="1:9" x14ac:dyDescent="0.25">
      <c r="A18" s="277">
        <v>14</v>
      </c>
      <c r="B18" s="278" t="s">
        <v>15</v>
      </c>
      <c r="C18" s="279"/>
      <c r="D18" s="280">
        <v>13558</v>
      </c>
      <c r="E18" s="279">
        <v>13558</v>
      </c>
      <c r="F18" s="279">
        <v>3</v>
      </c>
      <c r="G18" s="209"/>
      <c r="H18" s="279"/>
      <c r="I18" s="279"/>
    </row>
    <row r="19" spans="1:9" x14ac:dyDescent="0.25">
      <c r="A19" s="277">
        <v>15</v>
      </c>
      <c r="B19" s="278" t="s">
        <v>314</v>
      </c>
      <c r="C19" s="291">
        <v>-4581</v>
      </c>
      <c r="D19" s="281">
        <v>1527</v>
      </c>
      <c r="E19" s="281">
        <v>1527</v>
      </c>
      <c r="F19" s="279">
        <v>4</v>
      </c>
      <c r="G19" s="209"/>
      <c r="H19" s="279"/>
      <c r="I19" s="279"/>
    </row>
    <row r="20" spans="1:9" x14ac:dyDescent="0.25">
      <c r="A20" s="277">
        <v>16</v>
      </c>
      <c r="B20" s="278" t="s">
        <v>16</v>
      </c>
      <c r="C20" s="279"/>
      <c r="D20" s="280">
        <v>7506</v>
      </c>
      <c r="E20" s="279">
        <v>6850</v>
      </c>
      <c r="F20" s="279">
        <v>5</v>
      </c>
      <c r="G20" s="209">
        <v>656</v>
      </c>
      <c r="H20" s="279"/>
      <c r="I20" s="279"/>
    </row>
    <row r="21" spans="1:9" x14ac:dyDescent="0.25">
      <c r="A21" s="277">
        <v>17</v>
      </c>
      <c r="B21" s="278" t="s">
        <v>17</v>
      </c>
      <c r="C21" s="279"/>
      <c r="D21" s="280">
        <v>6115</v>
      </c>
      <c r="E21" s="279">
        <v>6114</v>
      </c>
      <c r="F21" s="279">
        <v>14</v>
      </c>
      <c r="G21" s="209">
        <v>1</v>
      </c>
      <c r="H21" s="279"/>
      <c r="I21" s="279"/>
    </row>
    <row r="22" spans="1:9" x14ac:dyDescent="0.25">
      <c r="A22" s="277">
        <v>18</v>
      </c>
      <c r="B22" s="278" t="s">
        <v>18</v>
      </c>
      <c r="C22" s="279"/>
      <c r="D22" s="280">
        <v>4742</v>
      </c>
      <c r="E22" s="279">
        <v>4742</v>
      </c>
      <c r="F22" s="279">
        <v>4</v>
      </c>
      <c r="G22" s="209"/>
      <c r="H22" s="279"/>
      <c r="I22" s="279"/>
    </row>
    <row r="23" spans="1:9" x14ac:dyDescent="0.25">
      <c r="A23" s="277">
        <v>19</v>
      </c>
      <c r="B23" s="278" t="s">
        <v>44</v>
      </c>
      <c r="C23" s="279"/>
      <c r="D23" s="280">
        <v>6558</v>
      </c>
      <c r="E23" s="279">
        <v>6558</v>
      </c>
      <c r="F23" s="279">
        <v>5</v>
      </c>
      <c r="G23" s="209"/>
      <c r="H23" s="279"/>
      <c r="I23" s="279"/>
    </row>
    <row r="24" spans="1:9" x14ac:dyDescent="0.25">
      <c r="A24" s="277">
        <v>20</v>
      </c>
      <c r="B24" s="278" t="s">
        <v>27</v>
      </c>
      <c r="C24" s="279"/>
      <c r="D24" s="280">
        <v>8848</v>
      </c>
      <c r="E24" s="279">
        <v>8848</v>
      </c>
      <c r="F24" s="279">
        <v>8</v>
      </c>
      <c r="G24" s="209"/>
      <c r="H24" s="279"/>
      <c r="I24" s="279"/>
    </row>
    <row r="25" spans="1:9" x14ac:dyDescent="0.25">
      <c r="A25" s="277">
        <v>21</v>
      </c>
      <c r="B25" s="278" t="s">
        <v>503</v>
      </c>
      <c r="C25" s="279"/>
      <c r="D25" s="280">
        <v>29735</v>
      </c>
      <c r="E25" s="279">
        <v>29735</v>
      </c>
      <c r="F25" s="279">
        <v>20</v>
      </c>
      <c r="G25" s="209"/>
      <c r="H25" s="279"/>
      <c r="I25" s="279"/>
    </row>
    <row r="26" spans="1:9" ht="48.75" customHeight="1" x14ac:dyDescent="0.25">
      <c r="A26" s="277">
        <v>22</v>
      </c>
      <c r="B26" s="282" t="s">
        <v>504</v>
      </c>
      <c r="C26" s="279"/>
      <c r="D26" s="280">
        <v>17086</v>
      </c>
      <c r="E26" s="279">
        <v>17086</v>
      </c>
      <c r="F26" s="279">
        <v>12</v>
      </c>
      <c r="G26" s="209"/>
      <c r="H26" s="279"/>
      <c r="I26" s="279"/>
    </row>
    <row r="27" spans="1:9" ht="54.75" customHeight="1" x14ac:dyDescent="0.25">
      <c r="A27" s="277">
        <v>23</v>
      </c>
      <c r="B27" s="282" t="s">
        <v>505</v>
      </c>
      <c r="C27" s="279"/>
      <c r="D27" s="280">
        <v>6671</v>
      </c>
      <c r="E27" s="279">
        <v>6671</v>
      </c>
      <c r="F27" s="279">
        <v>8</v>
      </c>
      <c r="G27" s="209"/>
      <c r="H27" s="279"/>
      <c r="I27" s="279"/>
    </row>
    <row r="28" spans="1:9" x14ac:dyDescent="0.25">
      <c r="A28" s="277">
        <v>24</v>
      </c>
      <c r="B28" s="278" t="s">
        <v>506</v>
      </c>
      <c r="C28" s="279"/>
      <c r="D28" s="280">
        <v>51419</v>
      </c>
      <c r="E28" s="279">
        <v>51102</v>
      </c>
      <c r="F28" s="279">
        <v>36</v>
      </c>
      <c r="G28" s="209">
        <v>317</v>
      </c>
      <c r="H28" s="279">
        <v>2</v>
      </c>
      <c r="I28" s="279"/>
    </row>
    <row r="29" spans="1:9" x14ac:dyDescent="0.25">
      <c r="A29" s="277">
        <v>25</v>
      </c>
      <c r="B29" s="278" t="s">
        <v>507</v>
      </c>
      <c r="C29" s="279"/>
      <c r="D29" s="280">
        <v>38946</v>
      </c>
      <c r="E29" s="279">
        <v>31911</v>
      </c>
      <c r="F29" s="279">
        <v>0</v>
      </c>
      <c r="G29" s="205">
        <v>7035</v>
      </c>
      <c r="H29" s="279"/>
      <c r="I29" s="279"/>
    </row>
    <row r="30" spans="1:9" x14ac:dyDescent="0.25">
      <c r="A30" s="277">
        <v>26</v>
      </c>
      <c r="B30" s="278" t="s">
        <v>20</v>
      </c>
      <c r="C30" s="279"/>
      <c r="D30" s="280">
        <v>10415</v>
      </c>
      <c r="E30" s="279">
        <v>10415</v>
      </c>
      <c r="F30" s="279">
        <v>1</v>
      </c>
      <c r="G30" s="209"/>
      <c r="H30" s="279"/>
      <c r="I30" s="279"/>
    </row>
    <row r="31" spans="1:9" x14ac:dyDescent="0.25">
      <c r="A31" s="277">
        <v>27</v>
      </c>
      <c r="B31" s="278" t="s">
        <v>22</v>
      </c>
      <c r="C31" s="279"/>
      <c r="D31" s="280">
        <v>16258</v>
      </c>
      <c r="E31" s="279">
        <v>16258</v>
      </c>
      <c r="F31" s="279">
        <v>22</v>
      </c>
      <c r="G31" s="209"/>
      <c r="H31" s="279"/>
      <c r="I31" s="279"/>
    </row>
    <row r="32" spans="1:9" x14ac:dyDescent="0.25">
      <c r="A32" s="277">
        <v>28</v>
      </c>
      <c r="B32" s="278" t="s">
        <v>23</v>
      </c>
      <c r="C32" s="279"/>
      <c r="D32" s="280">
        <v>3681</v>
      </c>
      <c r="E32" s="279">
        <v>3681</v>
      </c>
      <c r="F32" s="279">
        <v>10</v>
      </c>
      <c r="G32" s="209"/>
      <c r="H32" s="279"/>
      <c r="I32" s="279"/>
    </row>
    <row r="33" spans="1:9" x14ac:dyDescent="0.25">
      <c r="A33" s="277">
        <v>29</v>
      </c>
      <c r="B33" s="278" t="s">
        <v>25</v>
      </c>
      <c r="C33" s="279"/>
      <c r="D33" s="280">
        <v>3929</v>
      </c>
      <c r="E33" s="279">
        <v>3929</v>
      </c>
      <c r="F33" s="279">
        <v>3</v>
      </c>
      <c r="G33" s="209"/>
      <c r="H33" s="279"/>
      <c r="I33" s="279"/>
    </row>
    <row r="34" spans="1:9" x14ac:dyDescent="0.25">
      <c r="A34" s="277">
        <v>30</v>
      </c>
      <c r="B34" s="278" t="s">
        <v>26</v>
      </c>
      <c r="C34" s="279"/>
      <c r="D34" s="280">
        <v>14635</v>
      </c>
      <c r="E34" s="279">
        <v>11515</v>
      </c>
      <c r="F34" s="279">
        <v>8</v>
      </c>
      <c r="G34" s="205">
        <v>3120</v>
      </c>
      <c r="H34" s="279"/>
      <c r="I34" s="279"/>
    </row>
    <row r="35" spans="1:9" x14ac:dyDescent="0.25">
      <c r="A35" s="277">
        <v>31</v>
      </c>
      <c r="B35" s="278" t="s">
        <v>24</v>
      </c>
      <c r="C35" s="279"/>
      <c r="D35" s="280">
        <v>7130</v>
      </c>
      <c r="E35" s="279">
        <v>7130</v>
      </c>
      <c r="F35" s="279">
        <v>5</v>
      </c>
      <c r="G35" s="209"/>
      <c r="H35" s="279"/>
      <c r="I35" s="279"/>
    </row>
    <row r="36" spans="1:9" ht="15.75" customHeight="1" x14ac:dyDescent="0.25">
      <c r="A36" s="277">
        <v>32</v>
      </c>
      <c r="B36" s="282" t="s">
        <v>28</v>
      </c>
      <c r="C36" s="279"/>
      <c r="D36" s="280">
        <v>23518</v>
      </c>
      <c r="E36" s="279">
        <v>20816</v>
      </c>
      <c r="F36" s="279">
        <v>3</v>
      </c>
      <c r="G36" s="205">
        <v>2702</v>
      </c>
      <c r="H36" s="279">
        <v>2</v>
      </c>
      <c r="I36" s="279"/>
    </row>
    <row r="37" spans="1:9" x14ac:dyDescent="0.25">
      <c r="A37" s="277">
        <v>33</v>
      </c>
      <c r="B37" s="278" t="s">
        <v>29</v>
      </c>
      <c r="C37" s="279"/>
      <c r="D37" s="280">
        <v>6857</v>
      </c>
      <c r="E37" s="279">
        <v>6857</v>
      </c>
      <c r="F37" s="279">
        <v>5</v>
      </c>
      <c r="G37" s="209"/>
      <c r="H37" s="279"/>
      <c r="I37" s="279"/>
    </row>
    <row r="38" spans="1:9" x14ac:dyDescent="0.25">
      <c r="A38" s="277">
        <v>34</v>
      </c>
      <c r="B38" s="278" t="s">
        <v>30</v>
      </c>
      <c r="C38" s="279"/>
      <c r="D38" s="280">
        <v>6286</v>
      </c>
      <c r="E38" s="279">
        <v>6286</v>
      </c>
      <c r="F38" s="279">
        <v>3</v>
      </c>
      <c r="G38" s="209"/>
      <c r="H38" s="279"/>
      <c r="I38" s="279"/>
    </row>
    <row r="39" spans="1:9" ht="17.25" customHeight="1" x14ac:dyDescent="0.25">
      <c r="A39" s="283">
        <v>35</v>
      </c>
      <c r="B39" s="282" t="s">
        <v>31</v>
      </c>
      <c r="C39" s="279"/>
      <c r="D39" s="280">
        <v>12838</v>
      </c>
      <c r="E39" s="279">
        <v>12838</v>
      </c>
      <c r="F39" s="279">
        <v>1</v>
      </c>
      <c r="G39" s="209"/>
      <c r="H39" s="279"/>
      <c r="I39" s="279"/>
    </row>
    <row r="40" spans="1:9" x14ac:dyDescent="0.25">
      <c r="A40" s="277">
        <v>36</v>
      </c>
      <c r="B40" s="278" t="s">
        <v>32</v>
      </c>
      <c r="C40" s="279"/>
      <c r="D40" s="280">
        <v>381</v>
      </c>
      <c r="E40" s="279">
        <v>381</v>
      </c>
      <c r="F40" s="279">
        <v>5</v>
      </c>
      <c r="G40" s="209"/>
      <c r="H40" s="279"/>
      <c r="I40" s="279"/>
    </row>
    <row r="41" spans="1:9" x14ac:dyDescent="0.25">
      <c r="A41" s="277">
        <v>37</v>
      </c>
      <c r="B41" s="278" t="s">
        <v>19</v>
      </c>
      <c r="C41" s="279"/>
      <c r="D41" s="280">
        <v>8898</v>
      </c>
      <c r="E41" s="279">
        <v>8898</v>
      </c>
      <c r="F41" s="279">
        <v>4</v>
      </c>
      <c r="G41" s="209"/>
      <c r="H41" s="279"/>
      <c r="I41" s="279"/>
    </row>
    <row r="42" spans="1:9" x14ac:dyDescent="0.25">
      <c r="A42" s="277">
        <v>38</v>
      </c>
      <c r="B42" s="278" t="s">
        <v>35</v>
      </c>
      <c r="C42" s="279"/>
      <c r="D42" s="280">
        <v>7134</v>
      </c>
      <c r="E42" s="279">
        <v>7134</v>
      </c>
      <c r="F42" s="279">
        <v>1</v>
      </c>
      <c r="G42" s="209"/>
      <c r="H42" s="279"/>
      <c r="I42" s="279"/>
    </row>
    <row r="43" spans="1:9" x14ac:dyDescent="0.25">
      <c r="A43" s="277">
        <v>39</v>
      </c>
      <c r="B43" s="278" t="s">
        <v>42</v>
      </c>
      <c r="C43" s="279"/>
      <c r="D43" s="280">
        <v>6923</v>
      </c>
      <c r="E43" s="279">
        <v>6923</v>
      </c>
      <c r="F43" s="279">
        <v>2</v>
      </c>
      <c r="G43" s="209"/>
      <c r="H43" s="279"/>
      <c r="I43" s="279"/>
    </row>
    <row r="44" spans="1:9" x14ac:dyDescent="0.25">
      <c r="A44" s="277">
        <v>40</v>
      </c>
      <c r="B44" s="278" t="s">
        <v>37</v>
      </c>
      <c r="C44" s="279"/>
      <c r="D44" s="280">
        <v>22733</v>
      </c>
      <c r="E44" s="279">
        <v>22733</v>
      </c>
      <c r="F44" s="279">
        <v>40</v>
      </c>
      <c r="G44" s="209"/>
      <c r="H44" s="279"/>
      <c r="I44" s="279"/>
    </row>
    <row r="45" spans="1:9" x14ac:dyDescent="0.25">
      <c r="A45" s="277">
        <v>41</v>
      </c>
      <c r="B45" s="278" t="s">
        <v>21</v>
      </c>
      <c r="C45" s="279">
        <v>4581</v>
      </c>
      <c r="D45" s="280">
        <v>21021</v>
      </c>
      <c r="E45" s="279">
        <v>21021</v>
      </c>
      <c r="F45" s="279">
        <v>5</v>
      </c>
      <c r="G45" s="209"/>
      <c r="H45" s="279"/>
      <c r="I45" s="279"/>
    </row>
    <row r="46" spans="1:9" x14ac:dyDescent="0.25">
      <c r="A46" s="277">
        <v>42</v>
      </c>
      <c r="B46" s="278" t="s">
        <v>39</v>
      </c>
      <c r="C46" s="279"/>
      <c r="D46" s="280">
        <v>6234</v>
      </c>
      <c r="E46" s="279">
        <v>6234</v>
      </c>
      <c r="F46" s="279">
        <v>6</v>
      </c>
      <c r="G46" s="209"/>
      <c r="H46" s="279"/>
      <c r="I46" s="279"/>
    </row>
    <row r="47" spans="1:9" x14ac:dyDescent="0.25">
      <c r="A47" s="277">
        <v>43</v>
      </c>
      <c r="B47" s="278" t="s">
        <v>40</v>
      </c>
      <c r="C47" s="279"/>
      <c r="D47" s="280">
        <v>7263</v>
      </c>
      <c r="E47" s="279">
        <v>7263</v>
      </c>
      <c r="F47" s="279">
        <v>2</v>
      </c>
      <c r="G47" s="209"/>
      <c r="H47" s="279"/>
      <c r="I47" s="279"/>
    </row>
    <row r="48" spans="1:9" x14ac:dyDescent="0.25">
      <c r="A48" s="277">
        <v>44</v>
      </c>
      <c r="B48" s="278" t="s">
        <v>34</v>
      </c>
      <c r="C48" s="279"/>
      <c r="D48" s="280">
        <v>8222</v>
      </c>
      <c r="E48" s="279">
        <v>8222</v>
      </c>
      <c r="F48" s="279">
        <v>3</v>
      </c>
      <c r="G48" s="209"/>
      <c r="H48" s="279"/>
      <c r="I48" s="279"/>
    </row>
    <row r="49" spans="1:9" x14ac:dyDescent="0.25">
      <c r="A49" s="277">
        <v>45</v>
      </c>
      <c r="B49" s="278" t="s">
        <v>41</v>
      </c>
      <c r="C49" s="279"/>
      <c r="D49" s="280">
        <v>5262</v>
      </c>
      <c r="E49" s="279">
        <v>5262</v>
      </c>
      <c r="F49" s="279">
        <v>1</v>
      </c>
      <c r="G49" s="209"/>
      <c r="H49" s="279"/>
      <c r="I49" s="279"/>
    </row>
    <row r="50" spans="1:9" x14ac:dyDescent="0.25">
      <c r="A50" s="277">
        <v>46</v>
      </c>
      <c r="B50" s="278" t="s">
        <v>2</v>
      </c>
      <c r="C50" s="279"/>
      <c r="D50" s="280">
        <v>10792</v>
      </c>
      <c r="E50" s="279">
        <v>10792</v>
      </c>
      <c r="F50" s="279">
        <v>10</v>
      </c>
      <c r="G50" s="209"/>
      <c r="H50" s="279"/>
      <c r="I50" s="279"/>
    </row>
    <row r="51" spans="1:9" x14ac:dyDescent="0.25">
      <c r="A51" s="277">
        <v>47</v>
      </c>
      <c r="B51" s="278" t="s">
        <v>508</v>
      </c>
      <c r="C51" s="279"/>
      <c r="D51" s="280">
        <v>91657</v>
      </c>
      <c r="E51" s="279">
        <v>90357</v>
      </c>
      <c r="F51" s="279">
        <v>15</v>
      </c>
      <c r="G51" s="205">
        <v>1300</v>
      </c>
      <c r="H51" s="279"/>
      <c r="I51" s="279"/>
    </row>
    <row r="52" spans="1:9" x14ac:dyDescent="0.25">
      <c r="A52" s="277">
        <v>48</v>
      </c>
      <c r="B52" s="278" t="s">
        <v>43</v>
      </c>
      <c r="C52" s="279"/>
      <c r="D52" s="280">
        <v>5285</v>
      </c>
      <c r="E52" s="279">
        <v>5285</v>
      </c>
      <c r="F52" s="279">
        <v>8</v>
      </c>
      <c r="G52" s="209"/>
      <c r="H52" s="279"/>
      <c r="I52" s="279"/>
    </row>
    <row r="53" spans="1:9" x14ac:dyDescent="0.25">
      <c r="A53" s="277">
        <v>49</v>
      </c>
      <c r="B53" s="278" t="s">
        <v>5</v>
      </c>
      <c r="C53" s="279"/>
      <c r="D53" s="280">
        <v>9181</v>
      </c>
      <c r="E53" s="279">
        <v>9181</v>
      </c>
      <c r="F53" s="279">
        <v>10</v>
      </c>
      <c r="G53" s="209"/>
      <c r="H53" s="279"/>
      <c r="I53" s="279"/>
    </row>
    <row r="54" spans="1:9" x14ac:dyDescent="0.25">
      <c r="A54" s="277">
        <v>50</v>
      </c>
      <c r="B54" s="278" t="s">
        <v>45</v>
      </c>
      <c r="C54" s="279"/>
      <c r="D54" s="280">
        <v>36467</v>
      </c>
      <c r="E54" s="279">
        <v>35671</v>
      </c>
      <c r="F54" s="279">
        <v>30</v>
      </c>
      <c r="G54" s="205">
        <v>796</v>
      </c>
      <c r="H54" s="279">
        <v>12</v>
      </c>
      <c r="I54" s="279"/>
    </row>
    <row r="55" spans="1:9" x14ac:dyDescent="0.25">
      <c r="A55" s="277">
        <v>51</v>
      </c>
      <c r="B55" s="278" t="s">
        <v>47</v>
      </c>
      <c r="C55" s="279"/>
      <c r="D55" s="280">
        <v>4284</v>
      </c>
      <c r="E55" s="279">
        <v>4284</v>
      </c>
      <c r="F55" s="279">
        <v>4</v>
      </c>
      <c r="G55" s="209"/>
      <c r="H55" s="279"/>
      <c r="I55" s="279"/>
    </row>
    <row r="56" spans="1:9" x14ac:dyDescent="0.25">
      <c r="A56" s="277">
        <v>52</v>
      </c>
      <c r="B56" s="278" t="s">
        <v>509</v>
      </c>
      <c r="C56" s="279"/>
      <c r="D56" s="280">
        <v>17435</v>
      </c>
      <c r="E56" s="279">
        <v>17435</v>
      </c>
      <c r="F56" s="279">
        <v>5</v>
      </c>
      <c r="G56" s="209"/>
      <c r="H56" s="279"/>
      <c r="I56" s="279"/>
    </row>
    <row r="57" spans="1:9" x14ac:dyDescent="0.25">
      <c r="A57" s="277">
        <v>53</v>
      </c>
      <c r="B57" s="278" t="s">
        <v>510</v>
      </c>
      <c r="C57" s="279"/>
      <c r="D57" s="280">
        <v>7856</v>
      </c>
      <c r="E57" s="279">
        <v>7856</v>
      </c>
      <c r="F57" s="279">
        <v>5</v>
      </c>
      <c r="G57" s="209"/>
      <c r="H57" s="279"/>
      <c r="I57" s="279"/>
    </row>
    <row r="58" spans="1:9" x14ac:dyDescent="0.25">
      <c r="A58" s="277">
        <v>54</v>
      </c>
      <c r="B58" s="278" t="s">
        <v>50</v>
      </c>
      <c r="C58" s="279"/>
      <c r="D58" s="280">
        <v>13220</v>
      </c>
      <c r="E58" s="279">
        <v>13220</v>
      </c>
      <c r="F58" s="279">
        <v>10</v>
      </c>
      <c r="G58" s="209"/>
      <c r="H58" s="279"/>
      <c r="I58" s="279"/>
    </row>
    <row r="59" spans="1:9" x14ac:dyDescent="0.25">
      <c r="A59" s="277">
        <v>55</v>
      </c>
      <c r="B59" s="278" t="s">
        <v>51</v>
      </c>
      <c r="C59" s="279"/>
      <c r="D59" s="280">
        <v>5896</v>
      </c>
      <c r="E59" s="279">
        <v>5896</v>
      </c>
      <c r="F59" s="279">
        <v>10</v>
      </c>
      <c r="G59" s="209"/>
      <c r="H59" s="279"/>
      <c r="I59" s="279"/>
    </row>
    <row r="60" spans="1:9" x14ac:dyDescent="0.25">
      <c r="A60" s="277">
        <v>56</v>
      </c>
      <c r="B60" s="278" t="s">
        <v>14</v>
      </c>
      <c r="C60" s="279"/>
      <c r="D60" s="280">
        <v>6240</v>
      </c>
      <c r="E60" s="279">
        <v>6240</v>
      </c>
      <c r="F60" s="279">
        <v>4</v>
      </c>
      <c r="G60" s="209"/>
      <c r="H60" s="279"/>
      <c r="I60" s="279"/>
    </row>
    <row r="61" spans="1:9" x14ac:dyDescent="0.25">
      <c r="A61" s="277">
        <v>57</v>
      </c>
      <c r="B61" s="278" t="s">
        <v>52</v>
      </c>
      <c r="C61" s="279"/>
      <c r="D61" s="280">
        <v>12437</v>
      </c>
      <c r="E61" s="279">
        <v>12437</v>
      </c>
      <c r="F61" s="279">
        <v>20</v>
      </c>
      <c r="G61" s="209"/>
      <c r="H61" s="279"/>
      <c r="I61" s="279"/>
    </row>
    <row r="62" spans="1:9" x14ac:dyDescent="0.25">
      <c r="A62" s="277">
        <v>58</v>
      </c>
      <c r="B62" s="278" t="s">
        <v>511</v>
      </c>
      <c r="C62" s="279"/>
      <c r="D62" s="280">
        <v>378559</v>
      </c>
      <c r="E62" s="279">
        <v>312824</v>
      </c>
      <c r="F62" s="279">
        <v>10</v>
      </c>
      <c r="G62" s="205">
        <v>42000</v>
      </c>
      <c r="H62" s="279">
        <v>10</v>
      </c>
      <c r="I62" s="205">
        <v>23735</v>
      </c>
    </row>
    <row r="63" spans="1:9" x14ac:dyDescent="0.25">
      <c r="A63" s="277">
        <v>59</v>
      </c>
      <c r="B63" s="278" t="s">
        <v>512</v>
      </c>
      <c r="C63" s="279"/>
      <c r="D63" s="280">
        <v>3930</v>
      </c>
      <c r="E63" s="279">
        <v>1553</v>
      </c>
      <c r="F63" s="279">
        <v>10</v>
      </c>
      <c r="G63" s="205">
        <v>2377</v>
      </c>
      <c r="H63" s="279">
        <v>3</v>
      </c>
      <c r="I63" s="279"/>
    </row>
    <row r="64" spans="1:9" x14ac:dyDescent="0.25">
      <c r="A64" s="284"/>
      <c r="B64" s="278" t="s">
        <v>513</v>
      </c>
      <c r="C64" s="279"/>
      <c r="D64" s="280">
        <v>16617</v>
      </c>
      <c r="E64" s="279"/>
      <c r="F64" s="279"/>
      <c r="G64" s="279"/>
      <c r="H64" s="279"/>
      <c r="I64" s="279"/>
    </row>
    <row r="65" spans="1:9" s="289" customFormat="1" ht="17.25" customHeight="1" x14ac:dyDescent="0.25">
      <c r="A65" s="285"/>
      <c r="B65" s="286" t="s">
        <v>514</v>
      </c>
      <c r="C65" s="287"/>
      <c r="D65" s="288">
        <v>1168055</v>
      </c>
      <c r="E65" s="288">
        <v>1067399</v>
      </c>
      <c r="F65" s="288">
        <v>511</v>
      </c>
      <c r="G65" s="288">
        <v>60304</v>
      </c>
      <c r="H65" s="288">
        <v>29</v>
      </c>
      <c r="I65" s="288">
        <v>23735</v>
      </c>
    </row>
    <row r="66" spans="1:9" x14ac:dyDescent="0.25">
      <c r="D66" s="290"/>
    </row>
  </sheetData>
  <mergeCells count="5">
    <mergeCell ref="A1:B1"/>
    <mergeCell ref="A3:A4"/>
    <mergeCell ref="B3:B4"/>
    <mergeCell ref="C3:C4"/>
    <mergeCell ref="E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zoomScale="90" zoomScaleNormal="90" workbookViewId="0">
      <pane xSplit="2" ySplit="6" topLeftCell="C134" activePane="bottomRight" state="frozen"/>
      <selection pane="topRight" activeCell="C1" sqref="C1"/>
      <selection pane="bottomLeft" activeCell="A7" sqref="A7"/>
      <selection pane="bottomRight" activeCell="C76" sqref="C76"/>
    </sheetView>
  </sheetViews>
  <sheetFormatPr defaultRowHeight="12.75" x14ac:dyDescent="0.25"/>
  <cols>
    <col min="1" max="1" width="5.5703125" style="30" customWidth="1"/>
    <col min="2" max="2" width="36.140625" style="35" customWidth="1"/>
    <col min="3" max="3" width="13.85546875" style="30" customWidth="1"/>
    <col min="4" max="4" width="11.42578125" style="30" customWidth="1"/>
    <col min="5" max="5" width="11.28515625" style="30" customWidth="1"/>
    <col min="6" max="6" width="13.5703125" style="30" customWidth="1"/>
    <col min="7" max="7" width="8.7109375" style="30" customWidth="1"/>
    <col min="8" max="8" width="10.5703125" style="30" customWidth="1"/>
    <col min="9" max="9" width="9" style="30" customWidth="1"/>
    <col min="10" max="10" width="8.5703125" style="30" customWidth="1"/>
    <col min="11" max="11" width="10.85546875" style="30" customWidth="1"/>
    <col min="12" max="12" width="9.28515625" style="30" customWidth="1"/>
    <col min="13" max="13" width="12.28515625" style="30" customWidth="1"/>
    <col min="14" max="14" width="12.5703125" style="301" customWidth="1"/>
    <col min="15" max="16384" width="9.140625" style="30"/>
  </cols>
  <sheetData>
    <row r="1" spans="1:14" ht="28.5" customHeight="1" x14ac:dyDescent="0.25">
      <c r="A1" s="342" t="s">
        <v>131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3"/>
    </row>
    <row r="2" spans="1:14" ht="14.25" customHeight="1" x14ac:dyDescent="0.25">
      <c r="A2" s="302"/>
      <c r="B2" s="303"/>
      <c r="C2" s="302"/>
      <c r="D2" s="302"/>
      <c r="E2" s="302"/>
      <c r="F2" s="302"/>
      <c r="G2" s="303"/>
      <c r="H2" s="303"/>
      <c r="I2" s="303"/>
      <c r="J2" s="303"/>
      <c r="L2" s="344" t="s">
        <v>132</v>
      </c>
      <c r="M2" s="345"/>
    </row>
    <row r="3" spans="1:14" ht="13.5" customHeight="1" x14ac:dyDescent="0.25">
      <c r="A3" s="341" t="s">
        <v>0</v>
      </c>
      <c r="B3" s="341" t="s">
        <v>133</v>
      </c>
      <c r="C3" s="341" t="s">
        <v>94</v>
      </c>
      <c r="D3" s="304"/>
      <c r="E3" s="346" t="s">
        <v>134</v>
      </c>
      <c r="F3" s="346"/>
      <c r="G3" s="346"/>
      <c r="H3" s="346"/>
      <c r="I3" s="346"/>
      <c r="J3" s="346"/>
      <c r="K3" s="346"/>
      <c r="L3" s="346"/>
      <c r="M3" s="347"/>
    </row>
    <row r="4" spans="1:14" ht="13.5" customHeight="1" x14ac:dyDescent="0.25">
      <c r="A4" s="341"/>
      <c r="B4" s="341"/>
      <c r="C4" s="341"/>
      <c r="D4" s="348" t="s">
        <v>135</v>
      </c>
      <c r="E4" s="348" t="s">
        <v>95</v>
      </c>
      <c r="F4" s="341" t="s">
        <v>136</v>
      </c>
      <c r="G4" s="341"/>
      <c r="H4" s="341"/>
      <c r="I4" s="341"/>
      <c r="J4" s="341"/>
      <c r="K4" s="341"/>
      <c r="L4" s="341"/>
      <c r="M4" s="351" t="s">
        <v>137</v>
      </c>
    </row>
    <row r="5" spans="1:14" ht="30.75" customHeight="1" x14ac:dyDescent="0.25">
      <c r="A5" s="341"/>
      <c r="B5" s="341"/>
      <c r="C5" s="341"/>
      <c r="D5" s="349"/>
      <c r="E5" s="349"/>
      <c r="F5" s="341" t="s">
        <v>138</v>
      </c>
      <c r="G5" s="341" t="s">
        <v>139</v>
      </c>
      <c r="H5" s="341" t="s">
        <v>140</v>
      </c>
      <c r="I5" s="341" t="s">
        <v>141</v>
      </c>
      <c r="J5" s="341"/>
      <c r="K5" s="341" t="s">
        <v>142</v>
      </c>
      <c r="L5" s="341" t="s">
        <v>143</v>
      </c>
      <c r="M5" s="349"/>
    </row>
    <row r="6" spans="1:14" ht="21.75" customHeight="1" x14ac:dyDescent="0.25">
      <c r="A6" s="341"/>
      <c r="B6" s="341"/>
      <c r="C6" s="341"/>
      <c r="D6" s="350"/>
      <c r="E6" s="350"/>
      <c r="F6" s="341"/>
      <c r="G6" s="341"/>
      <c r="H6" s="341"/>
      <c r="I6" s="296" t="s">
        <v>144</v>
      </c>
      <c r="J6" s="296" t="s">
        <v>145</v>
      </c>
      <c r="K6" s="341"/>
      <c r="L6" s="341"/>
      <c r="M6" s="350"/>
    </row>
    <row r="7" spans="1:14" ht="16.5" customHeight="1" x14ac:dyDescent="0.25">
      <c r="A7" s="305">
        <v>1</v>
      </c>
      <c r="B7" s="306" t="s">
        <v>78</v>
      </c>
      <c r="C7" s="31">
        <f>D7+E7+M7</f>
        <v>207</v>
      </c>
      <c r="D7" s="31"/>
      <c r="E7" s="31">
        <v>207</v>
      </c>
      <c r="F7" s="31"/>
      <c r="G7" s="31"/>
      <c r="H7" s="31"/>
      <c r="I7" s="31"/>
      <c r="J7" s="31"/>
      <c r="K7" s="31"/>
      <c r="L7" s="31"/>
      <c r="M7" s="307"/>
    </row>
    <row r="8" spans="1:14" ht="16.5" customHeight="1" x14ac:dyDescent="0.25">
      <c r="A8" s="305">
        <v>2</v>
      </c>
      <c r="B8" s="306" t="s">
        <v>76</v>
      </c>
      <c r="C8" s="31">
        <f t="shared" ref="C8:C72" si="0">D8+E8+M8</f>
        <v>294</v>
      </c>
      <c r="D8" s="31"/>
      <c r="E8" s="31">
        <v>294</v>
      </c>
      <c r="F8" s="31"/>
      <c r="G8" s="31"/>
      <c r="H8" s="31"/>
      <c r="I8" s="31"/>
      <c r="J8" s="31"/>
      <c r="K8" s="31"/>
      <c r="L8" s="31"/>
      <c r="M8" s="307"/>
    </row>
    <row r="9" spans="1:14" ht="15.75" customHeight="1" x14ac:dyDescent="0.25">
      <c r="A9" s="305">
        <v>3</v>
      </c>
      <c r="B9" s="306" t="s">
        <v>146</v>
      </c>
      <c r="C9" s="31">
        <f t="shared" si="0"/>
        <v>432</v>
      </c>
      <c r="D9" s="31"/>
      <c r="E9" s="31">
        <v>432</v>
      </c>
      <c r="F9" s="31"/>
      <c r="G9" s="31"/>
      <c r="H9" s="31"/>
      <c r="I9" s="31"/>
      <c r="J9" s="31">
        <v>432</v>
      </c>
      <c r="K9" s="31"/>
      <c r="L9" s="31"/>
      <c r="M9" s="307"/>
    </row>
    <row r="10" spans="1:14" s="32" customFormat="1" ht="15.75" customHeight="1" x14ac:dyDescent="0.25">
      <c r="A10" s="305">
        <v>4</v>
      </c>
      <c r="B10" s="306" t="s">
        <v>48</v>
      </c>
      <c r="C10" s="31">
        <f t="shared" si="0"/>
        <v>1489</v>
      </c>
      <c r="D10" s="31"/>
      <c r="E10" s="31">
        <v>1489</v>
      </c>
      <c r="F10" s="31">
        <v>133</v>
      </c>
      <c r="G10" s="31"/>
      <c r="H10" s="31"/>
      <c r="I10" s="31"/>
      <c r="J10" s="31"/>
      <c r="K10" s="31"/>
      <c r="L10" s="31"/>
      <c r="M10" s="308"/>
      <c r="N10" s="301"/>
    </row>
    <row r="11" spans="1:14" s="32" customFormat="1" ht="17.25" customHeight="1" x14ac:dyDescent="0.25">
      <c r="A11" s="305">
        <v>5</v>
      </c>
      <c r="B11" s="306" t="s">
        <v>3</v>
      </c>
      <c r="C11" s="31">
        <f t="shared" si="0"/>
        <v>866</v>
      </c>
      <c r="D11" s="31"/>
      <c r="E11" s="31">
        <v>866</v>
      </c>
      <c r="F11" s="31">
        <v>69</v>
      </c>
      <c r="G11" s="31"/>
      <c r="H11" s="31"/>
      <c r="I11" s="31"/>
      <c r="J11" s="31"/>
      <c r="K11" s="31"/>
      <c r="L11" s="31"/>
      <c r="M11" s="308"/>
      <c r="N11" s="301"/>
    </row>
    <row r="12" spans="1:14" s="32" customFormat="1" ht="16.5" customHeight="1" x14ac:dyDescent="0.25">
      <c r="A12" s="305">
        <v>6</v>
      </c>
      <c r="B12" s="306" t="s">
        <v>1</v>
      </c>
      <c r="C12" s="31">
        <f t="shared" si="0"/>
        <v>2058</v>
      </c>
      <c r="D12" s="31"/>
      <c r="E12" s="31">
        <v>2058</v>
      </c>
      <c r="F12" s="31">
        <v>203</v>
      </c>
      <c r="G12" s="31"/>
      <c r="H12" s="31"/>
      <c r="I12" s="31"/>
      <c r="J12" s="31"/>
      <c r="K12" s="31"/>
      <c r="L12" s="31"/>
      <c r="M12" s="308"/>
      <c r="N12" s="301"/>
    </row>
    <row r="13" spans="1:14" s="32" customFormat="1" ht="16.5" customHeight="1" x14ac:dyDescent="0.25">
      <c r="A13" s="305">
        <v>7</v>
      </c>
      <c r="B13" s="306" t="s">
        <v>4</v>
      </c>
      <c r="C13" s="31">
        <f t="shared" si="0"/>
        <v>980</v>
      </c>
      <c r="D13" s="31"/>
      <c r="E13" s="31">
        <v>980</v>
      </c>
      <c r="F13" s="31">
        <v>80</v>
      </c>
      <c r="G13" s="31"/>
      <c r="H13" s="31"/>
      <c r="I13" s="31"/>
      <c r="J13" s="31"/>
      <c r="K13" s="31"/>
      <c r="L13" s="31"/>
      <c r="M13" s="308"/>
      <c r="N13" s="301"/>
    </row>
    <row r="14" spans="1:14" ht="18" customHeight="1" x14ac:dyDescent="0.25">
      <c r="A14" s="305">
        <v>8</v>
      </c>
      <c r="B14" s="306" t="s">
        <v>6</v>
      </c>
      <c r="C14" s="31">
        <f t="shared" si="0"/>
        <v>2778</v>
      </c>
      <c r="D14" s="31"/>
      <c r="E14" s="31">
        <v>2778</v>
      </c>
      <c r="F14" s="31">
        <v>265</v>
      </c>
      <c r="G14" s="31"/>
      <c r="H14" s="31"/>
      <c r="I14" s="31"/>
      <c r="J14" s="31"/>
      <c r="K14" s="31"/>
      <c r="L14" s="31"/>
      <c r="M14" s="307"/>
    </row>
    <row r="15" spans="1:14" ht="17.25" customHeight="1" x14ac:dyDescent="0.25">
      <c r="A15" s="305">
        <v>9</v>
      </c>
      <c r="B15" s="306" t="s">
        <v>7</v>
      </c>
      <c r="C15" s="31">
        <f t="shared" si="0"/>
        <v>1340</v>
      </c>
      <c r="D15" s="31"/>
      <c r="E15" s="31">
        <v>1340</v>
      </c>
      <c r="F15" s="31">
        <v>100</v>
      </c>
      <c r="G15" s="31"/>
      <c r="H15" s="31"/>
      <c r="I15" s="31"/>
      <c r="J15" s="31"/>
      <c r="K15" s="31"/>
      <c r="L15" s="31"/>
      <c r="M15" s="307"/>
    </row>
    <row r="16" spans="1:14" ht="16.5" customHeight="1" x14ac:dyDescent="0.25">
      <c r="A16" s="305">
        <v>10</v>
      </c>
      <c r="B16" s="306" t="s">
        <v>8</v>
      </c>
      <c r="C16" s="31">
        <f t="shared" si="0"/>
        <v>977</v>
      </c>
      <c r="D16" s="31"/>
      <c r="E16" s="31">
        <v>977</v>
      </c>
      <c r="F16" s="31">
        <v>71</v>
      </c>
      <c r="G16" s="31"/>
      <c r="H16" s="31"/>
      <c r="I16" s="31"/>
      <c r="J16" s="31"/>
      <c r="K16" s="31"/>
      <c r="L16" s="31"/>
      <c r="M16" s="307"/>
    </row>
    <row r="17" spans="1:14" ht="15.75" customHeight="1" x14ac:dyDescent="0.25">
      <c r="A17" s="305">
        <v>11</v>
      </c>
      <c r="B17" s="306" t="s">
        <v>9</v>
      </c>
      <c r="C17" s="31">
        <f t="shared" si="0"/>
        <v>4963</v>
      </c>
      <c r="D17" s="31"/>
      <c r="E17" s="31">
        <v>4963</v>
      </c>
      <c r="F17" s="31">
        <v>343</v>
      </c>
      <c r="G17" s="31"/>
      <c r="H17" s="31">
        <v>406</v>
      </c>
      <c r="I17" s="31"/>
      <c r="J17" s="31"/>
      <c r="K17" s="31">
        <v>6</v>
      </c>
      <c r="L17" s="31"/>
      <c r="M17" s="307"/>
    </row>
    <row r="18" spans="1:14" ht="16.5" customHeight="1" x14ac:dyDescent="0.25">
      <c r="A18" s="305">
        <v>12</v>
      </c>
      <c r="B18" s="306" t="s">
        <v>10</v>
      </c>
      <c r="C18" s="31">
        <f t="shared" si="0"/>
        <v>910</v>
      </c>
      <c r="D18" s="31"/>
      <c r="E18" s="31">
        <v>910</v>
      </c>
      <c r="F18" s="31">
        <v>79</v>
      </c>
      <c r="G18" s="31"/>
      <c r="H18" s="31"/>
      <c r="I18" s="31"/>
      <c r="J18" s="31"/>
      <c r="K18" s="31"/>
      <c r="L18" s="31"/>
      <c r="M18" s="307"/>
    </row>
    <row r="19" spans="1:14" ht="18.75" customHeight="1" x14ac:dyDescent="0.25">
      <c r="A19" s="305">
        <v>13</v>
      </c>
      <c r="B19" s="306" t="s">
        <v>11</v>
      </c>
      <c r="C19" s="31">
        <f t="shared" si="0"/>
        <v>5504</v>
      </c>
      <c r="D19" s="31"/>
      <c r="E19" s="31">
        <v>5504</v>
      </c>
      <c r="F19" s="31">
        <v>417</v>
      </c>
      <c r="G19" s="31"/>
      <c r="H19" s="31">
        <v>421</v>
      </c>
      <c r="I19" s="31"/>
      <c r="J19" s="31"/>
      <c r="K19" s="31">
        <v>8</v>
      </c>
      <c r="L19" s="31"/>
      <c r="M19" s="307"/>
    </row>
    <row r="20" spans="1:14" ht="19.5" customHeight="1" x14ac:dyDescent="0.25">
      <c r="A20" s="305">
        <v>14</v>
      </c>
      <c r="B20" s="306" t="s">
        <v>12</v>
      </c>
      <c r="C20" s="31">
        <f t="shared" si="0"/>
        <v>1038</v>
      </c>
      <c r="D20" s="31"/>
      <c r="E20" s="31">
        <v>1038</v>
      </c>
      <c r="F20" s="31">
        <v>78</v>
      </c>
      <c r="G20" s="31"/>
      <c r="H20" s="31"/>
      <c r="I20" s="31"/>
      <c r="J20" s="31"/>
      <c r="K20" s="31"/>
      <c r="L20" s="31"/>
      <c r="M20" s="307"/>
    </row>
    <row r="21" spans="1:14" ht="20.25" customHeight="1" x14ac:dyDescent="0.25">
      <c r="A21" s="305">
        <v>15</v>
      </c>
      <c r="B21" s="306" t="s">
        <v>13</v>
      </c>
      <c r="C21" s="31">
        <f t="shared" si="0"/>
        <v>3646</v>
      </c>
      <c r="D21" s="31"/>
      <c r="E21" s="31">
        <v>3646</v>
      </c>
      <c r="F21" s="31">
        <v>253</v>
      </c>
      <c r="G21" s="31"/>
      <c r="H21" s="31">
        <v>728</v>
      </c>
      <c r="I21" s="31"/>
      <c r="J21" s="31"/>
      <c r="K21" s="31">
        <v>4</v>
      </c>
      <c r="L21" s="31"/>
      <c r="M21" s="307"/>
    </row>
    <row r="22" spans="1:14" ht="17.25" customHeight="1" x14ac:dyDescent="0.25">
      <c r="A22" s="305">
        <v>16</v>
      </c>
      <c r="B22" s="306" t="s">
        <v>15</v>
      </c>
      <c r="C22" s="31">
        <f t="shared" si="0"/>
        <v>2425</v>
      </c>
      <c r="D22" s="31"/>
      <c r="E22" s="31">
        <v>2425</v>
      </c>
      <c r="F22" s="31">
        <v>215</v>
      </c>
      <c r="G22" s="31"/>
      <c r="H22" s="31"/>
      <c r="I22" s="31"/>
      <c r="J22" s="31"/>
      <c r="K22" s="31"/>
      <c r="L22" s="31"/>
      <c r="M22" s="307"/>
    </row>
    <row r="23" spans="1:14" ht="19.5" customHeight="1" x14ac:dyDescent="0.25">
      <c r="A23" s="305">
        <v>17</v>
      </c>
      <c r="B23" s="306" t="s">
        <v>38</v>
      </c>
      <c r="C23" s="31">
        <f t="shared" si="0"/>
        <v>1090</v>
      </c>
      <c r="D23" s="31"/>
      <c r="E23" s="31">
        <v>1090</v>
      </c>
      <c r="F23" s="31">
        <v>90</v>
      </c>
      <c r="G23" s="31"/>
      <c r="H23" s="31"/>
      <c r="I23" s="31"/>
      <c r="J23" s="31"/>
      <c r="K23" s="31"/>
      <c r="L23" s="31"/>
      <c r="M23" s="307"/>
    </row>
    <row r="24" spans="1:14" ht="17.25" customHeight="1" x14ac:dyDescent="0.25">
      <c r="A24" s="305">
        <v>18</v>
      </c>
      <c r="B24" s="306" t="s">
        <v>16</v>
      </c>
      <c r="C24" s="31">
        <f t="shared" si="0"/>
        <v>1333</v>
      </c>
      <c r="D24" s="31"/>
      <c r="E24" s="31">
        <v>1333</v>
      </c>
      <c r="F24" s="31">
        <v>92</v>
      </c>
      <c r="G24" s="31"/>
      <c r="H24" s="31"/>
      <c r="I24" s="31"/>
      <c r="J24" s="31"/>
      <c r="K24" s="31"/>
      <c r="L24" s="31"/>
      <c r="M24" s="307"/>
    </row>
    <row r="25" spans="1:14" ht="17.25" customHeight="1" x14ac:dyDescent="0.25">
      <c r="A25" s="305">
        <v>19</v>
      </c>
      <c r="B25" s="306" t="s">
        <v>17</v>
      </c>
      <c r="C25" s="31">
        <f t="shared" si="0"/>
        <v>1084</v>
      </c>
      <c r="D25" s="31"/>
      <c r="E25" s="31">
        <v>1084</v>
      </c>
      <c r="F25" s="31">
        <v>70</v>
      </c>
      <c r="G25" s="31"/>
      <c r="H25" s="31"/>
      <c r="I25" s="31"/>
      <c r="J25" s="31"/>
      <c r="K25" s="31"/>
      <c r="L25" s="31"/>
      <c r="M25" s="307"/>
    </row>
    <row r="26" spans="1:14" ht="17.25" customHeight="1" x14ac:dyDescent="0.25">
      <c r="A26" s="305">
        <v>20</v>
      </c>
      <c r="B26" s="306" t="s">
        <v>18</v>
      </c>
      <c r="C26" s="31">
        <f t="shared" si="0"/>
        <v>855</v>
      </c>
      <c r="D26" s="31"/>
      <c r="E26" s="31">
        <v>855</v>
      </c>
      <c r="F26" s="31">
        <v>91</v>
      </c>
      <c r="G26" s="31"/>
      <c r="H26" s="31"/>
      <c r="I26" s="31"/>
      <c r="J26" s="31"/>
      <c r="K26" s="31"/>
      <c r="L26" s="31"/>
      <c r="M26" s="307"/>
    </row>
    <row r="27" spans="1:14" ht="18" customHeight="1" x14ac:dyDescent="0.25">
      <c r="A27" s="305">
        <v>21</v>
      </c>
      <c r="B27" s="306" t="s">
        <v>44</v>
      </c>
      <c r="C27" s="31">
        <f t="shared" si="0"/>
        <v>1168</v>
      </c>
      <c r="D27" s="31"/>
      <c r="E27" s="31">
        <v>1168</v>
      </c>
      <c r="F27" s="31">
        <v>91</v>
      </c>
      <c r="G27" s="31"/>
      <c r="H27" s="31"/>
      <c r="I27" s="31"/>
      <c r="J27" s="31"/>
      <c r="K27" s="31"/>
      <c r="L27" s="31"/>
      <c r="M27" s="307"/>
    </row>
    <row r="28" spans="1:14" ht="18" customHeight="1" x14ac:dyDescent="0.25">
      <c r="A28" s="305">
        <v>22</v>
      </c>
      <c r="B28" s="306" t="s">
        <v>27</v>
      </c>
      <c r="C28" s="31">
        <f t="shared" si="0"/>
        <v>1554</v>
      </c>
      <c r="D28" s="31"/>
      <c r="E28" s="31">
        <v>1554</v>
      </c>
      <c r="F28" s="31">
        <v>118</v>
      </c>
      <c r="G28" s="31"/>
      <c r="H28" s="31"/>
      <c r="I28" s="31"/>
      <c r="J28" s="31"/>
      <c r="K28" s="31"/>
      <c r="L28" s="31"/>
      <c r="M28" s="307"/>
    </row>
    <row r="29" spans="1:14" ht="17.25" customHeight="1" x14ac:dyDescent="0.25">
      <c r="A29" s="305">
        <v>23</v>
      </c>
      <c r="B29" s="306" t="s">
        <v>36</v>
      </c>
      <c r="C29" s="31">
        <f t="shared" si="0"/>
        <v>3694</v>
      </c>
      <c r="D29" s="31"/>
      <c r="E29" s="31">
        <v>3694</v>
      </c>
      <c r="F29" s="31">
        <v>210</v>
      </c>
      <c r="G29" s="31"/>
      <c r="H29" s="31">
        <v>679</v>
      </c>
      <c r="I29" s="31"/>
      <c r="J29" s="31"/>
      <c r="K29" s="31">
        <v>4</v>
      </c>
      <c r="L29" s="31"/>
      <c r="M29" s="307"/>
    </row>
    <row r="30" spans="1:14" ht="17.25" customHeight="1" x14ac:dyDescent="0.25">
      <c r="A30" s="305">
        <v>24</v>
      </c>
      <c r="B30" s="306" t="s">
        <v>147</v>
      </c>
      <c r="C30" s="31">
        <f t="shared" si="0"/>
        <v>7370</v>
      </c>
      <c r="D30" s="31"/>
      <c r="E30" s="31">
        <v>7370</v>
      </c>
      <c r="F30" s="31">
        <v>1291</v>
      </c>
      <c r="G30" s="31"/>
      <c r="H30" s="31">
        <v>450</v>
      </c>
      <c r="I30" s="31"/>
      <c r="J30" s="31"/>
      <c r="K30" s="31">
        <v>8</v>
      </c>
      <c r="L30" s="31"/>
      <c r="M30" s="307"/>
    </row>
    <row r="31" spans="1:14" ht="16.5" customHeight="1" x14ac:dyDescent="0.25">
      <c r="A31" s="305">
        <v>25</v>
      </c>
      <c r="B31" s="306" t="s">
        <v>54</v>
      </c>
      <c r="C31" s="31">
        <f t="shared" si="0"/>
        <v>4096</v>
      </c>
      <c r="D31" s="31"/>
      <c r="E31" s="31">
        <v>4096</v>
      </c>
      <c r="F31" s="31"/>
      <c r="G31" s="31"/>
      <c r="H31" s="31">
        <v>690</v>
      </c>
      <c r="I31" s="31"/>
      <c r="J31" s="31"/>
      <c r="K31" s="31">
        <v>6</v>
      </c>
      <c r="L31" s="31"/>
      <c r="M31" s="307"/>
    </row>
    <row r="32" spans="1:14" s="32" customFormat="1" ht="21" customHeight="1" x14ac:dyDescent="0.25">
      <c r="A32" s="338">
        <v>26</v>
      </c>
      <c r="B32" s="306" t="s">
        <v>148</v>
      </c>
      <c r="C32" s="31">
        <f t="shared" si="0"/>
        <v>3300</v>
      </c>
      <c r="D32" s="31"/>
      <c r="E32" s="31">
        <f>3300</f>
        <v>3300</v>
      </c>
      <c r="F32" s="31"/>
      <c r="G32" s="31"/>
      <c r="H32" s="31">
        <v>507</v>
      </c>
      <c r="I32" s="31"/>
      <c r="J32" s="31"/>
      <c r="K32" s="31"/>
      <c r="L32" s="31"/>
      <c r="M32" s="308"/>
      <c r="N32" s="301"/>
    </row>
    <row r="33" spans="1:14" s="32" customFormat="1" ht="40.5" customHeight="1" x14ac:dyDescent="0.25">
      <c r="A33" s="339"/>
      <c r="B33" s="318" t="s">
        <v>639</v>
      </c>
      <c r="C33" s="31">
        <f t="shared" si="0"/>
        <v>2485</v>
      </c>
      <c r="D33" s="31"/>
      <c r="E33" s="31">
        <f>0+2485</f>
        <v>2485</v>
      </c>
      <c r="F33" s="31"/>
      <c r="G33" s="31"/>
      <c r="H33" s="31"/>
      <c r="I33" s="31"/>
      <c r="J33" s="31"/>
      <c r="K33" s="31"/>
      <c r="L33" s="31"/>
      <c r="M33" s="308"/>
      <c r="N33" s="301"/>
    </row>
    <row r="34" spans="1:14" ht="16.5" customHeight="1" x14ac:dyDescent="0.25">
      <c r="A34" s="305">
        <v>27</v>
      </c>
      <c r="B34" s="306" t="s">
        <v>149</v>
      </c>
      <c r="C34" s="31">
        <f t="shared" si="0"/>
        <v>475</v>
      </c>
      <c r="D34" s="31"/>
      <c r="E34" s="31">
        <f>2960-2485</f>
        <v>475</v>
      </c>
      <c r="F34" s="31"/>
      <c r="G34" s="31"/>
      <c r="H34" s="31"/>
      <c r="I34" s="31"/>
      <c r="J34" s="31"/>
      <c r="K34" s="31"/>
      <c r="L34" s="31"/>
      <c r="M34" s="307"/>
    </row>
    <row r="35" spans="1:14" ht="23.25" customHeight="1" x14ac:dyDescent="0.25">
      <c r="A35" s="305">
        <v>28</v>
      </c>
      <c r="B35" s="309" t="s">
        <v>150</v>
      </c>
      <c r="C35" s="31">
        <f t="shared" si="0"/>
        <v>3211</v>
      </c>
      <c r="D35" s="31"/>
      <c r="E35" s="31">
        <v>3211</v>
      </c>
      <c r="F35" s="31">
        <v>301</v>
      </c>
      <c r="G35" s="31"/>
      <c r="H35" s="31"/>
      <c r="I35" s="31"/>
      <c r="J35" s="31"/>
      <c r="K35" s="31"/>
      <c r="L35" s="31"/>
      <c r="M35" s="307"/>
    </row>
    <row r="36" spans="1:14" ht="18.75" customHeight="1" x14ac:dyDescent="0.25">
      <c r="A36" s="305">
        <v>29</v>
      </c>
      <c r="B36" s="306" t="s">
        <v>151</v>
      </c>
      <c r="C36" s="31">
        <f t="shared" si="0"/>
        <v>1532</v>
      </c>
      <c r="D36" s="31"/>
      <c r="E36" s="31">
        <v>1532</v>
      </c>
      <c r="F36" s="31">
        <v>251</v>
      </c>
      <c r="G36" s="31"/>
      <c r="H36" s="31"/>
      <c r="I36" s="31"/>
      <c r="J36" s="31"/>
      <c r="K36" s="31"/>
      <c r="L36" s="31"/>
      <c r="M36" s="307"/>
    </row>
    <row r="37" spans="1:14" ht="18.75" customHeight="1" x14ac:dyDescent="0.25">
      <c r="A37" s="305">
        <v>30</v>
      </c>
      <c r="B37" s="306" t="s">
        <v>152</v>
      </c>
      <c r="C37" s="31">
        <f t="shared" si="0"/>
        <v>5894</v>
      </c>
      <c r="D37" s="31"/>
      <c r="E37" s="31">
        <v>5894</v>
      </c>
      <c r="F37" s="31">
        <v>1046</v>
      </c>
      <c r="G37" s="31"/>
      <c r="H37" s="31">
        <v>590</v>
      </c>
      <c r="I37" s="31"/>
      <c r="J37" s="31">
        <v>30</v>
      </c>
      <c r="K37" s="31">
        <v>12</v>
      </c>
      <c r="L37" s="31"/>
      <c r="M37" s="307"/>
    </row>
    <row r="38" spans="1:14" ht="20.25" customHeight="1" x14ac:dyDescent="0.25">
      <c r="A38" s="305">
        <v>31</v>
      </c>
      <c r="B38" s="306" t="s">
        <v>153</v>
      </c>
      <c r="C38" s="31">
        <f t="shared" si="0"/>
        <v>329</v>
      </c>
      <c r="D38" s="31"/>
      <c r="E38" s="31">
        <v>329</v>
      </c>
      <c r="F38" s="31"/>
      <c r="G38" s="31"/>
      <c r="H38" s="31"/>
      <c r="I38" s="31"/>
      <c r="J38" s="31"/>
      <c r="K38" s="31"/>
      <c r="L38" s="31"/>
      <c r="M38" s="307"/>
    </row>
    <row r="39" spans="1:14" ht="17.25" customHeight="1" x14ac:dyDescent="0.25">
      <c r="A39" s="305">
        <v>32</v>
      </c>
      <c r="B39" s="306" t="s">
        <v>154</v>
      </c>
      <c r="C39" s="31">
        <f t="shared" si="0"/>
        <v>2191</v>
      </c>
      <c r="D39" s="31"/>
      <c r="E39" s="31">
        <v>2191</v>
      </c>
      <c r="F39" s="31">
        <v>2191</v>
      </c>
      <c r="G39" s="31"/>
      <c r="H39" s="31"/>
      <c r="I39" s="31"/>
      <c r="J39" s="31"/>
      <c r="K39" s="31">
        <f>20+5</f>
        <v>25</v>
      </c>
      <c r="L39" s="31"/>
      <c r="M39" s="307"/>
    </row>
    <row r="40" spans="1:14" ht="18" customHeight="1" x14ac:dyDescent="0.25">
      <c r="A40" s="305">
        <v>33</v>
      </c>
      <c r="B40" s="309" t="s">
        <v>20</v>
      </c>
      <c r="C40" s="31">
        <f t="shared" si="0"/>
        <v>1856</v>
      </c>
      <c r="D40" s="31"/>
      <c r="E40" s="31">
        <v>1856</v>
      </c>
      <c r="F40" s="31">
        <v>146</v>
      </c>
      <c r="G40" s="31"/>
      <c r="H40" s="31"/>
      <c r="I40" s="31"/>
      <c r="J40" s="31"/>
      <c r="K40" s="31"/>
      <c r="L40" s="31"/>
      <c r="M40" s="307"/>
    </row>
    <row r="41" spans="1:14" ht="17.25" customHeight="1" x14ac:dyDescent="0.25">
      <c r="A41" s="305">
        <v>34</v>
      </c>
      <c r="B41" s="306" t="s">
        <v>22</v>
      </c>
      <c r="C41" s="31">
        <f t="shared" si="0"/>
        <v>2896</v>
      </c>
      <c r="D41" s="31"/>
      <c r="E41" s="31">
        <v>2896</v>
      </c>
      <c r="F41" s="31">
        <v>225</v>
      </c>
      <c r="G41" s="31"/>
      <c r="H41" s="31"/>
      <c r="I41" s="31"/>
      <c r="J41" s="31"/>
      <c r="K41" s="31">
        <v>4</v>
      </c>
      <c r="L41" s="31"/>
      <c r="M41" s="307"/>
    </row>
    <row r="42" spans="1:14" ht="17.25" customHeight="1" x14ac:dyDescent="0.25">
      <c r="A42" s="305">
        <v>35</v>
      </c>
      <c r="B42" s="306" t="s">
        <v>23</v>
      </c>
      <c r="C42" s="31">
        <f t="shared" si="0"/>
        <v>652</v>
      </c>
      <c r="D42" s="31"/>
      <c r="E42" s="31">
        <v>652</v>
      </c>
      <c r="F42" s="31">
        <v>41</v>
      </c>
      <c r="G42" s="31"/>
      <c r="H42" s="31"/>
      <c r="I42" s="31"/>
      <c r="J42" s="31"/>
      <c r="K42" s="31"/>
      <c r="L42" s="31"/>
      <c r="M42" s="307"/>
    </row>
    <row r="43" spans="1:14" ht="18" customHeight="1" x14ac:dyDescent="0.25">
      <c r="A43" s="305">
        <v>36</v>
      </c>
      <c r="B43" s="306" t="s">
        <v>25</v>
      </c>
      <c r="C43" s="31">
        <f t="shared" si="0"/>
        <v>702</v>
      </c>
      <c r="D43" s="31"/>
      <c r="E43" s="31">
        <v>702</v>
      </c>
      <c r="F43" s="31">
        <v>59</v>
      </c>
      <c r="G43" s="31"/>
      <c r="H43" s="31"/>
      <c r="I43" s="31"/>
      <c r="J43" s="31"/>
      <c r="K43" s="31"/>
      <c r="L43" s="31"/>
      <c r="M43" s="307"/>
    </row>
    <row r="44" spans="1:14" ht="19.5" customHeight="1" x14ac:dyDescent="0.25">
      <c r="A44" s="305">
        <v>37</v>
      </c>
      <c r="B44" s="306" t="s">
        <v>26</v>
      </c>
      <c r="C44" s="31">
        <f t="shared" si="0"/>
        <v>2628</v>
      </c>
      <c r="D44" s="31"/>
      <c r="E44" s="31">
        <v>2628</v>
      </c>
      <c r="F44" s="31">
        <v>249</v>
      </c>
      <c r="G44" s="31"/>
      <c r="H44" s="31"/>
      <c r="I44" s="31"/>
      <c r="J44" s="31"/>
      <c r="K44" s="31"/>
      <c r="L44" s="31"/>
      <c r="M44" s="307"/>
    </row>
    <row r="45" spans="1:14" ht="20.25" customHeight="1" x14ac:dyDescent="0.25">
      <c r="A45" s="305">
        <v>38</v>
      </c>
      <c r="B45" s="306" t="s">
        <v>24</v>
      </c>
      <c r="C45" s="31">
        <f t="shared" si="0"/>
        <v>1275</v>
      </c>
      <c r="D45" s="31"/>
      <c r="E45" s="31">
        <v>1275</v>
      </c>
      <c r="F45" s="31">
        <v>112</v>
      </c>
      <c r="G45" s="31"/>
      <c r="H45" s="31"/>
      <c r="I45" s="31"/>
      <c r="J45" s="31"/>
      <c r="K45" s="31"/>
      <c r="L45" s="31"/>
      <c r="M45" s="307"/>
    </row>
    <row r="46" spans="1:14" ht="18" customHeight="1" x14ac:dyDescent="0.25">
      <c r="A46" s="305">
        <v>39</v>
      </c>
      <c r="B46" s="306" t="s">
        <v>28</v>
      </c>
      <c r="C46" s="31">
        <f t="shared" si="0"/>
        <v>4196</v>
      </c>
      <c r="D46" s="31"/>
      <c r="E46" s="31">
        <v>4196</v>
      </c>
      <c r="F46" s="31">
        <v>337</v>
      </c>
      <c r="G46" s="33"/>
      <c r="H46" s="33"/>
      <c r="I46" s="33"/>
      <c r="J46" s="33"/>
      <c r="K46" s="33"/>
      <c r="L46" s="33"/>
      <c r="M46" s="307"/>
    </row>
    <row r="47" spans="1:14" ht="18.75" customHeight="1" x14ac:dyDescent="0.25">
      <c r="A47" s="305">
        <v>40</v>
      </c>
      <c r="B47" s="306" t="s">
        <v>29</v>
      </c>
      <c r="C47" s="31">
        <f t="shared" si="0"/>
        <v>1223</v>
      </c>
      <c r="D47" s="31"/>
      <c r="E47" s="31">
        <v>1223</v>
      </c>
      <c r="F47" s="31">
        <v>98</v>
      </c>
      <c r="G47" s="31"/>
      <c r="H47" s="31"/>
      <c r="I47" s="31"/>
      <c r="J47" s="31"/>
      <c r="K47" s="31"/>
      <c r="L47" s="31"/>
      <c r="M47" s="307"/>
    </row>
    <row r="48" spans="1:14" ht="18" customHeight="1" x14ac:dyDescent="0.25">
      <c r="A48" s="305">
        <v>41</v>
      </c>
      <c r="B48" s="306" t="s">
        <v>30</v>
      </c>
      <c r="C48" s="31">
        <f t="shared" si="0"/>
        <v>1118</v>
      </c>
      <c r="D48" s="31"/>
      <c r="E48" s="31">
        <v>1118</v>
      </c>
      <c r="F48" s="31">
        <v>82</v>
      </c>
      <c r="G48" s="31"/>
      <c r="H48" s="31"/>
      <c r="I48" s="31"/>
      <c r="J48" s="31"/>
      <c r="K48" s="31"/>
      <c r="L48" s="31"/>
      <c r="M48" s="307"/>
    </row>
    <row r="49" spans="1:13" ht="18" customHeight="1" x14ac:dyDescent="0.25">
      <c r="A49" s="305">
        <v>42</v>
      </c>
      <c r="B49" s="306" t="s">
        <v>31</v>
      </c>
      <c r="C49" s="31">
        <f t="shared" si="0"/>
        <v>2293</v>
      </c>
      <c r="D49" s="31"/>
      <c r="E49" s="31">
        <v>2293</v>
      </c>
      <c r="F49" s="31">
        <v>192</v>
      </c>
      <c r="G49" s="31"/>
      <c r="H49" s="31"/>
      <c r="I49" s="31"/>
      <c r="J49" s="31"/>
      <c r="K49" s="31"/>
      <c r="L49" s="31"/>
      <c r="M49" s="307"/>
    </row>
    <row r="50" spans="1:13" ht="18.75" customHeight="1" x14ac:dyDescent="0.25">
      <c r="A50" s="305">
        <v>43</v>
      </c>
      <c r="B50" s="306" t="s">
        <v>32</v>
      </c>
      <c r="C50" s="31">
        <f t="shared" si="0"/>
        <v>815</v>
      </c>
      <c r="D50" s="31"/>
      <c r="E50" s="31">
        <v>815</v>
      </c>
      <c r="F50" s="31">
        <v>69</v>
      </c>
      <c r="G50" s="31"/>
      <c r="H50" s="31"/>
      <c r="I50" s="31"/>
      <c r="J50" s="31"/>
      <c r="K50" s="31"/>
      <c r="L50" s="31"/>
      <c r="M50" s="307"/>
    </row>
    <row r="51" spans="1:13" ht="15" customHeight="1" x14ac:dyDescent="0.25">
      <c r="A51" s="305">
        <v>44</v>
      </c>
      <c r="B51" s="306" t="s">
        <v>33</v>
      </c>
      <c r="C51" s="31">
        <f t="shared" si="0"/>
        <v>1345</v>
      </c>
      <c r="D51" s="31"/>
      <c r="E51" s="31">
        <v>1345</v>
      </c>
      <c r="F51" s="31">
        <v>93</v>
      </c>
      <c r="G51" s="33"/>
      <c r="H51" s="33"/>
      <c r="I51" s="33"/>
      <c r="J51" s="33"/>
      <c r="K51" s="33"/>
      <c r="L51" s="33"/>
      <c r="M51" s="307"/>
    </row>
    <row r="52" spans="1:13" ht="18" customHeight="1" x14ac:dyDescent="0.25">
      <c r="A52" s="305">
        <v>45</v>
      </c>
      <c r="B52" s="306" t="s">
        <v>19</v>
      </c>
      <c r="C52" s="31">
        <f t="shared" si="0"/>
        <v>1592</v>
      </c>
      <c r="D52" s="31"/>
      <c r="E52" s="31">
        <v>1592</v>
      </c>
      <c r="F52" s="31">
        <v>137</v>
      </c>
      <c r="G52" s="31"/>
      <c r="H52" s="31"/>
      <c r="I52" s="31"/>
      <c r="J52" s="31"/>
      <c r="K52" s="31"/>
      <c r="L52" s="31"/>
      <c r="M52" s="307"/>
    </row>
    <row r="53" spans="1:13" ht="18" customHeight="1" x14ac:dyDescent="0.25">
      <c r="A53" s="305">
        <v>46</v>
      </c>
      <c r="B53" s="306" t="s">
        <v>35</v>
      </c>
      <c r="C53" s="31">
        <f t="shared" si="0"/>
        <v>1269</v>
      </c>
      <c r="D53" s="31"/>
      <c r="E53" s="31">
        <v>1269</v>
      </c>
      <c r="F53" s="31">
        <v>96</v>
      </c>
      <c r="G53" s="31"/>
      <c r="H53" s="31"/>
      <c r="I53" s="31"/>
      <c r="J53" s="31"/>
      <c r="K53" s="31"/>
      <c r="L53" s="31"/>
      <c r="M53" s="307"/>
    </row>
    <row r="54" spans="1:13" ht="20.25" customHeight="1" x14ac:dyDescent="0.25">
      <c r="A54" s="305">
        <v>47</v>
      </c>
      <c r="B54" s="306" t="s">
        <v>42</v>
      </c>
      <c r="C54" s="31">
        <f t="shared" si="0"/>
        <v>1239</v>
      </c>
      <c r="D54" s="31"/>
      <c r="E54" s="31">
        <v>1239</v>
      </c>
      <c r="F54" s="31">
        <v>109</v>
      </c>
      <c r="G54" s="31"/>
      <c r="H54" s="31"/>
      <c r="I54" s="31"/>
      <c r="J54" s="31"/>
      <c r="K54" s="31"/>
      <c r="L54" s="31"/>
      <c r="M54" s="307"/>
    </row>
    <row r="55" spans="1:13" ht="20.25" customHeight="1" x14ac:dyDescent="0.25">
      <c r="A55" s="305">
        <v>48</v>
      </c>
      <c r="B55" s="306" t="s">
        <v>37</v>
      </c>
      <c r="C55" s="31">
        <f t="shared" si="0"/>
        <v>4124</v>
      </c>
      <c r="D55" s="31"/>
      <c r="E55" s="31">
        <v>4124</v>
      </c>
      <c r="F55" s="31">
        <v>337</v>
      </c>
      <c r="G55" s="31"/>
      <c r="H55" s="31">
        <v>64</v>
      </c>
      <c r="I55" s="31"/>
      <c r="J55" s="31"/>
      <c r="K55" s="31">
        <f>0+5+7</f>
        <v>12</v>
      </c>
      <c r="L55" s="31"/>
      <c r="M55" s="307"/>
    </row>
    <row r="56" spans="1:13" ht="19.5" customHeight="1" x14ac:dyDescent="0.25">
      <c r="A56" s="305">
        <v>49</v>
      </c>
      <c r="B56" s="306" t="s">
        <v>21</v>
      </c>
      <c r="C56" s="31">
        <f t="shared" si="0"/>
        <v>1795</v>
      </c>
      <c r="D56" s="31"/>
      <c r="E56" s="31">
        <v>1795</v>
      </c>
      <c r="F56" s="31">
        <v>132</v>
      </c>
      <c r="G56" s="31"/>
      <c r="H56" s="31">
        <v>365</v>
      </c>
      <c r="I56" s="31"/>
      <c r="J56" s="31">
        <v>50</v>
      </c>
      <c r="K56" s="31">
        <v>4</v>
      </c>
      <c r="L56" s="31"/>
      <c r="M56" s="307"/>
    </row>
    <row r="57" spans="1:13" ht="19.5" customHeight="1" x14ac:dyDescent="0.25">
      <c r="A57" s="305">
        <v>50</v>
      </c>
      <c r="B57" s="306" t="s">
        <v>39</v>
      </c>
      <c r="C57" s="31">
        <f t="shared" si="0"/>
        <v>1114</v>
      </c>
      <c r="D57" s="31"/>
      <c r="E57" s="31">
        <v>1114</v>
      </c>
      <c r="F57" s="31">
        <v>95</v>
      </c>
      <c r="G57" s="31"/>
      <c r="H57" s="31"/>
      <c r="I57" s="31"/>
      <c r="J57" s="31"/>
      <c r="K57" s="31"/>
      <c r="L57" s="31"/>
      <c r="M57" s="307"/>
    </row>
    <row r="58" spans="1:13" ht="19.5" customHeight="1" x14ac:dyDescent="0.25">
      <c r="A58" s="305">
        <v>51</v>
      </c>
      <c r="B58" s="306" t="s">
        <v>40</v>
      </c>
      <c r="C58" s="31">
        <f t="shared" si="0"/>
        <v>1292</v>
      </c>
      <c r="D58" s="31"/>
      <c r="E58" s="31">
        <v>1292</v>
      </c>
      <c r="F58" s="31">
        <v>95</v>
      </c>
      <c r="G58" s="31"/>
      <c r="H58" s="31"/>
      <c r="I58" s="31"/>
      <c r="J58" s="31"/>
      <c r="K58" s="31"/>
      <c r="L58" s="31"/>
      <c r="M58" s="307"/>
    </row>
    <row r="59" spans="1:13" ht="19.5" customHeight="1" x14ac:dyDescent="0.25">
      <c r="A59" s="305">
        <v>52</v>
      </c>
      <c r="B59" s="306" t="s">
        <v>34</v>
      </c>
      <c r="C59" s="31">
        <f t="shared" si="0"/>
        <v>1468</v>
      </c>
      <c r="D59" s="31"/>
      <c r="E59" s="31">
        <v>1468</v>
      </c>
      <c r="F59" s="31">
        <v>123</v>
      </c>
      <c r="G59" s="31"/>
      <c r="H59" s="31"/>
      <c r="I59" s="31"/>
      <c r="J59" s="31"/>
      <c r="K59" s="31"/>
      <c r="L59" s="31"/>
      <c r="M59" s="307"/>
    </row>
    <row r="60" spans="1:13" ht="19.5" customHeight="1" x14ac:dyDescent="0.25">
      <c r="A60" s="305">
        <v>53</v>
      </c>
      <c r="B60" s="306" t="s">
        <v>41</v>
      </c>
      <c r="C60" s="31">
        <f t="shared" si="0"/>
        <v>939</v>
      </c>
      <c r="D60" s="31"/>
      <c r="E60" s="31">
        <v>939</v>
      </c>
      <c r="F60" s="31">
        <v>81</v>
      </c>
      <c r="G60" s="31"/>
      <c r="H60" s="31"/>
      <c r="I60" s="31"/>
      <c r="J60" s="31"/>
      <c r="K60" s="31"/>
      <c r="L60" s="31"/>
      <c r="M60" s="307"/>
    </row>
    <row r="61" spans="1:13" ht="18.75" customHeight="1" x14ac:dyDescent="0.25">
      <c r="A61" s="305">
        <v>54</v>
      </c>
      <c r="B61" s="306" t="s">
        <v>2</v>
      </c>
      <c r="C61" s="31">
        <f t="shared" si="0"/>
        <v>1922</v>
      </c>
      <c r="D61" s="31"/>
      <c r="E61" s="31">
        <v>1922</v>
      </c>
      <c r="F61" s="31">
        <v>146</v>
      </c>
      <c r="G61" s="31"/>
      <c r="H61" s="31"/>
      <c r="I61" s="31"/>
      <c r="J61" s="31"/>
      <c r="K61" s="31"/>
      <c r="L61" s="31"/>
      <c r="M61" s="307"/>
    </row>
    <row r="62" spans="1:13" ht="18.75" customHeight="1" x14ac:dyDescent="0.25">
      <c r="A62" s="305">
        <v>55</v>
      </c>
      <c r="B62" s="306" t="s">
        <v>43</v>
      </c>
      <c r="C62" s="31">
        <f t="shared" si="0"/>
        <v>939</v>
      </c>
      <c r="D62" s="31"/>
      <c r="E62" s="31">
        <v>939</v>
      </c>
      <c r="F62" s="31">
        <v>66</v>
      </c>
      <c r="G62" s="31"/>
      <c r="H62" s="31"/>
      <c r="I62" s="31"/>
      <c r="J62" s="31"/>
      <c r="K62" s="31"/>
      <c r="L62" s="31"/>
      <c r="M62" s="307"/>
    </row>
    <row r="63" spans="1:13" ht="19.5" customHeight="1" x14ac:dyDescent="0.25">
      <c r="A63" s="305">
        <v>56</v>
      </c>
      <c r="B63" s="306" t="s">
        <v>5</v>
      </c>
      <c r="C63" s="31">
        <f t="shared" si="0"/>
        <v>1628</v>
      </c>
      <c r="D63" s="31"/>
      <c r="E63" s="31">
        <v>1628</v>
      </c>
      <c r="F63" s="31">
        <v>113</v>
      </c>
      <c r="G63" s="31"/>
      <c r="H63" s="31"/>
      <c r="I63" s="31"/>
      <c r="J63" s="31"/>
      <c r="K63" s="31"/>
      <c r="L63" s="31"/>
      <c r="M63" s="307"/>
    </row>
    <row r="64" spans="1:13" ht="16.5" customHeight="1" x14ac:dyDescent="0.25">
      <c r="A64" s="305">
        <v>57</v>
      </c>
      <c r="B64" s="306" t="s">
        <v>45</v>
      </c>
      <c r="C64" s="31">
        <f t="shared" si="0"/>
        <v>6514</v>
      </c>
      <c r="D64" s="31"/>
      <c r="E64" s="31">
        <v>6514</v>
      </c>
      <c r="F64" s="31">
        <v>543</v>
      </c>
      <c r="G64" s="31"/>
      <c r="H64" s="31"/>
      <c r="I64" s="31"/>
      <c r="J64" s="31">
        <v>30</v>
      </c>
      <c r="K64" s="31">
        <v>8</v>
      </c>
      <c r="L64" s="31"/>
      <c r="M64" s="307"/>
    </row>
    <row r="65" spans="1:14" s="32" customFormat="1" ht="18" customHeight="1" x14ac:dyDescent="0.25">
      <c r="A65" s="305">
        <v>58</v>
      </c>
      <c r="B65" s="306" t="s">
        <v>46</v>
      </c>
      <c r="C65" s="31">
        <f t="shared" si="0"/>
        <v>3579</v>
      </c>
      <c r="D65" s="31"/>
      <c r="E65" s="31">
        <v>3579</v>
      </c>
      <c r="F65" s="31">
        <v>303</v>
      </c>
      <c r="G65" s="31"/>
      <c r="H65" s="31"/>
      <c r="I65" s="31"/>
      <c r="J65" s="31"/>
      <c r="K65" s="31"/>
      <c r="L65" s="31"/>
      <c r="M65" s="308"/>
      <c r="N65" s="301"/>
    </row>
    <row r="66" spans="1:14" ht="19.5" customHeight="1" x14ac:dyDescent="0.25">
      <c r="A66" s="305">
        <v>59</v>
      </c>
      <c r="B66" s="306" t="s">
        <v>47</v>
      </c>
      <c r="C66" s="31">
        <f t="shared" si="0"/>
        <v>756</v>
      </c>
      <c r="D66" s="31"/>
      <c r="E66" s="31">
        <v>756</v>
      </c>
      <c r="F66" s="31">
        <v>48</v>
      </c>
      <c r="G66" s="31"/>
      <c r="H66" s="31"/>
      <c r="I66" s="31"/>
      <c r="J66" s="31"/>
      <c r="K66" s="31"/>
      <c r="L66" s="31"/>
      <c r="M66" s="307"/>
    </row>
    <row r="67" spans="1:14" ht="16.5" customHeight="1" x14ac:dyDescent="0.25">
      <c r="A67" s="305">
        <v>60</v>
      </c>
      <c r="B67" s="306" t="s">
        <v>53</v>
      </c>
      <c r="C67" s="31">
        <f t="shared" si="0"/>
        <v>3123</v>
      </c>
      <c r="D67" s="31"/>
      <c r="E67" s="31">
        <v>3123</v>
      </c>
      <c r="F67" s="31">
        <v>711</v>
      </c>
      <c r="G67" s="31"/>
      <c r="H67" s="31"/>
      <c r="I67" s="31"/>
      <c r="J67" s="31">
        <v>8</v>
      </c>
      <c r="K67" s="31">
        <v>6</v>
      </c>
      <c r="L67" s="31"/>
      <c r="M67" s="307"/>
    </row>
    <row r="68" spans="1:14" ht="16.5" customHeight="1" x14ac:dyDescent="0.25">
      <c r="A68" s="305">
        <v>61</v>
      </c>
      <c r="B68" s="306" t="s">
        <v>49</v>
      </c>
      <c r="C68" s="31">
        <f t="shared" si="0"/>
        <v>1395</v>
      </c>
      <c r="D68" s="31"/>
      <c r="E68" s="31">
        <v>1395</v>
      </c>
      <c r="F68" s="31">
        <v>104</v>
      </c>
      <c r="G68" s="31"/>
      <c r="H68" s="31"/>
      <c r="I68" s="31"/>
      <c r="J68" s="31"/>
      <c r="K68" s="31">
        <f>0+4</f>
        <v>4</v>
      </c>
      <c r="L68" s="31"/>
      <c r="M68" s="307"/>
    </row>
    <row r="69" spans="1:14" ht="16.5" customHeight="1" x14ac:dyDescent="0.25">
      <c r="A69" s="305">
        <v>62</v>
      </c>
      <c r="B69" s="306" t="s">
        <v>50</v>
      </c>
      <c r="C69" s="31">
        <f t="shared" si="0"/>
        <v>2356</v>
      </c>
      <c r="D69" s="31"/>
      <c r="E69" s="31">
        <v>2356</v>
      </c>
      <c r="F69" s="31">
        <v>183</v>
      </c>
      <c r="G69" s="31"/>
      <c r="H69" s="31"/>
      <c r="I69" s="31"/>
      <c r="J69" s="31"/>
      <c r="K69" s="31">
        <f>0+3</f>
        <v>3</v>
      </c>
      <c r="L69" s="31"/>
      <c r="M69" s="307"/>
    </row>
    <row r="70" spans="1:14" ht="16.5" customHeight="1" x14ac:dyDescent="0.25">
      <c r="A70" s="305">
        <v>63</v>
      </c>
      <c r="B70" s="306" t="s">
        <v>51</v>
      </c>
      <c r="C70" s="31">
        <f t="shared" si="0"/>
        <v>1049</v>
      </c>
      <c r="D70" s="31"/>
      <c r="E70" s="31">
        <v>1049</v>
      </c>
      <c r="F70" s="31">
        <v>79</v>
      </c>
      <c r="G70" s="31"/>
      <c r="H70" s="31"/>
      <c r="I70" s="31"/>
      <c r="J70" s="31"/>
      <c r="K70" s="31"/>
      <c r="L70" s="31"/>
      <c r="M70" s="307"/>
    </row>
    <row r="71" spans="1:14" ht="16.5" customHeight="1" x14ac:dyDescent="0.25">
      <c r="A71" s="305">
        <v>64</v>
      </c>
      <c r="B71" s="306" t="s">
        <v>14</v>
      </c>
      <c r="C71" s="31">
        <f t="shared" si="0"/>
        <v>1112</v>
      </c>
      <c r="D71" s="31"/>
      <c r="E71" s="31">
        <v>1112</v>
      </c>
      <c r="F71" s="31">
        <v>86</v>
      </c>
      <c r="G71" s="31"/>
      <c r="H71" s="31"/>
      <c r="I71" s="31"/>
      <c r="J71" s="31"/>
      <c r="K71" s="31"/>
      <c r="L71" s="31"/>
      <c r="M71" s="307"/>
    </row>
    <row r="72" spans="1:14" ht="16.5" customHeight="1" x14ac:dyDescent="0.25">
      <c r="A72" s="305">
        <v>65</v>
      </c>
      <c r="B72" s="306" t="s">
        <v>52</v>
      </c>
      <c r="C72" s="31">
        <f t="shared" si="0"/>
        <v>2217</v>
      </c>
      <c r="D72" s="31"/>
      <c r="E72" s="31">
        <v>2217</v>
      </c>
      <c r="F72" s="31">
        <v>172</v>
      </c>
      <c r="G72" s="31"/>
      <c r="H72" s="31"/>
      <c r="I72" s="31"/>
      <c r="J72" s="31"/>
      <c r="K72" s="31"/>
      <c r="L72" s="31"/>
      <c r="M72" s="307"/>
    </row>
    <row r="73" spans="1:14" ht="25.5" customHeight="1" x14ac:dyDescent="0.25">
      <c r="A73" s="305">
        <v>66</v>
      </c>
      <c r="B73" s="306" t="s">
        <v>155</v>
      </c>
      <c r="C73" s="31">
        <f t="shared" ref="C73:C136" si="1">D73+E73+M73</f>
        <v>910</v>
      </c>
      <c r="D73" s="31"/>
      <c r="E73" s="31">
        <v>910</v>
      </c>
      <c r="F73" s="31">
        <v>145</v>
      </c>
      <c r="G73" s="31"/>
      <c r="H73" s="31"/>
      <c r="I73" s="31"/>
      <c r="J73" s="31"/>
      <c r="K73" s="31"/>
      <c r="L73" s="31"/>
      <c r="M73" s="307"/>
    </row>
    <row r="74" spans="1:14" ht="37.5" customHeight="1" x14ac:dyDescent="0.25">
      <c r="A74" s="305">
        <v>67</v>
      </c>
      <c r="B74" s="306" t="s">
        <v>156</v>
      </c>
      <c r="C74" s="31">
        <f t="shared" si="1"/>
        <v>1195</v>
      </c>
      <c r="D74" s="31"/>
      <c r="E74" s="31">
        <v>1195</v>
      </c>
      <c r="F74" s="31">
        <v>106</v>
      </c>
      <c r="G74" s="31"/>
      <c r="H74" s="31"/>
      <c r="I74" s="31"/>
      <c r="J74" s="31"/>
      <c r="K74" s="31"/>
      <c r="L74" s="31"/>
      <c r="M74" s="307"/>
    </row>
    <row r="75" spans="1:14" ht="41.25" customHeight="1" x14ac:dyDescent="0.25">
      <c r="A75" s="305">
        <v>68</v>
      </c>
      <c r="B75" s="306" t="s">
        <v>157</v>
      </c>
      <c r="C75" s="31">
        <f t="shared" si="1"/>
        <v>1544</v>
      </c>
      <c r="D75" s="31"/>
      <c r="E75" s="31">
        <v>1544</v>
      </c>
      <c r="F75" s="31">
        <v>1544</v>
      </c>
      <c r="G75" s="31"/>
      <c r="H75" s="31"/>
      <c r="I75" s="31"/>
      <c r="J75" s="31"/>
      <c r="K75" s="31"/>
      <c r="L75" s="31"/>
      <c r="M75" s="307"/>
    </row>
    <row r="76" spans="1:14" ht="27" customHeight="1" x14ac:dyDescent="0.25">
      <c r="A76" s="305">
        <v>69</v>
      </c>
      <c r="B76" s="310" t="s">
        <v>158</v>
      </c>
      <c r="C76" s="31">
        <f t="shared" si="1"/>
        <v>1000</v>
      </c>
      <c r="D76" s="31"/>
      <c r="E76" s="31">
        <v>1000</v>
      </c>
      <c r="F76" s="31"/>
      <c r="G76" s="31"/>
      <c r="H76" s="31"/>
      <c r="I76" s="31"/>
      <c r="J76" s="31"/>
      <c r="K76" s="31"/>
      <c r="L76" s="31"/>
      <c r="M76" s="307"/>
    </row>
    <row r="77" spans="1:14" ht="42.75" customHeight="1" x14ac:dyDescent="0.25">
      <c r="A77" s="305">
        <v>70</v>
      </c>
      <c r="B77" s="306" t="s">
        <v>159</v>
      </c>
      <c r="C77" s="31">
        <f t="shared" si="1"/>
        <v>2265</v>
      </c>
      <c r="D77" s="31"/>
      <c r="E77" s="31">
        <v>2265</v>
      </c>
      <c r="F77" s="31">
        <v>359</v>
      </c>
      <c r="G77" s="31"/>
      <c r="H77" s="31"/>
      <c r="I77" s="31"/>
      <c r="J77" s="31"/>
      <c r="K77" s="31"/>
      <c r="L77" s="31"/>
      <c r="M77" s="307"/>
    </row>
    <row r="78" spans="1:14" ht="30" customHeight="1" x14ac:dyDescent="0.25">
      <c r="A78" s="305">
        <v>71</v>
      </c>
      <c r="B78" s="306" t="s">
        <v>160</v>
      </c>
      <c r="C78" s="31">
        <f t="shared" si="1"/>
        <v>3826</v>
      </c>
      <c r="D78" s="31"/>
      <c r="E78" s="31">
        <v>3826</v>
      </c>
      <c r="F78" s="31">
        <v>493</v>
      </c>
      <c r="G78" s="31"/>
      <c r="H78" s="31"/>
      <c r="I78" s="31"/>
      <c r="J78" s="31"/>
      <c r="K78" s="31"/>
      <c r="L78" s="31"/>
      <c r="M78" s="307"/>
    </row>
    <row r="79" spans="1:14" ht="16.5" customHeight="1" x14ac:dyDescent="0.25">
      <c r="A79" s="305">
        <v>72</v>
      </c>
      <c r="B79" s="306" t="s">
        <v>161</v>
      </c>
      <c r="C79" s="31">
        <f t="shared" si="1"/>
        <v>747</v>
      </c>
      <c r="D79" s="31"/>
      <c r="E79" s="31">
        <f>506+241</f>
        <v>747</v>
      </c>
      <c r="F79" s="31"/>
      <c r="G79" s="31">
        <f>506+241</f>
        <v>747</v>
      </c>
      <c r="H79" s="31"/>
      <c r="I79" s="31"/>
      <c r="J79" s="31"/>
      <c r="K79" s="31"/>
      <c r="L79" s="31"/>
      <c r="M79" s="307"/>
    </row>
    <row r="80" spans="1:14" ht="17.25" customHeight="1" x14ac:dyDescent="0.25">
      <c r="A80" s="305">
        <v>73</v>
      </c>
      <c r="B80" s="306" t="s">
        <v>162</v>
      </c>
      <c r="C80" s="31">
        <f t="shared" si="1"/>
        <v>18</v>
      </c>
      <c r="D80" s="31"/>
      <c r="E80" s="31">
        <f>20-2</f>
        <v>18</v>
      </c>
      <c r="F80" s="31"/>
      <c r="G80" s="31"/>
      <c r="H80" s="31"/>
      <c r="I80" s="31"/>
      <c r="J80" s="31"/>
      <c r="K80" s="31"/>
      <c r="L80" s="31"/>
      <c r="M80" s="307"/>
    </row>
    <row r="81" spans="1:13" ht="18" customHeight="1" x14ac:dyDescent="0.25">
      <c r="A81" s="305">
        <v>74</v>
      </c>
      <c r="B81" s="306" t="s">
        <v>163</v>
      </c>
      <c r="C81" s="31">
        <f t="shared" si="1"/>
        <v>18</v>
      </c>
      <c r="D81" s="31"/>
      <c r="E81" s="31">
        <f>20-2</f>
        <v>18</v>
      </c>
      <c r="F81" s="31"/>
      <c r="G81" s="31"/>
      <c r="H81" s="31"/>
      <c r="I81" s="31"/>
      <c r="J81" s="31"/>
      <c r="K81" s="31"/>
      <c r="L81" s="31"/>
      <c r="M81" s="307"/>
    </row>
    <row r="82" spans="1:13" ht="21" customHeight="1" x14ac:dyDescent="0.25">
      <c r="A82" s="305">
        <v>75</v>
      </c>
      <c r="B82" s="311" t="s">
        <v>164</v>
      </c>
      <c r="C82" s="31">
        <f t="shared" si="1"/>
        <v>18</v>
      </c>
      <c r="D82" s="31"/>
      <c r="E82" s="31">
        <f>20-2</f>
        <v>18</v>
      </c>
      <c r="F82" s="31"/>
      <c r="G82" s="31"/>
      <c r="H82" s="31"/>
      <c r="I82" s="31"/>
      <c r="J82" s="31"/>
      <c r="K82" s="31"/>
      <c r="L82" s="31"/>
      <c r="M82" s="307"/>
    </row>
    <row r="83" spans="1:13" ht="16.5" customHeight="1" x14ac:dyDescent="0.25">
      <c r="A83" s="305">
        <v>76</v>
      </c>
      <c r="B83" s="306" t="s">
        <v>165</v>
      </c>
      <c r="C83" s="31">
        <f t="shared" si="1"/>
        <v>150</v>
      </c>
      <c r="D83" s="31"/>
      <c r="E83" s="31">
        <v>150</v>
      </c>
      <c r="F83" s="31"/>
      <c r="G83" s="31"/>
      <c r="H83" s="31"/>
      <c r="I83" s="31"/>
      <c r="J83" s="31"/>
      <c r="K83" s="31"/>
      <c r="L83" s="31">
        <v>150</v>
      </c>
      <c r="M83" s="307"/>
    </row>
    <row r="84" spans="1:13" ht="15" customHeight="1" x14ac:dyDescent="0.25">
      <c r="A84" s="305">
        <v>77</v>
      </c>
      <c r="B84" s="306" t="s">
        <v>166</v>
      </c>
      <c r="C84" s="31">
        <f t="shared" si="1"/>
        <v>294</v>
      </c>
      <c r="D84" s="31"/>
      <c r="E84" s="31">
        <v>294</v>
      </c>
      <c r="F84" s="31"/>
      <c r="G84" s="31"/>
      <c r="H84" s="31"/>
      <c r="I84" s="31"/>
      <c r="J84" s="31"/>
      <c r="K84" s="31"/>
      <c r="L84" s="31">
        <v>80</v>
      </c>
      <c r="M84" s="307"/>
    </row>
    <row r="85" spans="1:13" ht="18.75" customHeight="1" x14ac:dyDescent="0.25">
      <c r="A85" s="305">
        <v>78</v>
      </c>
      <c r="B85" s="306" t="s">
        <v>167</v>
      </c>
      <c r="C85" s="31">
        <f t="shared" si="1"/>
        <v>18</v>
      </c>
      <c r="D85" s="31"/>
      <c r="E85" s="31">
        <f>20-2</f>
        <v>18</v>
      </c>
      <c r="F85" s="31"/>
      <c r="G85" s="31"/>
      <c r="H85" s="31"/>
      <c r="I85" s="31"/>
      <c r="J85" s="31"/>
      <c r="K85" s="31"/>
      <c r="L85" s="31"/>
      <c r="M85" s="307"/>
    </row>
    <row r="86" spans="1:13" ht="24" customHeight="1" x14ac:dyDescent="0.25">
      <c r="A86" s="305">
        <v>79</v>
      </c>
      <c r="B86" s="306" t="s">
        <v>168</v>
      </c>
      <c r="C86" s="31">
        <f t="shared" si="1"/>
        <v>932</v>
      </c>
      <c r="D86" s="31"/>
      <c r="E86" s="31">
        <f>906+26</f>
        <v>932</v>
      </c>
      <c r="F86" s="31"/>
      <c r="G86" s="31">
        <f>506+26</f>
        <v>532</v>
      </c>
      <c r="H86" s="31">
        <v>400</v>
      </c>
      <c r="I86" s="31"/>
      <c r="J86" s="31"/>
      <c r="K86" s="31"/>
      <c r="L86" s="31"/>
      <c r="M86" s="307"/>
    </row>
    <row r="87" spans="1:13" ht="26.25" customHeight="1" x14ac:dyDescent="0.25">
      <c r="A87" s="305">
        <v>80</v>
      </c>
      <c r="B87" s="306" t="s">
        <v>169</v>
      </c>
      <c r="C87" s="31">
        <f t="shared" si="1"/>
        <v>18</v>
      </c>
      <c r="D87" s="31"/>
      <c r="E87" s="31">
        <f>20-2</f>
        <v>18</v>
      </c>
      <c r="F87" s="31"/>
      <c r="G87" s="31"/>
      <c r="H87" s="31"/>
      <c r="I87" s="31"/>
      <c r="J87" s="31"/>
      <c r="K87" s="31"/>
      <c r="L87" s="31"/>
      <c r="M87" s="307"/>
    </row>
    <row r="88" spans="1:13" ht="17.25" customHeight="1" x14ac:dyDescent="0.25">
      <c r="A88" s="305">
        <v>81</v>
      </c>
      <c r="B88" s="306" t="s">
        <v>170</v>
      </c>
      <c r="C88" s="31">
        <f t="shared" si="1"/>
        <v>27</v>
      </c>
      <c r="D88" s="31"/>
      <c r="E88" s="31">
        <f>30-3</f>
        <v>27</v>
      </c>
      <c r="F88" s="31"/>
      <c r="G88" s="31"/>
      <c r="H88" s="31"/>
      <c r="I88" s="31"/>
      <c r="J88" s="31"/>
      <c r="K88" s="31"/>
      <c r="L88" s="31"/>
      <c r="M88" s="307"/>
    </row>
    <row r="89" spans="1:13" ht="18.75" customHeight="1" x14ac:dyDescent="0.25">
      <c r="A89" s="305">
        <v>82</v>
      </c>
      <c r="B89" s="306" t="s">
        <v>171</v>
      </c>
      <c r="C89" s="31">
        <f t="shared" si="1"/>
        <v>18</v>
      </c>
      <c r="D89" s="31"/>
      <c r="E89" s="31">
        <f>20-2</f>
        <v>18</v>
      </c>
      <c r="F89" s="31"/>
      <c r="G89" s="31"/>
      <c r="H89" s="31"/>
      <c r="I89" s="31"/>
      <c r="J89" s="31"/>
      <c r="K89" s="31"/>
      <c r="L89" s="31"/>
      <c r="M89" s="307"/>
    </row>
    <row r="90" spans="1:13" ht="15.75" customHeight="1" x14ac:dyDescent="0.25">
      <c r="A90" s="305">
        <v>83</v>
      </c>
      <c r="B90" s="306" t="s">
        <v>172</v>
      </c>
      <c r="C90" s="31">
        <f t="shared" si="1"/>
        <v>18</v>
      </c>
      <c r="D90" s="31"/>
      <c r="E90" s="31">
        <f>20-2</f>
        <v>18</v>
      </c>
      <c r="F90" s="31"/>
      <c r="G90" s="31"/>
      <c r="H90" s="31"/>
      <c r="I90" s="31"/>
      <c r="J90" s="31"/>
      <c r="K90" s="31"/>
      <c r="L90" s="31"/>
      <c r="M90" s="307"/>
    </row>
    <row r="91" spans="1:13" ht="15.75" customHeight="1" x14ac:dyDescent="0.25">
      <c r="A91" s="305">
        <v>84</v>
      </c>
      <c r="B91" s="306" t="s">
        <v>173</v>
      </c>
      <c r="C91" s="31">
        <f t="shared" si="1"/>
        <v>478</v>
      </c>
      <c r="D91" s="31"/>
      <c r="E91" s="31">
        <f>586-108</f>
        <v>478</v>
      </c>
      <c r="F91" s="31"/>
      <c r="G91" s="31">
        <f>506-108</f>
        <v>398</v>
      </c>
      <c r="H91" s="31"/>
      <c r="I91" s="31"/>
      <c r="J91" s="31"/>
      <c r="K91" s="31"/>
      <c r="L91" s="31"/>
      <c r="M91" s="307"/>
    </row>
    <row r="92" spans="1:13" ht="17.25" customHeight="1" x14ac:dyDescent="0.25">
      <c r="A92" s="312">
        <v>85</v>
      </c>
      <c r="B92" s="306" t="s">
        <v>174</v>
      </c>
      <c r="C92" s="31">
        <f t="shared" si="1"/>
        <v>18</v>
      </c>
      <c r="D92" s="31"/>
      <c r="E92" s="31">
        <f>20-2</f>
        <v>18</v>
      </c>
      <c r="F92" s="31"/>
      <c r="G92" s="31"/>
      <c r="H92" s="31"/>
      <c r="I92" s="31"/>
      <c r="J92" s="31"/>
      <c r="K92" s="31"/>
      <c r="L92" s="31"/>
      <c r="M92" s="307"/>
    </row>
    <row r="93" spans="1:13" ht="19.5" customHeight="1" x14ac:dyDescent="0.25">
      <c r="A93" s="305">
        <v>86</v>
      </c>
      <c r="B93" s="306" t="s">
        <v>175</v>
      </c>
      <c r="C93" s="31">
        <f t="shared" si="1"/>
        <v>276</v>
      </c>
      <c r="D93" s="31"/>
      <c r="E93" s="31">
        <v>276</v>
      </c>
      <c r="F93" s="31"/>
      <c r="G93" s="31"/>
      <c r="H93" s="31"/>
      <c r="I93" s="31"/>
      <c r="J93" s="31"/>
      <c r="K93" s="31"/>
      <c r="L93" s="31"/>
      <c r="M93" s="307"/>
    </row>
    <row r="94" spans="1:13" ht="33.75" customHeight="1" x14ac:dyDescent="0.25">
      <c r="A94" s="305">
        <v>87</v>
      </c>
      <c r="B94" s="306" t="s">
        <v>176</v>
      </c>
      <c r="C94" s="31">
        <f t="shared" si="1"/>
        <v>869</v>
      </c>
      <c r="D94" s="31"/>
      <c r="E94" s="31">
        <v>869</v>
      </c>
      <c r="F94" s="31"/>
      <c r="G94" s="31"/>
      <c r="H94" s="31"/>
      <c r="I94" s="31"/>
      <c r="J94" s="31"/>
      <c r="K94" s="31"/>
      <c r="L94" s="31"/>
      <c r="M94" s="307"/>
    </row>
    <row r="95" spans="1:13" ht="19.5" customHeight="1" x14ac:dyDescent="0.25">
      <c r="A95" s="305">
        <v>88</v>
      </c>
      <c r="B95" s="306" t="s">
        <v>177</v>
      </c>
      <c r="C95" s="31">
        <f t="shared" si="1"/>
        <v>382</v>
      </c>
      <c r="D95" s="31"/>
      <c r="E95" s="31">
        <v>382</v>
      </c>
      <c r="F95" s="31"/>
      <c r="G95" s="31"/>
      <c r="H95" s="31"/>
      <c r="I95" s="31"/>
      <c r="J95" s="31"/>
      <c r="K95" s="31"/>
      <c r="L95" s="31"/>
      <c r="M95" s="307"/>
    </row>
    <row r="96" spans="1:13" ht="15" customHeight="1" x14ac:dyDescent="0.25">
      <c r="A96" s="305">
        <v>89</v>
      </c>
      <c r="B96" s="306" t="s">
        <v>96</v>
      </c>
      <c r="C96" s="31">
        <f t="shared" si="1"/>
        <v>1139</v>
      </c>
      <c r="D96" s="31"/>
      <c r="E96" s="31">
        <v>1139</v>
      </c>
      <c r="F96" s="31"/>
      <c r="G96" s="31"/>
      <c r="H96" s="31"/>
      <c r="I96" s="31">
        <v>168</v>
      </c>
      <c r="J96" s="31"/>
      <c r="K96" s="31"/>
      <c r="L96" s="31"/>
      <c r="M96" s="307"/>
    </row>
    <row r="97" spans="1:14" ht="15" customHeight="1" x14ac:dyDescent="0.25">
      <c r="A97" s="305">
        <v>90</v>
      </c>
      <c r="B97" s="306" t="s">
        <v>178</v>
      </c>
      <c r="C97" s="31">
        <f t="shared" si="1"/>
        <v>2269</v>
      </c>
      <c r="D97" s="31"/>
      <c r="E97" s="31">
        <v>2269</v>
      </c>
      <c r="F97" s="31">
        <v>2269</v>
      </c>
      <c r="G97" s="31"/>
      <c r="H97" s="31"/>
      <c r="I97" s="31"/>
      <c r="J97" s="31">
        <v>50</v>
      </c>
      <c r="K97" s="31"/>
      <c r="L97" s="31"/>
      <c r="M97" s="307"/>
    </row>
    <row r="98" spans="1:14" ht="15" customHeight="1" x14ac:dyDescent="0.25">
      <c r="A98" s="305">
        <v>91</v>
      </c>
      <c r="B98" s="306" t="s">
        <v>179</v>
      </c>
      <c r="C98" s="31">
        <f t="shared" si="1"/>
        <v>1939</v>
      </c>
      <c r="D98" s="31"/>
      <c r="E98" s="31">
        <v>1939</v>
      </c>
      <c r="F98" s="31">
        <v>1939</v>
      </c>
      <c r="G98" s="31"/>
      <c r="H98" s="31"/>
      <c r="I98" s="31"/>
      <c r="J98" s="31">
        <v>40</v>
      </c>
      <c r="K98" s="31"/>
      <c r="L98" s="31"/>
      <c r="M98" s="307"/>
    </row>
    <row r="99" spans="1:14" ht="15" customHeight="1" x14ac:dyDescent="0.25">
      <c r="A99" s="305">
        <v>92</v>
      </c>
      <c r="B99" s="306" t="s">
        <v>180</v>
      </c>
      <c r="C99" s="31">
        <f t="shared" si="1"/>
        <v>2673</v>
      </c>
      <c r="D99" s="31"/>
      <c r="E99" s="31">
        <v>2673</v>
      </c>
      <c r="F99" s="31">
        <v>2673</v>
      </c>
      <c r="G99" s="31"/>
      <c r="H99" s="31"/>
      <c r="I99" s="31"/>
      <c r="J99" s="31">
        <v>30</v>
      </c>
      <c r="K99" s="31"/>
      <c r="L99" s="31"/>
      <c r="M99" s="307"/>
    </row>
    <row r="100" spans="1:14" ht="15" customHeight="1" x14ac:dyDescent="0.25">
      <c r="A100" s="305">
        <v>93</v>
      </c>
      <c r="B100" s="306" t="s">
        <v>181</v>
      </c>
      <c r="C100" s="31">
        <f t="shared" si="1"/>
        <v>3257</v>
      </c>
      <c r="D100" s="31"/>
      <c r="E100" s="31">
        <v>3257</v>
      </c>
      <c r="F100" s="31">
        <v>3257</v>
      </c>
      <c r="G100" s="31"/>
      <c r="H100" s="31"/>
      <c r="I100" s="31"/>
      <c r="J100" s="31">
        <v>100</v>
      </c>
      <c r="K100" s="31"/>
      <c r="L100" s="31"/>
      <c r="M100" s="307"/>
    </row>
    <row r="101" spans="1:14" ht="18.75" customHeight="1" x14ac:dyDescent="0.25">
      <c r="A101" s="305">
        <v>94</v>
      </c>
      <c r="B101" s="306" t="s">
        <v>182</v>
      </c>
      <c r="C101" s="31">
        <f t="shared" si="1"/>
        <v>1219</v>
      </c>
      <c r="D101" s="31"/>
      <c r="E101" s="31">
        <v>1219</v>
      </c>
      <c r="F101" s="31">
        <v>1219</v>
      </c>
      <c r="G101" s="31"/>
      <c r="H101" s="31"/>
      <c r="I101" s="31"/>
      <c r="J101" s="31">
        <v>80</v>
      </c>
      <c r="K101" s="31"/>
      <c r="L101" s="31"/>
      <c r="M101" s="307"/>
    </row>
    <row r="102" spans="1:14" ht="18.75" customHeight="1" x14ac:dyDescent="0.25">
      <c r="A102" s="305">
        <v>95</v>
      </c>
      <c r="B102" s="306" t="s">
        <v>183</v>
      </c>
      <c r="C102" s="31">
        <f t="shared" si="1"/>
        <v>3623</v>
      </c>
      <c r="D102" s="31"/>
      <c r="E102" s="31">
        <v>3623</v>
      </c>
      <c r="F102" s="31"/>
      <c r="G102" s="33"/>
      <c r="H102" s="31">
        <v>454</v>
      </c>
      <c r="I102" s="31"/>
      <c r="J102" s="33"/>
      <c r="K102" s="33"/>
      <c r="L102" s="33"/>
      <c r="M102" s="307"/>
    </row>
    <row r="103" spans="1:14" ht="18.75" customHeight="1" x14ac:dyDescent="0.25">
      <c r="A103" s="305">
        <v>96</v>
      </c>
      <c r="B103" s="306" t="s">
        <v>184</v>
      </c>
      <c r="C103" s="31">
        <f t="shared" si="1"/>
        <v>1703</v>
      </c>
      <c r="D103" s="31"/>
      <c r="E103" s="31">
        <v>1703</v>
      </c>
      <c r="F103" s="31"/>
      <c r="G103" s="31"/>
      <c r="H103" s="31"/>
      <c r="I103" s="31"/>
      <c r="J103" s="31"/>
      <c r="K103" s="31"/>
      <c r="L103" s="31"/>
      <c r="M103" s="307"/>
    </row>
    <row r="104" spans="1:14" ht="18.75" customHeight="1" x14ac:dyDescent="0.25">
      <c r="A104" s="305">
        <v>97</v>
      </c>
      <c r="B104" s="306" t="s">
        <v>185</v>
      </c>
      <c r="C104" s="31">
        <f t="shared" si="1"/>
        <v>2986</v>
      </c>
      <c r="D104" s="31"/>
      <c r="E104" s="31">
        <v>2986</v>
      </c>
      <c r="F104" s="31"/>
      <c r="G104" s="31"/>
      <c r="H104" s="31">
        <v>1412</v>
      </c>
      <c r="I104" s="31"/>
      <c r="J104" s="31"/>
      <c r="K104" s="31"/>
      <c r="L104" s="31"/>
      <c r="M104" s="307"/>
    </row>
    <row r="105" spans="1:14" ht="18.75" customHeight="1" x14ac:dyDescent="0.25">
      <c r="A105" s="313">
        <v>98</v>
      </c>
      <c r="B105" s="306" t="s">
        <v>186</v>
      </c>
      <c r="C105" s="31">
        <f t="shared" si="1"/>
        <v>1226</v>
      </c>
      <c r="D105" s="31"/>
      <c r="E105" s="31">
        <v>1226</v>
      </c>
      <c r="F105" s="31"/>
      <c r="G105" s="31"/>
      <c r="H105" s="31"/>
      <c r="I105" s="31"/>
      <c r="J105" s="31"/>
      <c r="K105" s="31"/>
      <c r="L105" s="31"/>
      <c r="M105" s="307"/>
    </row>
    <row r="106" spans="1:14" s="32" customFormat="1" ht="18.75" customHeight="1" x14ac:dyDescent="0.25">
      <c r="A106" s="313">
        <v>99</v>
      </c>
      <c r="B106" s="306" t="s">
        <v>187</v>
      </c>
      <c r="C106" s="31">
        <f t="shared" si="1"/>
        <v>4220</v>
      </c>
      <c r="D106" s="31"/>
      <c r="E106" s="31">
        <v>4220</v>
      </c>
      <c r="F106" s="31"/>
      <c r="G106" s="31"/>
      <c r="H106" s="31">
        <v>606</v>
      </c>
      <c r="I106" s="31"/>
      <c r="J106" s="31"/>
      <c r="K106" s="31"/>
      <c r="L106" s="31"/>
      <c r="M106" s="308"/>
      <c r="N106" s="301"/>
    </row>
    <row r="107" spans="1:14" ht="18.75" customHeight="1" x14ac:dyDescent="0.25">
      <c r="A107" s="313">
        <v>100</v>
      </c>
      <c r="B107" s="306" t="s">
        <v>188</v>
      </c>
      <c r="C107" s="31">
        <f t="shared" si="1"/>
        <v>1961</v>
      </c>
      <c r="D107" s="31"/>
      <c r="E107" s="31">
        <v>1961</v>
      </c>
      <c r="F107" s="31"/>
      <c r="G107" s="31"/>
      <c r="H107" s="31"/>
      <c r="I107" s="31"/>
      <c r="J107" s="31"/>
      <c r="K107" s="31"/>
      <c r="L107" s="31"/>
      <c r="M107" s="307"/>
    </row>
    <row r="108" spans="1:14" ht="18.75" customHeight="1" x14ac:dyDescent="0.25">
      <c r="A108" s="313">
        <v>101</v>
      </c>
      <c r="B108" s="306" t="s">
        <v>189</v>
      </c>
      <c r="C108" s="31">
        <f t="shared" si="1"/>
        <v>1984</v>
      </c>
      <c r="D108" s="31"/>
      <c r="E108" s="31">
        <v>1984</v>
      </c>
      <c r="F108" s="31"/>
      <c r="G108" s="31"/>
      <c r="H108" s="31"/>
      <c r="I108" s="31"/>
      <c r="J108" s="31"/>
      <c r="K108" s="31"/>
      <c r="L108" s="31"/>
      <c r="M108" s="307"/>
    </row>
    <row r="109" spans="1:14" ht="18.75" customHeight="1" x14ac:dyDescent="0.25">
      <c r="A109" s="313">
        <v>102</v>
      </c>
      <c r="B109" s="306" t="s">
        <v>190</v>
      </c>
      <c r="C109" s="31">
        <f t="shared" si="1"/>
        <v>1175</v>
      </c>
      <c r="D109" s="31"/>
      <c r="E109" s="31">
        <v>1175</v>
      </c>
      <c r="F109" s="31"/>
      <c r="G109" s="31"/>
      <c r="H109" s="31"/>
      <c r="I109" s="31"/>
      <c r="J109" s="31"/>
      <c r="K109" s="31"/>
      <c r="L109" s="31"/>
      <c r="M109" s="307"/>
    </row>
    <row r="110" spans="1:14" ht="18.75" customHeight="1" x14ac:dyDescent="0.25">
      <c r="A110" s="313">
        <v>103</v>
      </c>
      <c r="B110" s="306" t="s">
        <v>191</v>
      </c>
      <c r="C110" s="31">
        <f t="shared" si="1"/>
        <v>4784</v>
      </c>
      <c r="D110" s="31"/>
      <c r="E110" s="31">
        <v>4784</v>
      </c>
      <c r="F110" s="31"/>
      <c r="G110" s="31"/>
      <c r="H110" s="31">
        <v>934</v>
      </c>
      <c r="I110" s="31"/>
      <c r="J110" s="31"/>
      <c r="K110" s="31"/>
      <c r="L110" s="31"/>
      <c r="M110" s="307"/>
    </row>
    <row r="111" spans="1:14" ht="18.75" customHeight="1" x14ac:dyDescent="0.25">
      <c r="A111" s="313">
        <v>104</v>
      </c>
      <c r="B111" s="306" t="s">
        <v>192</v>
      </c>
      <c r="C111" s="31">
        <f t="shared" si="1"/>
        <v>1580</v>
      </c>
      <c r="D111" s="31"/>
      <c r="E111" s="31">
        <v>1580</v>
      </c>
      <c r="F111" s="31"/>
      <c r="G111" s="31"/>
      <c r="H111" s="31"/>
      <c r="I111" s="31"/>
      <c r="J111" s="31"/>
      <c r="K111" s="31"/>
      <c r="L111" s="31"/>
      <c r="M111" s="307"/>
    </row>
    <row r="112" spans="1:14" ht="21" customHeight="1" x14ac:dyDescent="0.25">
      <c r="A112" s="313">
        <v>105</v>
      </c>
      <c r="B112" s="306" t="s">
        <v>193</v>
      </c>
      <c r="C112" s="31">
        <f t="shared" si="1"/>
        <v>1511</v>
      </c>
      <c r="D112" s="31"/>
      <c r="E112" s="31">
        <v>1511</v>
      </c>
      <c r="F112" s="31"/>
      <c r="G112" s="31"/>
      <c r="H112" s="31"/>
      <c r="I112" s="31"/>
      <c r="J112" s="31"/>
      <c r="K112" s="31"/>
      <c r="L112" s="31"/>
      <c r="M112" s="307"/>
    </row>
    <row r="113" spans="1:13" ht="19.5" customHeight="1" x14ac:dyDescent="0.25">
      <c r="A113" s="313">
        <v>106</v>
      </c>
      <c r="B113" s="306" t="s">
        <v>194</v>
      </c>
      <c r="C113" s="31">
        <f t="shared" si="1"/>
        <v>3372</v>
      </c>
      <c r="D113" s="31"/>
      <c r="E113" s="31">
        <v>3372</v>
      </c>
      <c r="F113" s="31">
        <v>642</v>
      </c>
      <c r="G113" s="31"/>
      <c r="H113" s="31"/>
      <c r="I113" s="31"/>
      <c r="J113" s="31">
        <v>40</v>
      </c>
      <c r="K113" s="31"/>
      <c r="L113" s="31"/>
      <c r="M113" s="307"/>
    </row>
    <row r="114" spans="1:13" ht="18" customHeight="1" x14ac:dyDescent="0.25">
      <c r="A114" s="313">
        <v>107</v>
      </c>
      <c r="B114" s="306" t="s">
        <v>195</v>
      </c>
      <c r="C114" s="31">
        <f t="shared" si="1"/>
        <v>2596</v>
      </c>
      <c r="D114" s="31"/>
      <c r="E114" s="31">
        <v>2596</v>
      </c>
      <c r="F114" s="31"/>
      <c r="G114" s="31"/>
      <c r="H114" s="31"/>
      <c r="I114" s="31">
        <v>259</v>
      </c>
      <c r="J114" s="31"/>
      <c r="K114" s="31"/>
      <c r="L114" s="31"/>
      <c r="M114" s="307"/>
    </row>
    <row r="115" spans="1:13" ht="16.5" customHeight="1" x14ac:dyDescent="0.25">
      <c r="A115" s="313">
        <v>108</v>
      </c>
      <c r="B115" s="306" t="s">
        <v>196</v>
      </c>
      <c r="C115" s="31">
        <f t="shared" si="1"/>
        <v>1826</v>
      </c>
      <c r="D115" s="31"/>
      <c r="E115" s="31">
        <v>1826</v>
      </c>
      <c r="F115" s="31"/>
      <c r="G115" s="31"/>
      <c r="H115" s="31"/>
      <c r="I115" s="31"/>
      <c r="J115" s="31"/>
      <c r="K115" s="31"/>
      <c r="L115" s="31"/>
      <c r="M115" s="307"/>
    </row>
    <row r="116" spans="1:13" ht="18" customHeight="1" x14ac:dyDescent="0.25">
      <c r="A116" s="313">
        <v>109</v>
      </c>
      <c r="B116" s="306" t="s">
        <v>197</v>
      </c>
      <c r="C116" s="31">
        <f t="shared" si="1"/>
        <v>1076</v>
      </c>
      <c r="D116" s="31"/>
      <c r="E116" s="31">
        <v>1076</v>
      </c>
      <c r="F116" s="31"/>
      <c r="G116" s="31"/>
      <c r="H116" s="31"/>
      <c r="I116" s="31"/>
      <c r="J116" s="31"/>
      <c r="K116" s="31"/>
      <c r="L116" s="31"/>
      <c r="M116" s="307"/>
    </row>
    <row r="117" spans="1:13" ht="19.5" customHeight="1" x14ac:dyDescent="0.25">
      <c r="A117" s="313">
        <v>110</v>
      </c>
      <c r="B117" s="306" t="s">
        <v>198</v>
      </c>
      <c r="C117" s="31">
        <f t="shared" si="1"/>
        <v>2119</v>
      </c>
      <c r="D117" s="31"/>
      <c r="E117" s="31">
        <v>2119</v>
      </c>
      <c r="F117" s="31"/>
      <c r="G117" s="31"/>
      <c r="H117" s="31"/>
      <c r="I117" s="31">
        <v>429</v>
      </c>
      <c r="J117" s="31"/>
      <c r="K117" s="31"/>
      <c r="L117" s="31"/>
      <c r="M117" s="307"/>
    </row>
    <row r="118" spans="1:13" ht="20.25" customHeight="1" x14ac:dyDescent="0.25">
      <c r="A118" s="313">
        <v>111</v>
      </c>
      <c r="B118" s="306" t="s">
        <v>199</v>
      </c>
      <c r="C118" s="31">
        <f t="shared" si="1"/>
        <v>70</v>
      </c>
      <c r="D118" s="31"/>
      <c r="E118" s="31">
        <f>845-704-71</f>
        <v>70</v>
      </c>
      <c r="F118" s="31"/>
      <c r="G118" s="31"/>
      <c r="H118" s="31"/>
      <c r="I118" s="31"/>
      <c r="J118" s="31"/>
      <c r="K118" s="31"/>
      <c r="L118" s="31"/>
      <c r="M118" s="307"/>
    </row>
    <row r="119" spans="1:13" ht="38.25" customHeight="1" x14ac:dyDescent="0.25">
      <c r="A119" s="340">
        <v>112</v>
      </c>
      <c r="B119" s="306" t="s">
        <v>200</v>
      </c>
      <c r="C119" s="31">
        <f t="shared" si="1"/>
        <v>775</v>
      </c>
      <c r="D119" s="31"/>
      <c r="E119" s="31">
        <f>0+704+71</f>
        <v>775</v>
      </c>
      <c r="F119" s="31"/>
      <c r="G119" s="31"/>
      <c r="H119" s="31"/>
      <c r="I119" s="31"/>
      <c r="J119" s="31"/>
      <c r="K119" s="31"/>
      <c r="L119" s="31"/>
      <c r="M119" s="307"/>
    </row>
    <row r="120" spans="1:13" ht="18.75" customHeight="1" x14ac:dyDescent="0.25">
      <c r="A120" s="339"/>
      <c r="B120" s="306" t="s">
        <v>201</v>
      </c>
      <c r="C120" s="31">
        <f t="shared" si="1"/>
        <v>6707</v>
      </c>
      <c r="D120" s="31"/>
      <c r="E120" s="31">
        <v>6707</v>
      </c>
      <c r="F120" s="31"/>
      <c r="G120" s="31"/>
      <c r="H120" s="31">
        <v>1220</v>
      </c>
      <c r="I120" s="31">
        <v>502</v>
      </c>
      <c r="J120" s="31"/>
      <c r="K120" s="31"/>
      <c r="L120" s="31"/>
      <c r="M120" s="307"/>
    </row>
    <row r="121" spans="1:13" ht="19.5" customHeight="1" x14ac:dyDescent="0.25">
      <c r="A121" s="313">
        <v>113</v>
      </c>
      <c r="B121" s="306" t="s">
        <v>202</v>
      </c>
      <c r="C121" s="31">
        <f t="shared" si="1"/>
        <v>1964</v>
      </c>
      <c r="D121" s="31"/>
      <c r="E121" s="31">
        <v>1964</v>
      </c>
      <c r="F121" s="31">
        <v>1964</v>
      </c>
      <c r="G121" s="31"/>
      <c r="H121" s="31"/>
      <c r="I121" s="31"/>
      <c r="J121" s="31">
        <v>200</v>
      </c>
      <c r="K121" s="31"/>
      <c r="L121" s="31"/>
      <c r="M121" s="307"/>
    </row>
    <row r="122" spans="1:13" ht="15" customHeight="1" x14ac:dyDescent="0.25">
      <c r="A122" s="313">
        <v>114</v>
      </c>
      <c r="B122" s="306" t="s">
        <v>203</v>
      </c>
      <c r="C122" s="31">
        <f t="shared" si="1"/>
        <v>2608</v>
      </c>
      <c r="D122" s="31"/>
      <c r="E122" s="31">
        <v>2608</v>
      </c>
      <c r="F122" s="31"/>
      <c r="G122" s="31"/>
      <c r="H122" s="31">
        <v>436</v>
      </c>
      <c r="I122" s="31">
        <v>175</v>
      </c>
      <c r="J122" s="31"/>
      <c r="K122" s="31"/>
      <c r="L122" s="31"/>
      <c r="M122" s="307"/>
    </row>
    <row r="123" spans="1:13" ht="17.25" customHeight="1" x14ac:dyDescent="0.25">
      <c r="A123" s="313">
        <v>115</v>
      </c>
      <c r="B123" s="306" t="s">
        <v>204</v>
      </c>
      <c r="C123" s="31">
        <f t="shared" si="1"/>
        <v>687</v>
      </c>
      <c r="D123" s="31"/>
      <c r="E123" s="31">
        <v>687</v>
      </c>
      <c r="F123" s="31"/>
      <c r="G123" s="31"/>
      <c r="H123" s="31"/>
      <c r="I123" s="31"/>
      <c r="J123" s="31"/>
      <c r="K123" s="31"/>
      <c r="L123" s="31"/>
      <c r="M123" s="307"/>
    </row>
    <row r="124" spans="1:13" ht="16.5" customHeight="1" x14ac:dyDescent="0.25">
      <c r="A124" s="314">
        <f t="shared" ref="A124:A137" si="2">A123+1</f>
        <v>116</v>
      </c>
      <c r="B124" s="306" t="s">
        <v>65</v>
      </c>
      <c r="C124" s="31">
        <f t="shared" si="1"/>
        <v>683</v>
      </c>
      <c r="D124" s="31"/>
      <c r="E124" s="31">
        <v>683</v>
      </c>
      <c r="F124" s="31"/>
      <c r="G124" s="31"/>
      <c r="H124" s="31">
        <v>268</v>
      </c>
      <c r="I124" s="31">
        <v>341</v>
      </c>
      <c r="J124" s="31"/>
      <c r="K124" s="31"/>
      <c r="L124" s="31"/>
      <c r="M124" s="307"/>
    </row>
    <row r="125" spans="1:13" ht="16.5" customHeight="1" x14ac:dyDescent="0.25">
      <c r="A125" s="314">
        <f t="shared" si="2"/>
        <v>117</v>
      </c>
      <c r="B125" s="306" t="s">
        <v>85</v>
      </c>
      <c r="C125" s="31">
        <f t="shared" si="1"/>
        <v>1232</v>
      </c>
      <c r="D125" s="31"/>
      <c r="E125" s="31">
        <v>1232</v>
      </c>
      <c r="F125" s="31"/>
      <c r="G125" s="31"/>
      <c r="H125" s="31"/>
      <c r="I125" s="31"/>
      <c r="J125" s="31"/>
      <c r="K125" s="31"/>
      <c r="L125" s="31">
        <v>70</v>
      </c>
      <c r="M125" s="307"/>
    </row>
    <row r="126" spans="1:13" ht="18" customHeight="1" x14ac:dyDescent="0.25">
      <c r="A126" s="314">
        <f t="shared" si="2"/>
        <v>118</v>
      </c>
      <c r="B126" s="306" t="s">
        <v>66</v>
      </c>
      <c r="C126" s="31">
        <f t="shared" si="1"/>
        <v>2852</v>
      </c>
      <c r="D126" s="31"/>
      <c r="E126" s="31">
        <v>2852</v>
      </c>
      <c r="F126" s="31">
        <v>2852</v>
      </c>
      <c r="G126" s="31"/>
      <c r="H126" s="31">
        <v>26</v>
      </c>
      <c r="I126" s="31"/>
      <c r="J126" s="31">
        <v>872</v>
      </c>
      <c r="K126" s="31">
        <v>10</v>
      </c>
      <c r="L126" s="31"/>
      <c r="M126" s="307"/>
    </row>
    <row r="127" spans="1:13" ht="16.5" customHeight="1" x14ac:dyDescent="0.25">
      <c r="A127" s="314">
        <f t="shared" si="2"/>
        <v>119</v>
      </c>
      <c r="B127" s="306" t="s">
        <v>205</v>
      </c>
      <c r="C127" s="31">
        <f t="shared" si="1"/>
        <v>11677</v>
      </c>
      <c r="D127" s="31"/>
      <c r="E127" s="31">
        <v>11677</v>
      </c>
      <c r="F127" s="31"/>
      <c r="G127" s="31"/>
      <c r="H127" s="31">
        <v>11677</v>
      </c>
      <c r="I127" s="31"/>
      <c r="J127" s="31"/>
      <c r="K127" s="31"/>
      <c r="L127" s="31"/>
      <c r="M127" s="307"/>
    </row>
    <row r="128" spans="1:13" ht="15.75" customHeight="1" x14ac:dyDescent="0.25">
      <c r="A128" s="314">
        <f t="shared" si="2"/>
        <v>120</v>
      </c>
      <c r="B128" s="306" t="s">
        <v>91</v>
      </c>
      <c r="C128" s="31">
        <f t="shared" si="1"/>
        <v>360</v>
      </c>
      <c r="D128" s="31"/>
      <c r="E128" s="31">
        <v>360</v>
      </c>
      <c r="F128" s="31"/>
      <c r="G128" s="31"/>
      <c r="H128" s="31"/>
      <c r="I128" s="31"/>
      <c r="J128" s="31"/>
      <c r="K128" s="31"/>
      <c r="L128" s="31"/>
      <c r="M128" s="307"/>
    </row>
    <row r="129" spans="1:15" ht="15.75" customHeight="1" x14ac:dyDescent="0.25">
      <c r="A129" s="314">
        <f t="shared" si="2"/>
        <v>121</v>
      </c>
      <c r="B129" s="306" t="s">
        <v>86</v>
      </c>
      <c r="C129" s="31">
        <f t="shared" si="1"/>
        <v>6960</v>
      </c>
      <c r="D129" s="31"/>
      <c r="E129" s="31">
        <v>6960</v>
      </c>
      <c r="F129" s="31"/>
      <c r="G129" s="31"/>
      <c r="H129" s="31"/>
      <c r="I129" s="31"/>
      <c r="J129" s="31"/>
      <c r="K129" s="31"/>
      <c r="L129" s="31"/>
      <c r="M129" s="307"/>
    </row>
    <row r="130" spans="1:15" ht="18" customHeight="1" x14ac:dyDescent="0.25">
      <c r="A130" s="314">
        <f t="shared" si="2"/>
        <v>122</v>
      </c>
      <c r="B130" s="306" t="s">
        <v>206</v>
      </c>
      <c r="C130" s="31">
        <f t="shared" si="1"/>
        <v>1724</v>
      </c>
      <c r="D130" s="31"/>
      <c r="E130" s="31">
        <v>1724</v>
      </c>
      <c r="F130" s="31"/>
      <c r="G130" s="31"/>
      <c r="H130" s="31"/>
      <c r="I130" s="31"/>
      <c r="J130" s="31"/>
      <c r="K130" s="31"/>
      <c r="L130" s="31"/>
      <c r="M130" s="307"/>
    </row>
    <row r="131" spans="1:15" ht="15.75" customHeight="1" x14ac:dyDescent="0.25">
      <c r="A131" s="314">
        <f t="shared" si="2"/>
        <v>123</v>
      </c>
      <c r="B131" s="306" t="s">
        <v>87</v>
      </c>
      <c r="C131" s="31">
        <f t="shared" si="1"/>
        <v>2914</v>
      </c>
      <c r="D131" s="31"/>
      <c r="E131" s="31">
        <v>2914</v>
      </c>
      <c r="F131" s="31"/>
      <c r="G131" s="31"/>
      <c r="H131" s="31"/>
      <c r="I131" s="31"/>
      <c r="J131" s="31"/>
      <c r="K131" s="31"/>
      <c r="L131" s="31"/>
      <c r="M131" s="307"/>
    </row>
    <row r="132" spans="1:15" ht="15" customHeight="1" x14ac:dyDescent="0.25">
      <c r="A132" s="314">
        <f t="shared" si="2"/>
        <v>124</v>
      </c>
      <c r="B132" s="306" t="s">
        <v>207</v>
      </c>
      <c r="C132" s="31">
        <f t="shared" si="1"/>
        <v>305</v>
      </c>
      <c r="D132" s="31"/>
      <c r="E132" s="31">
        <f>507-202</f>
        <v>305</v>
      </c>
      <c r="F132" s="31"/>
      <c r="G132" s="31">
        <f>507-202</f>
        <v>305</v>
      </c>
      <c r="H132" s="31"/>
      <c r="I132" s="31"/>
      <c r="J132" s="31"/>
      <c r="K132" s="31"/>
      <c r="L132" s="31"/>
      <c r="M132" s="307"/>
    </row>
    <row r="133" spans="1:15" ht="16.5" customHeight="1" x14ac:dyDescent="0.25">
      <c r="A133" s="314">
        <f t="shared" si="2"/>
        <v>125</v>
      </c>
      <c r="B133" s="306" t="s">
        <v>208</v>
      </c>
      <c r="C133" s="31">
        <f t="shared" si="1"/>
        <v>1362</v>
      </c>
      <c r="D133" s="31"/>
      <c r="E133" s="31">
        <v>1362</v>
      </c>
      <c r="F133" s="31"/>
      <c r="G133" s="31"/>
      <c r="H133" s="31"/>
      <c r="I133" s="31">
        <v>1362</v>
      </c>
      <c r="J133" s="31"/>
      <c r="K133" s="31"/>
      <c r="L133" s="31"/>
      <c r="M133" s="307"/>
    </row>
    <row r="134" spans="1:15" ht="16.5" customHeight="1" x14ac:dyDescent="0.25">
      <c r="A134" s="314">
        <f t="shared" si="2"/>
        <v>126</v>
      </c>
      <c r="B134" s="306" t="s">
        <v>92</v>
      </c>
      <c r="C134" s="31">
        <f t="shared" si="1"/>
        <v>1407</v>
      </c>
      <c r="D134" s="31"/>
      <c r="E134" s="31">
        <v>1407</v>
      </c>
      <c r="F134" s="31"/>
      <c r="G134" s="31"/>
      <c r="H134" s="31"/>
      <c r="I134" s="31">
        <v>707</v>
      </c>
      <c r="J134" s="31"/>
      <c r="K134" s="31"/>
      <c r="L134" s="31"/>
      <c r="M134" s="307"/>
    </row>
    <row r="135" spans="1:15" ht="17.25" customHeight="1" x14ac:dyDescent="0.25">
      <c r="A135" s="314">
        <f t="shared" si="2"/>
        <v>127</v>
      </c>
      <c r="B135" s="309" t="s">
        <v>209</v>
      </c>
      <c r="C135" s="31">
        <f t="shared" si="1"/>
        <v>3798</v>
      </c>
      <c r="D135" s="31"/>
      <c r="E135" s="31">
        <v>3798</v>
      </c>
      <c r="F135" s="31"/>
      <c r="G135" s="31"/>
      <c r="H135" s="31">
        <v>639</v>
      </c>
      <c r="I135" s="31">
        <v>68</v>
      </c>
      <c r="J135" s="31"/>
      <c r="K135" s="31"/>
      <c r="L135" s="31"/>
      <c r="M135" s="307"/>
    </row>
    <row r="136" spans="1:15" ht="14.25" customHeight="1" x14ac:dyDescent="0.25">
      <c r="A136" s="314">
        <f t="shared" si="2"/>
        <v>128</v>
      </c>
      <c r="B136" s="306" t="s">
        <v>210</v>
      </c>
      <c r="C136" s="31">
        <f t="shared" si="1"/>
        <v>235</v>
      </c>
      <c r="D136" s="31"/>
      <c r="E136" s="31">
        <v>235</v>
      </c>
      <c r="F136" s="31"/>
      <c r="G136" s="31"/>
      <c r="H136" s="31"/>
      <c r="I136" s="31"/>
      <c r="J136" s="31"/>
      <c r="K136" s="31"/>
      <c r="L136" s="31"/>
      <c r="M136" s="307"/>
    </row>
    <row r="137" spans="1:15" s="32" customFormat="1" ht="27" customHeight="1" x14ac:dyDescent="0.25">
      <c r="A137" s="314">
        <f t="shared" si="2"/>
        <v>129</v>
      </c>
      <c r="B137" s="315" t="s">
        <v>211</v>
      </c>
      <c r="C137" s="33">
        <f>SUM(C138:C140)</f>
        <v>1981</v>
      </c>
      <c r="D137" s="33">
        <f t="shared" ref="D137:M137" si="3">SUM(D138:D140)</f>
        <v>15</v>
      </c>
      <c r="E137" s="33">
        <f t="shared" si="3"/>
        <v>1859</v>
      </c>
      <c r="F137" s="33">
        <f t="shared" si="3"/>
        <v>0</v>
      </c>
      <c r="G137" s="33">
        <f t="shared" si="3"/>
        <v>0</v>
      </c>
      <c r="H137" s="33">
        <f t="shared" si="3"/>
        <v>1859</v>
      </c>
      <c r="I137" s="33">
        <f t="shared" si="3"/>
        <v>0</v>
      </c>
      <c r="J137" s="33">
        <f t="shared" si="3"/>
        <v>0</v>
      </c>
      <c r="K137" s="33">
        <f t="shared" si="3"/>
        <v>0</v>
      </c>
      <c r="L137" s="33">
        <f t="shared" si="3"/>
        <v>0</v>
      </c>
      <c r="M137" s="33">
        <f t="shared" si="3"/>
        <v>107</v>
      </c>
      <c r="N137" s="301"/>
    </row>
    <row r="138" spans="1:15" ht="13.5" customHeight="1" x14ac:dyDescent="0.25">
      <c r="A138" s="296"/>
      <c r="B138" s="316" t="s">
        <v>212</v>
      </c>
      <c r="C138" s="31">
        <f>D138+E138+M138</f>
        <v>1874</v>
      </c>
      <c r="D138" s="31">
        <f>90-75</f>
        <v>15</v>
      </c>
      <c r="E138" s="31">
        <f>4790-2931</f>
        <v>1859</v>
      </c>
      <c r="F138" s="31"/>
      <c r="G138" s="31"/>
      <c r="H138" s="31">
        <f>4790-2931</f>
        <v>1859</v>
      </c>
      <c r="I138" s="31"/>
      <c r="J138" s="31"/>
      <c r="K138" s="31"/>
      <c r="L138" s="31"/>
      <c r="M138" s="307"/>
      <c r="O138" s="34"/>
    </row>
    <row r="139" spans="1:15" ht="24" customHeight="1" x14ac:dyDescent="0.25">
      <c r="A139" s="314"/>
      <c r="B139" s="317" t="s">
        <v>213</v>
      </c>
      <c r="C139" s="31">
        <f t="shared" ref="C139:C148" si="4">D139+E139+M139</f>
        <v>93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07">
        <f>360-267</f>
        <v>93</v>
      </c>
    </row>
    <row r="140" spans="1:15" ht="26.25" customHeight="1" x14ac:dyDescent="0.25">
      <c r="A140" s="296"/>
      <c r="B140" s="317" t="s">
        <v>214</v>
      </c>
      <c r="C140" s="31">
        <f t="shared" si="4"/>
        <v>14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07">
        <f>75-61</f>
        <v>14</v>
      </c>
    </row>
    <row r="141" spans="1:15" ht="26.25" customHeight="1" x14ac:dyDescent="0.25">
      <c r="A141" s="296"/>
      <c r="B141" s="315" t="s">
        <v>215</v>
      </c>
      <c r="C141" s="33">
        <f>SUM(C142:C144)</f>
        <v>3334</v>
      </c>
      <c r="D141" s="33">
        <f t="shared" ref="D141:M141" si="5">SUM(D142:D144)</f>
        <v>75</v>
      </c>
      <c r="E141" s="33">
        <f t="shared" si="5"/>
        <v>2931</v>
      </c>
      <c r="F141" s="33">
        <f t="shared" si="5"/>
        <v>0</v>
      </c>
      <c r="G141" s="33">
        <f t="shared" si="5"/>
        <v>0</v>
      </c>
      <c r="H141" s="33">
        <f t="shared" si="5"/>
        <v>2931</v>
      </c>
      <c r="I141" s="33">
        <f t="shared" si="5"/>
        <v>0</v>
      </c>
      <c r="J141" s="33">
        <f t="shared" si="5"/>
        <v>0</v>
      </c>
      <c r="K141" s="33">
        <f t="shared" si="5"/>
        <v>0</v>
      </c>
      <c r="L141" s="33">
        <f t="shared" si="5"/>
        <v>0</v>
      </c>
      <c r="M141" s="33">
        <f t="shared" si="5"/>
        <v>328</v>
      </c>
    </row>
    <row r="142" spans="1:15" ht="17.25" customHeight="1" x14ac:dyDescent="0.25">
      <c r="A142" s="296"/>
      <c r="B142" s="316" t="s">
        <v>212</v>
      </c>
      <c r="C142" s="31">
        <f>D142+E142+M142</f>
        <v>3006</v>
      </c>
      <c r="D142" s="31">
        <f>0+75</f>
        <v>75</v>
      </c>
      <c r="E142" s="31">
        <f>0+2931</f>
        <v>2931</v>
      </c>
      <c r="F142" s="31"/>
      <c r="G142" s="31"/>
      <c r="H142" s="31">
        <f>0+2931</f>
        <v>2931</v>
      </c>
      <c r="I142" s="31"/>
      <c r="J142" s="31"/>
      <c r="K142" s="31"/>
      <c r="L142" s="31"/>
      <c r="M142" s="307"/>
      <c r="O142" s="34"/>
    </row>
    <row r="143" spans="1:15" ht="26.25" customHeight="1" x14ac:dyDescent="0.25">
      <c r="A143" s="296"/>
      <c r="B143" s="317" t="s">
        <v>213</v>
      </c>
      <c r="C143" s="31">
        <f t="shared" si="4"/>
        <v>267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07">
        <f>0+267</f>
        <v>267</v>
      </c>
    </row>
    <row r="144" spans="1:15" ht="26.25" customHeight="1" x14ac:dyDescent="0.25">
      <c r="A144" s="296"/>
      <c r="B144" s="317" t="s">
        <v>214</v>
      </c>
      <c r="C144" s="31">
        <f t="shared" si="4"/>
        <v>61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07">
        <f>0+61</f>
        <v>61</v>
      </c>
      <c r="O144" s="34"/>
    </row>
    <row r="145" spans="1:15" ht="16.5" customHeight="1" x14ac:dyDescent="0.25">
      <c r="A145" s="296">
        <v>130</v>
      </c>
      <c r="B145" s="317" t="s">
        <v>216</v>
      </c>
      <c r="C145" s="31">
        <f t="shared" si="4"/>
        <v>25</v>
      </c>
      <c r="D145" s="31"/>
      <c r="E145" s="31">
        <f>0+25</f>
        <v>25</v>
      </c>
      <c r="F145" s="31"/>
      <c r="G145" s="31">
        <f>0+25</f>
        <v>25</v>
      </c>
      <c r="H145" s="31"/>
      <c r="I145" s="31"/>
      <c r="J145" s="31"/>
      <c r="K145" s="31"/>
      <c r="L145" s="31"/>
      <c r="M145" s="307"/>
      <c r="O145" s="34"/>
    </row>
    <row r="146" spans="1:15" ht="51" x14ac:dyDescent="0.25">
      <c r="A146" s="296">
        <v>131</v>
      </c>
      <c r="B146" s="319" t="s">
        <v>642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07"/>
    </row>
    <row r="147" spans="1:15" ht="51" x14ac:dyDescent="0.25">
      <c r="A147" s="296">
        <v>132</v>
      </c>
      <c r="B147" s="320" t="s">
        <v>643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07"/>
    </row>
    <row r="148" spans="1:15" x14ac:dyDescent="0.25">
      <c r="A148" s="296"/>
      <c r="B148" s="306" t="s">
        <v>69</v>
      </c>
      <c r="C148" s="31">
        <f t="shared" si="4"/>
        <v>1098</v>
      </c>
      <c r="D148" s="31"/>
      <c r="E148" s="31">
        <f>1061+18+19</f>
        <v>1098</v>
      </c>
      <c r="F148" s="31"/>
      <c r="G148" s="31">
        <f>0+18</f>
        <v>18</v>
      </c>
      <c r="H148" s="31">
        <v>105</v>
      </c>
      <c r="I148" s="31"/>
      <c r="J148" s="31"/>
      <c r="K148" s="31"/>
      <c r="L148" s="31"/>
      <c r="M148" s="307"/>
    </row>
    <row r="149" spans="1:15" x14ac:dyDescent="0.25">
      <c r="A149" s="296"/>
      <c r="B149" s="315" t="s">
        <v>126</v>
      </c>
      <c r="C149" s="33">
        <f t="shared" ref="C149:M149" si="6">SUM(C7:C148)-C137-C141</f>
        <v>254024</v>
      </c>
      <c r="D149" s="33">
        <f t="shared" si="6"/>
        <v>90</v>
      </c>
      <c r="E149" s="33">
        <f t="shared" si="6"/>
        <v>253499</v>
      </c>
      <c r="F149" s="33">
        <f t="shared" si="6"/>
        <v>33072</v>
      </c>
      <c r="G149" s="33">
        <f t="shared" si="6"/>
        <v>2025</v>
      </c>
      <c r="H149" s="33">
        <f t="shared" si="6"/>
        <v>27867</v>
      </c>
      <c r="I149" s="33">
        <f t="shared" si="6"/>
        <v>4011</v>
      </c>
      <c r="J149" s="33">
        <f t="shared" si="6"/>
        <v>1962</v>
      </c>
      <c r="K149" s="33">
        <f t="shared" si="6"/>
        <v>124</v>
      </c>
      <c r="L149" s="33">
        <f t="shared" si="6"/>
        <v>300</v>
      </c>
      <c r="M149" s="33">
        <f t="shared" si="6"/>
        <v>435</v>
      </c>
    </row>
    <row r="150" spans="1:15" x14ac:dyDescent="0.25">
      <c r="C150" s="34"/>
      <c r="D150" s="34"/>
      <c r="E150" s="34"/>
      <c r="G150" s="34"/>
    </row>
    <row r="151" spans="1:15" x14ac:dyDescent="0.25">
      <c r="C151" s="34"/>
      <c r="D151" s="34"/>
      <c r="E151" s="34"/>
      <c r="F151" s="34"/>
      <c r="G151" s="34"/>
    </row>
  </sheetData>
  <mergeCells count="18">
    <mergeCell ref="I5:J5"/>
    <mergeCell ref="K5:K6"/>
    <mergeCell ref="A32:A33"/>
    <mergeCell ref="A119:A120"/>
    <mergeCell ref="L5:L6"/>
    <mergeCell ref="A1:M1"/>
    <mergeCell ref="L2:M2"/>
    <mergeCell ref="A3:A6"/>
    <mergeCell ref="B3:B6"/>
    <mergeCell ref="C3:C6"/>
    <mergeCell ref="E3:M3"/>
    <mergeCell ref="D4:D6"/>
    <mergeCell ref="E4:E6"/>
    <mergeCell ref="F4:L4"/>
    <mergeCell ref="M4:M6"/>
    <mergeCell ref="F5:F6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9" sqref="E19"/>
    </sheetView>
  </sheetViews>
  <sheetFormatPr defaultRowHeight="12.75" x14ac:dyDescent="0.25"/>
  <cols>
    <col min="1" max="1" width="7.28515625" style="28" customWidth="1"/>
    <col min="2" max="2" width="22" style="22" customWidth="1"/>
    <col min="3" max="3" width="12" style="29" customWidth="1"/>
    <col min="4" max="4" width="12" style="22" customWidth="1"/>
    <col min="5" max="5" width="16.7109375" style="22" customWidth="1"/>
    <col min="6" max="6" width="14" style="22" customWidth="1"/>
    <col min="7" max="7" width="10" style="29" customWidth="1"/>
    <col min="8" max="8" width="13.42578125" style="29" customWidth="1"/>
    <col min="9" max="9" width="9.140625" style="22"/>
    <col min="10" max="10" width="11.85546875" style="22" customWidth="1"/>
    <col min="11" max="16384" width="9.140625" style="22"/>
  </cols>
  <sheetData>
    <row r="1" spans="1:10" ht="40.5" customHeight="1" x14ac:dyDescent="0.25">
      <c r="A1" s="354" t="s">
        <v>121</v>
      </c>
      <c r="B1" s="354"/>
      <c r="C1" s="354"/>
      <c r="D1" s="354"/>
      <c r="E1" s="354"/>
      <c r="F1" s="354"/>
      <c r="G1" s="355"/>
      <c r="H1" s="355"/>
    </row>
    <row r="2" spans="1:10" ht="15.75" x14ac:dyDescent="0.25">
      <c r="A2" s="23"/>
      <c r="B2" s="23"/>
      <c r="C2" s="24"/>
      <c r="D2" s="24"/>
      <c r="E2" s="24"/>
      <c r="F2" s="24"/>
      <c r="G2" s="25"/>
      <c r="H2" s="25"/>
    </row>
    <row r="3" spans="1:10" s="16" customFormat="1" ht="16.5" customHeight="1" x14ac:dyDescent="0.25">
      <c r="A3" s="356" t="s">
        <v>122</v>
      </c>
      <c r="B3" s="356" t="s">
        <v>123</v>
      </c>
      <c r="C3" s="358" t="s">
        <v>124</v>
      </c>
      <c r="D3" s="359"/>
      <c r="E3" s="358" t="s">
        <v>125</v>
      </c>
      <c r="F3" s="359"/>
      <c r="G3" s="360" t="s">
        <v>126</v>
      </c>
      <c r="H3" s="361"/>
    </row>
    <row r="4" spans="1:10" s="16" customFormat="1" ht="99" x14ac:dyDescent="0.25">
      <c r="A4" s="357"/>
      <c r="B4" s="357"/>
      <c r="C4" s="26" t="s">
        <v>127</v>
      </c>
      <c r="D4" s="26" t="s">
        <v>128</v>
      </c>
      <c r="E4" s="26" t="s">
        <v>127</v>
      </c>
      <c r="F4" s="26" t="s">
        <v>128</v>
      </c>
      <c r="G4" s="26" t="s">
        <v>127</v>
      </c>
      <c r="H4" s="26" t="s">
        <v>128</v>
      </c>
    </row>
    <row r="5" spans="1:10" s="16" customFormat="1" ht="12" x14ac:dyDescent="0.25">
      <c r="A5" s="352" t="s">
        <v>129</v>
      </c>
      <c r="B5" s="353"/>
      <c r="C5" s="17">
        <f>SUM(C6:C7)</f>
        <v>15</v>
      </c>
      <c r="D5" s="17">
        <f t="shared" ref="D5:H5" si="0">SUM(D6:D7)</f>
        <v>3012865</v>
      </c>
      <c r="E5" s="17">
        <f>SUM(E6:E7)</f>
        <v>75</v>
      </c>
      <c r="F5" s="17">
        <f t="shared" ref="F5" si="1">SUM(F6:F7)</f>
        <v>14610230</v>
      </c>
      <c r="G5" s="17">
        <f t="shared" si="0"/>
        <v>90</v>
      </c>
      <c r="H5" s="17">
        <f t="shared" si="0"/>
        <v>17623095</v>
      </c>
      <c r="I5" s="18"/>
      <c r="J5" s="18"/>
    </row>
    <row r="6" spans="1:10" s="16" customFormat="1" ht="16.5" customHeight="1" x14ac:dyDescent="0.25">
      <c r="A6" s="19">
        <v>23</v>
      </c>
      <c r="B6" s="20">
        <v>187403</v>
      </c>
      <c r="C6" s="27">
        <f>75-64</f>
        <v>11</v>
      </c>
      <c r="D6" s="27">
        <f>B6*C6</f>
        <v>2061433</v>
      </c>
      <c r="E6" s="27">
        <v>64</v>
      </c>
      <c r="F6" s="27">
        <f>B6*E6</f>
        <v>11993792</v>
      </c>
      <c r="G6" s="21">
        <f>C6+E6</f>
        <v>75</v>
      </c>
      <c r="H6" s="21">
        <f>D6+F6</f>
        <v>14055225</v>
      </c>
      <c r="I6" s="18"/>
      <c r="J6" s="18"/>
    </row>
    <row r="7" spans="1:10" s="16" customFormat="1" ht="17.25" customHeight="1" x14ac:dyDescent="0.25">
      <c r="A7" s="19">
        <v>24</v>
      </c>
      <c r="B7" s="20">
        <v>237858</v>
      </c>
      <c r="C7" s="27">
        <f>15-11</f>
        <v>4</v>
      </c>
      <c r="D7" s="27">
        <f>B7*C7</f>
        <v>951432</v>
      </c>
      <c r="E7" s="27">
        <v>11</v>
      </c>
      <c r="F7" s="27">
        <f>B7*E7</f>
        <v>2616438</v>
      </c>
      <c r="G7" s="21">
        <f>C7+E7</f>
        <v>15</v>
      </c>
      <c r="H7" s="21">
        <f>D7+F7</f>
        <v>3567870</v>
      </c>
      <c r="I7" s="18"/>
      <c r="J7" s="18"/>
    </row>
    <row r="8" spans="1:10" s="16" customFormat="1" ht="12" x14ac:dyDescent="0.25">
      <c r="A8" s="352" t="s">
        <v>130</v>
      </c>
      <c r="B8" s="353"/>
      <c r="C8" s="17">
        <f>C5</f>
        <v>15</v>
      </c>
      <c r="D8" s="17">
        <f t="shared" ref="D8:H8" si="2">D5</f>
        <v>3012865</v>
      </c>
      <c r="E8" s="17">
        <f>E5</f>
        <v>75</v>
      </c>
      <c r="F8" s="17">
        <f t="shared" ref="F8" si="3">F5</f>
        <v>14610230</v>
      </c>
      <c r="G8" s="17">
        <f t="shared" si="2"/>
        <v>90</v>
      </c>
      <c r="H8" s="17">
        <f t="shared" si="2"/>
        <v>17623095</v>
      </c>
      <c r="I8" s="18"/>
      <c r="J8" s="18"/>
    </row>
  </sheetData>
  <mergeCells count="8">
    <mergeCell ref="A5:B5"/>
    <mergeCell ref="A8:B8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zoomScale="90" zoomScaleNormal="90"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C110" sqref="C110"/>
    </sheetView>
  </sheetViews>
  <sheetFormatPr defaultRowHeight="12.75" x14ac:dyDescent="0.25"/>
  <cols>
    <col min="1" max="1" width="4.5703125" style="76" customWidth="1"/>
    <col min="2" max="2" width="42" style="77" customWidth="1"/>
    <col min="3" max="3" width="15.140625" style="76" customWidth="1"/>
    <col min="4" max="4" width="16.28515625" style="76" customWidth="1"/>
    <col min="5" max="5" width="19.140625" style="76" customWidth="1"/>
    <col min="6" max="6" width="15.42578125" style="76" customWidth="1"/>
    <col min="7" max="249" width="9.140625" style="76"/>
    <col min="250" max="250" width="60.7109375" style="76" customWidth="1"/>
    <col min="251" max="251" width="17" style="76" customWidth="1"/>
    <col min="252" max="252" width="22.42578125" style="76" customWidth="1"/>
    <col min="253" max="253" width="18.140625" style="76" customWidth="1"/>
    <col min="254" max="254" width="19.42578125" style="76" customWidth="1"/>
    <col min="255" max="255" width="18.5703125" style="76" customWidth="1"/>
    <col min="256" max="256" width="13.7109375" style="76" customWidth="1"/>
    <col min="257" max="258" width="21" style="76" customWidth="1"/>
    <col min="259" max="259" width="28.28515625" style="76" customWidth="1"/>
    <col min="260" max="260" width="17.42578125" style="76" customWidth="1"/>
    <col min="261" max="505" width="9.140625" style="76"/>
    <col min="506" max="506" width="60.7109375" style="76" customWidth="1"/>
    <col min="507" max="507" width="17" style="76" customWidth="1"/>
    <col min="508" max="508" width="22.42578125" style="76" customWidth="1"/>
    <col min="509" max="509" width="18.140625" style="76" customWidth="1"/>
    <col min="510" max="510" width="19.42578125" style="76" customWidth="1"/>
    <col min="511" max="511" width="18.5703125" style="76" customWidth="1"/>
    <col min="512" max="512" width="13.7109375" style="76" customWidth="1"/>
    <col min="513" max="514" width="21" style="76" customWidth="1"/>
    <col min="515" max="515" width="28.28515625" style="76" customWidth="1"/>
    <col min="516" max="516" width="17.42578125" style="76" customWidth="1"/>
    <col min="517" max="761" width="9.140625" style="76"/>
    <col min="762" max="762" width="60.7109375" style="76" customWidth="1"/>
    <col min="763" max="763" width="17" style="76" customWidth="1"/>
    <col min="764" max="764" width="22.42578125" style="76" customWidth="1"/>
    <col min="765" max="765" width="18.140625" style="76" customWidth="1"/>
    <col min="766" max="766" width="19.42578125" style="76" customWidth="1"/>
    <col min="767" max="767" width="18.5703125" style="76" customWidth="1"/>
    <col min="768" max="768" width="13.7109375" style="76" customWidth="1"/>
    <col min="769" max="770" width="21" style="76" customWidth="1"/>
    <col min="771" max="771" width="28.28515625" style="76" customWidth="1"/>
    <col min="772" max="772" width="17.42578125" style="76" customWidth="1"/>
    <col min="773" max="1017" width="9.140625" style="76"/>
    <col min="1018" max="1018" width="60.7109375" style="76" customWidth="1"/>
    <col min="1019" max="1019" width="17" style="76" customWidth="1"/>
    <col min="1020" max="1020" width="22.42578125" style="76" customWidth="1"/>
    <col min="1021" max="1021" width="18.140625" style="76" customWidth="1"/>
    <col min="1022" max="1022" width="19.42578125" style="76" customWidth="1"/>
    <col min="1023" max="1023" width="18.5703125" style="76" customWidth="1"/>
    <col min="1024" max="1024" width="13.7109375" style="76" customWidth="1"/>
    <col min="1025" max="1026" width="21" style="76" customWidth="1"/>
    <col min="1027" max="1027" width="28.28515625" style="76" customWidth="1"/>
    <col min="1028" max="1028" width="17.42578125" style="76" customWidth="1"/>
    <col min="1029" max="1273" width="9.140625" style="76"/>
    <col min="1274" max="1274" width="60.7109375" style="76" customWidth="1"/>
    <col min="1275" max="1275" width="17" style="76" customWidth="1"/>
    <col min="1276" max="1276" width="22.42578125" style="76" customWidth="1"/>
    <col min="1277" max="1277" width="18.140625" style="76" customWidth="1"/>
    <col min="1278" max="1278" width="19.42578125" style="76" customWidth="1"/>
    <col min="1279" max="1279" width="18.5703125" style="76" customWidth="1"/>
    <col min="1280" max="1280" width="13.7109375" style="76" customWidth="1"/>
    <col min="1281" max="1282" width="21" style="76" customWidth="1"/>
    <col min="1283" max="1283" width="28.28515625" style="76" customWidth="1"/>
    <col min="1284" max="1284" width="17.42578125" style="76" customWidth="1"/>
    <col min="1285" max="1529" width="9.140625" style="76"/>
    <col min="1530" max="1530" width="60.7109375" style="76" customWidth="1"/>
    <col min="1531" max="1531" width="17" style="76" customWidth="1"/>
    <col min="1532" max="1532" width="22.42578125" style="76" customWidth="1"/>
    <col min="1533" max="1533" width="18.140625" style="76" customWidth="1"/>
    <col min="1534" max="1534" width="19.42578125" style="76" customWidth="1"/>
    <col min="1535" max="1535" width="18.5703125" style="76" customWidth="1"/>
    <col min="1536" max="1536" width="13.7109375" style="76" customWidth="1"/>
    <col min="1537" max="1538" width="21" style="76" customWidth="1"/>
    <col min="1539" max="1539" width="28.28515625" style="76" customWidth="1"/>
    <col min="1540" max="1540" width="17.42578125" style="76" customWidth="1"/>
    <col min="1541" max="1785" width="9.140625" style="76"/>
    <col min="1786" max="1786" width="60.7109375" style="76" customWidth="1"/>
    <col min="1787" max="1787" width="17" style="76" customWidth="1"/>
    <col min="1788" max="1788" width="22.42578125" style="76" customWidth="1"/>
    <col min="1789" max="1789" width="18.140625" style="76" customWidth="1"/>
    <col min="1790" max="1790" width="19.42578125" style="76" customWidth="1"/>
    <col min="1791" max="1791" width="18.5703125" style="76" customWidth="1"/>
    <col min="1792" max="1792" width="13.7109375" style="76" customWidth="1"/>
    <col min="1793" max="1794" width="21" style="76" customWidth="1"/>
    <col min="1795" max="1795" width="28.28515625" style="76" customWidth="1"/>
    <col min="1796" max="1796" width="17.42578125" style="76" customWidth="1"/>
    <col min="1797" max="2041" width="9.140625" style="76"/>
    <col min="2042" max="2042" width="60.7109375" style="76" customWidth="1"/>
    <col min="2043" max="2043" width="17" style="76" customWidth="1"/>
    <col min="2044" max="2044" width="22.42578125" style="76" customWidth="1"/>
    <col min="2045" max="2045" width="18.140625" style="76" customWidth="1"/>
    <col min="2046" max="2046" width="19.42578125" style="76" customWidth="1"/>
    <col min="2047" max="2047" width="18.5703125" style="76" customWidth="1"/>
    <col min="2048" max="2048" width="13.7109375" style="76" customWidth="1"/>
    <col min="2049" max="2050" width="21" style="76" customWidth="1"/>
    <col min="2051" max="2051" width="28.28515625" style="76" customWidth="1"/>
    <col min="2052" max="2052" width="17.42578125" style="76" customWidth="1"/>
    <col min="2053" max="2297" width="9.140625" style="76"/>
    <col min="2298" max="2298" width="60.7109375" style="76" customWidth="1"/>
    <col min="2299" max="2299" width="17" style="76" customWidth="1"/>
    <col min="2300" max="2300" width="22.42578125" style="76" customWidth="1"/>
    <col min="2301" max="2301" width="18.140625" style="76" customWidth="1"/>
    <col min="2302" max="2302" width="19.42578125" style="76" customWidth="1"/>
    <col min="2303" max="2303" width="18.5703125" style="76" customWidth="1"/>
    <col min="2304" max="2304" width="13.7109375" style="76" customWidth="1"/>
    <col min="2305" max="2306" width="21" style="76" customWidth="1"/>
    <col min="2307" max="2307" width="28.28515625" style="76" customWidth="1"/>
    <col min="2308" max="2308" width="17.42578125" style="76" customWidth="1"/>
    <col min="2309" max="2553" width="9.140625" style="76"/>
    <col min="2554" max="2554" width="60.7109375" style="76" customWidth="1"/>
    <col min="2555" max="2555" width="17" style="76" customWidth="1"/>
    <col min="2556" max="2556" width="22.42578125" style="76" customWidth="1"/>
    <col min="2557" max="2557" width="18.140625" style="76" customWidth="1"/>
    <col min="2558" max="2558" width="19.42578125" style="76" customWidth="1"/>
    <col min="2559" max="2559" width="18.5703125" style="76" customWidth="1"/>
    <col min="2560" max="2560" width="13.7109375" style="76" customWidth="1"/>
    <col min="2561" max="2562" width="21" style="76" customWidth="1"/>
    <col min="2563" max="2563" width="28.28515625" style="76" customWidth="1"/>
    <col min="2564" max="2564" width="17.42578125" style="76" customWidth="1"/>
    <col min="2565" max="2809" width="9.140625" style="76"/>
    <col min="2810" max="2810" width="60.7109375" style="76" customWidth="1"/>
    <col min="2811" max="2811" width="17" style="76" customWidth="1"/>
    <col min="2812" max="2812" width="22.42578125" style="76" customWidth="1"/>
    <col min="2813" max="2813" width="18.140625" style="76" customWidth="1"/>
    <col min="2814" max="2814" width="19.42578125" style="76" customWidth="1"/>
    <col min="2815" max="2815" width="18.5703125" style="76" customWidth="1"/>
    <col min="2816" max="2816" width="13.7109375" style="76" customWidth="1"/>
    <col min="2817" max="2818" width="21" style="76" customWidth="1"/>
    <col min="2819" max="2819" width="28.28515625" style="76" customWidth="1"/>
    <col min="2820" max="2820" width="17.42578125" style="76" customWidth="1"/>
    <col min="2821" max="3065" width="9.140625" style="76"/>
    <col min="3066" max="3066" width="60.7109375" style="76" customWidth="1"/>
    <col min="3067" max="3067" width="17" style="76" customWidth="1"/>
    <col min="3068" max="3068" width="22.42578125" style="76" customWidth="1"/>
    <col min="3069" max="3069" width="18.140625" style="76" customWidth="1"/>
    <col min="3070" max="3070" width="19.42578125" style="76" customWidth="1"/>
    <col min="3071" max="3071" width="18.5703125" style="76" customWidth="1"/>
    <col min="3072" max="3072" width="13.7109375" style="76" customWidth="1"/>
    <col min="3073" max="3074" width="21" style="76" customWidth="1"/>
    <col min="3075" max="3075" width="28.28515625" style="76" customWidth="1"/>
    <col min="3076" max="3076" width="17.42578125" style="76" customWidth="1"/>
    <col min="3077" max="3321" width="9.140625" style="76"/>
    <col min="3322" max="3322" width="60.7109375" style="76" customWidth="1"/>
    <col min="3323" max="3323" width="17" style="76" customWidth="1"/>
    <col min="3324" max="3324" width="22.42578125" style="76" customWidth="1"/>
    <col min="3325" max="3325" width="18.140625" style="76" customWidth="1"/>
    <col min="3326" max="3326" width="19.42578125" style="76" customWidth="1"/>
    <col min="3327" max="3327" width="18.5703125" style="76" customWidth="1"/>
    <col min="3328" max="3328" width="13.7109375" style="76" customWidth="1"/>
    <col min="3329" max="3330" width="21" style="76" customWidth="1"/>
    <col min="3331" max="3331" width="28.28515625" style="76" customWidth="1"/>
    <col min="3332" max="3332" width="17.42578125" style="76" customWidth="1"/>
    <col min="3333" max="3577" width="9.140625" style="76"/>
    <col min="3578" max="3578" width="60.7109375" style="76" customWidth="1"/>
    <col min="3579" max="3579" width="17" style="76" customWidth="1"/>
    <col min="3580" max="3580" width="22.42578125" style="76" customWidth="1"/>
    <col min="3581" max="3581" width="18.140625" style="76" customWidth="1"/>
    <col min="3582" max="3582" width="19.42578125" style="76" customWidth="1"/>
    <col min="3583" max="3583" width="18.5703125" style="76" customWidth="1"/>
    <col min="3584" max="3584" width="13.7109375" style="76" customWidth="1"/>
    <col min="3585" max="3586" width="21" style="76" customWidth="1"/>
    <col min="3587" max="3587" width="28.28515625" style="76" customWidth="1"/>
    <col min="3588" max="3588" width="17.42578125" style="76" customWidth="1"/>
    <col min="3589" max="3833" width="9.140625" style="76"/>
    <col min="3834" max="3834" width="60.7109375" style="76" customWidth="1"/>
    <col min="3835" max="3835" width="17" style="76" customWidth="1"/>
    <col min="3836" max="3836" width="22.42578125" style="76" customWidth="1"/>
    <col min="3837" max="3837" width="18.140625" style="76" customWidth="1"/>
    <col min="3838" max="3838" width="19.42578125" style="76" customWidth="1"/>
    <col min="3839" max="3839" width="18.5703125" style="76" customWidth="1"/>
    <col min="3840" max="3840" width="13.7109375" style="76" customWidth="1"/>
    <col min="3841" max="3842" width="21" style="76" customWidth="1"/>
    <col min="3843" max="3843" width="28.28515625" style="76" customWidth="1"/>
    <col min="3844" max="3844" width="17.42578125" style="76" customWidth="1"/>
    <col min="3845" max="4089" width="9.140625" style="76"/>
    <col min="4090" max="4090" width="60.7109375" style="76" customWidth="1"/>
    <col min="4091" max="4091" width="17" style="76" customWidth="1"/>
    <col min="4092" max="4092" width="22.42578125" style="76" customWidth="1"/>
    <col min="4093" max="4093" width="18.140625" style="76" customWidth="1"/>
    <col min="4094" max="4094" width="19.42578125" style="76" customWidth="1"/>
    <col min="4095" max="4095" width="18.5703125" style="76" customWidth="1"/>
    <col min="4096" max="4096" width="13.7109375" style="76" customWidth="1"/>
    <col min="4097" max="4098" width="21" style="76" customWidth="1"/>
    <col min="4099" max="4099" width="28.28515625" style="76" customWidth="1"/>
    <col min="4100" max="4100" width="17.42578125" style="76" customWidth="1"/>
    <col min="4101" max="4345" width="9.140625" style="76"/>
    <col min="4346" max="4346" width="60.7109375" style="76" customWidth="1"/>
    <col min="4347" max="4347" width="17" style="76" customWidth="1"/>
    <col min="4348" max="4348" width="22.42578125" style="76" customWidth="1"/>
    <col min="4349" max="4349" width="18.140625" style="76" customWidth="1"/>
    <col min="4350" max="4350" width="19.42578125" style="76" customWidth="1"/>
    <col min="4351" max="4351" width="18.5703125" style="76" customWidth="1"/>
    <col min="4352" max="4352" width="13.7109375" style="76" customWidth="1"/>
    <col min="4353" max="4354" width="21" style="76" customWidth="1"/>
    <col min="4355" max="4355" width="28.28515625" style="76" customWidth="1"/>
    <col min="4356" max="4356" width="17.42578125" style="76" customWidth="1"/>
    <col min="4357" max="4601" width="9.140625" style="76"/>
    <col min="4602" max="4602" width="60.7109375" style="76" customWidth="1"/>
    <col min="4603" max="4603" width="17" style="76" customWidth="1"/>
    <col min="4604" max="4604" width="22.42578125" style="76" customWidth="1"/>
    <col min="4605" max="4605" width="18.140625" style="76" customWidth="1"/>
    <col min="4606" max="4606" width="19.42578125" style="76" customWidth="1"/>
    <col min="4607" max="4607" width="18.5703125" style="76" customWidth="1"/>
    <col min="4608" max="4608" width="13.7109375" style="76" customWidth="1"/>
    <col min="4609" max="4610" width="21" style="76" customWidth="1"/>
    <col min="4611" max="4611" width="28.28515625" style="76" customWidth="1"/>
    <col min="4612" max="4612" width="17.42578125" style="76" customWidth="1"/>
    <col min="4613" max="4857" width="9.140625" style="76"/>
    <col min="4858" max="4858" width="60.7109375" style="76" customWidth="1"/>
    <col min="4859" max="4859" width="17" style="76" customWidth="1"/>
    <col min="4860" max="4860" width="22.42578125" style="76" customWidth="1"/>
    <col min="4861" max="4861" width="18.140625" style="76" customWidth="1"/>
    <col min="4862" max="4862" width="19.42578125" style="76" customWidth="1"/>
    <col min="4863" max="4863" width="18.5703125" style="76" customWidth="1"/>
    <col min="4864" max="4864" width="13.7109375" style="76" customWidth="1"/>
    <col min="4865" max="4866" width="21" style="76" customWidth="1"/>
    <col min="4867" max="4867" width="28.28515625" style="76" customWidth="1"/>
    <col min="4868" max="4868" width="17.42578125" style="76" customWidth="1"/>
    <col min="4869" max="5113" width="9.140625" style="76"/>
    <col min="5114" max="5114" width="60.7109375" style="76" customWidth="1"/>
    <col min="5115" max="5115" width="17" style="76" customWidth="1"/>
    <col min="5116" max="5116" width="22.42578125" style="76" customWidth="1"/>
    <col min="5117" max="5117" width="18.140625" style="76" customWidth="1"/>
    <col min="5118" max="5118" width="19.42578125" style="76" customWidth="1"/>
    <col min="5119" max="5119" width="18.5703125" style="76" customWidth="1"/>
    <col min="5120" max="5120" width="13.7109375" style="76" customWidth="1"/>
    <col min="5121" max="5122" width="21" style="76" customWidth="1"/>
    <col min="5123" max="5123" width="28.28515625" style="76" customWidth="1"/>
    <col min="5124" max="5124" width="17.42578125" style="76" customWidth="1"/>
    <col min="5125" max="5369" width="9.140625" style="76"/>
    <col min="5370" max="5370" width="60.7109375" style="76" customWidth="1"/>
    <col min="5371" max="5371" width="17" style="76" customWidth="1"/>
    <col min="5372" max="5372" width="22.42578125" style="76" customWidth="1"/>
    <col min="5373" max="5373" width="18.140625" style="76" customWidth="1"/>
    <col min="5374" max="5374" width="19.42578125" style="76" customWidth="1"/>
    <col min="5375" max="5375" width="18.5703125" style="76" customWidth="1"/>
    <col min="5376" max="5376" width="13.7109375" style="76" customWidth="1"/>
    <col min="5377" max="5378" width="21" style="76" customWidth="1"/>
    <col min="5379" max="5379" width="28.28515625" style="76" customWidth="1"/>
    <col min="5380" max="5380" width="17.42578125" style="76" customWidth="1"/>
    <col min="5381" max="5625" width="9.140625" style="76"/>
    <col min="5626" max="5626" width="60.7109375" style="76" customWidth="1"/>
    <col min="5627" max="5627" width="17" style="76" customWidth="1"/>
    <col min="5628" max="5628" width="22.42578125" style="76" customWidth="1"/>
    <col min="5629" max="5629" width="18.140625" style="76" customWidth="1"/>
    <col min="5630" max="5630" width="19.42578125" style="76" customWidth="1"/>
    <col min="5631" max="5631" width="18.5703125" style="76" customWidth="1"/>
    <col min="5632" max="5632" width="13.7109375" style="76" customWidth="1"/>
    <col min="5633" max="5634" width="21" style="76" customWidth="1"/>
    <col min="5635" max="5635" width="28.28515625" style="76" customWidth="1"/>
    <col min="5636" max="5636" width="17.42578125" style="76" customWidth="1"/>
    <col min="5637" max="5881" width="9.140625" style="76"/>
    <col min="5882" max="5882" width="60.7109375" style="76" customWidth="1"/>
    <col min="5883" max="5883" width="17" style="76" customWidth="1"/>
    <col min="5884" max="5884" width="22.42578125" style="76" customWidth="1"/>
    <col min="5885" max="5885" width="18.140625" style="76" customWidth="1"/>
    <col min="5886" max="5886" width="19.42578125" style="76" customWidth="1"/>
    <col min="5887" max="5887" width="18.5703125" style="76" customWidth="1"/>
    <col min="5888" max="5888" width="13.7109375" style="76" customWidth="1"/>
    <col min="5889" max="5890" width="21" style="76" customWidth="1"/>
    <col min="5891" max="5891" width="28.28515625" style="76" customWidth="1"/>
    <col min="5892" max="5892" width="17.42578125" style="76" customWidth="1"/>
    <col min="5893" max="6137" width="9.140625" style="76"/>
    <col min="6138" max="6138" width="60.7109375" style="76" customWidth="1"/>
    <col min="6139" max="6139" width="17" style="76" customWidth="1"/>
    <col min="6140" max="6140" width="22.42578125" style="76" customWidth="1"/>
    <col min="6141" max="6141" width="18.140625" style="76" customWidth="1"/>
    <col min="6142" max="6142" width="19.42578125" style="76" customWidth="1"/>
    <col min="6143" max="6143" width="18.5703125" style="76" customWidth="1"/>
    <col min="6144" max="6144" width="13.7109375" style="76" customWidth="1"/>
    <col min="6145" max="6146" width="21" style="76" customWidth="1"/>
    <col min="6147" max="6147" width="28.28515625" style="76" customWidth="1"/>
    <col min="6148" max="6148" width="17.42578125" style="76" customWidth="1"/>
    <col min="6149" max="6393" width="9.140625" style="76"/>
    <col min="6394" max="6394" width="60.7109375" style="76" customWidth="1"/>
    <col min="6395" max="6395" width="17" style="76" customWidth="1"/>
    <col min="6396" max="6396" width="22.42578125" style="76" customWidth="1"/>
    <col min="6397" max="6397" width="18.140625" style="76" customWidth="1"/>
    <col min="6398" max="6398" width="19.42578125" style="76" customWidth="1"/>
    <col min="6399" max="6399" width="18.5703125" style="76" customWidth="1"/>
    <col min="6400" max="6400" width="13.7109375" style="76" customWidth="1"/>
    <col min="6401" max="6402" width="21" style="76" customWidth="1"/>
    <col min="6403" max="6403" width="28.28515625" style="76" customWidth="1"/>
    <col min="6404" max="6404" width="17.42578125" style="76" customWidth="1"/>
    <col min="6405" max="6649" width="9.140625" style="76"/>
    <col min="6650" max="6650" width="60.7109375" style="76" customWidth="1"/>
    <col min="6651" max="6651" width="17" style="76" customWidth="1"/>
    <col min="6652" max="6652" width="22.42578125" style="76" customWidth="1"/>
    <col min="6653" max="6653" width="18.140625" style="76" customWidth="1"/>
    <col min="6654" max="6654" width="19.42578125" style="76" customWidth="1"/>
    <col min="6655" max="6655" width="18.5703125" style="76" customWidth="1"/>
    <col min="6656" max="6656" width="13.7109375" style="76" customWidth="1"/>
    <col min="6657" max="6658" width="21" style="76" customWidth="1"/>
    <col min="6659" max="6659" width="28.28515625" style="76" customWidth="1"/>
    <col min="6660" max="6660" width="17.42578125" style="76" customWidth="1"/>
    <col min="6661" max="6905" width="9.140625" style="76"/>
    <col min="6906" max="6906" width="60.7109375" style="76" customWidth="1"/>
    <col min="6907" max="6907" width="17" style="76" customWidth="1"/>
    <col min="6908" max="6908" width="22.42578125" style="76" customWidth="1"/>
    <col min="6909" max="6909" width="18.140625" style="76" customWidth="1"/>
    <col min="6910" max="6910" width="19.42578125" style="76" customWidth="1"/>
    <col min="6911" max="6911" width="18.5703125" style="76" customWidth="1"/>
    <col min="6912" max="6912" width="13.7109375" style="76" customWidth="1"/>
    <col min="6913" max="6914" width="21" style="76" customWidth="1"/>
    <col min="6915" max="6915" width="28.28515625" style="76" customWidth="1"/>
    <col min="6916" max="6916" width="17.42578125" style="76" customWidth="1"/>
    <col min="6917" max="7161" width="9.140625" style="76"/>
    <col min="7162" max="7162" width="60.7109375" style="76" customWidth="1"/>
    <col min="7163" max="7163" width="17" style="76" customWidth="1"/>
    <col min="7164" max="7164" width="22.42578125" style="76" customWidth="1"/>
    <col min="7165" max="7165" width="18.140625" style="76" customWidth="1"/>
    <col min="7166" max="7166" width="19.42578125" style="76" customWidth="1"/>
    <col min="7167" max="7167" width="18.5703125" style="76" customWidth="1"/>
    <col min="7168" max="7168" width="13.7109375" style="76" customWidth="1"/>
    <col min="7169" max="7170" width="21" style="76" customWidth="1"/>
    <col min="7171" max="7171" width="28.28515625" style="76" customWidth="1"/>
    <col min="7172" max="7172" width="17.42578125" style="76" customWidth="1"/>
    <col min="7173" max="7417" width="9.140625" style="76"/>
    <col min="7418" max="7418" width="60.7109375" style="76" customWidth="1"/>
    <col min="7419" max="7419" width="17" style="76" customWidth="1"/>
    <col min="7420" max="7420" width="22.42578125" style="76" customWidth="1"/>
    <col min="7421" max="7421" width="18.140625" style="76" customWidth="1"/>
    <col min="7422" max="7422" width="19.42578125" style="76" customWidth="1"/>
    <col min="7423" max="7423" width="18.5703125" style="76" customWidth="1"/>
    <col min="7424" max="7424" width="13.7109375" style="76" customWidth="1"/>
    <col min="7425" max="7426" width="21" style="76" customWidth="1"/>
    <col min="7427" max="7427" width="28.28515625" style="76" customWidth="1"/>
    <col min="7428" max="7428" width="17.42578125" style="76" customWidth="1"/>
    <col min="7429" max="7673" width="9.140625" style="76"/>
    <col min="7674" max="7674" width="60.7109375" style="76" customWidth="1"/>
    <col min="7675" max="7675" width="17" style="76" customWidth="1"/>
    <col min="7676" max="7676" width="22.42578125" style="76" customWidth="1"/>
    <col min="7677" max="7677" width="18.140625" style="76" customWidth="1"/>
    <col min="7678" max="7678" width="19.42578125" style="76" customWidth="1"/>
    <col min="7679" max="7679" width="18.5703125" style="76" customWidth="1"/>
    <col min="7680" max="7680" width="13.7109375" style="76" customWidth="1"/>
    <col min="7681" max="7682" width="21" style="76" customWidth="1"/>
    <col min="7683" max="7683" width="28.28515625" style="76" customWidth="1"/>
    <col min="7684" max="7684" width="17.42578125" style="76" customWidth="1"/>
    <col min="7685" max="7929" width="9.140625" style="76"/>
    <col min="7930" max="7930" width="60.7109375" style="76" customWidth="1"/>
    <col min="7931" max="7931" width="17" style="76" customWidth="1"/>
    <col min="7932" max="7932" width="22.42578125" style="76" customWidth="1"/>
    <col min="7933" max="7933" width="18.140625" style="76" customWidth="1"/>
    <col min="7934" max="7934" width="19.42578125" style="76" customWidth="1"/>
    <col min="7935" max="7935" width="18.5703125" style="76" customWidth="1"/>
    <col min="7936" max="7936" width="13.7109375" style="76" customWidth="1"/>
    <col min="7937" max="7938" width="21" style="76" customWidth="1"/>
    <col min="7939" max="7939" width="28.28515625" style="76" customWidth="1"/>
    <col min="7940" max="7940" width="17.42578125" style="76" customWidth="1"/>
    <col min="7941" max="8185" width="9.140625" style="76"/>
    <col min="8186" max="8186" width="60.7109375" style="76" customWidth="1"/>
    <col min="8187" max="8187" width="17" style="76" customWidth="1"/>
    <col min="8188" max="8188" width="22.42578125" style="76" customWidth="1"/>
    <col min="8189" max="8189" width="18.140625" style="76" customWidth="1"/>
    <col min="8190" max="8190" width="19.42578125" style="76" customWidth="1"/>
    <col min="8191" max="8191" width="18.5703125" style="76" customWidth="1"/>
    <col min="8192" max="8192" width="13.7109375" style="76" customWidth="1"/>
    <col min="8193" max="8194" width="21" style="76" customWidth="1"/>
    <col min="8195" max="8195" width="28.28515625" style="76" customWidth="1"/>
    <col min="8196" max="8196" width="17.42578125" style="76" customWidth="1"/>
    <col min="8197" max="8441" width="9.140625" style="76"/>
    <col min="8442" max="8442" width="60.7109375" style="76" customWidth="1"/>
    <col min="8443" max="8443" width="17" style="76" customWidth="1"/>
    <col min="8444" max="8444" width="22.42578125" style="76" customWidth="1"/>
    <col min="8445" max="8445" width="18.140625" style="76" customWidth="1"/>
    <col min="8446" max="8446" width="19.42578125" style="76" customWidth="1"/>
    <col min="8447" max="8447" width="18.5703125" style="76" customWidth="1"/>
    <col min="8448" max="8448" width="13.7109375" style="76" customWidth="1"/>
    <col min="8449" max="8450" width="21" style="76" customWidth="1"/>
    <col min="8451" max="8451" width="28.28515625" style="76" customWidth="1"/>
    <col min="8452" max="8452" width="17.42578125" style="76" customWidth="1"/>
    <col min="8453" max="8697" width="9.140625" style="76"/>
    <col min="8698" max="8698" width="60.7109375" style="76" customWidth="1"/>
    <col min="8699" max="8699" width="17" style="76" customWidth="1"/>
    <col min="8700" max="8700" width="22.42578125" style="76" customWidth="1"/>
    <col min="8701" max="8701" width="18.140625" style="76" customWidth="1"/>
    <col min="8702" max="8702" width="19.42578125" style="76" customWidth="1"/>
    <col min="8703" max="8703" width="18.5703125" style="76" customWidth="1"/>
    <col min="8704" max="8704" width="13.7109375" style="76" customWidth="1"/>
    <col min="8705" max="8706" width="21" style="76" customWidth="1"/>
    <col min="8707" max="8707" width="28.28515625" style="76" customWidth="1"/>
    <col min="8708" max="8708" width="17.42578125" style="76" customWidth="1"/>
    <col min="8709" max="8953" width="9.140625" style="76"/>
    <col min="8954" max="8954" width="60.7109375" style="76" customWidth="1"/>
    <col min="8955" max="8955" width="17" style="76" customWidth="1"/>
    <col min="8956" max="8956" width="22.42578125" style="76" customWidth="1"/>
    <col min="8957" max="8957" width="18.140625" style="76" customWidth="1"/>
    <col min="8958" max="8958" width="19.42578125" style="76" customWidth="1"/>
    <col min="8959" max="8959" width="18.5703125" style="76" customWidth="1"/>
    <col min="8960" max="8960" width="13.7109375" style="76" customWidth="1"/>
    <col min="8961" max="8962" width="21" style="76" customWidth="1"/>
    <col min="8963" max="8963" width="28.28515625" style="76" customWidth="1"/>
    <col min="8964" max="8964" width="17.42578125" style="76" customWidth="1"/>
    <col min="8965" max="9209" width="9.140625" style="76"/>
    <col min="9210" max="9210" width="60.7109375" style="76" customWidth="1"/>
    <col min="9211" max="9211" width="17" style="76" customWidth="1"/>
    <col min="9212" max="9212" width="22.42578125" style="76" customWidth="1"/>
    <col min="9213" max="9213" width="18.140625" style="76" customWidth="1"/>
    <col min="9214" max="9214" width="19.42578125" style="76" customWidth="1"/>
    <col min="9215" max="9215" width="18.5703125" style="76" customWidth="1"/>
    <col min="9216" max="9216" width="13.7109375" style="76" customWidth="1"/>
    <col min="9217" max="9218" width="21" style="76" customWidth="1"/>
    <col min="9219" max="9219" width="28.28515625" style="76" customWidth="1"/>
    <col min="9220" max="9220" width="17.42578125" style="76" customWidth="1"/>
    <col min="9221" max="9465" width="9.140625" style="76"/>
    <col min="9466" max="9466" width="60.7109375" style="76" customWidth="1"/>
    <col min="9467" max="9467" width="17" style="76" customWidth="1"/>
    <col min="9468" max="9468" width="22.42578125" style="76" customWidth="1"/>
    <col min="9469" max="9469" width="18.140625" style="76" customWidth="1"/>
    <col min="9470" max="9470" width="19.42578125" style="76" customWidth="1"/>
    <col min="9471" max="9471" width="18.5703125" style="76" customWidth="1"/>
    <col min="9472" max="9472" width="13.7109375" style="76" customWidth="1"/>
    <col min="9473" max="9474" width="21" style="76" customWidth="1"/>
    <col min="9475" max="9475" width="28.28515625" style="76" customWidth="1"/>
    <col min="9476" max="9476" width="17.42578125" style="76" customWidth="1"/>
    <col min="9477" max="9721" width="9.140625" style="76"/>
    <col min="9722" max="9722" width="60.7109375" style="76" customWidth="1"/>
    <col min="9723" max="9723" width="17" style="76" customWidth="1"/>
    <col min="9724" max="9724" width="22.42578125" style="76" customWidth="1"/>
    <col min="9725" max="9725" width="18.140625" style="76" customWidth="1"/>
    <col min="9726" max="9726" width="19.42578125" style="76" customWidth="1"/>
    <col min="9727" max="9727" width="18.5703125" style="76" customWidth="1"/>
    <col min="9728" max="9728" width="13.7109375" style="76" customWidth="1"/>
    <col min="9729" max="9730" width="21" style="76" customWidth="1"/>
    <col min="9731" max="9731" width="28.28515625" style="76" customWidth="1"/>
    <col min="9732" max="9732" width="17.42578125" style="76" customWidth="1"/>
    <col min="9733" max="9977" width="9.140625" style="76"/>
    <col min="9978" max="9978" width="60.7109375" style="76" customWidth="1"/>
    <col min="9979" max="9979" width="17" style="76" customWidth="1"/>
    <col min="9980" max="9980" width="22.42578125" style="76" customWidth="1"/>
    <col min="9981" max="9981" width="18.140625" style="76" customWidth="1"/>
    <col min="9982" max="9982" width="19.42578125" style="76" customWidth="1"/>
    <col min="9983" max="9983" width="18.5703125" style="76" customWidth="1"/>
    <col min="9984" max="9984" width="13.7109375" style="76" customWidth="1"/>
    <col min="9985" max="9986" width="21" style="76" customWidth="1"/>
    <col min="9987" max="9987" width="28.28515625" style="76" customWidth="1"/>
    <col min="9988" max="9988" width="17.42578125" style="76" customWidth="1"/>
    <col min="9989" max="10233" width="9.140625" style="76"/>
    <col min="10234" max="10234" width="60.7109375" style="76" customWidth="1"/>
    <col min="10235" max="10235" width="17" style="76" customWidth="1"/>
    <col min="10236" max="10236" width="22.42578125" style="76" customWidth="1"/>
    <col min="10237" max="10237" width="18.140625" style="76" customWidth="1"/>
    <col min="10238" max="10238" width="19.42578125" style="76" customWidth="1"/>
    <col min="10239" max="10239" width="18.5703125" style="76" customWidth="1"/>
    <col min="10240" max="10240" width="13.7109375" style="76" customWidth="1"/>
    <col min="10241" max="10242" width="21" style="76" customWidth="1"/>
    <col min="10243" max="10243" width="28.28515625" style="76" customWidth="1"/>
    <col min="10244" max="10244" width="17.42578125" style="76" customWidth="1"/>
    <col min="10245" max="10489" width="9.140625" style="76"/>
    <col min="10490" max="10490" width="60.7109375" style="76" customWidth="1"/>
    <col min="10491" max="10491" width="17" style="76" customWidth="1"/>
    <col min="10492" max="10492" width="22.42578125" style="76" customWidth="1"/>
    <col min="10493" max="10493" width="18.140625" style="76" customWidth="1"/>
    <col min="10494" max="10494" width="19.42578125" style="76" customWidth="1"/>
    <col min="10495" max="10495" width="18.5703125" style="76" customWidth="1"/>
    <col min="10496" max="10496" width="13.7109375" style="76" customWidth="1"/>
    <col min="10497" max="10498" width="21" style="76" customWidth="1"/>
    <col min="10499" max="10499" width="28.28515625" style="76" customWidth="1"/>
    <col min="10500" max="10500" width="17.42578125" style="76" customWidth="1"/>
    <col min="10501" max="10745" width="9.140625" style="76"/>
    <col min="10746" max="10746" width="60.7109375" style="76" customWidth="1"/>
    <col min="10747" max="10747" width="17" style="76" customWidth="1"/>
    <col min="10748" max="10748" width="22.42578125" style="76" customWidth="1"/>
    <col min="10749" max="10749" width="18.140625" style="76" customWidth="1"/>
    <col min="10750" max="10750" width="19.42578125" style="76" customWidth="1"/>
    <col min="10751" max="10751" width="18.5703125" style="76" customWidth="1"/>
    <col min="10752" max="10752" width="13.7109375" style="76" customWidth="1"/>
    <col min="10753" max="10754" width="21" style="76" customWidth="1"/>
    <col min="10755" max="10755" width="28.28515625" style="76" customWidth="1"/>
    <col min="10756" max="10756" width="17.42578125" style="76" customWidth="1"/>
    <col min="10757" max="11001" width="9.140625" style="76"/>
    <col min="11002" max="11002" width="60.7109375" style="76" customWidth="1"/>
    <col min="11003" max="11003" width="17" style="76" customWidth="1"/>
    <col min="11004" max="11004" width="22.42578125" style="76" customWidth="1"/>
    <col min="11005" max="11005" width="18.140625" style="76" customWidth="1"/>
    <col min="11006" max="11006" width="19.42578125" style="76" customWidth="1"/>
    <col min="11007" max="11007" width="18.5703125" style="76" customWidth="1"/>
    <col min="11008" max="11008" width="13.7109375" style="76" customWidth="1"/>
    <col min="11009" max="11010" width="21" style="76" customWidth="1"/>
    <col min="11011" max="11011" width="28.28515625" style="76" customWidth="1"/>
    <col min="11012" max="11012" width="17.42578125" style="76" customWidth="1"/>
    <col min="11013" max="11257" width="9.140625" style="76"/>
    <col min="11258" max="11258" width="60.7109375" style="76" customWidth="1"/>
    <col min="11259" max="11259" width="17" style="76" customWidth="1"/>
    <col min="11260" max="11260" width="22.42578125" style="76" customWidth="1"/>
    <col min="11261" max="11261" width="18.140625" style="76" customWidth="1"/>
    <col min="11262" max="11262" width="19.42578125" style="76" customWidth="1"/>
    <col min="11263" max="11263" width="18.5703125" style="76" customWidth="1"/>
    <col min="11264" max="11264" width="13.7109375" style="76" customWidth="1"/>
    <col min="11265" max="11266" width="21" style="76" customWidth="1"/>
    <col min="11267" max="11267" width="28.28515625" style="76" customWidth="1"/>
    <col min="11268" max="11268" width="17.42578125" style="76" customWidth="1"/>
    <col min="11269" max="11513" width="9.140625" style="76"/>
    <col min="11514" max="11514" width="60.7109375" style="76" customWidth="1"/>
    <col min="11515" max="11515" width="17" style="76" customWidth="1"/>
    <col min="11516" max="11516" width="22.42578125" style="76" customWidth="1"/>
    <col min="11517" max="11517" width="18.140625" style="76" customWidth="1"/>
    <col min="11518" max="11518" width="19.42578125" style="76" customWidth="1"/>
    <col min="11519" max="11519" width="18.5703125" style="76" customWidth="1"/>
    <col min="11520" max="11520" width="13.7109375" style="76" customWidth="1"/>
    <col min="11521" max="11522" width="21" style="76" customWidth="1"/>
    <col min="11523" max="11523" width="28.28515625" style="76" customWidth="1"/>
    <col min="11524" max="11524" width="17.42578125" style="76" customWidth="1"/>
    <col min="11525" max="11769" width="9.140625" style="76"/>
    <col min="11770" max="11770" width="60.7109375" style="76" customWidth="1"/>
    <col min="11771" max="11771" width="17" style="76" customWidth="1"/>
    <col min="11772" max="11772" width="22.42578125" style="76" customWidth="1"/>
    <col min="11773" max="11773" width="18.140625" style="76" customWidth="1"/>
    <col min="11774" max="11774" width="19.42578125" style="76" customWidth="1"/>
    <col min="11775" max="11775" width="18.5703125" style="76" customWidth="1"/>
    <col min="11776" max="11776" width="13.7109375" style="76" customWidth="1"/>
    <col min="11777" max="11778" width="21" style="76" customWidth="1"/>
    <col min="11779" max="11779" width="28.28515625" style="76" customWidth="1"/>
    <col min="11780" max="11780" width="17.42578125" style="76" customWidth="1"/>
    <col min="11781" max="12025" width="9.140625" style="76"/>
    <col min="12026" max="12026" width="60.7109375" style="76" customWidth="1"/>
    <col min="12027" max="12027" width="17" style="76" customWidth="1"/>
    <col min="12028" max="12028" width="22.42578125" style="76" customWidth="1"/>
    <col min="12029" max="12029" width="18.140625" style="76" customWidth="1"/>
    <col min="12030" max="12030" width="19.42578125" style="76" customWidth="1"/>
    <col min="12031" max="12031" width="18.5703125" style="76" customWidth="1"/>
    <col min="12032" max="12032" width="13.7109375" style="76" customWidth="1"/>
    <col min="12033" max="12034" width="21" style="76" customWidth="1"/>
    <col min="12035" max="12035" width="28.28515625" style="76" customWidth="1"/>
    <col min="12036" max="12036" width="17.42578125" style="76" customWidth="1"/>
    <col min="12037" max="12281" width="9.140625" style="76"/>
    <col min="12282" max="12282" width="60.7109375" style="76" customWidth="1"/>
    <col min="12283" max="12283" width="17" style="76" customWidth="1"/>
    <col min="12284" max="12284" width="22.42578125" style="76" customWidth="1"/>
    <col min="12285" max="12285" width="18.140625" style="76" customWidth="1"/>
    <col min="12286" max="12286" width="19.42578125" style="76" customWidth="1"/>
    <col min="12287" max="12287" width="18.5703125" style="76" customWidth="1"/>
    <col min="12288" max="12288" width="13.7109375" style="76" customWidth="1"/>
    <col min="12289" max="12290" width="21" style="76" customWidth="1"/>
    <col min="12291" max="12291" width="28.28515625" style="76" customWidth="1"/>
    <col min="12292" max="12292" width="17.42578125" style="76" customWidth="1"/>
    <col min="12293" max="12537" width="9.140625" style="76"/>
    <col min="12538" max="12538" width="60.7109375" style="76" customWidth="1"/>
    <col min="12539" max="12539" width="17" style="76" customWidth="1"/>
    <col min="12540" max="12540" width="22.42578125" style="76" customWidth="1"/>
    <col min="12541" max="12541" width="18.140625" style="76" customWidth="1"/>
    <col min="12542" max="12542" width="19.42578125" style="76" customWidth="1"/>
    <col min="12543" max="12543" width="18.5703125" style="76" customWidth="1"/>
    <col min="12544" max="12544" width="13.7109375" style="76" customWidth="1"/>
    <col min="12545" max="12546" width="21" style="76" customWidth="1"/>
    <col min="12547" max="12547" width="28.28515625" style="76" customWidth="1"/>
    <col min="12548" max="12548" width="17.42578125" style="76" customWidth="1"/>
    <col min="12549" max="12793" width="9.140625" style="76"/>
    <col min="12794" max="12794" width="60.7109375" style="76" customWidth="1"/>
    <col min="12795" max="12795" width="17" style="76" customWidth="1"/>
    <col min="12796" max="12796" width="22.42578125" style="76" customWidth="1"/>
    <col min="12797" max="12797" width="18.140625" style="76" customWidth="1"/>
    <col min="12798" max="12798" width="19.42578125" style="76" customWidth="1"/>
    <col min="12799" max="12799" width="18.5703125" style="76" customWidth="1"/>
    <col min="12800" max="12800" width="13.7109375" style="76" customWidth="1"/>
    <col min="12801" max="12802" width="21" style="76" customWidth="1"/>
    <col min="12803" max="12803" width="28.28515625" style="76" customWidth="1"/>
    <col min="12804" max="12804" width="17.42578125" style="76" customWidth="1"/>
    <col min="12805" max="13049" width="9.140625" style="76"/>
    <col min="13050" max="13050" width="60.7109375" style="76" customWidth="1"/>
    <col min="13051" max="13051" width="17" style="76" customWidth="1"/>
    <col min="13052" max="13052" width="22.42578125" style="76" customWidth="1"/>
    <col min="13053" max="13053" width="18.140625" style="76" customWidth="1"/>
    <col min="13054" max="13054" width="19.42578125" style="76" customWidth="1"/>
    <col min="13055" max="13055" width="18.5703125" style="76" customWidth="1"/>
    <col min="13056" max="13056" width="13.7109375" style="76" customWidth="1"/>
    <col min="13057" max="13058" width="21" style="76" customWidth="1"/>
    <col min="13059" max="13059" width="28.28515625" style="76" customWidth="1"/>
    <col min="13060" max="13060" width="17.42578125" style="76" customWidth="1"/>
    <col min="13061" max="13305" width="9.140625" style="76"/>
    <col min="13306" max="13306" width="60.7109375" style="76" customWidth="1"/>
    <col min="13307" max="13307" width="17" style="76" customWidth="1"/>
    <col min="13308" max="13308" width="22.42578125" style="76" customWidth="1"/>
    <col min="13309" max="13309" width="18.140625" style="76" customWidth="1"/>
    <col min="13310" max="13310" width="19.42578125" style="76" customWidth="1"/>
    <col min="13311" max="13311" width="18.5703125" style="76" customWidth="1"/>
    <col min="13312" max="13312" width="13.7109375" style="76" customWidth="1"/>
    <col min="13313" max="13314" width="21" style="76" customWidth="1"/>
    <col min="13315" max="13315" width="28.28515625" style="76" customWidth="1"/>
    <col min="13316" max="13316" width="17.42578125" style="76" customWidth="1"/>
    <col min="13317" max="13561" width="9.140625" style="76"/>
    <col min="13562" max="13562" width="60.7109375" style="76" customWidth="1"/>
    <col min="13563" max="13563" width="17" style="76" customWidth="1"/>
    <col min="13564" max="13564" width="22.42578125" style="76" customWidth="1"/>
    <col min="13565" max="13565" width="18.140625" style="76" customWidth="1"/>
    <col min="13566" max="13566" width="19.42578125" style="76" customWidth="1"/>
    <col min="13567" max="13567" width="18.5703125" style="76" customWidth="1"/>
    <col min="13568" max="13568" width="13.7109375" style="76" customWidth="1"/>
    <col min="13569" max="13570" width="21" style="76" customWidth="1"/>
    <col min="13571" max="13571" width="28.28515625" style="76" customWidth="1"/>
    <col min="13572" max="13572" width="17.42578125" style="76" customWidth="1"/>
    <col min="13573" max="13817" width="9.140625" style="76"/>
    <col min="13818" max="13818" width="60.7109375" style="76" customWidth="1"/>
    <col min="13819" max="13819" width="17" style="76" customWidth="1"/>
    <col min="13820" max="13820" width="22.42578125" style="76" customWidth="1"/>
    <col min="13821" max="13821" width="18.140625" style="76" customWidth="1"/>
    <col min="13822" max="13822" width="19.42578125" style="76" customWidth="1"/>
    <col min="13823" max="13823" width="18.5703125" style="76" customWidth="1"/>
    <col min="13824" max="13824" width="13.7109375" style="76" customWidth="1"/>
    <col min="13825" max="13826" width="21" style="76" customWidth="1"/>
    <col min="13827" max="13827" width="28.28515625" style="76" customWidth="1"/>
    <col min="13828" max="13828" width="17.42578125" style="76" customWidth="1"/>
    <col min="13829" max="14073" width="9.140625" style="76"/>
    <col min="14074" max="14074" width="60.7109375" style="76" customWidth="1"/>
    <col min="14075" max="14075" width="17" style="76" customWidth="1"/>
    <col min="14076" max="14076" width="22.42578125" style="76" customWidth="1"/>
    <col min="14077" max="14077" width="18.140625" style="76" customWidth="1"/>
    <col min="14078" max="14078" width="19.42578125" style="76" customWidth="1"/>
    <col min="14079" max="14079" width="18.5703125" style="76" customWidth="1"/>
    <col min="14080" max="14080" width="13.7109375" style="76" customWidth="1"/>
    <col min="14081" max="14082" width="21" style="76" customWidth="1"/>
    <col min="14083" max="14083" width="28.28515625" style="76" customWidth="1"/>
    <col min="14084" max="14084" width="17.42578125" style="76" customWidth="1"/>
    <col min="14085" max="14329" width="9.140625" style="76"/>
    <col min="14330" max="14330" width="60.7109375" style="76" customWidth="1"/>
    <col min="14331" max="14331" width="17" style="76" customWidth="1"/>
    <col min="14332" max="14332" width="22.42578125" style="76" customWidth="1"/>
    <col min="14333" max="14333" width="18.140625" style="76" customWidth="1"/>
    <col min="14334" max="14334" width="19.42578125" style="76" customWidth="1"/>
    <col min="14335" max="14335" width="18.5703125" style="76" customWidth="1"/>
    <col min="14336" max="14336" width="13.7109375" style="76" customWidth="1"/>
    <col min="14337" max="14338" width="21" style="76" customWidth="1"/>
    <col min="14339" max="14339" width="28.28515625" style="76" customWidth="1"/>
    <col min="14340" max="14340" width="17.42578125" style="76" customWidth="1"/>
    <col min="14341" max="14585" width="9.140625" style="76"/>
    <col min="14586" max="14586" width="60.7109375" style="76" customWidth="1"/>
    <col min="14587" max="14587" width="17" style="76" customWidth="1"/>
    <col min="14588" max="14588" width="22.42578125" style="76" customWidth="1"/>
    <col min="14589" max="14589" width="18.140625" style="76" customWidth="1"/>
    <col min="14590" max="14590" width="19.42578125" style="76" customWidth="1"/>
    <col min="14591" max="14591" width="18.5703125" style="76" customWidth="1"/>
    <col min="14592" max="14592" width="13.7109375" style="76" customWidth="1"/>
    <col min="14593" max="14594" width="21" style="76" customWidth="1"/>
    <col min="14595" max="14595" width="28.28515625" style="76" customWidth="1"/>
    <col min="14596" max="14596" width="17.42578125" style="76" customWidth="1"/>
    <col min="14597" max="14841" width="9.140625" style="76"/>
    <col min="14842" max="14842" width="60.7109375" style="76" customWidth="1"/>
    <col min="14843" max="14843" width="17" style="76" customWidth="1"/>
    <col min="14844" max="14844" width="22.42578125" style="76" customWidth="1"/>
    <col min="14845" max="14845" width="18.140625" style="76" customWidth="1"/>
    <col min="14846" max="14846" width="19.42578125" style="76" customWidth="1"/>
    <col min="14847" max="14847" width="18.5703125" style="76" customWidth="1"/>
    <col min="14848" max="14848" width="13.7109375" style="76" customWidth="1"/>
    <col min="14849" max="14850" width="21" style="76" customWidth="1"/>
    <col min="14851" max="14851" width="28.28515625" style="76" customWidth="1"/>
    <col min="14852" max="14852" width="17.42578125" style="76" customWidth="1"/>
    <col min="14853" max="15097" width="9.140625" style="76"/>
    <col min="15098" max="15098" width="60.7109375" style="76" customWidth="1"/>
    <col min="15099" max="15099" width="17" style="76" customWidth="1"/>
    <col min="15100" max="15100" width="22.42578125" style="76" customWidth="1"/>
    <col min="15101" max="15101" width="18.140625" style="76" customWidth="1"/>
    <col min="15102" max="15102" width="19.42578125" style="76" customWidth="1"/>
    <col min="15103" max="15103" width="18.5703125" style="76" customWidth="1"/>
    <col min="15104" max="15104" width="13.7109375" style="76" customWidth="1"/>
    <col min="15105" max="15106" width="21" style="76" customWidth="1"/>
    <col min="15107" max="15107" width="28.28515625" style="76" customWidth="1"/>
    <col min="15108" max="15108" width="17.42578125" style="76" customWidth="1"/>
    <col min="15109" max="15353" width="9.140625" style="76"/>
    <col min="15354" max="15354" width="60.7109375" style="76" customWidth="1"/>
    <col min="15355" max="15355" width="17" style="76" customWidth="1"/>
    <col min="15356" max="15356" width="22.42578125" style="76" customWidth="1"/>
    <col min="15357" max="15357" width="18.140625" style="76" customWidth="1"/>
    <col min="15358" max="15358" width="19.42578125" style="76" customWidth="1"/>
    <col min="15359" max="15359" width="18.5703125" style="76" customWidth="1"/>
    <col min="15360" max="15360" width="13.7109375" style="76" customWidth="1"/>
    <col min="15361" max="15362" width="21" style="76" customWidth="1"/>
    <col min="15363" max="15363" width="28.28515625" style="76" customWidth="1"/>
    <col min="15364" max="15364" width="17.42578125" style="76" customWidth="1"/>
    <col min="15365" max="15609" width="9.140625" style="76"/>
    <col min="15610" max="15610" width="60.7109375" style="76" customWidth="1"/>
    <col min="15611" max="15611" width="17" style="76" customWidth="1"/>
    <col min="15612" max="15612" width="22.42578125" style="76" customWidth="1"/>
    <col min="15613" max="15613" width="18.140625" style="76" customWidth="1"/>
    <col min="15614" max="15614" width="19.42578125" style="76" customWidth="1"/>
    <col min="15615" max="15615" width="18.5703125" style="76" customWidth="1"/>
    <col min="15616" max="15616" width="13.7109375" style="76" customWidth="1"/>
    <col min="15617" max="15618" width="21" style="76" customWidth="1"/>
    <col min="15619" max="15619" width="28.28515625" style="76" customWidth="1"/>
    <col min="15620" max="15620" width="17.42578125" style="76" customWidth="1"/>
    <col min="15621" max="15865" width="9.140625" style="76"/>
    <col min="15866" max="15866" width="60.7109375" style="76" customWidth="1"/>
    <col min="15867" max="15867" width="17" style="76" customWidth="1"/>
    <col min="15868" max="15868" width="22.42578125" style="76" customWidth="1"/>
    <col min="15869" max="15869" width="18.140625" style="76" customWidth="1"/>
    <col min="15870" max="15870" width="19.42578125" style="76" customWidth="1"/>
    <col min="15871" max="15871" width="18.5703125" style="76" customWidth="1"/>
    <col min="15872" max="15872" width="13.7109375" style="76" customWidth="1"/>
    <col min="15873" max="15874" width="21" style="76" customWidth="1"/>
    <col min="15875" max="15875" width="28.28515625" style="76" customWidth="1"/>
    <col min="15876" max="15876" width="17.42578125" style="76" customWidth="1"/>
    <col min="15877" max="16121" width="9.140625" style="76"/>
    <col min="16122" max="16122" width="60.7109375" style="76" customWidth="1"/>
    <col min="16123" max="16123" width="17" style="76" customWidth="1"/>
    <col min="16124" max="16124" width="22.42578125" style="76" customWidth="1"/>
    <col min="16125" max="16125" width="18.140625" style="76" customWidth="1"/>
    <col min="16126" max="16126" width="19.42578125" style="76" customWidth="1"/>
    <col min="16127" max="16127" width="18.5703125" style="76" customWidth="1"/>
    <col min="16128" max="16128" width="13.7109375" style="76" customWidth="1"/>
    <col min="16129" max="16130" width="21" style="76" customWidth="1"/>
    <col min="16131" max="16131" width="28.28515625" style="76" customWidth="1"/>
    <col min="16132" max="16132" width="17.42578125" style="76" customWidth="1"/>
    <col min="16133" max="16384" width="9.140625" style="76"/>
  </cols>
  <sheetData>
    <row r="1" spans="1:6" ht="42" customHeight="1" x14ac:dyDescent="0.25">
      <c r="A1" s="364" t="s">
        <v>245</v>
      </c>
      <c r="B1" s="365"/>
      <c r="C1" s="365"/>
      <c r="D1" s="365"/>
      <c r="E1" s="365"/>
      <c r="F1" s="365"/>
    </row>
    <row r="2" spans="1:6" ht="13.5" thickBot="1" x14ac:dyDescent="0.3"/>
    <row r="3" spans="1:6" ht="12.75" customHeight="1" x14ac:dyDescent="0.25">
      <c r="A3" s="366" t="s">
        <v>0</v>
      </c>
      <c r="B3" s="368" t="s">
        <v>246</v>
      </c>
      <c r="C3" s="370" t="s">
        <v>247</v>
      </c>
      <c r="D3" s="371"/>
      <c r="E3" s="371"/>
      <c r="F3" s="372"/>
    </row>
    <row r="4" spans="1:6" ht="45" customHeight="1" thickBot="1" x14ac:dyDescent="0.3">
      <c r="A4" s="367"/>
      <c r="B4" s="369"/>
      <c r="C4" s="78" t="s">
        <v>248</v>
      </c>
      <c r="D4" s="297" t="s">
        <v>249</v>
      </c>
      <c r="E4" s="297" t="s">
        <v>250</v>
      </c>
      <c r="F4" s="79" t="s">
        <v>130</v>
      </c>
    </row>
    <row r="5" spans="1:6" x14ac:dyDescent="0.25">
      <c r="A5" s="80">
        <v>1</v>
      </c>
      <c r="B5" s="81" t="s">
        <v>4</v>
      </c>
      <c r="C5" s="298">
        <f>1144-64</f>
        <v>1080</v>
      </c>
      <c r="D5" s="299">
        <f>642-4</f>
        <v>638</v>
      </c>
      <c r="E5" s="299">
        <f>364-6</f>
        <v>358</v>
      </c>
      <c r="F5" s="300">
        <f t="shared" ref="F5:F77" si="0">SUM(C5:E5)</f>
        <v>2076</v>
      </c>
    </row>
    <row r="6" spans="1:6" x14ac:dyDescent="0.25">
      <c r="A6" s="82">
        <v>2</v>
      </c>
      <c r="B6" s="83" t="s">
        <v>3</v>
      </c>
      <c r="C6" s="84">
        <f>1012-56</f>
        <v>956</v>
      </c>
      <c r="D6" s="85">
        <f>573-3</f>
        <v>570</v>
      </c>
      <c r="E6" s="85">
        <f>325-5</f>
        <v>320</v>
      </c>
      <c r="F6" s="86">
        <f>SUM(C6:E6)</f>
        <v>1846</v>
      </c>
    </row>
    <row r="7" spans="1:6" x14ac:dyDescent="0.25">
      <c r="A7" s="82">
        <v>3</v>
      </c>
      <c r="B7" s="83" t="s">
        <v>251</v>
      </c>
      <c r="C7" s="84">
        <f>3227-179</f>
        <v>3048</v>
      </c>
      <c r="D7" s="85">
        <f>1715-10</f>
        <v>1705</v>
      </c>
      <c r="E7" s="85">
        <f>972-16</f>
        <v>956</v>
      </c>
      <c r="F7" s="86">
        <f>SUM(C7:E7)</f>
        <v>5709</v>
      </c>
    </row>
    <row r="8" spans="1:6" x14ac:dyDescent="0.25">
      <c r="A8" s="82">
        <v>4</v>
      </c>
      <c r="B8" s="83" t="s">
        <v>8</v>
      </c>
      <c r="C8" s="84">
        <f>1147-64</f>
        <v>1083</v>
      </c>
      <c r="D8" s="85">
        <f>667-4</f>
        <v>663</v>
      </c>
      <c r="E8" s="85">
        <f>378-6</f>
        <v>372</v>
      </c>
      <c r="F8" s="86">
        <f>SUM(C8:E8)</f>
        <v>2118</v>
      </c>
    </row>
    <row r="9" spans="1:6" x14ac:dyDescent="0.25">
      <c r="A9" s="82">
        <v>5</v>
      </c>
      <c r="B9" s="83" t="s">
        <v>9</v>
      </c>
      <c r="C9" s="84">
        <f>6928-1291</f>
        <v>5637</v>
      </c>
      <c r="D9" s="85">
        <f>4230-720</f>
        <v>3510</v>
      </c>
      <c r="E9" s="85">
        <f>2397-428</f>
        <v>1969</v>
      </c>
      <c r="F9" s="86">
        <f>SUM(C9:E9)</f>
        <v>11116</v>
      </c>
    </row>
    <row r="10" spans="1:6" x14ac:dyDescent="0.25">
      <c r="A10" s="82">
        <v>6</v>
      </c>
      <c r="B10" s="83" t="s">
        <v>252</v>
      </c>
      <c r="C10" s="84">
        <f>9321-1454</f>
        <v>7867</v>
      </c>
      <c r="D10" s="85">
        <f>5554-33</f>
        <v>5521</v>
      </c>
      <c r="E10" s="85">
        <f>3147-52</f>
        <v>3095</v>
      </c>
      <c r="F10" s="86">
        <f t="shared" si="0"/>
        <v>16483</v>
      </c>
    </row>
    <row r="11" spans="1:6" x14ac:dyDescent="0.25">
      <c r="A11" s="82">
        <v>7</v>
      </c>
      <c r="B11" s="83" t="s">
        <v>13</v>
      </c>
      <c r="C11" s="84">
        <f>4745-1503</f>
        <v>3242</v>
      </c>
      <c r="D11" s="85">
        <f>2655-770</f>
        <v>1885</v>
      </c>
      <c r="E11" s="85">
        <f>1936-455</f>
        <v>1481</v>
      </c>
      <c r="F11" s="86">
        <f t="shared" si="0"/>
        <v>6608</v>
      </c>
    </row>
    <row r="12" spans="1:6" x14ac:dyDescent="0.25">
      <c r="A12" s="82">
        <v>8</v>
      </c>
      <c r="B12" s="83" t="s">
        <v>15</v>
      </c>
      <c r="C12" s="84">
        <f>2828-158</f>
        <v>2670</v>
      </c>
      <c r="D12" s="85">
        <f>1545-9</f>
        <v>1536</v>
      </c>
      <c r="E12" s="85">
        <f>876-14</f>
        <v>862</v>
      </c>
      <c r="F12" s="86">
        <f t="shared" si="0"/>
        <v>5068</v>
      </c>
    </row>
    <row r="13" spans="1:6" x14ac:dyDescent="0.25">
      <c r="A13" s="82">
        <v>9</v>
      </c>
      <c r="B13" s="83" t="s">
        <v>16</v>
      </c>
      <c r="C13" s="84">
        <f>1566-87</f>
        <v>1479</v>
      </c>
      <c r="D13" s="85">
        <f>920-5</f>
        <v>915</v>
      </c>
      <c r="E13" s="85">
        <f>521-8</f>
        <v>513</v>
      </c>
      <c r="F13" s="86">
        <f t="shared" si="0"/>
        <v>2907</v>
      </c>
    </row>
    <row r="14" spans="1:6" x14ac:dyDescent="0.25">
      <c r="A14" s="82">
        <v>10</v>
      </c>
      <c r="B14" s="83" t="s">
        <v>17</v>
      </c>
      <c r="C14" s="84">
        <f>1042-58</f>
        <v>984</v>
      </c>
      <c r="D14" s="85">
        <f>761-4</f>
        <v>757</v>
      </c>
      <c r="E14" s="85">
        <v>0</v>
      </c>
      <c r="F14" s="86">
        <f t="shared" si="0"/>
        <v>1741</v>
      </c>
    </row>
    <row r="15" spans="1:6" x14ac:dyDescent="0.25">
      <c r="A15" s="82">
        <v>11</v>
      </c>
      <c r="B15" s="83" t="s">
        <v>44</v>
      </c>
      <c r="C15" s="84">
        <f>1368-76</f>
        <v>1292</v>
      </c>
      <c r="D15" s="85">
        <f>779-5</f>
        <v>774</v>
      </c>
      <c r="E15" s="85">
        <v>434</v>
      </c>
      <c r="F15" s="86">
        <f t="shared" si="0"/>
        <v>2500</v>
      </c>
    </row>
    <row r="16" spans="1:6" x14ac:dyDescent="0.25">
      <c r="A16" s="82">
        <v>12</v>
      </c>
      <c r="B16" s="83" t="s">
        <v>27</v>
      </c>
      <c r="C16" s="84">
        <f>1454-81</f>
        <v>1373</v>
      </c>
      <c r="D16" s="85">
        <v>0</v>
      </c>
      <c r="E16" s="85">
        <v>0</v>
      </c>
      <c r="F16" s="86">
        <f t="shared" si="0"/>
        <v>1373</v>
      </c>
    </row>
    <row r="17" spans="1:6" x14ac:dyDescent="0.25">
      <c r="A17" s="82">
        <v>13</v>
      </c>
      <c r="B17" s="83" t="s">
        <v>36</v>
      </c>
      <c r="C17" s="84">
        <f>5849-327</f>
        <v>5522</v>
      </c>
      <c r="D17" s="85">
        <f>4345-26</f>
        <v>4319</v>
      </c>
      <c r="E17" s="85">
        <f>2462-40</f>
        <v>2422</v>
      </c>
      <c r="F17" s="86">
        <f t="shared" si="0"/>
        <v>12263</v>
      </c>
    </row>
    <row r="18" spans="1:6" x14ac:dyDescent="0.25">
      <c r="A18" s="82">
        <v>14</v>
      </c>
      <c r="B18" s="83" t="s">
        <v>234</v>
      </c>
      <c r="C18" s="84">
        <f>8110-453</f>
        <v>7657</v>
      </c>
      <c r="D18" s="85">
        <f>5927-35</f>
        <v>5892</v>
      </c>
      <c r="E18" s="85">
        <f>4196-68</f>
        <v>4128</v>
      </c>
      <c r="F18" s="86">
        <f t="shared" si="0"/>
        <v>17677</v>
      </c>
    </row>
    <row r="19" spans="1:6" x14ac:dyDescent="0.25">
      <c r="A19" s="82">
        <v>15</v>
      </c>
      <c r="B19" s="83" t="s">
        <v>253</v>
      </c>
      <c r="C19" s="84">
        <f>7192-401</f>
        <v>6791</v>
      </c>
      <c r="D19" s="85">
        <f>6804-40</f>
        <v>6764</v>
      </c>
      <c r="E19" s="85">
        <f>3855-63</f>
        <v>3792</v>
      </c>
      <c r="F19" s="86">
        <f t="shared" si="0"/>
        <v>17347</v>
      </c>
    </row>
    <row r="20" spans="1:6" x14ac:dyDescent="0.25">
      <c r="A20" s="362">
        <v>16</v>
      </c>
      <c r="B20" s="83" t="s">
        <v>254</v>
      </c>
      <c r="C20" s="84">
        <f>2080+3480-2275</f>
        <v>3285</v>
      </c>
      <c r="D20" s="85">
        <f>4313-26</f>
        <v>4287</v>
      </c>
      <c r="E20" s="85">
        <f>2444-39</f>
        <v>2405</v>
      </c>
      <c r="F20" s="86">
        <f t="shared" si="0"/>
        <v>9977</v>
      </c>
    </row>
    <row r="21" spans="1:6" ht="38.25" x14ac:dyDescent="0.25">
      <c r="A21" s="363"/>
      <c r="B21" s="318" t="s">
        <v>639</v>
      </c>
      <c r="C21" s="84">
        <f>0+3343</f>
        <v>3343</v>
      </c>
      <c r="D21" s="85">
        <f>0+2678</f>
        <v>2678</v>
      </c>
      <c r="E21" s="85">
        <f>0+1495</f>
        <v>1495</v>
      </c>
      <c r="F21" s="86">
        <f t="shared" si="0"/>
        <v>7516</v>
      </c>
    </row>
    <row r="22" spans="1:6" x14ac:dyDescent="0.25">
      <c r="A22" s="82">
        <v>17</v>
      </c>
      <c r="B22" s="83" t="s">
        <v>255</v>
      </c>
      <c r="C22" s="84">
        <f>3725-208-3343</f>
        <v>174</v>
      </c>
      <c r="D22" s="85">
        <f>2723-16-2678</f>
        <v>29</v>
      </c>
      <c r="E22" s="85">
        <f>1543-25-1495</f>
        <v>23</v>
      </c>
      <c r="F22" s="86">
        <f t="shared" si="0"/>
        <v>226</v>
      </c>
    </row>
    <row r="23" spans="1:6" x14ac:dyDescent="0.25">
      <c r="A23" s="82">
        <v>18</v>
      </c>
      <c r="B23" s="83" t="s">
        <v>256</v>
      </c>
      <c r="C23" s="84">
        <f>3434-192</f>
        <v>3242</v>
      </c>
      <c r="D23" s="85">
        <f>2510-15</f>
        <v>2495</v>
      </c>
      <c r="E23" s="85">
        <f>1422-23</f>
        <v>1399</v>
      </c>
      <c r="F23" s="86">
        <f t="shared" si="0"/>
        <v>7136</v>
      </c>
    </row>
    <row r="24" spans="1:6" x14ac:dyDescent="0.25">
      <c r="A24" s="82">
        <v>19</v>
      </c>
      <c r="B24" s="83" t="s">
        <v>257</v>
      </c>
      <c r="C24" s="84">
        <f>3544+1767</f>
        <v>5311</v>
      </c>
      <c r="D24" s="85">
        <f>2591-15</f>
        <v>2576</v>
      </c>
      <c r="E24" s="85">
        <f>1468-24</f>
        <v>1444</v>
      </c>
      <c r="F24" s="86">
        <f t="shared" si="0"/>
        <v>9331</v>
      </c>
    </row>
    <row r="25" spans="1:6" x14ac:dyDescent="0.25">
      <c r="A25" s="82">
        <v>20</v>
      </c>
      <c r="B25" s="83" t="s">
        <v>258</v>
      </c>
      <c r="C25" s="84">
        <f>6202-346</f>
        <v>5856</v>
      </c>
      <c r="D25" s="85">
        <f>3498-21</f>
        <v>3477</v>
      </c>
      <c r="E25" s="85">
        <f>1982-32</f>
        <v>1950</v>
      </c>
      <c r="F25" s="86">
        <f t="shared" si="0"/>
        <v>11283</v>
      </c>
    </row>
    <row r="26" spans="1:6" x14ac:dyDescent="0.25">
      <c r="A26" s="82">
        <v>21</v>
      </c>
      <c r="B26" s="83" t="s">
        <v>20</v>
      </c>
      <c r="C26" s="84">
        <f>2172-121</f>
        <v>2051</v>
      </c>
      <c r="D26" s="85">
        <f>1234-7</f>
        <v>1227</v>
      </c>
      <c r="E26" s="85">
        <f>700-11</f>
        <v>689</v>
      </c>
      <c r="F26" s="86">
        <f t="shared" si="0"/>
        <v>3967</v>
      </c>
    </row>
    <row r="27" spans="1:6" x14ac:dyDescent="0.25">
      <c r="A27" s="82">
        <v>22</v>
      </c>
      <c r="B27" s="83" t="s">
        <v>259</v>
      </c>
      <c r="C27" s="84">
        <f>5362-299</f>
        <v>5063</v>
      </c>
      <c r="D27" s="85">
        <v>0</v>
      </c>
      <c r="E27" s="85">
        <v>0</v>
      </c>
      <c r="F27" s="86">
        <f t="shared" si="0"/>
        <v>5063</v>
      </c>
    </row>
    <row r="28" spans="1:6" x14ac:dyDescent="0.25">
      <c r="A28" s="82">
        <v>23</v>
      </c>
      <c r="B28" s="83" t="s">
        <v>24</v>
      </c>
      <c r="C28" s="84">
        <f>1487-83</f>
        <v>1404</v>
      </c>
      <c r="D28" s="85">
        <f>815-5</f>
        <v>810</v>
      </c>
      <c r="E28" s="85">
        <f>462-8</f>
        <v>454</v>
      </c>
      <c r="F28" s="86">
        <f t="shared" si="0"/>
        <v>2668</v>
      </c>
    </row>
    <row r="29" spans="1:6" x14ac:dyDescent="0.25">
      <c r="A29" s="82">
        <v>24</v>
      </c>
      <c r="B29" s="83" t="s">
        <v>28</v>
      </c>
      <c r="C29" s="84">
        <f>3786-211</f>
        <v>3575</v>
      </c>
      <c r="D29" s="85">
        <v>0</v>
      </c>
      <c r="E29" s="85">
        <v>0</v>
      </c>
      <c r="F29" s="86">
        <f t="shared" si="0"/>
        <v>3575</v>
      </c>
    </row>
    <row r="30" spans="1:6" x14ac:dyDescent="0.25">
      <c r="A30" s="82">
        <v>25</v>
      </c>
      <c r="B30" s="83" t="s">
        <v>32</v>
      </c>
      <c r="C30" s="84">
        <f>724-40</f>
        <v>684</v>
      </c>
      <c r="D30" s="85">
        <v>0</v>
      </c>
      <c r="E30" s="85">
        <f>441-441</f>
        <v>0</v>
      </c>
      <c r="F30" s="86">
        <f t="shared" si="0"/>
        <v>684</v>
      </c>
    </row>
    <row r="31" spans="1:6" x14ac:dyDescent="0.25">
      <c r="A31" s="82">
        <v>26</v>
      </c>
      <c r="B31" s="83" t="s">
        <v>33</v>
      </c>
      <c r="C31" s="84">
        <f>1270-71</f>
        <v>1199</v>
      </c>
      <c r="D31" s="85">
        <f>928-5</f>
        <v>923</v>
      </c>
      <c r="E31" s="85">
        <f>526-9</f>
        <v>517</v>
      </c>
      <c r="F31" s="86">
        <f t="shared" si="0"/>
        <v>2639</v>
      </c>
    </row>
    <row r="32" spans="1:6" x14ac:dyDescent="0.25">
      <c r="A32" s="82">
        <v>27</v>
      </c>
      <c r="B32" s="83" t="s">
        <v>19</v>
      </c>
      <c r="C32" s="84">
        <f>1856-103</f>
        <v>1753</v>
      </c>
      <c r="D32" s="85">
        <f>1023-6</f>
        <v>1017</v>
      </c>
      <c r="E32" s="85">
        <f>580-9</f>
        <v>571</v>
      </c>
      <c r="F32" s="86">
        <f t="shared" si="0"/>
        <v>3341</v>
      </c>
    </row>
    <row r="33" spans="1:6" x14ac:dyDescent="0.25">
      <c r="A33" s="82">
        <v>28</v>
      </c>
      <c r="B33" s="83" t="s">
        <v>42</v>
      </c>
      <c r="C33" s="84">
        <f>1444-80</f>
        <v>1364</v>
      </c>
      <c r="D33" s="85">
        <f>791-5</f>
        <v>786</v>
      </c>
      <c r="E33" s="85">
        <f>448-7</f>
        <v>441</v>
      </c>
      <c r="F33" s="86">
        <f t="shared" si="0"/>
        <v>2591</v>
      </c>
    </row>
    <row r="34" spans="1:6" x14ac:dyDescent="0.25">
      <c r="A34" s="82">
        <v>29</v>
      </c>
      <c r="B34" s="83" t="s">
        <v>37</v>
      </c>
      <c r="C34" s="84">
        <f>4742-264</f>
        <v>4478</v>
      </c>
      <c r="D34" s="85">
        <f>2648-16</f>
        <v>2632</v>
      </c>
      <c r="E34" s="85">
        <f>1501-24</f>
        <v>1477</v>
      </c>
      <c r="F34" s="86">
        <f t="shared" si="0"/>
        <v>8587</v>
      </c>
    </row>
    <row r="35" spans="1:6" x14ac:dyDescent="0.25">
      <c r="A35" s="82">
        <v>30</v>
      </c>
      <c r="B35" s="83" t="s">
        <v>21</v>
      </c>
      <c r="C35" s="84">
        <f>3743-209</f>
        <v>3534</v>
      </c>
      <c r="D35" s="85">
        <f>2727-15</f>
        <v>2712</v>
      </c>
      <c r="E35" s="85">
        <f>1545-25</f>
        <v>1520</v>
      </c>
      <c r="F35" s="86">
        <f t="shared" si="0"/>
        <v>7766</v>
      </c>
    </row>
    <row r="36" spans="1:6" x14ac:dyDescent="0.25">
      <c r="A36" s="82">
        <v>31</v>
      </c>
      <c r="B36" s="83" t="s">
        <v>40</v>
      </c>
      <c r="C36" s="84">
        <v>0</v>
      </c>
      <c r="D36" s="85">
        <f>876-5</f>
        <v>871</v>
      </c>
      <c r="E36" s="85">
        <f>497-8</f>
        <v>489</v>
      </c>
      <c r="F36" s="86">
        <f t="shared" si="0"/>
        <v>1360</v>
      </c>
    </row>
    <row r="37" spans="1:6" x14ac:dyDescent="0.25">
      <c r="A37" s="82">
        <v>32</v>
      </c>
      <c r="B37" s="83" t="s">
        <v>39</v>
      </c>
      <c r="C37" s="84">
        <f>1300-73</f>
        <v>1227</v>
      </c>
      <c r="D37" s="85">
        <f>720-4</f>
        <v>716</v>
      </c>
      <c r="E37" s="85">
        <f>408-7</f>
        <v>401</v>
      </c>
      <c r="F37" s="86">
        <f t="shared" si="0"/>
        <v>2344</v>
      </c>
    </row>
    <row r="38" spans="1:6" x14ac:dyDescent="0.25">
      <c r="A38" s="82">
        <v>33</v>
      </c>
      <c r="B38" s="83" t="s">
        <v>34</v>
      </c>
      <c r="C38" s="84">
        <f>1715-96</f>
        <v>1619</v>
      </c>
      <c r="D38" s="85">
        <v>0</v>
      </c>
      <c r="E38" s="85">
        <v>0</v>
      </c>
      <c r="F38" s="86">
        <f t="shared" si="0"/>
        <v>1619</v>
      </c>
    </row>
    <row r="39" spans="1:6" x14ac:dyDescent="0.25">
      <c r="A39" s="82">
        <v>34</v>
      </c>
      <c r="B39" s="83" t="s">
        <v>2</v>
      </c>
      <c r="C39" s="84">
        <f>2251-126</f>
        <v>2125</v>
      </c>
      <c r="D39" s="85">
        <f>1291-8</f>
        <v>1283</v>
      </c>
      <c r="E39" s="85">
        <f>732-12</f>
        <v>720</v>
      </c>
      <c r="F39" s="86">
        <f t="shared" si="0"/>
        <v>4128</v>
      </c>
    </row>
    <row r="40" spans="1:6" x14ac:dyDescent="0.25">
      <c r="A40" s="82">
        <v>35</v>
      </c>
      <c r="B40" s="83" t="s">
        <v>5</v>
      </c>
      <c r="C40" s="84">
        <f>1539-86</f>
        <v>1453</v>
      </c>
      <c r="D40" s="85">
        <v>0</v>
      </c>
      <c r="E40" s="85">
        <v>0</v>
      </c>
      <c r="F40" s="86">
        <f t="shared" si="0"/>
        <v>1453</v>
      </c>
    </row>
    <row r="41" spans="1:6" x14ac:dyDescent="0.25">
      <c r="A41" s="82">
        <v>36</v>
      </c>
      <c r="B41" s="83" t="s">
        <v>45</v>
      </c>
      <c r="C41" s="84">
        <f>7041-393</f>
        <v>6648</v>
      </c>
      <c r="D41" s="85">
        <f>5147-30</f>
        <v>5117</v>
      </c>
      <c r="E41" s="85">
        <f>2917-47</f>
        <v>2870</v>
      </c>
      <c r="F41" s="86">
        <f t="shared" si="0"/>
        <v>14635</v>
      </c>
    </row>
    <row r="42" spans="1:6" x14ac:dyDescent="0.25">
      <c r="A42" s="82">
        <v>37</v>
      </c>
      <c r="B42" s="83" t="s">
        <v>260</v>
      </c>
      <c r="C42" s="84">
        <f>4178-233</f>
        <v>3945</v>
      </c>
      <c r="D42" s="85">
        <f>2319-14</f>
        <v>2305</v>
      </c>
      <c r="E42" s="85">
        <f>1314-21</f>
        <v>1293</v>
      </c>
      <c r="F42" s="86">
        <f t="shared" si="0"/>
        <v>7543</v>
      </c>
    </row>
    <row r="43" spans="1:6" x14ac:dyDescent="0.25">
      <c r="A43" s="82">
        <v>38</v>
      </c>
      <c r="B43" s="83" t="s">
        <v>261</v>
      </c>
      <c r="C43" s="84">
        <f>20178-14183-334</f>
        <v>5661</v>
      </c>
      <c r="D43" s="85">
        <f>3371-21</f>
        <v>3350</v>
      </c>
      <c r="E43" s="85">
        <f>1910-31</f>
        <v>1879</v>
      </c>
      <c r="F43" s="86">
        <f t="shared" si="0"/>
        <v>10890</v>
      </c>
    </row>
    <row r="44" spans="1:6" x14ac:dyDescent="0.25">
      <c r="A44" s="82">
        <v>39</v>
      </c>
      <c r="B44" s="83" t="s">
        <v>49</v>
      </c>
      <c r="C44" s="84">
        <f>1639-91</f>
        <v>1548</v>
      </c>
      <c r="D44" s="85">
        <f>944-6</f>
        <v>938</v>
      </c>
      <c r="E44" s="85">
        <f>535-9</f>
        <v>526</v>
      </c>
      <c r="F44" s="86">
        <f t="shared" si="0"/>
        <v>3012</v>
      </c>
    </row>
    <row r="45" spans="1:6" x14ac:dyDescent="0.25">
      <c r="A45" s="82">
        <v>40</v>
      </c>
      <c r="B45" s="83" t="s">
        <v>50</v>
      </c>
      <c r="C45" s="84">
        <f>3167-177</f>
        <v>2990</v>
      </c>
      <c r="D45" s="85">
        <f>2315-13</f>
        <v>2302</v>
      </c>
      <c r="E45" s="85">
        <f>1312-22</f>
        <v>1290</v>
      </c>
      <c r="F45" s="86">
        <f t="shared" si="0"/>
        <v>6582</v>
      </c>
    </row>
    <row r="46" spans="1:6" x14ac:dyDescent="0.25">
      <c r="A46" s="82">
        <v>41</v>
      </c>
      <c r="B46" s="83" t="s">
        <v>51</v>
      </c>
      <c r="C46" s="84">
        <f>1230-68</f>
        <v>1162</v>
      </c>
      <c r="D46" s="85">
        <f>708-4</f>
        <v>704</v>
      </c>
      <c r="E46" s="85">
        <f>401-7</f>
        <v>394</v>
      </c>
      <c r="F46" s="86">
        <f t="shared" si="0"/>
        <v>2260</v>
      </c>
    </row>
    <row r="47" spans="1:6" x14ac:dyDescent="0.25">
      <c r="A47" s="82">
        <v>42</v>
      </c>
      <c r="B47" s="83" t="s">
        <v>52</v>
      </c>
      <c r="C47" s="84">
        <f>2594-145</f>
        <v>2449</v>
      </c>
      <c r="D47" s="85">
        <f>1478-9</f>
        <v>1469</v>
      </c>
      <c r="E47" s="85">
        <v>0</v>
      </c>
      <c r="F47" s="86">
        <f t="shared" si="0"/>
        <v>3918</v>
      </c>
    </row>
    <row r="48" spans="1:6" x14ac:dyDescent="0.25">
      <c r="A48" s="82">
        <v>43</v>
      </c>
      <c r="B48" s="83" t="s">
        <v>262</v>
      </c>
      <c r="C48" s="84">
        <f>931-52</f>
        <v>879</v>
      </c>
      <c r="D48" s="85">
        <f>681-4</f>
        <v>677</v>
      </c>
      <c r="E48" s="85">
        <f>387-6</f>
        <v>381</v>
      </c>
      <c r="F48" s="86">
        <f t="shared" si="0"/>
        <v>1937</v>
      </c>
    </row>
    <row r="49" spans="1:6" x14ac:dyDescent="0.25">
      <c r="A49" s="82">
        <v>44</v>
      </c>
      <c r="B49" s="87" t="s">
        <v>263</v>
      </c>
      <c r="C49" s="84">
        <f>389-22</f>
        <v>367</v>
      </c>
      <c r="D49" s="85">
        <f>284-2</f>
        <v>282</v>
      </c>
      <c r="E49" s="85">
        <f>161-3</f>
        <v>158</v>
      </c>
      <c r="F49" s="86">
        <f t="shared" si="0"/>
        <v>807</v>
      </c>
    </row>
    <row r="50" spans="1:6" x14ac:dyDescent="0.25">
      <c r="A50" s="82">
        <v>45</v>
      </c>
      <c r="B50" s="83" t="s">
        <v>264</v>
      </c>
      <c r="C50" s="84">
        <f>641-36</f>
        <v>605</v>
      </c>
      <c r="D50" s="85">
        <v>0</v>
      </c>
      <c r="E50" s="85">
        <v>0</v>
      </c>
      <c r="F50" s="86">
        <f t="shared" si="0"/>
        <v>605</v>
      </c>
    </row>
    <row r="51" spans="1:6" x14ac:dyDescent="0.25">
      <c r="A51" s="82">
        <v>46</v>
      </c>
      <c r="B51" s="83" t="s">
        <v>265</v>
      </c>
      <c r="C51" s="84">
        <f>485-27</f>
        <v>458</v>
      </c>
      <c r="D51" s="85">
        <f>355-2</f>
        <v>353</v>
      </c>
      <c r="E51" s="85">
        <f>201-3</f>
        <v>198</v>
      </c>
      <c r="F51" s="86">
        <f t="shared" si="0"/>
        <v>1009</v>
      </c>
    </row>
    <row r="52" spans="1:6" x14ac:dyDescent="0.25">
      <c r="A52" s="82">
        <v>47</v>
      </c>
      <c r="B52" s="83" t="s">
        <v>266</v>
      </c>
      <c r="C52" s="84">
        <f>8692-2288</f>
        <v>6404</v>
      </c>
      <c r="D52" s="85">
        <f>7416-1430</f>
        <v>5986</v>
      </c>
      <c r="E52" s="85">
        <f>4201-848</f>
        <v>3353</v>
      </c>
      <c r="F52" s="86">
        <f t="shared" si="0"/>
        <v>15743</v>
      </c>
    </row>
    <row r="53" spans="1:6" x14ac:dyDescent="0.25">
      <c r="A53" s="82">
        <v>48</v>
      </c>
      <c r="B53" s="83" t="s">
        <v>267</v>
      </c>
      <c r="C53" s="84">
        <f>2388-133</f>
        <v>2255</v>
      </c>
      <c r="D53" s="85">
        <v>0</v>
      </c>
      <c r="E53" s="85">
        <v>0</v>
      </c>
      <c r="F53" s="86">
        <f t="shared" si="0"/>
        <v>2255</v>
      </c>
    </row>
    <row r="54" spans="1:6" x14ac:dyDescent="0.25">
      <c r="A54" s="82">
        <v>49</v>
      </c>
      <c r="B54" s="83" t="s">
        <v>268</v>
      </c>
      <c r="C54" s="84">
        <f>2040-114</f>
        <v>1926</v>
      </c>
      <c r="D54" s="85">
        <v>0</v>
      </c>
      <c r="E54" s="85">
        <v>0</v>
      </c>
      <c r="F54" s="86">
        <f t="shared" si="0"/>
        <v>1926</v>
      </c>
    </row>
    <row r="55" spans="1:6" x14ac:dyDescent="0.25">
      <c r="A55" s="88">
        <v>50</v>
      </c>
      <c r="B55" s="83" t="s">
        <v>269</v>
      </c>
      <c r="C55" s="84">
        <f>2812-157</f>
        <v>2655</v>
      </c>
      <c r="D55" s="85">
        <v>0</v>
      </c>
      <c r="E55" s="85">
        <v>0</v>
      </c>
      <c r="F55" s="86">
        <f t="shared" si="0"/>
        <v>2655</v>
      </c>
    </row>
    <row r="56" spans="1:6" x14ac:dyDescent="0.25">
      <c r="A56" s="88">
        <v>51</v>
      </c>
      <c r="B56" s="83" t="s">
        <v>270</v>
      </c>
      <c r="C56" s="84">
        <f>3426-191</f>
        <v>3235</v>
      </c>
      <c r="D56" s="85">
        <v>0</v>
      </c>
      <c r="E56" s="85">
        <v>0</v>
      </c>
      <c r="F56" s="86">
        <f t="shared" si="0"/>
        <v>3235</v>
      </c>
    </row>
    <row r="57" spans="1:6" x14ac:dyDescent="0.25">
      <c r="A57" s="88">
        <v>52</v>
      </c>
      <c r="B57" s="83" t="s">
        <v>271</v>
      </c>
      <c r="C57" s="84">
        <f>1282-72</f>
        <v>1210</v>
      </c>
      <c r="D57" s="85">
        <v>0</v>
      </c>
      <c r="E57" s="85">
        <v>0</v>
      </c>
      <c r="F57" s="86">
        <f t="shared" si="0"/>
        <v>1210</v>
      </c>
    </row>
    <row r="58" spans="1:6" x14ac:dyDescent="0.25">
      <c r="A58" s="82">
        <v>53</v>
      </c>
      <c r="B58" s="83" t="s">
        <v>272</v>
      </c>
      <c r="C58" s="84">
        <f>4447-248</f>
        <v>4199</v>
      </c>
      <c r="D58" s="85">
        <f>2970-17</f>
        <v>2953</v>
      </c>
      <c r="E58" s="85">
        <f>1683-27</f>
        <v>1656</v>
      </c>
      <c r="F58" s="86">
        <f t="shared" si="0"/>
        <v>8808</v>
      </c>
    </row>
    <row r="59" spans="1:6" x14ac:dyDescent="0.25">
      <c r="A59" s="82">
        <v>54</v>
      </c>
      <c r="B59" s="83" t="s">
        <v>273</v>
      </c>
      <c r="C59" s="84">
        <f>2626-147</f>
        <v>2479</v>
      </c>
      <c r="D59" s="85">
        <f>1920-11</f>
        <v>1909</v>
      </c>
      <c r="E59" s="85">
        <f>1088-18</f>
        <v>1070</v>
      </c>
      <c r="F59" s="86">
        <f t="shared" si="0"/>
        <v>5458</v>
      </c>
    </row>
    <row r="60" spans="1:6" x14ac:dyDescent="0.25">
      <c r="A60" s="82">
        <v>55</v>
      </c>
      <c r="B60" s="83" t="s">
        <v>274</v>
      </c>
      <c r="C60" s="84">
        <f>2531-141</f>
        <v>2390</v>
      </c>
      <c r="D60" s="85">
        <f>1850-11</f>
        <v>1839</v>
      </c>
      <c r="E60" s="85">
        <f>1048-17</f>
        <v>1031</v>
      </c>
      <c r="F60" s="86">
        <f t="shared" si="0"/>
        <v>5260</v>
      </c>
    </row>
    <row r="61" spans="1:6" x14ac:dyDescent="0.25">
      <c r="A61" s="82">
        <v>56</v>
      </c>
      <c r="B61" s="83" t="s">
        <v>275</v>
      </c>
      <c r="C61" s="84">
        <f>4975-278</f>
        <v>4697</v>
      </c>
      <c r="D61" s="85">
        <f>3636-21</f>
        <v>3615</v>
      </c>
      <c r="E61" s="85">
        <f>2061-34</f>
        <v>2027</v>
      </c>
      <c r="F61" s="86">
        <f t="shared" si="0"/>
        <v>10339</v>
      </c>
    </row>
    <row r="62" spans="1:6" x14ac:dyDescent="0.25">
      <c r="A62" s="82">
        <v>57</v>
      </c>
      <c r="B62" s="83" t="s">
        <v>276</v>
      </c>
      <c r="C62" s="84">
        <f>2536-142</f>
        <v>2394</v>
      </c>
      <c r="D62" s="85">
        <f>1854-11</f>
        <v>1843</v>
      </c>
      <c r="E62" s="85">
        <f>1050-17</f>
        <v>1033</v>
      </c>
      <c r="F62" s="86">
        <f t="shared" si="0"/>
        <v>5270</v>
      </c>
    </row>
    <row r="63" spans="1:6" x14ac:dyDescent="0.25">
      <c r="A63" s="82">
        <v>58</v>
      </c>
      <c r="B63" s="83" t="s">
        <v>277</v>
      </c>
      <c r="C63" s="84">
        <f>2867-160</f>
        <v>2707</v>
      </c>
      <c r="D63" s="85">
        <f>2096-12</f>
        <v>2084</v>
      </c>
      <c r="E63" s="85">
        <f>1188-19</f>
        <v>1169</v>
      </c>
      <c r="F63" s="86">
        <f t="shared" si="0"/>
        <v>5960</v>
      </c>
    </row>
    <row r="64" spans="1:6" x14ac:dyDescent="0.25">
      <c r="A64" s="82">
        <v>59</v>
      </c>
      <c r="B64" s="83" t="s">
        <v>278</v>
      </c>
      <c r="C64" s="84">
        <f>4857-271</f>
        <v>4586</v>
      </c>
      <c r="D64" s="85">
        <f>3550-21</f>
        <v>3529</v>
      </c>
      <c r="E64" s="85">
        <f>2012-33</f>
        <v>1979</v>
      </c>
      <c r="F64" s="86">
        <f t="shared" si="0"/>
        <v>10094</v>
      </c>
    </row>
    <row r="65" spans="1:6" x14ac:dyDescent="0.25">
      <c r="A65" s="82">
        <v>60</v>
      </c>
      <c r="B65" s="83" t="s">
        <v>279</v>
      </c>
      <c r="C65" s="84">
        <f>2238-125</f>
        <v>2113</v>
      </c>
      <c r="D65" s="85">
        <f>1636-10</f>
        <v>1626</v>
      </c>
      <c r="E65" s="85">
        <f>927-15</f>
        <v>912</v>
      </c>
      <c r="F65" s="86">
        <f t="shared" si="0"/>
        <v>4651</v>
      </c>
    </row>
    <row r="66" spans="1:6" x14ac:dyDescent="0.25">
      <c r="A66" s="82">
        <v>61</v>
      </c>
      <c r="B66" s="83" t="s">
        <v>280</v>
      </c>
      <c r="C66" s="84">
        <f>2176-121</f>
        <v>2055</v>
      </c>
      <c r="D66" s="85">
        <f>1590-9</f>
        <v>1581</v>
      </c>
      <c r="E66" s="85">
        <f>901-15</f>
        <v>886</v>
      </c>
      <c r="F66" s="86">
        <f t="shared" si="0"/>
        <v>4522</v>
      </c>
    </row>
    <row r="67" spans="1:6" x14ac:dyDescent="0.25">
      <c r="A67" s="82">
        <v>62</v>
      </c>
      <c r="B67" s="83" t="s">
        <v>281</v>
      </c>
      <c r="C67" s="84">
        <f>4151-232</f>
        <v>3919</v>
      </c>
      <c r="D67" s="85">
        <f>2132-13</f>
        <v>2119</v>
      </c>
      <c r="E67" s="85">
        <f>1208-20</f>
        <v>1188</v>
      </c>
      <c r="F67" s="86">
        <f t="shared" si="0"/>
        <v>7226</v>
      </c>
    </row>
    <row r="68" spans="1:6" x14ac:dyDescent="0.25">
      <c r="A68" s="82">
        <v>63</v>
      </c>
      <c r="B68" s="83" t="s">
        <v>282</v>
      </c>
      <c r="C68" s="84">
        <f>2806-157</f>
        <v>2649</v>
      </c>
      <c r="D68" s="85">
        <f>2051-12</f>
        <v>2039</v>
      </c>
      <c r="E68" s="85">
        <f>1162-19</f>
        <v>1143</v>
      </c>
      <c r="F68" s="86">
        <f t="shared" si="0"/>
        <v>5831</v>
      </c>
    </row>
    <row r="69" spans="1:6" x14ac:dyDescent="0.25">
      <c r="A69" s="82">
        <v>64</v>
      </c>
      <c r="B69" s="83" t="s">
        <v>283</v>
      </c>
      <c r="C69" s="84">
        <f>2437-136</f>
        <v>2301</v>
      </c>
      <c r="D69" s="85">
        <f>1782-10</f>
        <v>1772</v>
      </c>
      <c r="E69" s="85">
        <f>1010-16</f>
        <v>994</v>
      </c>
      <c r="F69" s="86">
        <f t="shared" si="0"/>
        <v>5067</v>
      </c>
    </row>
    <row r="70" spans="1:6" x14ac:dyDescent="0.25">
      <c r="A70" s="82">
        <v>65</v>
      </c>
      <c r="B70" s="83" t="s">
        <v>284</v>
      </c>
      <c r="C70" s="84">
        <f>1397-78</f>
        <v>1319</v>
      </c>
      <c r="D70" s="85">
        <f>1021-6</f>
        <v>1015</v>
      </c>
      <c r="E70" s="85">
        <f>578-9</f>
        <v>569</v>
      </c>
      <c r="F70" s="86">
        <f t="shared" si="0"/>
        <v>2903</v>
      </c>
    </row>
    <row r="71" spans="1:6" x14ac:dyDescent="0.25">
      <c r="A71" s="82">
        <v>66</v>
      </c>
      <c r="B71" s="83" t="s">
        <v>285</v>
      </c>
      <c r="C71" s="84">
        <f>647-36</f>
        <v>611</v>
      </c>
      <c r="D71" s="85">
        <f>473-3</f>
        <v>470</v>
      </c>
      <c r="E71" s="85">
        <f>268-4</f>
        <v>264</v>
      </c>
      <c r="F71" s="86">
        <f t="shared" si="0"/>
        <v>1345</v>
      </c>
    </row>
    <row r="72" spans="1:6" x14ac:dyDescent="0.25">
      <c r="A72" s="82">
        <v>67</v>
      </c>
      <c r="B72" s="83" t="s">
        <v>286</v>
      </c>
      <c r="C72" s="84">
        <f>1167-973-194</f>
        <v>0</v>
      </c>
      <c r="D72" s="85">
        <v>0</v>
      </c>
      <c r="E72" s="85">
        <v>0</v>
      </c>
      <c r="F72" s="86">
        <f t="shared" si="0"/>
        <v>0</v>
      </c>
    </row>
    <row r="73" spans="1:6" ht="38.25" x14ac:dyDescent="0.25">
      <c r="A73" s="362">
        <v>68</v>
      </c>
      <c r="B73" s="87" t="s">
        <v>200</v>
      </c>
      <c r="C73" s="84">
        <f>0+973-48+194</f>
        <v>1119</v>
      </c>
      <c r="D73" s="85">
        <v>0</v>
      </c>
      <c r="E73" s="85">
        <v>0</v>
      </c>
      <c r="F73" s="86">
        <f t="shared" si="0"/>
        <v>1119</v>
      </c>
    </row>
    <row r="74" spans="1:6" x14ac:dyDescent="0.25">
      <c r="A74" s="363"/>
      <c r="B74" s="83" t="s">
        <v>201</v>
      </c>
      <c r="C74" s="84">
        <f>10437-599</f>
        <v>9838</v>
      </c>
      <c r="D74" s="85">
        <f>8482-51</f>
        <v>8431</v>
      </c>
      <c r="E74" s="85">
        <f>4806-79</f>
        <v>4727</v>
      </c>
      <c r="F74" s="86">
        <f t="shared" si="0"/>
        <v>22996</v>
      </c>
    </row>
    <row r="75" spans="1:6" x14ac:dyDescent="0.25">
      <c r="A75" s="82">
        <v>69</v>
      </c>
      <c r="B75" s="83" t="s">
        <v>287</v>
      </c>
      <c r="C75" s="84">
        <f>2067-115</f>
        <v>1952</v>
      </c>
      <c r="D75" s="85">
        <v>0</v>
      </c>
      <c r="E75" s="85">
        <v>0</v>
      </c>
      <c r="F75" s="86">
        <f>SUM(C75:E75)</f>
        <v>1952</v>
      </c>
    </row>
    <row r="76" spans="1:6" x14ac:dyDescent="0.25">
      <c r="A76" s="82">
        <v>70</v>
      </c>
      <c r="B76" s="83" t="s">
        <v>288</v>
      </c>
      <c r="C76" s="84">
        <f>2763-154</f>
        <v>2609</v>
      </c>
      <c r="D76" s="85">
        <f>2020-12</f>
        <v>2008</v>
      </c>
      <c r="E76" s="85">
        <f>1145-19</f>
        <v>1126</v>
      </c>
      <c r="F76" s="86">
        <f t="shared" si="0"/>
        <v>5743</v>
      </c>
    </row>
    <row r="77" spans="1:6" x14ac:dyDescent="0.25">
      <c r="A77" s="82">
        <v>71</v>
      </c>
      <c r="B77" s="83" t="s">
        <v>65</v>
      </c>
      <c r="C77" s="84">
        <f>445-25</f>
        <v>420</v>
      </c>
      <c r="D77" s="85">
        <f>325-2</f>
        <v>323</v>
      </c>
      <c r="E77" s="85">
        <f>184-4</f>
        <v>180</v>
      </c>
      <c r="F77" s="86">
        <f t="shared" si="0"/>
        <v>923</v>
      </c>
    </row>
    <row r="78" spans="1:6" x14ac:dyDescent="0.25">
      <c r="A78" s="82">
        <v>72</v>
      </c>
      <c r="B78" s="89" t="s">
        <v>85</v>
      </c>
      <c r="C78" s="84">
        <f>2041-114</f>
        <v>1927</v>
      </c>
      <c r="D78" s="85">
        <f>1492-9</f>
        <v>1483</v>
      </c>
      <c r="E78" s="85">
        <f>845-14</f>
        <v>831</v>
      </c>
      <c r="F78" s="86">
        <f>SUM(C78:E78)</f>
        <v>4241</v>
      </c>
    </row>
    <row r="79" spans="1:6" x14ac:dyDescent="0.25">
      <c r="A79" s="82">
        <v>73</v>
      </c>
      <c r="B79" s="83" t="s">
        <v>66</v>
      </c>
      <c r="C79" s="84">
        <f>11598-390</f>
        <v>11208</v>
      </c>
      <c r="D79" s="85">
        <v>0</v>
      </c>
      <c r="E79" s="85">
        <v>0</v>
      </c>
      <c r="F79" s="86">
        <f>SUM(C79:E79)</f>
        <v>11208</v>
      </c>
    </row>
    <row r="80" spans="1:6" x14ac:dyDescent="0.25">
      <c r="A80" s="82">
        <v>74</v>
      </c>
      <c r="B80" s="83" t="s">
        <v>209</v>
      </c>
      <c r="C80" s="84">
        <f>7228-403</f>
        <v>6825</v>
      </c>
      <c r="D80" s="85">
        <f>4235-25</f>
        <v>4210</v>
      </c>
      <c r="E80" s="85">
        <f>2400-39</f>
        <v>2361</v>
      </c>
      <c r="F80" s="86">
        <f>SUM(C80:E80)</f>
        <v>13396</v>
      </c>
    </row>
    <row r="81" spans="1:6" x14ac:dyDescent="0.25">
      <c r="A81" s="82">
        <v>75</v>
      </c>
      <c r="B81" s="83" t="s">
        <v>91</v>
      </c>
      <c r="C81" s="84">
        <v>8500</v>
      </c>
      <c r="D81" s="85"/>
      <c r="E81" s="85">
        <v>755</v>
      </c>
      <c r="F81" s="86">
        <f>C81+D81+E81</f>
        <v>9255</v>
      </c>
    </row>
    <row r="82" spans="1:6" x14ac:dyDescent="0.25">
      <c r="A82" s="82">
        <v>76</v>
      </c>
      <c r="B82" s="83" t="s">
        <v>92</v>
      </c>
      <c r="C82" s="84">
        <v>400</v>
      </c>
      <c r="D82" s="85">
        <v>800</v>
      </c>
      <c r="E82" s="85">
        <v>500</v>
      </c>
      <c r="F82" s="86">
        <f t="shared" ref="F82:F88" si="1">C82+D82+E82</f>
        <v>1700</v>
      </c>
    </row>
    <row r="83" spans="1:6" x14ac:dyDescent="0.25">
      <c r="A83" s="82">
        <v>77</v>
      </c>
      <c r="B83" s="83" t="s">
        <v>242</v>
      </c>
      <c r="C83" s="84">
        <v>3500</v>
      </c>
      <c r="D83" s="85"/>
      <c r="E83" s="85"/>
      <c r="F83" s="86">
        <f t="shared" si="1"/>
        <v>3500</v>
      </c>
    </row>
    <row r="84" spans="1:6" x14ac:dyDescent="0.25">
      <c r="A84" s="82">
        <v>78</v>
      </c>
      <c r="B84" s="83" t="s">
        <v>87</v>
      </c>
      <c r="C84" s="84">
        <v>1000</v>
      </c>
      <c r="D84" s="85"/>
      <c r="E84" s="85"/>
      <c r="F84" s="86">
        <f t="shared" si="1"/>
        <v>1000</v>
      </c>
    </row>
    <row r="85" spans="1:6" x14ac:dyDescent="0.25">
      <c r="A85" s="82">
        <v>79</v>
      </c>
      <c r="B85" s="83" t="s">
        <v>18</v>
      </c>
      <c r="C85" s="84">
        <v>934</v>
      </c>
      <c r="D85" s="85"/>
      <c r="E85" s="85"/>
      <c r="F85" s="86">
        <f t="shared" si="1"/>
        <v>934</v>
      </c>
    </row>
    <row r="86" spans="1:6" x14ac:dyDescent="0.25">
      <c r="A86" s="82">
        <v>80</v>
      </c>
      <c r="B86" s="83" t="s">
        <v>12</v>
      </c>
      <c r="C86" s="84">
        <v>904</v>
      </c>
      <c r="D86" s="85">
        <v>695</v>
      </c>
      <c r="E86" s="85">
        <v>390</v>
      </c>
      <c r="F86" s="86">
        <f t="shared" si="1"/>
        <v>1989</v>
      </c>
    </row>
    <row r="87" spans="1:6" x14ac:dyDescent="0.25">
      <c r="A87" s="82">
        <v>81</v>
      </c>
      <c r="B87" s="83" t="s">
        <v>30</v>
      </c>
      <c r="C87" s="84">
        <v>980</v>
      </c>
      <c r="D87" s="85">
        <v>755</v>
      </c>
      <c r="E87" s="85">
        <v>423</v>
      </c>
      <c r="F87" s="86">
        <f t="shared" si="1"/>
        <v>2158</v>
      </c>
    </row>
    <row r="88" spans="1:6" ht="13.5" thickBot="1" x14ac:dyDescent="0.3">
      <c r="A88" s="90">
        <v>82</v>
      </c>
      <c r="B88" s="91" t="s">
        <v>289</v>
      </c>
      <c r="C88" s="84">
        <v>1803</v>
      </c>
      <c r="D88" s="85">
        <v>1388</v>
      </c>
      <c r="E88" s="85">
        <v>778</v>
      </c>
      <c r="F88" s="86">
        <f t="shared" si="1"/>
        <v>3969</v>
      </c>
    </row>
    <row r="89" spans="1:6" ht="13.5" thickBot="1" x14ac:dyDescent="0.3">
      <c r="A89" s="321"/>
      <c r="B89" s="322" t="s">
        <v>120</v>
      </c>
      <c r="C89" s="144">
        <f>SUM(C5:C88)</f>
        <v>240156</v>
      </c>
      <c r="D89" s="145">
        <f>SUM(D5:D88)</f>
        <v>135938</v>
      </c>
      <c r="E89" s="145">
        <f>SUM(E5:E88)</f>
        <v>77031</v>
      </c>
      <c r="F89" s="146">
        <f>SUM(F5:F88)</f>
        <v>453125</v>
      </c>
    </row>
  </sheetData>
  <mergeCells count="6">
    <mergeCell ref="A73:A74"/>
    <mergeCell ref="A1:F1"/>
    <mergeCell ref="A3:A4"/>
    <mergeCell ref="B3:B4"/>
    <mergeCell ref="C3:F3"/>
    <mergeCell ref="A20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workbookViewId="0">
      <pane xSplit="2" ySplit="5" topLeftCell="C81" activePane="bottomRight" state="frozen"/>
      <selection pane="topRight" activeCell="C1" sqref="C1"/>
      <selection pane="bottomLeft" activeCell="A6" sqref="A6"/>
      <selection pane="bottomRight" activeCell="C115" sqref="C115"/>
    </sheetView>
  </sheetViews>
  <sheetFormatPr defaultRowHeight="12" x14ac:dyDescent="0.25"/>
  <cols>
    <col min="1" max="1" width="3.85546875" style="93" customWidth="1"/>
    <col min="2" max="2" width="36" style="92" customWidth="1"/>
    <col min="3" max="3" width="7.7109375" style="94" customWidth="1"/>
    <col min="4" max="4" width="8.5703125" style="94" customWidth="1"/>
    <col min="5" max="5" width="12.42578125" style="94" customWidth="1"/>
    <col min="6" max="6" width="6.85546875" style="94" customWidth="1"/>
    <col min="7" max="7" width="8.140625" style="94" customWidth="1"/>
    <col min="8" max="9" width="9.5703125" style="94" customWidth="1"/>
    <col min="10" max="10" width="8.5703125" style="94" customWidth="1"/>
    <col min="11" max="11" width="8.42578125" style="94" customWidth="1"/>
    <col min="12" max="12" width="8.28515625" style="94" customWidth="1"/>
    <col min="13" max="13" width="8.42578125" style="94" customWidth="1"/>
    <col min="14" max="15" width="8.7109375" style="94" customWidth="1"/>
    <col min="16" max="16" width="13.140625" style="94" customWidth="1"/>
    <col min="17" max="17" width="12.42578125" style="93" customWidth="1"/>
    <col min="18" max="18" width="13.5703125" style="93" customWidth="1"/>
    <col min="19" max="20" width="13.28515625" style="93" customWidth="1"/>
    <col min="21" max="21" width="11.85546875" style="93" customWidth="1"/>
    <col min="22" max="22" width="16.85546875" style="93" customWidth="1"/>
    <col min="23" max="23" width="9.28515625" style="93" customWidth="1"/>
    <col min="24" max="16384" width="9.140625" style="92"/>
  </cols>
  <sheetData>
    <row r="1" spans="1:23" ht="26.25" customHeight="1" x14ac:dyDescent="0.25">
      <c r="A1" s="375" t="s">
        <v>290</v>
      </c>
      <c r="B1" s="375"/>
      <c r="C1" s="375"/>
      <c r="D1" s="375"/>
      <c r="E1" s="375"/>
      <c r="F1" s="375"/>
      <c r="G1" s="375"/>
      <c r="H1" s="375"/>
      <c r="I1" s="375"/>
      <c r="J1" s="375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</row>
    <row r="2" spans="1:23" ht="16.5" customHeight="1" thickBot="1" x14ac:dyDescent="0.3"/>
    <row r="3" spans="1:23" s="47" customFormat="1" ht="18" customHeight="1" x14ac:dyDescent="0.25">
      <c r="A3" s="377" t="s">
        <v>0</v>
      </c>
      <c r="B3" s="380" t="s">
        <v>93</v>
      </c>
      <c r="C3" s="383" t="s">
        <v>291</v>
      </c>
      <c r="D3" s="384"/>
      <c r="E3" s="384"/>
      <c r="F3" s="384"/>
      <c r="G3" s="384"/>
      <c r="H3" s="384"/>
      <c r="I3" s="384"/>
      <c r="J3" s="384"/>
      <c r="K3" s="383" t="s">
        <v>292</v>
      </c>
      <c r="L3" s="385"/>
      <c r="M3" s="385"/>
      <c r="N3" s="385"/>
      <c r="O3" s="386"/>
      <c r="P3" s="387" t="s">
        <v>293</v>
      </c>
      <c r="Q3" s="388"/>
      <c r="R3" s="388"/>
      <c r="S3" s="388"/>
      <c r="T3" s="388"/>
      <c r="U3" s="388"/>
      <c r="V3" s="388"/>
      <c r="W3" s="389"/>
    </row>
    <row r="4" spans="1:23" s="47" customFormat="1" ht="40.5" customHeight="1" x14ac:dyDescent="0.25">
      <c r="A4" s="378"/>
      <c r="B4" s="381"/>
      <c r="C4" s="390" t="s">
        <v>294</v>
      </c>
      <c r="D4" s="392" t="s">
        <v>295</v>
      </c>
      <c r="E4" s="95" t="s">
        <v>296</v>
      </c>
      <c r="F4" s="394" t="s">
        <v>297</v>
      </c>
      <c r="G4" s="395"/>
      <c r="H4" s="396"/>
      <c r="I4" s="397" t="s">
        <v>298</v>
      </c>
      <c r="J4" s="399" t="s">
        <v>130</v>
      </c>
      <c r="K4" s="401" t="s">
        <v>299</v>
      </c>
      <c r="L4" s="403" t="s">
        <v>300</v>
      </c>
      <c r="M4" s="403" t="s">
        <v>301</v>
      </c>
      <c r="N4" s="403" t="s">
        <v>302</v>
      </c>
      <c r="O4" s="373" t="s">
        <v>130</v>
      </c>
      <c r="P4" s="408" t="s">
        <v>303</v>
      </c>
      <c r="Q4" s="405" t="s">
        <v>304</v>
      </c>
      <c r="R4" s="405" t="s">
        <v>305</v>
      </c>
      <c r="S4" s="405" t="s">
        <v>306</v>
      </c>
      <c r="T4" s="405" t="s">
        <v>307</v>
      </c>
      <c r="U4" s="405" t="s">
        <v>308</v>
      </c>
      <c r="V4" s="405" t="s">
        <v>309</v>
      </c>
      <c r="W4" s="406" t="s">
        <v>130</v>
      </c>
    </row>
    <row r="5" spans="1:23" s="47" customFormat="1" ht="61.5" customHeight="1" thickBot="1" x14ac:dyDescent="0.3">
      <c r="A5" s="379"/>
      <c r="B5" s="382"/>
      <c r="C5" s="391"/>
      <c r="D5" s="393"/>
      <c r="E5" s="96" t="s">
        <v>310</v>
      </c>
      <c r="F5" s="97" t="s">
        <v>311</v>
      </c>
      <c r="G5" s="97" t="s">
        <v>312</v>
      </c>
      <c r="H5" s="97" t="s">
        <v>313</v>
      </c>
      <c r="I5" s="398"/>
      <c r="J5" s="400"/>
      <c r="K5" s="402"/>
      <c r="L5" s="404"/>
      <c r="M5" s="404"/>
      <c r="N5" s="404"/>
      <c r="O5" s="374"/>
      <c r="P5" s="391"/>
      <c r="Q5" s="393"/>
      <c r="R5" s="393"/>
      <c r="S5" s="393"/>
      <c r="T5" s="393"/>
      <c r="U5" s="393"/>
      <c r="V5" s="393"/>
      <c r="W5" s="407"/>
    </row>
    <row r="6" spans="1:23" ht="12" customHeight="1" x14ac:dyDescent="0.25">
      <c r="A6" s="98">
        <v>1</v>
      </c>
      <c r="B6" s="99" t="s">
        <v>260</v>
      </c>
      <c r="C6" s="100">
        <f>77+23</f>
        <v>100</v>
      </c>
      <c r="D6" s="101">
        <f>2153+186</f>
        <v>2339</v>
      </c>
      <c r="E6" s="101">
        <v>271</v>
      </c>
      <c r="F6" s="102">
        <v>93</v>
      </c>
      <c r="G6" s="102">
        <v>14</v>
      </c>
      <c r="H6" s="102">
        <v>20</v>
      </c>
      <c r="I6" s="102">
        <f>SUM(E6:H6)</f>
        <v>398</v>
      </c>
      <c r="J6" s="103">
        <f>C6+D6+I6</f>
        <v>2837</v>
      </c>
      <c r="K6" s="104">
        <v>36</v>
      </c>
      <c r="L6" s="105">
        <v>772</v>
      </c>
      <c r="M6" s="105">
        <v>2282</v>
      </c>
      <c r="N6" s="105">
        <v>421</v>
      </c>
      <c r="O6" s="106">
        <f>SUM(K6:N6)</f>
        <v>3511</v>
      </c>
      <c r="P6" s="104"/>
      <c r="Q6" s="107"/>
      <c r="R6" s="107"/>
      <c r="S6" s="107"/>
      <c r="T6" s="107"/>
      <c r="U6" s="107"/>
      <c r="V6" s="107"/>
      <c r="W6" s="108"/>
    </row>
    <row r="7" spans="1:23" ht="12" customHeight="1" x14ac:dyDescent="0.25">
      <c r="A7" s="109">
        <v>2</v>
      </c>
      <c r="B7" s="110" t="s">
        <v>48</v>
      </c>
      <c r="C7" s="111"/>
      <c r="D7" s="112">
        <f>878+76</f>
        <v>954</v>
      </c>
      <c r="E7" s="101">
        <v>110</v>
      </c>
      <c r="F7" s="102">
        <v>82</v>
      </c>
      <c r="G7" s="102"/>
      <c r="H7" s="102"/>
      <c r="I7" s="102">
        <f t="shared" ref="I7:I71" si="0">SUM(E7:H7)</f>
        <v>192</v>
      </c>
      <c r="J7" s="103">
        <f t="shared" ref="J7:J71" si="1">C7+D7+I7</f>
        <v>1146</v>
      </c>
      <c r="K7" s="113"/>
      <c r="L7" s="114"/>
      <c r="M7" s="114"/>
      <c r="N7" s="114"/>
      <c r="O7" s="106">
        <f t="shared" ref="O7:O71" si="2">SUM(K7:N7)</f>
        <v>0</v>
      </c>
      <c r="P7" s="113"/>
      <c r="Q7" s="115"/>
      <c r="R7" s="115"/>
      <c r="S7" s="115"/>
      <c r="T7" s="115"/>
      <c r="U7" s="115"/>
      <c r="V7" s="115"/>
      <c r="W7" s="116"/>
    </row>
    <row r="8" spans="1:23" ht="12" customHeight="1" x14ac:dyDescent="0.25">
      <c r="A8" s="109">
        <v>3</v>
      </c>
      <c r="B8" s="110" t="s">
        <v>1</v>
      </c>
      <c r="C8" s="111"/>
      <c r="D8" s="112">
        <f>1161+101</f>
        <v>1262</v>
      </c>
      <c r="E8" s="101">
        <v>137</v>
      </c>
      <c r="F8" s="102"/>
      <c r="G8" s="102"/>
      <c r="H8" s="102"/>
      <c r="I8" s="102">
        <f t="shared" si="0"/>
        <v>137</v>
      </c>
      <c r="J8" s="103">
        <f t="shared" si="1"/>
        <v>1399</v>
      </c>
      <c r="K8" s="113"/>
      <c r="L8" s="114"/>
      <c r="M8" s="114"/>
      <c r="N8" s="114"/>
      <c r="O8" s="106">
        <f t="shared" si="2"/>
        <v>0</v>
      </c>
      <c r="P8" s="113"/>
      <c r="Q8" s="115"/>
      <c r="R8" s="115"/>
      <c r="S8" s="115"/>
      <c r="T8" s="115"/>
      <c r="U8" s="115"/>
      <c r="V8" s="115"/>
      <c r="W8" s="116"/>
    </row>
    <row r="9" spans="1:23" ht="12" customHeight="1" x14ac:dyDescent="0.25">
      <c r="A9" s="109">
        <v>4</v>
      </c>
      <c r="B9" s="110" t="s">
        <v>4</v>
      </c>
      <c r="C9" s="111"/>
      <c r="D9" s="112">
        <f>596+52</f>
        <v>648</v>
      </c>
      <c r="E9" s="101"/>
      <c r="F9" s="102"/>
      <c r="G9" s="102"/>
      <c r="H9" s="102"/>
      <c r="I9" s="102">
        <f t="shared" si="0"/>
        <v>0</v>
      </c>
      <c r="J9" s="103">
        <f t="shared" si="1"/>
        <v>648</v>
      </c>
      <c r="K9" s="113"/>
      <c r="L9" s="114"/>
      <c r="M9" s="114"/>
      <c r="N9" s="114"/>
      <c r="O9" s="106">
        <f t="shared" si="2"/>
        <v>0</v>
      </c>
      <c r="P9" s="113"/>
      <c r="Q9" s="115"/>
      <c r="R9" s="115"/>
      <c r="S9" s="115"/>
      <c r="T9" s="115"/>
      <c r="U9" s="115"/>
      <c r="V9" s="115"/>
      <c r="W9" s="116"/>
    </row>
    <row r="10" spans="1:23" x14ac:dyDescent="0.25">
      <c r="A10" s="109">
        <v>5</v>
      </c>
      <c r="B10" s="117" t="s">
        <v>3</v>
      </c>
      <c r="C10" s="113">
        <f>19+6</f>
        <v>25</v>
      </c>
      <c r="D10" s="114">
        <f>532+46</f>
        <v>578</v>
      </c>
      <c r="E10" s="101"/>
      <c r="F10" s="102"/>
      <c r="G10" s="102"/>
      <c r="H10" s="102"/>
      <c r="I10" s="102">
        <f t="shared" si="0"/>
        <v>0</v>
      </c>
      <c r="J10" s="103">
        <f t="shared" si="1"/>
        <v>603</v>
      </c>
      <c r="K10" s="113"/>
      <c r="L10" s="114"/>
      <c r="M10" s="114"/>
      <c r="N10" s="114"/>
      <c r="O10" s="106">
        <f t="shared" si="2"/>
        <v>0</v>
      </c>
      <c r="P10" s="113"/>
      <c r="Q10" s="115"/>
      <c r="R10" s="115"/>
      <c r="S10" s="115"/>
      <c r="T10" s="115"/>
      <c r="U10" s="115"/>
      <c r="V10" s="115"/>
      <c r="W10" s="116"/>
    </row>
    <row r="11" spans="1:23" x14ac:dyDescent="0.25">
      <c r="A11" s="109">
        <v>6</v>
      </c>
      <c r="B11" s="118" t="s">
        <v>6</v>
      </c>
      <c r="C11" s="111">
        <f>58+17</f>
        <v>75</v>
      </c>
      <c r="D11" s="112">
        <f>1592+138</f>
        <v>1730</v>
      </c>
      <c r="E11" s="101">
        <v>186</v>
      </c>
      <c r="F11" s="102"/>
      <c r="G11" s="102"/>
      <c r="H11" s="102"/>
      <c r="I11" s="102">
        <f t="shared" si="0"/>
        <v>186</v>
      </c>
      <c r="J11" s="103">
        <f t="shared" si="1"/>
        <v>1991</v>
      </c>
      <c r="K11" s="113"/>
      <c r="L11" s="114"/>
      <c r="M11" s="114"/>
      <c r="N11" s="114"/>
      <c r="O11" s="106">
        <f t="shared" si="2"/>
        <v>0</v>
      </c>
      <c r="P11" s="113"/>
      <c r="Q11" s="115"/>
      <c r="R11" s="115"/>
      <c r="S11" s="115"/>
      <c r="T11" s="115"/>
      <c r="U11" s="115"/>
      <c r="V11" s="115"/>
      <c r="W11" s="116"/>
    </row>
    <row r="12" spans="1:23" x14ac:dyDescent="0.25">
      <c r="A12" s="109">
        <v>7</v>
      </c>
      <c r="B12" s="118" t="s">
        <v>7</v>
      </c>
      <c r="C12" s="111"/>
      <c r="D12" s="112">
        <f>840+73</f>
        <v>913</v>
      </c>
      <c r="E12" s="101">
        <v>98</v>
      </c>
      <c r="F12" s="102"/>
      <c r="G12" s="102"/>
      <c r="H12" s="102"/>
      <c r="I12" s="102">
        <f t="shared" si="0"/>
        <v>98</v>
      </c>
      <c r="J12" s="103">
        <f t="shared" si="1"/>
        <v>1011</v>
      </c>
      <c r="K12" s="113"/>
      <c r="L12" s="114"/>
      <c r="M12" s="114"/>
      <c r="N12" s="114"/>
      <c r="O12" s="106">
        <f t="shared" si="2"/>
        <v>0</v>
      </c>
      <c r="P12" s="113"/>
      <c r="Q12" s="115"/>
      <c r="R12" s="115"/>
      <c r="S12" s="115"/>
      <c r="T12" s="115"/>
      <c r="U12" s="115"/>
      <c r="V12" s="115"/>
      <c r="W12" s="116"/>
    </row>
    <row r="13" spans="1:23" x14ac:dyDescent="0.25">
      <c r="A13" s="109">
        <v>8</v>
      </c>
      <c r="B13" s="118" t="s">
        <v>8</v>
      </c>
      <c r="C13" s="111"/>
      <c r="D13" s="112">
        <f>619+54</f>
        <v>673</v>
      </c>
      <c r="E13" s="101"/>
      <c r="F13" s="102"/>
      <c r="G13" s="102"/>
      <c r="H13" s="102"/>
      <c r="I13" s="102">
        <f t="shared" si="0"/>
        <v>0</v>
      </c>
      <c r="J13" s="103">
        <f t="shared" si="1"/>
        <v>673</v>
      </c>
      <c r="K13" s="113"/>
      <c r="L13" s="114"/>
      <c r="M13" s="114"/>
      <c r="N13" s="114"/>
      <c r="O13" s="106">
        <f t="shared" si="2"/>
        <v>0</v>
      </c>
      <c r="P13" s="113"/>
      <c r="Q13" s="115"/>
      <c r="R13" s="115"/>
      <c r="S13" s="115"/>
      <c r="T13" s="115"/>
      <c r="U13" s="115"/>
      <c r="V13" s="115"/>
      <c r="W13" s="116"/>
    </row>
    <row r="14" spans="1:23" x14ac:dyDescent="0.25">
      <c r="A14" s="109">
        <v>9</v>
      </c>
      <c r="B14" s="118" t="s">
        <v>9</v>
      </c>
      <c r="C14" s="111">
        <f>120+35</f>
        <v>155</v>
      </c>
      <c r="D14" s="112">
        <f>2850+247</f>
        <v>3097</v>
      </c>
      <c r="E14" s="101">
        <v>333</v>
      </c>
      <c r="F14" s="102"/>
      <c r="G14" s="102"/>
      <c r="H14" s="102"/>
      <c r="I14" s="102">
        <f t="shared" si="0"/>
        <v>333</v>
      </c>
      <c r="J14" s="103">
        <f t="shared" si="1"/>
        <v>3585</v>
      </c>
      <c r="K14" s="113">
        <v>52</v>
      </c>
      <c r="L14" s="114">
        <v>1129</v>
      </c>
      <c r="M14" s="114">
        <v>3336</v>
      </c>
      <c r="N14" s="114">
        <v>615</v>
      </c>
      <c r="O14" s="106">
        <f t="shared" si="2"/>
        <v>5132</v>
      </c>
      <c r="P14" s="113"/>
      <c r="Q14" s="115"/>
      <c r="R14" s="115"/>
      <c r="S14" s="115"/>
      <c r="T14" s="115"/>
      <c r="U14" s="115"/>
      <c r="V14" s="115"/>
      <c r="W14" s="116"/>
    </row>
    <row r="15" spans="1:23" x14ac:dyDescent="0.25">
      <c r="A15" s="109">
        <v>10</v>
      </c>
      <c r="B15" s="118" t="s">
        <v>10</v>
      </c>
      <c r="C15" s="111"/>
      <c r="D15" s="112">
        <f>542+47</f>
        <v>589</v>
      </c>
      <c r="E15" s="101">
        <v>63</v>
      </c>
      <c r="F15" s="102"/>
      <c r="G15" s="102"/>
      <c r="H15" s="102"/>
      <c r="I15" s="102">
        <f t="shared" si="0"/>
        <v>63</v>
      </c>
      <c r="J15" s="103">
        <f t="shared" si="1"/>
        <v>652</v>
      </c>
      <c r="K15" s="113"/>
      <c r="L15" s="114"/>
      <c r="M15" s="114"/>
      <c r="N15" s="114"/>
      <c r="O15" s="106">
        <f t="shared" si="2"/>
        <v>0</v>
      </c>
      <c r="P15" s="113"/>
      <c r="Q15" s="115"/>
      <c r="R15" s="115"/>
      <c r="S15" s="115"/>
      <c r="T15" s="115"/>
      <c r="U15" s="115"/>
      <c r="V15" s="115"/>
      <c r="W15" s="116"/>
    </row>
    <row r="16" spans="1:23" x14ac:dyDescent="0.25">
      <c r="A16" s="109">
        <v>11</v>
      </c>
      <c r="B16" s="118" t="s">
        <v>11</v>
      </c>
      <c r="C16" s="111">
        <f>171+50</f>
        <v>221</v>
      </c>
      <c r="D16" s="112">
        <f>3096+268</f>
        <v>3364</v>
      </c>
      <c r="E16" s="101">
        <v>502</v>
      </c>
      <c r="F16" s="102">
        <v>273</v>
      </c>
      <c r="G16" s="102">
        <v>40</v>
      </c>
      <c r="H16" s="102">
        <v>59</v>
      </c>
      <c r="I16" s="102">
        <f t="shared" si="0"/>
        <v>874</v>
      </c>
      <c r="J16" s="103">
        <f t="shared" si="1"/>
        <v>4459</v>
      </c>
      <c r="K16" s="113">
        <v>86</v>
      </c>
      <c r="L16" s="114">
        <v>1878</v>
      </c>
      <c r="M16" s="114">
        <v>5550</v>
      </c>
      <c r="N16" s="114">
        <v>1024</v>
      </c>
      <c r="O16" s="106">
        <f t="shared" si="2"/>
        <v>8538</v>
      </c>
      <c r="P16" s="113"/>
      <c r="Q16" s="115"/>
      <c r="R16" s="115"/>
      <c r="S16" s="115"/>
      <c r="T16" s="115"/>
      <c r="U16" s="115"/>
      <c r="V16" s="115"/>
      <c r="W16" s="116"/>
    </row>
    <row r="17" spans="1:23" x14ac:dyDescent="0.25">
      <c r="A17" s="109">
        <v>12</v>
      </c>
      <c r="B17" s="118" t="s">
        <v>12</v>
      </c>
      <c r="C17" s="111"/>
      <c r="D17" s="112">
        <f>649+56</f>
        <v>705</v>
      </c>
      <c r="E17" s="101">
        <v>76</v>
      </c>
      <c r="F17" s="102"/>
      <c r="G17" s="102"/>
      <c r="H17" s="102"/>
      <c r="I17" s="102">
        <f t="shared" si="0"/>
        <v>76</v>
      </c>
      <c r="J17" s="103">
        <f t="shared" si="1"/>
        <v>781</v>
      </c>
      <c r="K17" s="113"/>
      <c r="L17" s="114"/>
      <c r="M17" s="114"/>
      <c r="N17" s="114"/>
      <c r="O17" s="106">
        <f t="shared" si="2"/>
        <v>0</v>
      </c>
      <c r="P17" s="113"/>
      <c r="Q17" s="115"/>
      <c r="R17" s="115"/>
      <c r="S17" s="115"/>
      <c r="T17" s="115"/>
      <c r="U17" s="115"/>
      <c r="V17" s="115"/>
      <c r="W17" s="116"/>
    </row>
    <row r="18" spans="1:23" x14ac:dyDescent="0.25">
      <c r="A18" s="109">
        <v>13</v>
      </c>
      <c r="B18" s="118" t="s">
        <v>13</v>
      </c>
      <c r="C18" s="111">
        <f>135+39</f>
        <v>174</v>
      </c>
      <c r="D18" s="112">
        <f>1761+152</f>
        <v>1913</v>
      </c>
      <c r="E18" s="101">
        <v>348</v>
      </c>
      <c r="F18" s="102"/>
      <c r="G18" s="102"/>
      <c r="H18" s="102"/>
      <c r="I18" s="102">
        <f t="shared" si="0"/>
        <v>348</v>
      </c>
      <c r="J18" s="103">
        <f t="shared" si="1"/>
        <v>2435</v>
      </c>
      <c r="K18" s="113">
        <v>51</v>
      </c>
      <c r="L18" s="114">
        <v>1111</v>
      </c>
      <c r="M18" s="114">
        <v>3282</v>
      </c>
      <c r="N18" s="114">
        <v>606</v>
      </c>
      <c r="O18" s="106">
        <f t="shared" si="2"/>
        <v>5050</v>
      </c>
      <c r="P18" s="113"/>
      <c r="Q18" s="115"/>
      <c r="R18" s="115"/>
      <c r="S18" s="115"/>
      <c r="T18" s="115"/>
      <c r="U18" s="115"/>
      <c r="V18" s="115"/>
      <c r="W18" s="116"/>
    </row>
    <row r="19" spans="1:23" x14ac:dyDescent="0.25">
      <c r="A19" s="109">
        <v>14</v>
      </c>
      <c r="B19" s="118" t="s">
        <v>15</v>
      </c>
      <c r="C19" s="111"/>
      <c r="D19" s="112">
        <f>1435+124</f>
        <v>1559</v>
      </c>
      <c r="E19" s="101">
        <v>167</v>
      </c>
      <c r="F19" s="102"/>
      <c r="G19" s="102"/>
      <c r="H19" s="102"/>
      <c r="I19" s="102">
        <f t="shared" si="0"/>
        <v>167</v>
      </c>
      <c r="J19" s="103">
        <f t="shared" si="1"/>
        <v>1726</v>
      </c>
      <c r="K19" s="113"/>
      <c r="L19" s="114"/>
      <c r="M19" s="114"/>
      <c r="N19" s="114"/>
      <c r="O19" s="106">
        <f t="shared" si="2"/>
        <v>0</v>
      </c>
      <c r="P19" s="113"/>
      <c r="Q19" s="115"/>
      <c r="R19" s="115"/>
      <c r="S19" s="115"/>
      <c r="T19" s="115"/>
      <c r="U19" s="115"/>
      <c r="V19" s="115"/>
      <c r="W19" s="116"/>
    </row>
    <row r="20" spans="1:23" x14ac:dyDescent="0.25">
      <c r="A20" s="109">
        <v>15</v>
      </c>
      <c r="B20" s="118" t="s">
        <v>314</v>
      </c>
      <c r="C20" s="111">
        <f>24+7</f>
        <v>31</v>
      </c>
      <c r="D20" s="112">
        <f>663+57</f>
        <v>720</v>
      </c>
      <c r="E20" s="101">
        <v>77</v>
      </c>
      <c r="F20" s="102"/>
      <c r="G20" s="102"/>
      <c r="H20" s="102"/>
      <c r="I20" s="102">
        <f t="shared" si="0"/>
        <v>77</v>
      </c>
      <c r="J20" s="103">
        <f t="shared" si="1"/>
        <v>828</v>
      </c>
      <c r="K20" s="113"/>
      <c r="L20" s="114"/>
      <c r="M20" s="114"/>
      <c r="N20" s="114"/>
      <c r="O20" s="106">
        <f t="shared" si="2"/>
        <v>0</v>
      </c>
      <c r="P20" s="113"/>
      <c r="Q20" s="115"/>
      <c r="R20" s="115"/>
      <c r="S20" s="115"/>
      <c r="T20" s="115"/>
      <c r="U20" s="115"/>
      <c r="V20" s="115"/>
      <c r="W20" s="116"/>
    </row>
    <row r="21" spans="1:23" x14ac:dyDescent="0.25">
      <c r="A21" s="109">
        <v>16</v>
      </c>
      <c r="B21" s="118" t="s">
        <v>16</v>
      </c>
      <c r="C21" s="111">
        <f>31+9</f>
        <v>40</v>
      </c>
      <c r="D21" s="112">
        <f>854+74</f>
        <v>928</v>
      </c>
      <c r="E21" s="101"/>
      <c r="F21" s="102"/>
      <c r="G21" s="102"/>
      <c r="H21" s="102"/>
      <c r="I21" s="102">
        <f t="shared" si="0"/>
        <v>0</v>
      </c>
      <c r="J21" s="103">
        <f t="shared" si="1"/>
        <v>968</v>
      </c>
      <c r="K21" s="113"/>
      <c r="L21" s="114"/>
      <c r="M21" s="114"/>
      <c r="N21" s="114"/>
      <c r="O21" s="106">
        <f t="shared" si="2"/>
        <v>0</v>
      </c>
      <c r="P21" s="113"/>
      <c r="Q21" s="115"/>
      <c r="R21" s="115"/>
      <c r="S21" s="115"/>
      <c r="T21" s="115"/>
      <c r="U21" s="115"/>
      <c r="V21" s="115"/>
      <c r="W21" s="116"/>
    </row>
    <row r="22" spans="1:23" x14ac:dyDescent="0.25">
      <c r="A22" s="109">
        <v>17</v>
      </c>
      <c r="B22" s="118" t="s">
        <v>17</v>
      </c>
      <c r="C22" s="111"/>
      <c r="D22" s="112">
        <f>707+61</f>
        <v>768</v>
      </c>
      <c r="E22" s="101"/>
      <c r="F22" s="102"/>
      <c r="G22" s="102"/>
      <c r="H22" s="102"/>
      <c r="I22" s="102">
        <f t="shared" si="0"/>
        <v>0</v>
      </c>
      <c r="J22" s="103">
        <f t="shared" si="1"/>
        <v>768</v>
      </c>
      <c r="K22" s="113"/>
      <c r="L22" s="114"/>
      <c r="M22" s="114"/>
      <c r="N22" s="114"/>
      <c r="O22" s="106">
        <f t="shared" si="2"/>
        <v>0</v>
      </c>
      <c r="P22" s="113"/>
      <c r="Q22" s="115"/>
      <c r="R22" s="115"/>
      <c r="S22" s="115"/>
      <c r="T22" s="115"/>
      <c r="U22" s="115"/>
      <c r="V22" s="115"/>
      <c r="W22" s="116"/>
    </row>
    <row r="23" spans="1:23" x14ac:dyDescent="0.25">
      <c r="A23" s="109">
        <v>18</v>
      </c>
      <c r="B23" s="118" t="s">
        <v>18</v>
      </c>
      <c r="C23" s="111"/>
      <c r="D23" s="112">
        <f>465+40</f>
        <v>505</v>
      </c>
      <c r="E23" s="101"/>
      <c r="F23" s="102"/>
      <c r="G23" s="102"/>
      <c r="H23" s="102"/>
      <c r="I23" s="102">
        <f t="shared" si="0"/>
        <v>0</v>
      </c>
      <c r="J23" s="103">
        <f t="shared" si="1"/>
        <v>505</v>
      </c>
      <c r="K23" s="113"/>
      <c r="L23" s="114"/>
      <c r="M23" s="114"/>
      <c r="N23" s="114"/>
      <c r="O23" s="106">
        <f t="shared" si="2"/>
        <v>0</v>
      </c>
      <c r="P23" s="113"/>
      <c r="Q23" s="115"/>
      <c r="R23" s="115"/>
      <c r="S23" s="115"/>
      <c r="T23" s="115"/>
      <c r="U23" s="115"/>
      <c r="V23" s="115"/>
      <c r="W23" s="116"/>
    </row>
    <row r="24" spans="1:23" x14ac:dyDescent="0.25">
      <c r="A24" s="109">
        <v>19</v>
      </c>
      <c r="B24" s="118" t="s">
        <v>44</v>
      </c>
      <c r="C24" s="111">
        <f>26+8</f>
        <v>34</v>
      </c>
      <c r="D24" s="112">
        <f>723+63</f>
        <v>786</v>
      </c>
      <c r="E24" s="101">
        <v>84</v>
      </c>
      <c r="F24" s="102"/>
      <c r="G24" s="102"/>
      <c r="H24" s="102"/>
      <c r="I24" s="102">
        <f t="shared" si="0"/>
        <v>84</v>
      </c>
      <c r="J24" s="103">
        <f t="shared" si="1"/>
        <v>904</v>
      </c>
      <c r="K24" s="113"/>
      <c r="L24" s="114"/>
      <c r="M24" s="114"/>
      <c r="N24" s="114"/>
      <c r="O24" s="106">
        <f t="shared" si="2"/>
        <v>0</v>
      </c>
      <c r="P24" s="113"/>
      <c r="Q24" s="115"/>
      <c r="R24" s="115"/>
      <c r="S24" s="115"/>
      <c r="T24" s="115"/>
      <c r="U24" s="115"/>
      <c r="V24" s="115"/>
      <c r="W24" s="116"/>
    </row>
    <row r="25" spans="1:23" x14ac:dyDescent="0.25">
      <c r="A25" s="109">
        <v>20</v>
      </c>
      <c r="B25" s="118" t="s">
        <v>27</v>
      </c>
      <c r="C25" s="111">
        <f>36+10</f>
        <v>46</v>
      </c>
      <c r="D25" s="112">
        <f>987+85</f>
        <v>1072</v>
      </c>
      <c r="E25" s="101">
        <v>115</v>
      </c>
      <c r="F25" s="102"/>
      <c r="G25" s="102"/>
      <c r="H25" s="102"/>
      <c r="I25" s="102">
        <f t="shared" si="0"/>
        <v>115</v>
      </c>
      <c r="J25" s="103">
        <f t="shared" si="1"/>
        <v>1233</v>
      </c>
      <c r="K25" s="113"/>
      <c r="L25" s="114"/>
      <c r="M25" s="114"/>
      <c r="N25" s="114"/>
      <c r="O25" s="106">
        <f t="shared" si="2"/>
        <v>0</v>
      </c>
      <c r="P25" s="113"/>
      <c r="Q25" s="115"/>
      <c r="R25" s="115"/>
      <c r="S25" s="115"/>
      <c r="T25" s="115"/>
      <c r="U25" s="115"/>
      <c r="V25" s="115"/>
      <c r="W25" s="116"/>
    </row>
    <row r="26" spans="1:23" x14ac:dyDescent="0.25">
      <c r="A26" s="109">
        <v>21</v>
      </c>
      <c r="B26" s="118" t="s">
        <v>36</v>
      </c>
      <c r="C26" s="111">
        <f>115+33</f>
        <v>148</v>
      </c>
      <c r="D26" s="112">
        <f>3149+273</f>
        <v>3422</v>
      </c>
      <c r="E26" s="101">
        <v>404</v>
      </c>
      <c r="F26" s="102">
        <v>307</v>
      </c>
      <c r="G26" s="102">
        <v>42</v>
      </c>
      <c r="H26" s="102">
        <v>61</v>
      </c>
      <c r="I26" s="102">
        <f t="shared" si="0"/>
        <v>814</v>
      </c>
      <c r="J26" s="103">
        <f t="shared" si="1"/>
        <v>4384</v>
      </c>
      <c r="K26" s="113">
        <v>41</v>
      </c>
      <c r="L26" s="114">
        <v>916</v>
      </c>
      <c r="M26" s="114">
        <v>2707</v>
      </c>
      <c r="N26" s="114">
        <v>500</v>
      </c>
      <c r="O26" s="106">
        <f t="shared" si="2"/>
        <v>4164</v>
      </c>
      <c r="P26" s="113"/>
      <c r="Q26" s="115"/>
      <c r="R26" s="115"/>
      <c r="S26" s="115"/>
      <c r="T26" s="115"/>
      <c r="U26" s="115"/>
      <c r="V26" s="115"/>
      <c r="W26" s="116"/>
    </row>
    <row r="27" spans="1:23" x14ac:dyDescent="0.25">
      <c r="A27" s="109">
        <v>22</v>
      </c>
      <c r="B27" s="118" t="s">
        <v>234</v>
      </c>
      <c r="C27" s="111">
        <f>231+67</f>
        <v>298</v>
      </c>
      <c r="D27" s="112">
        <f>4755+412</f>
        <v>5167</v>
      </c>
      <c r="E27" s="101">
        <v>790</v>
      </c>
      <c r="F27" s="102">
        <v>319</v>
      </c>
      <c r="G27" s="102">
        <v>42</v>
      </c>
      <c r="H27" s="102">
        <v>73</v>
      </c>
      <c r="I27" s="102">
        <f t="shared" si="0"/>
        <v>1224</v>
      </c>
      <c r="J27" s="103">
        <f t="shared" si="1"/>
        <v>6689</v>
      </c>
      <c r="K27" s="113">
        <v>113</v>
      </c>
      <c r="L27" s="114">
        <v>2462</v>
      </c>
      <c r="M27" s="114">
        <v>7274</v>
      </c>
      <c r="N27" s="114">
        <v>1342</v>
      </c>
      <c r="O27" s="106">
        <f t="shared" si="2"/>
        <v>11191</v>
      </c>
      <c r="P27" s="113"/>
      <c r="Q27" s="115"/>
      <c r="R27" s="115"/>
      <c r="S27" s="115"/>
      <c r="T27" s="115"/>
      <c r="U27" s="115"/>
      <c r="V27" s="115"/>
      <c r="W27" s="116"/>
    </row>
    <row r="28" spans="1:23" x14ac:dyDescent="0.25">
      <c r="A28" s="109">
        <v>23</v>
      </c>
      <c r="B28" s="119" t="s">
        <v>235</v>
      </c>
      <c r="C28" s="111">
        <f>149+43</f>
        <v>192</v>
      </c>
      <c r="D28" s="112">
        <f>3248+281</f>
        <v>3529</v>
      </c>
      <c r="E28" s="101">
        <v>535</v>
      </c>
      <c r="F28" s="102">
        <v>518</v>
      </c>
      <c r="G28" s="102">
        <v>64</v>
      </c>
      <c r="H28" s="102">
        <v>111</v>
      </c>
      <c r="I28" s="102">
        <f t="shared" si="0"/>
        <v>1228</v>
      </c>
      <c r="J28" s="103">
        <f t="shared" si="1"/>
        <v>4949</v>
      </c>
      <c r="K28" s="113">
        <v>53</v>
      </c>
      <c r="L28" s="114">
        <v>1146</v>
      </c>
      <c r="M28" s="114">
        <v>3387</v>
      </c>
      <c r="N28" s="114">
        <v>625</v>
      </c>
      <c r="O28" s="106">
        <f t="shared" si="2"/>
        <v>5211</v>
      </c>
      <c r="P28" s="113"/>
      <c r="Q28" s="115"/>
      <c r="R28" s="115"/>
      <c r="S28" s="115"/>
      <c r="T28" s="115"/>
      <c r="U28" s="115"/>
      <c r="V28" s="115"/>
      <c r="W28" s="116"/>
    </row>
    <row r="29" spans="1:23" x14ac:dyDescent="0.25">
      <c r="A29" s="109">
        <v>24</v>
      </c>
      <c r="B29" s="118" t="s">
        <v>54</v>
      </c>
      <c r="C29" s="111">
        <f>136+40</f>
        <v>176</v>
      </c>
      <c r="D29" s="112">
        <f>3748+325</f>
        <v>4073</v>
      </c>
      <c r="E29" s="101">
        <v>531</v>
      </c>
      <c r="F29" s="102">
        <v>281</v>
      </c>
      <c r="G29" s="102">
        <v>43</v>
      </c>
      <c r="H29" s="102">
        <v>56</v>
      </c>
      <c r="I29" s="102">
        <f t="shared" si="0"/>
        <v>911</v>
      </c>
      <c r="J29" s="103">
        <f t="shared" si="1"/>
        <v>5160</v>
      </c>
      <c r="K29" s="113">
        <v>69</v>
      </c>
      <c r="L29" s="114">
        <v>1494</v>
      </c>
      <c r="M29" s="114">
        <v>4416</v>
      </c>
      <c r="N29" s="114">
        <v>815</v>
      </c>
      <c r="O29" s="106">
        <f t="shared" si="2"/>
        <v>6794</v>
      </c>
      <c r="P29" s="113"/>
      <c r="Q29" s="115"/>
      <c r="R29" s="115"/>
      <c r="S29" s="115"/>
      <c r="T29" s="115"/>
      <c r="U29" s="115"/>
      <c r="V29" s="115"/>
      <c r="W29" s="116"/>
    </row>
    <row r="30" spans="1:23" x14ac:dyDescent="0.25">
      <c r="A30" s="491">
        <v>25</v>
      </c>
      <c r="B30" s="492" t="s">
        <v>148</v>
      </c>
      <c r="C30" s="111">
        <f>98+28</f>
        <v>126</v>
      </c>
      <c r="D30" s="112">
        <f>2362+205</f>
        <v>2567</v>
      </c>
      <c r="E30" s="101">
        <f>737</f>
        <v>737</v>
      </c>
      <c r="F30" s="102">
        <v>361</v>
      </c>
      <c r="G30" s="102">
        <v>58</v>
      </c>
      <c r="H30" s="102">
        <v>75</v>
      </c>
      <c r="I30" s="102">
        <f t="shared" si="0"/>
        <v>1231</v>
      </c>
      <c r="J30" s="103">
        <f t="shared" si="1"/>
        <v>3924</v>
      </c>
      <c r="K30" s="113">
        <v>185</v>
      </c>
      <c r="L30" s="114">
        <v>4081</v>
      </c>
      <c r="M30" s="114">
        <v>12058</v>
      </c>
      <c r="N30" s="114">
        <v>2226</v>
      </c>
      <c r="O30" s="106">
        <f t="shared" si="2"/>
        <v>18550</v>
      </c>
      <c r="P30" s="113"/>
      <c r="Q30" s="115"/>
      <c r="R30" s="115"/>
      <c r="S30" s="115"/>
      <c r="T30" s="115"/>
      <c r="U30" s="115"/>
      <c r="V30" s="115"/>
      <c r="W30" s="116"/>
    </row>
    <row r="31" spans="1:23" ht="41.25" customHeight="1" x14ac:dyDescent="0.25">
      <c r="A31" s="493"/>
      <c r="B31" s="318" t="s">
        <v>639</v>
      </c>
      <c r="C31" s="111">
        <f>0+116</f>
        <v>116</v>
      </c>
      <c r="D31" s="112">
        <f>0+2352</f>
        <v>2352</v>
      </c>
      <c r="E31" s="101">
        <f>0+274</f>
        <v>274</v>
      </c>
      <c r="F31" s="102"/>
      <c r="G31" s="102"/>
      <c r="H31" s="102"/>
      <c r="I31" s="102">
        <f t="shared" si="0"/>
        <v>274</v>
      </c>
      <c r="J31" s="103">
        <f t="shared" si="1"/>
        <v>2742</v>
      </c>
      <c r="K31" s="113"/>
      <c r="L31" s="114"/>
      <c r="M31" s="114"/>
      <c r="N31" s="114"/>
      <c r="O31" s="106">
        <f t="shared" si="2"/>
        <v>0</v>
      </c>
      <c r="P31" s="113"/>
      <c r="Q31" s="115"/>
      <c r="R31" s="115"/>
      <c r="S31" s="115"/>
      <c r="T31" s="115"/>
      <c r="U31" s="115"/>
      <c r="V31" s="115"/>
      <c r="W31" s="116"/>
    </row>
    <row r="32" spans="1:23" x14ac:dyDescent="0.25">
      <c r="A32" s="109">
        <v>26</v>
      </c>
      <c r="B32" s="118" t="s">
        <v>255</v>
      </c>
      <c r="C32" s="111">
        <f>92+27-116</f>
        <v>3</v>
      </c>
      <c r="D32" s="112">
        <f>2529+219-2352</f>
        <v>396</v>
      </c>
      <c r="E32" s="101">
        <f>295-274</f>
        <v>21</v>
      </c>
      <c r="F32" s="102"/>
      <c r="G32" s="102"/>
      <c r="H32" s="102"/>
      <c r="I32" s="102">
        <f t="shared" si="0"/>
        <v>21</v>
      </c>
      <c r="J32" s="103">
        <f t="shared" si="1"/>
        <v>420</v>
      </c>
      <c r="K32" s="113"/>
      <c r="L32" s="114"/>
      <c r="M32" s="114"/>
      <c r="N32" s="114"/>
      <c r="O32" s="106">
        <f t="shared" si="2"/>
        <v>0</v>
      </c>
      <c r="P32" s="113"/>
      <c r="Q32" s="115"/>
      <c r="R32" s="115"/>
      <c r="S32" s="115"/>
      <c r="T32" s="115"/>
      <c r="U32" s="115"/>
      <c r="V32" s="115"/>
      <c r="W32" s="116"/>
    </row>
    <row r="33" spans="1:23" x14ac:dyDescent="0.25">
      <c r="A33" s="109">
        <v>27</v>
      </c>
      <c r="B33" s="118" t="s">
        <v>256</v>
      </c>
      <c r="C33" s="111">
        <f>85+25</f>
        <v>110</v>
      </c>
      <c r="D33" s="112">
        <f>2331+202</f>
        <v>2533</v>
      </c>
      <c r="E33" s="101">
        <v>272</v>
      </c>
      <c r="F33" s="102"/>
      <c r="G33" s="102"/>
      <c r="H33" s="102"/>
      <c r="I33" s="102">
        <f t="shared" si="0"/>
        <v>272</v>
      </c>
      <c r="J33" s="103">
        <f t="shared" si="1"/>
        <v>2915</v>
      </c>
      <c r="K33" s="113"/>
      <c r="L33" s="114"/>
      <c r="M33" s="114"/>
      <c r="N33" s="114"/>
      <c r="O33" s="106">
        <f t="shared" si="2"/>
        <v>0</v>
      </c>
      <c r="P33" s="113"/>
      <c r="Q33" s="115"/>
      <c r="R33" s="115"/>
      <c r="S33" s="115"/>
      <c r="T33" s="115"/>
      <c r="U33" s="115"/>
      <c r="V33" s="115"/>
      <c r="W33" s="116"/>
    </row>
    <row r="34" spans="1:23" x14ac:dyDescent="0.25">
      <c r="A34" s="109">
        <v>28</v>
      </c>
      <c r="B34" s="118" t="s">
        <v>257</v>
      </c>
      <c r="C34" s="111">
        <f>122+35</f>
        <v>157</v>
      </c>
      <c r="D34" s="112">
        <f>2405+208</f>
        <v>2613</v>
      </c>
      <c r="E34" s="101">
        <v>419</v>
      </c>
      <c r="F34" s="102">
        <v>223</v>
      </c>
      <c r="G34" s="102">
        <v>30</v>
      </c>
      <c r="H34" s="102">
        <v>45</v>
      </c>
      <c r="I34" s="102">
        <f t="shared" si="0"/>
        <v>717</v>
      </c>
      <c r="J34" s="103">
        <f t="shared" si="1"/>
        <v>3487</v>
      </c>
      <c r="K34" s="113"/>
      <c r="L34" s="114"/>
      <c r="M34" s="114"/>
      <c r="N34" s="114"/>
      <c r="O34" s="106">
        <f t="shared" si="2"/>
        <v>0</v>
      </c>
      <c r="P34" s="113"/>
      <c r="Q34" s="115"/>
      <c r="R34" s="115"/>
      <c r="S34" s="115"/>
      <c r="T34" s="115"/>
      <c r="U34" s="115"/>
      <c r="V34" s="115"/>
      <c r="W34" s="116"/>
    </row>
    <row r="35" spans="1:23" x14ac:dyDescent="0.25">
      <c r="A35" s="109">
        <v>29</v>
      </c>
      <c r="B35" s="120" t="s">
        <v>20</v>
      </c>
      <c r="C35" s="111">
        <f>42+12</f>
        <v>54</v>
      </c>
      <c r="D35" s="112">
        <f>1146+99</f>
        <v>1245</v>
      </c>
      <c r="E35" s="101">
        <v>134</v>
      </c>
      <c r="F35" s="102"/>
      <c r="G35" s="102"/>
      <c r="H35" s="102"/>
      <c r="I35" s="102">
        <f t="shared" si="0"/>
        <v>134</v>
      </c>
      <c r="J35" s="103">
        <f t="shared" si="1"/>
        <v>1433</v>
      </c>
      <c r="K35" s="113">
        <v>37</v>
      </c>
      <c r="L35" s="114">
        <v>818</v>
      </c>
      <c r="M35" s="114">
        <v>2416</v>
      </c>
      <c r="N35" s="114">
        <v>446</v>
      </c>
      <c r="O35" s="106">
        <f t="shared" si="2"/>
        <v>3717</v>
      </c>
      <c r="P35" s="113"/>
      <c r="Q35" s="115"/>
      <c r="R35" s="115"/>
      <c r="S35" s="115"/>
      <c r="T35" s="115"/>
      <c r="U35" s="115"/>
      <c r="V35" s="115"/>
      <c r="W35" s="116"/>
    </row>
    <row r="36" spans="1:23" ht="13.5" customHeight="1" x14ac:dyDescent="0.25">
      <c r="A36" s="109">
        <v>30</v>
      </c>
      <c r="B36" s="117" t="s">
        <v>315</v>
      </c>
      <c r="C36" s="113">
        <f>111-111</f>
        <v>0</v>
      </c>
      <c r="D36" s="114">
        <v>3020</v>
      </c>
      <c r="E36" s="101"/>
      <c r="F36" s="102"/>
      <c r="G36" s="102"/>
      <c r="H36" s="102"/>
      <c r="I36" s="102">
        <f t="shared" si="0"/>
        <v>0</v>
      </c>
      <c r="J36" s="103">
        <f t="shared" si="1"/>
        <v>3020</v>
      </c>
      <c r="K36" s="113"/>
      <c r="L36" s="114"/>
      <c r="M36" s="114"/>
      <c r="N36" s="114"/>
      <c r="O36" s="106">
        <f t="shared" si="2"/>
        <v>0</v>
      </c>
      <c r="P36" s="113"/>
      <c r="Q36" s="115"/>
      <c r="R36" s="115"/>
      <c r="S36" s="115"/>
      <c r="T36" s="115"/>
      <c r="U36" s="115"/>
      <c r="V36" s="115"/>
      <c r="W36" s="116"/>
    </row>
    <row r="37" spans="1:23" x14ac:dyDescent="0.25">
      <c r="A37" s="98">
        <v>31</v>
      </c>
      <c r="B37" s="118" t="s">
        <v>22</v>
      </c>
      <c r="C37" s="111">
        <f>65+19</f>
        <v>84</v>
      </c>
      <c r="D37" s="112">
        <f>1795+155</f>
        <v>1950</v>
      </c>
      <c r="E37" s="101">
        <v>210</v>
      </c>
      <c r="F37" s="102"/>
      <c r="G37" s="102"/>
      <c r="H37" s="102"/>
      <c r="I37" s="102">
        <f t="shared" si="0"/>
        <v>210</v>
      </c>
      <c r="J37" s="103">
        <f t="shared" si="1"/>
        <v>2244</v>
      </c>
      <c r="K37" s="113">
        <v>28</v>
      </c>
      <c r="L37" s="114">
        <v>627</v>
      </c>
      <c r="M37" s="114">
        <v>1852</v>
      </c>
      <c r="N37" s="114">
        <v>342</v>
      </c>
      <c r="O37" s="106">
        <f t="shared" si="2"/>
        <v>2849</v>
      </c>
      <c r="P37" s="113"/>
      <c r="Q37" s="115"/>
      <c r="R37" s="115"/>
      <c r="S37" s="115"/>
      <c r="T37" s="115"/>
      <c r="U37" s="115"/>
      <c r="V37" s="115"/>
      <c r="W37" s="116"/>
    </row>
    <row r="38" spans="1:23" x14ac:dyDescent="0.25">
      <c r="A38" s="98">
        <v>32</v>
      </c>
      <c r="B38" s="110" t="s">
        <v>23</v>
      </c>
      <c r="C38" s="111"/>
      <c r="D38" s="112">
        <f>429+37</f>
        <v>466</v>
      </c>
      <c r="E38" s="101">
        <v>50</v>
      </c>
      <c r="F38" s="102"/>
      <c r="G38" s="102"/>
      <c r="H38" s="102"/>
      <c r="I38" s="102">
        <f t="shared" si="0"/>
        <v>50</v>
      </c>
      <c r="J38" s="103">
        <f t="shared" si="1"/>
        <v>516</v>
      </c>
      <c r="K38" s="113"/>
      <c r="L38" s="114"/>
      <c r="M38" s="114"/>
      <c r="N38" s="114"/>
      <c r="O38" s="106">
        <f t="shared" si="2"/>
        <v>0</v>
      </c>
      <c r="P38" s="113"/>
      <c r="Q38" s="115"/>
      <c r="R38" s="115"/>
      <c r="S38" s="115"/>
      <c r="T38" s="115"/>
      <c r="U38" s="115"/>
      <c r="V38" s="115"/>
      <c r="W38" s="116"/>
    </row>
    <row r="39" spans="1:23" x14ac:dyDescent="0.25">
      <c r="A39" s="109">
        <v>33</v>
      </c>
      <c r="B39" s="110" t="s">
        <v>25</v>
      </c>
      <c r="C39" s="111"/>
      <c r="D39" s="112">
        <f>423+37</f>
        <v>460</v>
      </c>
      <c r="E39" s="101">
        <v>49</v>
      </c>
      <c r="F39" s="102"/>
      <c r="G39" s="102"/>
      <c r="H39" s="102"/>
      <c r="I39" s="102">
        <f t="shared" si="0"/>
        <v>49</v>
      </c>
      <c r="J39" s="103">
        <f t="shared" si="1"/>
        <v>509</v>
      </c>
      <c r="K39" s="113"/>
      <c r="L39" s="114"/>
      <c r="M39" s="114"/>
      <c r="N39" s="114"/>
      <c r="O39" s="106">
        <f t="shared" si="2"/>
        <v>0</v>
      </c>
      <c r="P39" s="113"/>
      <c r="Q39" s="115"/>
      <c r="R39" s="115"/>
      <c r="S39" s="115"/>
      <c r="T39" s="115"/>
      <c r="U39" s="115"/>
      <c r="V39" s="115"/>
      <c r="W39" s="116"/>
    </row>
    <row r="40" spans="1:23" x14ac:dyDescent="0.25">
      <c r="A40" s="109">
        <v>34</v>
      </c>
      <c r="B40" s="120" t="s">
        <v>26</v>
      </c>
      <c r="C40" s="111">
        <f>55+16</f>
        <v>71</v>
      </c>
      <c r="D40" s="112">
        <f>1510+131</f>
        <v>1641</v>
      </c>
      <c r="E40" s="101"/>
      <c r="F40" s="102"/>
      <c r="G40" s="102"/>
      <c r="H40" s="102"/>
      <c r="I40" s="102">
        <f t="shared" si="0"/>
        <v>0</v>
      </c>
      <c r="J40" s="103">
        <f t="shared" si="1"/>
        <v>1712</v>
      </c>
      <c r="K40" s="113"/>
      <c r="L40" s="114"/>
      <c r="M40" s="114"/>
      <c r="N40" s="114"/>
      <c r="O40" s="106">
        <f t="shared" si="2"/>
        <v>0</v>
      </c>
      <c r="P40" s="113"/>
      <c r="Q40" s="115"/>
      <c r="R40" s="115"/>
      <c r="S40" s="115"/>
      <c r="T40" s="115"/>
      <c r="U40" s="115"/>
      <c r="V40" s="115"/>
      <c r="W40" s="116"/>
    </row>
    <row r="41" spans="1:23" ht="11.25" customHeight="1" x14ac:dyDescent="0.25">
      <c r="A41" s="121">
        <v>35</v>
      </c>
      <c r="B41" s="120" t="s">
        <v>24</v>
      </c>
      <c r="C41" s="111">
        <f>27+8</f>
        <v>35</v>
      </c>
      <c r="D41" s="112">
        <f>757+66</f>
        <v>823</v>
      </c>
      <c r="E41" s="101">
        <v>88</v>
      </c>
      <c r="F41" s="102"/>
      <c r="G41" s="102"/>
      <c r="H41" s="102"/>
      <c r="I41" s="102">
        <f t="shared" si="0"/>
        <v>88</v>
      </c>
      <c r="J41" s="103">
        <f t="shared" si="1"/>
        <v>946</v>
      </c>
      <c r="K41" s="113"/>
      <c r="L41" s="114"/>
      <c r="M41" s="114"/>
      <c r="N41" s="114"/>
      <c r="O41" s="106">
        <f t="shared" si="2"/>
        <v>0</v>
      </c>
      <c r="P41" s="113"/>
      <c r="Q41" s="115"/>
      <c r="R41" s="115"/>
      <c r="S41" s="115"/>
      <c r="T41" s="115"/>
      <c r="U41" s="115"/>
      <c r="V41" s="115"/>
      <c r="W41" s="116"/>
    </row>
    <row r="42" spans="1:23" x14ac:dyDescent="0.25">
      <c r="A42" s="121">
        <v>36</v>
      </c>
      <c r="B42" s="118" t="s">
        <v>28</v>
      </c>
      <c r="C42" s="111">
        <f>93+27</f>
        <v>120</v>
      </c>
      <c r="D42" s="112">
        <f>2570+223</f>
        <v>2793</v>
      </c>
      <c r="E42" s="101">
        <v>300</v>
      </c>
      <c r="F42" s="102"/>
      <c r="G42" s="102"/>
      <c r="H42" s="102"/>
      <c r="I42" s="102">
        <f t="shared" si="0"/>
        <v>300</v>
      </c>
      <c r="J42" s="103">
        <f t="shared" si="1"/>
        <v>3213</v>
      </c>
      <c r="K42" s="113">
        <v>41</v>
      </c>
      <c r="L42" s="114">
        <v>907</v>
      </c>
      <c r="M42" s="114">
        <v>2679</v>
      </c>
      <c r="N42" s="114">
        <v>495</v>
      </c>
      <c r="O42" s="106">
        <f t="shared" si="2"/>
        <v>4122</v>
      </c>
      <c r="P42" s="113"/>
      <c r="Q42" s="115"/>
      <c r="R42" s="115"/>
      <c r="S42" s="115"/>
      <c r="T42" s="115"/>
      <c r="U42" s="115"/>
      <c r="V42" s="115"/>
      <c r="W42" s="116"/>
    </row>
    <row r="43" spans="1:23" x14ac:dyDescent="0.25">
      <c r="A43" s="121">
        <v>37</v>
      </c>
      <c r="B43" s="118" t="s">
        <v>29</v>
      </c>
      <c r="C43" s="111"/>
      <c r="D43" s="112">
        <f>750+65</f>
        <v>815</v>
      </c>
      <c r="E43" s="101">
        <v>88</v>
      </c>
      <c r="F43" s="102"/>
      <c r="G43" s="102"/>
      <c r="H43" s="102"/>
      <c r="I43" s="102">
        <f t="shared" si="0"/>
        <v>88</v>
      </c>
      <c r="J43" s="103">
        <f t="shared" si="1"/>
        <v>903</v>
      </c>
      <c r="K43" s="113"/>
      <c r="L43" s="114"/>
      <c r="M43" s="114"/>
      <c r="N43" s="114"/>
      <c r="O43" s="106">
        <f t="shared" si="2"/>
        <v>0</v>
      </c>
      <c r="P43" s="113"/>
      <c r="Q43" s="115"/>
      <c r="R43" s="115"/>
      <c r="S43" s="115"/>
      <c r="T43" s="115"/>
      <c r="U43" s="115"/>
      <c r="V43" s="115"/>
      <c r="W43" s="116"/>
    </row>
    <row r="44" spans="1:23" x14ac:dyDescent="0.25">
      <c r="A44" s="121">
        <v>38</v>
      </c>
      <c r="B44" s="118" t="s">
        <v>30</v>
      </c>
      <c r="C44" s="111"/>
      <c r="D44" s="112">
        <f>704+61</f>
        <v>765</v>
      </c>
      <c r="E44" s="101">
        <v>82</v>
      </c>
      <c r="F44" s="102"/>
      <c r="G44" s="102"/>
      <c r="H44" s="102"/>
      <c r="I44" s="102">
        <f t="shared" si="0"/>
        <v>82</v>
      </c>
      <c r="J44" s="103">
        <f t="shared" si="1"/>
        <v>847</v>
      </c>
      <c r="K44" s="113"/>
      <c r="L44" s="114"/>
      <c r="M44" s="114"/>
      <c r="N44" s="114"/>
      <c r="O44" s="106">
        <f t="shared" si="2"/>
        <v>0</v>
      </c>
      <c r="P44" s="113"/>
      <c r="Q44" s="115"/>
      <c r="R44" s="115"/>
      <c r="S44" s="115"/>
      <c r="T44" s="115"/>
      <c r="U44" s="115"/>
      <c r="V44" s="115"/>
      <c r="W44" s="116"/>
    </row>
    <row r="45" spans="1:23" x14ac:dyDescent="0.25">
      <c r="A45" s="121">
        <v>39</v>
      </c>
      <c r="B45" s="118" t="s">
        <v>31</v>
      </c>
      <c r="C45" s="111"/>
      <c r="D45" s="112">
        <f>1385+120</f>
        <v>1505</v>
      </c>
      <c r="E45" s="101">
        <v>162</v>
      </c>
      <c r="F45" s="102"/>
      <c r="G45" s="102"/>
      <c r="H45" s="102"/>
      <c r="I45" s="102">
        <f t="shared" si="0"/>
        <v>162</v>
      </c>
      <c r="J45" s="103">
        <f t="shared" si="1"/>
        <v>1667</v>
      </c>
      <c r="K45" s="113"/>
      <c r="L45" s="114"/>
      <c r="M45" s="114"/>
      <c r="N45" s="114"/>
      <c r="O45" s="106">
        <f t="shared" si="2"/>
        <v>0</v>
      </c>
      <c r="P45" s="113"/>
      <c r="Q45" s="115"/>
      <c r="R45" s="115"/>
      <c r="S45" s="115"/>
      <c r="T45" s="115"/>
      <c r="U45" s="115"/>
      <c r="V45" s="115"/>
      <c r="W45" s="116"/>
    </row>
    <row r="46" spans="1:23" x14ac:dyDescent="0.25">
      <c r="A46" s="109">
        <v>40</v>
      </c>
      <c r="B46" s="118" t="s">
        <v>32</v>
      </c>
      <c r="C46" s="111">
        <f>18+5</f>
        <v>23</v>
      </c>
      <c r="D46" s="112">
        <f>492+43</f>
        <v>535</v>
      </c>
      <c r="E46" s="101">
        <v>57</v>
      </c>
      <c r="F46" s="102"/>
      <c r="G46" s="102"/>
      <c r="H46" s="102"/>
      <c r="I46" s="102">
        <f t="shared" si="0"/>
        <v>57</v>
      </c>
      <c r="J46" s="103">
        <f t="shared" si="1"/>
        <v>615</v>
      </c>
      <c r="K46" s="113"/>
      <c r="L46" s="114"/>
      <c r="M46" s="114"/>
      <c r="N46" s="114"/>
      <c r="O46" s="106">
        <f t="shared" si="2"/>
        <v>0</v>
      </c>
      <c r="P46" s="113"/>
      <c r="Q46" s="115"/>
      <c r="R46" s="115"/>
      <c r="S46" s="115"/>
      <c r="T46" s="115"/>
      <c r="U46" s="115"/>
      <c r="V46" s="115"/>
      <c r="W46" s="116"/>
    </row>
    <row r="47" spans="1:23" x14ac:dyDescent="0.25">
      <c r="A47" s="109">
        <v>41</v>
      </c>
      <c r="B47" s="118" t="s">
        <v>33</v>
      </c>
      <c r="C47" s="111"/>
      <c r="D47" s="112">
        <f>862+75</f>
        <v>937</v>
      </c>
      <c r="E47" s="101"/>
      <c r="F47" s="102"/>
      <c r="G47" s="102"/>
      <c r="H47" s="102"/>
      <c r="I47" s="102">
        <f t="shared" si="0"/>
        <v>0</v>
      </c>
      <c r="J47" s="103">
        <f t="shared" si="1"/>
        <v>937</v>
      </c>
      <c r="K47" s="113"/>
      <c r="L47" s="114"/>
      <c r="M47" s="114"/>
      <c r="N47" s="114"/>
      <c r="O47" s="106">
        <f t="shared" si="2"/>
        <v>0</v>
      </c>
      <c r="P47" s="113"/>
      <c r="Q47" s="115"/>
      <c r="R47" s="115"/>
      <c r="S47" s="115"/>
      <c r="T47" s="115"/>
      <c r="U47" s="115"/>
      <c r="V47" s="115"/>
      <c r="W47" s="116"/>
    </row>
    <row r="48" spans="1:23" x14ac:dyDescent="0.25">
      <c r="A48" s="109">
        <v>42</v>
      </c>
      <c r="B48" s="118" t="s">
        <v>19</v>
      </c>
      <c r="C48" s="111"/>
      <c r="D48" s="112">
        <f>950+82</f>
        <v>1032</v>
      </c>
      <c r="E48" s="101"/>
      <c r="F48" s="102"/>
      <c r="G48" s="102"/>
      <c r="H48" s="102"/>
      <c r="I48" s="102">
        <f t="shared" si="0"/>
        <v>0</v>
      </c>
      <c r="J48" s="103">
        <f t="shared" si="1"/>
        <v>1032</v>
      </c>
      <c r="K48" s="113"/>
      <c r="L48" s="114"/>
      <c r="M48" s="114"/>
      <c r="N48" s="114"/>
      <c r="O48" s="106">
        <f t="shared" si="2"/>
        <v>0</v>
      </c>
      <c r="P48" s="113"/>
      <c r="Q48" s="115"/>
      <c r="R48" s="115"/>
      <c r="S48" s="115"/>
      <c r="T48" s="115"/>
      <c r="U48" s="115"/>
      <c r="V48" s="115"/>
      <c r="W48" s="116"/>
    </row>
    <row r="49" spans="1:23" x14ac:dyDescent="0.25">
      <c r="A49" s="109">
        <v>43</v>
      </c>
      <c r="B49" s="118" t="s">
        <v>35</v>
      </c>
      <c r="C49" s="111">
        <f>29+8</f>
        <v>37</v>
      </c>
      <c r="D49" s="112">
        <f>794+69</f>
        <v>863</v>
      </c>
      <c r="E49" s="101"/>
      <c r="F49" s="102"/>
      <c r="G49" s="102"/>
      <c r="H49" s="102"/>
      <c r="I49" s="102">
        <f t="shared" si="0"/>
        <v>0</v>
      </c>
      <c r="J49" s="103">
        <f t="shared" si="1"/>
        <v>900</v>
      </c>
      <c r="K49" s="113"/>
      <c r="L49" s="114"/>
      <c r="M49" s="114"/>
      <c r="N49" s="114"/>
      <c r="O49" s="106">
        <f t="shared" si="2"/>
        <v>0</v>
      </c>
      <c r="P49" s="113"/>
      <c r="Q49" s="115"/>
      <c r="R49" s="115"/>
      <c r="S49" s="115"/>
      <c r="T49" s="115"/>
      <c r="U49" s="115"/>
      <c r="V49" s="115"/>
      <c r="W49" s="116"/>
    </row>
    <row r="50" spans="1:23" x14ac:dyDescent="0.25">
      <c r="A50" s="109">
        <v>44</v>
      </c>
      <c r="B50" s="119" t="s">
        <v>42</v>
      </c>
      <c r="C50" s="111">
        <f>27+8</f>
        <v>35</v>
      </c>
      <c r="D50" s="112">
        <f>735+64</f>
        <v>799</v>
      </c>
      <c r="E50" s="101">
        <v>86</v>
      </c>
      <c r="F50" s="102"/>
      <c r="G50" s="102"/>
      <c r="H50" s="102"/>
      <c r="I50" s="102">
        <f t="shared" si="0"/>
        <v>86</v>
      </c>
      <c r="J50" s="103">
        <f t="shared" si="1"/>
        <v>920</v>
      </c>
      <c r="K50" s="113"/>
      <c r="L50" s="114"/>
      <c r="M50" s="114"/>
      <c r="N50" s="114"/>
      <c r="O50" s="106">
        <f t="shared" si="2"/>
        <v>0</v>
      </c>
      <c r="P50" s="113"/>
      <c r="Q50" s="115"/>
      <c r="R50" s="115"/>
      <c r="S50" s="115"/>
      <c r="T50" s="115"/>
      <c r="U50" s="115"/>
      <c r="V50" s="115"/>
      <c r="W50" s="116"/>
    </row>
    <row r="51" spans="1:23" x14ac:dyDescent="0.25">
      <c r="A51" s="109">
        <v>45</v>
      </c>
      <c r="B51" s="118" t="s">
        <v>37</v>
      </c>
      <c r="C51" s="111">
        <f>120+35</f>
        <v>155</v>
      </c>
      <c r="D51" s="112">
        <f>3346+290</f>
        <v>3636</v>
      </c>
      <c r="E51" s="101">
        <v>390</v>
      </c>
      <c r="F51" s="102"/>
      <c r="G51" s="102"/>
      <c r="H51" s="102"/>
      <c r="I51" s="102">
        <f t="shared" si="0"/>
        <v>390</v>
      </c>
      <c r="J51" s="103">
        <f t="shared" si="1"/>
        <v>4181</v>
      </c>
      <c r="K51" s="113">
        <v>40</v>
      </c>
      <c r="L51" s="114">
        <v>876</v>
      </c>
      <c r="M51" s="114">
        <v>2590</v>
      </c>
      <c r="N51" s="114">
        <v>478</v>
      </c>
      <c r="O51" s="106">
        <f t="shared" si="2"/>
        <v>3984</v>
      </c>
      <c r="P51" s="113"/>
      <c r="Q51" s="115"/>
      <c r="R51" s="115"/>
      <c r="S51" s="115"/>
      <c r="T51" s="115"/>
      <c r="U51" s="115"/>
      <c r="V51" s="115"/>
      <c r="W51" s="116"/>
    </row>
    <row r="52" spans="1:23" x14ac:dyDescent="0.25">
      <c r="A52" s="109">
        <v>46</v>
      </c>
      <c r="B52" s="118" t="s">
        <v>21</v>
      </c>
      <c r="C52" s="111">
        <f>50+15</f>
        <v>65</v>
      </c>
      <c r="D52" s="112">
        <f>835+72</f>
        <v>907</v>
      </c>
      <c r="E52" s="101">
        <v>98</v>
      </c>
      <c r="F52" s="102"/>
      <c r="G52" s="102"/>
      <c r="H52" s="102"/>
      <c r="I52" s="102">
        <f t="shared" si="0"/>
        <v>98</v>
      </c>
      <c r="J52" s="103">
        <f t="shared" si="1"/>
        <v>1070</v>
      </c>
      <c r="K52" s="113"/>
      <c r="L52" s="114"/>
      <c r="M52" s="114"/>
      <c r="N52" s="114"/>
      <c r="O52" s="106">
        <f t="shared" si="2"/>
        <v>0</v>
      </c>
      <c r="P52" s="113"/>
      <c r="Q52" s="115"/>
      <c r="R52" s="115"/>
      <c r="S52" s="115"/>
      <c r="T52" s="115"/>
      <c r="U52" s="115"/>
      <c r="V52" s="115"/>
      <c r="W52" s="116"/>
    </row>
    <row r="53" spans="1:23" x14ac:dyDescent="0.25">
      <c r="A53" s="109">
        <v>47</v>
      </c>
      <c r="B53" s="118" t="s">
        <v>39</v>
      </c>
      <c r="C53" s="111"/>
      <c r="D53" s="112">
        <f>669+58</f>
        <v>727</v>
      </c>
      <c r="E53" s="101">
        <v>78</v>
      </c>
      <c r="F53" s="102"/>
      <c r="G53" s="102"/>
      <c r="H53" s="102"/>
      <c r="I53" s="102">
        <f t="shared" si="0"/>
        <v>78</v>
      </c>
      <c r="J53" s="103">
        <f t="shared" si="1"/>
        <v>805</v>
      </c>
      <c r="K53" s="113"/>
      <c r="L53" s="114"/>
      <c r="M53" s="114"/>
      <c r="N53" s="114"/>
      <c r="O53" s="106">
        <f t="shared" si="2"/>
        <v>0</v>
      </c>
      <c r="P53" s="113"/>
      <c r="Q53" s="115"/>
      <c r="R53" s="115"/>
      <c r="S53" s="115"/>
      <c r="T53" s="115"/>
      <c r="U53" s="115"/>
      <c r="V53" s="115"/>
      <c r="W53" s="116"/>
    </row>
    <row r="54" spans="1:23" x14ac:dyDescent="0.25">
      <c r="A54" s="109">
        <v>48</v>
      </c>
      <c r="B54" s="118" t="s">
        <v>40</v>
      </c>
      <c r="C54" s="111">
        <f>30+9</f>
        <v>39</v>
      </c>
      <c r="D54" s="112">
        <f>814+70</f>
        <v>884</v>
      </c>
      <c r="E54" s="101"/>
      <c r="F54" s="102"/>
      <c r="G54" s="102"/>
      <c r="H54" s="102"/>
      <c r="I54" s="102">
        <f t="shared" si="0"/>
        <v>0</v>
      </c>
      <c r="J54" s="103">
        <f t="shared" si="1"/>
        <v>923</v>
      </c>
      <c r="K54" s="113"/>
      <c r="L54" s="114"/>
      <c r="M54" s="114"/>
      <c r="N54" s="114"/>
      <c r="O54" s="106">
        <f t="shared" si="2"/>
        <v>0</v>
      </c>
      <c r="P54" s="113"/>
      <c r="Q54" s="115"/>
      <c r="R54" s="115"/>
      <c r="S54" s="115"/>
      <c r="T54" s="115"/>
      <c r="U54" s="115"/>
      <c r="V54" s="115"/>
      <c r="W54" s="116"/>
    </row>
    <row r="55" spans="1:23" x14ac:dyDescent="0.25">
      <c r="A55" s="109">
        <v>49</v>
      </c>
      <c r="B55" s="118" t="s">
        <v>41</v>
      </c>
      <c r="C55" s="111"/>
      <c r="D55" s="112">
        <f>562+49</f>
        <v>611</v>
      </c>
      <c r="E55" s="101"/>
      <c r="F55" s="102"/>
      <c r="G55" s="102"/>
      <c r="H55" s="102"/>
      <c r="I55" s="102">
        <f t="shared" si="0"/>
        <v>0</v>
      </c>
      <c r="J55" s="103">
        <f t="shared" si="1"/>
        <v>611</v>
      </c>
      <c r="K55" s="113"/>
      <c r="L55" s="114"/>
      <c r="M55" s="114"/>
      <c r="N55" s="114"/>
      <c r="O55" s="106">
        <f t="shared" si="2"/>
        <v>0</v>
      </c>
      <c r="P55" s="113"/>
      <c r="Q55" s="115"/>
      <c r="R55" s="115"/>
      <c r="S55" s="115"/>
      <c r="T55" s="115"/>
      <c r="U55" s="115"/>
      <c r="V55" s="115"/>
      <c r="W55" s="116"/>
    </row>
    <row r="56" spans="1:23" ht="12" customHeight="1" x14ac:dyDescent="0.25">
      <c r="A56" s="98">
        <v>50</v>
      </c>
      <c r="B56" s="110" t="s">
        <v>2</v>
      </c>
      <c r="C56" s="111">
        <f>44+13</f>
        <v>57</v>
      </c>
      <c r="D56" s="112">
        <f>1199+104</f>
        <v>1303</v>
      </c>
      <c r="E56" s="101">
        <v>140</v>
      </c>
      <c r="F56" s="102"/>
      <c r="G56" s="102"/>
      <c r="H56" s="102"/>
      <c r="I56" s="102">
        <f t="shared" si="0"/>
        <v>140</v>
      </c>
      <c r="J56" s="103">
        <f t="shared" si="1"/>
        <v>1500</v>
      </c>
      <c r="K56" s="113"/>
      <c r="L56" s="114"/>
      <c r="M56" s="114"/>
      <c r="N56" s="114"/>
      <c r="O56" s="106">
        <f t="shared" si="2"/>
        <v>0</v>
      </c>
      <c r="P56" s="113"/>
      <c r="Q56" s="115"/>
      <c r="R56" s="115"/>
      <c r="S56" s="115"/>
      <c r="T56" s="115"/>
      <c r="U56" s="115"/>
      <c r="V56" s="115"/>
      <c r="W56" s="116"/>
    </row>
    <row r="57" spans="1:23" ht="12" customHeight="1" x14ac:dyDescent="0.25">
      <c r="A57" s="98">
        <v>51</v>
      </c>
      <c r="B57" s="110" t="s">
        <v>43</v>
      </c>
      <c r="C57" s="111">
        <f>21+6</f>
        <v>27</v>
      </c>
      <c r="D57" s="112">
        <f>598+52</f>
        <v>650</v>
      </c>
      <c r="E57" s="101"/>
      <c r="F57" s="102"/>
      <c r="G57" s="102"/>
      <c r="H57" s="102"/>
      <c r="I57" s="102">
        <f t="shared" si="0"/>
        <v>0</v>
      </c>
      <c r="J57" s="103">
        <f t="shared" si="1"/>
        <v>677</v>
      </c>
      <c r="K57" s="113"/>
      <c r="L57" s="114"/>
      <c r="M57" s="114"/>
      <c r="N57" s="114"/>
      <c r="O57" s="106">
        <f t="shared" si="2"/>
        <v>0</v>
      </c>
      <c r="P57" s="113"/>
      <c r="Q57" s="115"/>
      <c r="R57" s="115"/>
      <c r="S57" s="115"/>
      <c r="T57" s="115"/>
      <c r="U57" s="115"/>
      <c r="V57" s="115"/>
      <c r="W57" s="116"/>
    </row>
    <row r="58" spans="1:23" ht="12" customHeight="1" x14ac:dyDescent="0.25">
      <c r="A58" s="98">
        <v>52</v>
      </c>
      <c r="B58" s="110" t="s">
        <v>5</v>
      </c>
      <c r="C58" s="111">
        <f>38+11</f>
        <v>49</v>
      </c>
      <c r="D58" s="112">
        <f>1045+90</f>
        <v>1135</v>
      </c>
      <c r="E58" s="101"/>
      <c r="F58" s="102"/>
      <c r="G58" s="102"/>
      <c r="H58" s="102"/>
      <c r="I58" s="102">
        <f t="shared" si="0"/>
        <v>0</v>
      </c>
      <c r="J58" s="103">
        <f t="shared" si="1"/>
        <v>1184</v>
      </c>
      <c r="K58" s="113"/>
      <c r="L58" s="114"/>
      <c r="M58" s="114"/>
      <c r="N58" s="114"/>
      <c r="O58" s="106">
        <f t="shared" si="2"/>
        <v>0</v>
      </c>
      <c r="P58" s="113"/>
      <c r="Q58" s="115"/>
      <c r="R58" s="115"/>
      <c r="S58" s="115"/>
      <c r="T58" s="115"/>
      <c r="U58" s="115"/>
      <c r="V58" s="115"/>
      <c r="W58" s="116"/>
    </row>
    <row r="59" spans="1:23" ht="12" customHeight="1" x14ac:dyDescent="0.25">
      <c r="A59" s="109">
        <v>53</v>
      </c>
      <c r="B59" s="110" t="s">
        <v>45</v>
      </c>
      <c r="C59" s="111"/>
      <c r="D59" s="112">
        <f>3939+341</f>
        <v>4280</v>
      </c>
      <c r="E59" s="101">
        <v>460</v>
      </c>
      <c r="F59" s="102"/>
      <c r="G59" s="102"/>
      <c r="H59" s="102"/>
      <c r="I59" s="102">
        <f t="shared" si="0"/>
        <v>460</v>
      </c>
      <c r="J59" s="103">
        <f t="shared" si="1"/>
        <v>4740</v>
      </c>
      <c r="K59" s="113">
        <v>64</v>
      </c>
      <c r="L59" s="114">
        <v>1406</v>
      </c>
      <c r="M59" s="114">
        <v>4154</v>
      </c>
      <c r="N59" s="114">
        <v>767</v>
      </c>
      <c r="O59" s="106">
        <f t="shared" si="2"/>
        <v>6391</v>
      </c>
      <c r="P59" s="113"/>
      <c r="Q59" s="115"/>
      <c r="R59" s="115"/>
      <c r="S59" s="115"/>
      <c r="T59" s="115"/>
      <c r="U59" s="115"/>
      <c r="V59" s="115"/>
      <c r="W59" s="116"/>
    </row>
    <row r="60" spans="1:23" x14ac:dyDescent="0.25">
      <c r="A60" s="109">
        <v>54</v>
      </c>
      <c r="B60" s="118" t="s">
        <v>53</v>
      </c>
      <c r="C60" s="111">
        <f>113+32</f>
        <v>145</v>
      </c>
      <c r="D60" s="112">
        <f>1829+158</f>
        <v>1987</v>
      </c>
      <c r="E60" s="101">
        <v>224</v>
      </c>
      <c r="F60" s="102">
        <v>110</v>
      </c>
      <c r="G60" s="102"/>
      <c r="H60" s="102"/>
      <c r="I60" s="102">
        <f t="shared" si="0"/>
        <v>334</v>
      </c>
      <c r="J60" s="103">
        <f t="shared" si="1"/>
        <v>2466</v>
      </c>
      <c r="K60" s="113">
        <v>31</v>
      </c>
      <c r="L60" s="114">
        <v>672</v>
      </c>
      <c r="M60" s="114">
        <v>1986</v>
      </c>
      <c r="N60" s="114">
        <v>367</v>
      </c>
      <c r="O60" s="106">
        <f t="shared" si="2"/>
        <v>3056</v>
      </c>
      <c r="P60" s="113"/>
      <c r="Q60" s="115"/>
      <c r="R60" s="115"/>
      <c r="S60" s="115"/>
      <c r="T60" s="115"/>
      <c r="U60" s="115"/>
      <c r="V60" s="115"/>
      <c r="W60" s="116"/>
    </row>
    <row r="61" spans="1:23" ht="12" customHeight="1" x14ac:dyDescent="0.25">
      <c r="A61" s="109">
        <v>55</v>
      </c>
      <c r="B61" s="118" t="s">
        <v>49</v>
      </c>
      <c r="C61" s="111">
        <f>32+9</f>
        <v>41</v>
      </c>
      <c r="D61" s="112">
        <f>877+76</f>
        <v>953</v>
      </c>
      <c r="E61" s="101">
        <v>102</v>
      </c>
      <c r="F61" s="102"/>
      <c r="G61" s="102"/>
      <c r="H61" s="102"/>
      <c r="I61" s="102">
        <f t="shared" si="0"/>
        <v>102</v>
      </c>
      <c r="J61" s="103">
        <f t="shared" si="1"/>
        <v>1096</v>
      </c>
      <c r="K61" s="113"/>
      <c r="L61" s="114"/>
      <c r="M61" s="114"/>
      <c r="N61" s="114"/>
      <c r="O61" s="106">
        <f t="shared" si="2"/>
        <v>0</v>
      </c>
      <c r="P61" s="113"/>
      <c r="Q61" s="115"/>
      <c r="R61" s="115"/>
      <c r="S61" s="115"/>
      <c r="T61" s="115"/>
      <c r="U61" s="115"/>
      <c r="V61" s="115"/>
      <c r="W61" s="116"/>
    </row>
    <row r="62" spans="1:23" ht="12" customHeight="1" x14ac:dyDescent="0.25">
      <c r="A62" s="109">
        <v>56</v>
      </c>
      <c r="B62" s="118" t="s">
        <v>50</v>
      </c>
      <c r="C62" s="111">
        <f>53+15</f>
        <v>68</v>
      </c>
      <c r="D62" s="112">
        <f>1460+126</f>
        <v>1586</v>
      </c>
      <c r="E62" s="101">
        <v>170</v>
      </c>
      <c r="F62" s="102"/>
      <c r="G62" s="102"/>
      <c r="H62" s="102"/>
      <c r="I62" s="102">
        <f t="shared" si="0"/>
        <v>170</v>
      </c>
      <c r="J62" s="103">
        <f t="shared" si="1"/>
        <v>1824</v>
      </c>
      <c r="K62" s="113"/>
      <c r="L62" s="114"/>
      <c r="M62" s="114"/>
      <c r="N62" s="114"/>
      <c r="O62" s="106">
        <f t="shared" si="2"/>
        <v>0</v>
      </c>
      <c r="P62" s="113"/>
      <c r="Q62" s="115"/>
      <c r="R62" s="115"/>
      <c r="S62" s="115"/>
      <c r="T62" s="115"/>
      <c r="U62" s="115"/>
      <c r="V62" s="115"/>
      <c r="W62" s="116"/>
    </row>
    <row r="63" spans="1:23" ht="12" customHeight="1" x14ac:dyDescent="0.25">
      <c r="A63" s="109">
        <v>57</v>
      </c>
      <c r="B63" s="118" t="s">
        <v>51</v>
      </c>
      <c r="C63" s="111"/>
      <c r="D63" s="112">
        <f>658+57</f>
        <v>715</v>
      </c>
      <c r="E63" s="101">
        <v>77</v>
      </c>
      <c r="F63" s="102"/>
      <c r="G63" s="102"/>
      <c r="H63" s="102"/>
      <c r="I63" s="102">
        <f t="shared" si="0"/>
        <v>77</v>
      </c>
      <c r="J63" s="103">
        <f t="shared" si="1"/>
        <v>792</v>
      </c>
      <c r="K63" s="113"/>
      <c r="L63" s="114"/>
      <c r="M63" s="114"/>
      <c r="N63" s="114"/>
      <c r="O63" s="106">
        <f t="shared" si="2"/>
        <v>0</v>
      </c>
      <c r="P63" s="113"/>
      <c r="Q63" s="115"/>
      <c r="R63" s="115"/>
      <c r="S63" s="115"/>
      <c r="T63" s="115"/>
      <c r="U63" s="115"/>
      <c r="V63" s="115"/>
      <c r="W63" s="116"/>
    </row>
    <row r="64" spans="1:23" ht="12" customHeight="1" x14ac:dyDescent="0.25">
      <c r="A64" s="109">
        <v>58</v>
      </c>
      <c r="B64" s="118" t="s">
        <v>14</v>
      </c>
      <c r="C64" s="111"/>
      <c r="D64" s="112">
        <f>690+60</f>
        <v>750</v>
      </c>
      <c r="E64" s="101"/>
      <c r="F64" s="102"/>
      <c r="G64" s="102"/>
      <c r="H64" s="102"/>
      <c r="I64" s="102">
        <f t="shared" si="0"/>
        <v>0</v>
      </c>
      <c r="J64" s="103">
        <f t="shared" si="1"/>
        <v>750</v>
      </c>
      <c r="K64" s="113"/>
      <c r="L64" s="114"/>
      <c r="M64" s="114"/>
      <c r="N64" s="114"/>
      <c r="O64" s="106">
        <f t="shared" si="2"/>
        <v>0</v>
      </c>
      <c r="P64" s="113"/>
      <c r="Q64" s="115"/>
      <c r="R64" s="115"/>
      <c r="S64" s="115"/>
      <c r="T64" s="115"/>
      <c r="U64" s="115"/>
      <c r="V64" s="115"/>
      <c r="W64" s="116"/>
    </row>
    <row r="65" spans="1:23" x14ac:dyDescent="0.25">
      <c r="A65" s="109">
        <v>59</v>
      </c>
      <c r="B65" s="122" t="s">
        <v>52</v>
      </c>
      <c r="C65" s="113">
        <f>50+15</f>
        <v>65</v>
      </c>
      <c r="D65" s="114">
        <f>1372+119</f>
        <v>1491</v>
      </c>
      <c r="E65" s="101">
        <v>160</v>
      </c>
      <c r="F65" s="102"/>
      <c r="G65" s="102"/>
      <c r="H65" s="102"/>
      <c r="I65" s="102">
        <f t="shared" si="0"/>
        <v>160</v>
      </c>
      <c r="J65" s="103">
        <f t="shared" si="1"/>
        <v>1716</v>
      </c>
      <c r="K65" s="113"/>
      <c r="L65" s="114"/>
      <c r="M65" s="114"/>
      <c r="N65" s="114"/>
      <c r="O65" s="106">
        <f t="shared" si="2"/>
        <v>0</v>
      </c>
      <c r="P65" s="113"/>
      <c r="Q65" s="115"/>
      <c r="R65" s="115"/>
      <c r="S65" s="115"/>
      <c r="T65" s="115"/>
      <c r="U65" s="115"/>
      <c r="V65" s="115"/>
      <c r="W65" s="116"/>
    </row>
    <row r="66" spans="1:23" x14ac:dyDescent="0.25">
      <c r="A66" s="109">
        <v>60</v>
      </c>
      <c r="B66" s="117" t="s">
        <v>166</v>
      </c>
      <c r="C66" s="113">
        <f>23+7</f>
        <v>30</v>
      </c>
      <c r="D66" s="114">
        <f>632+60</f>
        <v>692</v>
      </c>
      <c r="E66" s="101">
        <v>74</v>
      </c>
      <c r="F66" s="102"/>
      <c r="G66" s="102"/>
      <c r="H66" s="102"/>
      <c r="I66" s="102">
        <f t="shared" si="0"/>
        <v>74</v>
      </c>
      <c r="J66" s="103">
        <f t="shared" si="1"/>
        <v>796</v>
      </c>
      <c r="K66" s="113">
        <v>8</v>
      </c>
      <c r="L66" s="114">
        <v>172</v>
      </c>
      <c r="M66" s="114">
        <v>509</v>
      </c>
      <c r="N66" s="114">
        <v>94</v>
      </c>
      <c r="O66" s="106">
        <f t="shared" si="2"/>
        <v>783</v>
      </c>
      <c r="P66" s="113"/>
      <c r="Q66" s="115"/>
      <c r="R66" s="115"/>
      <c r="S66" s="115"/>
      <c r="T66" s="115"/>
      <c r="U66" s="115"/>
      <c r="V66" s="115"/>
      <c r="W66" s="116"/>
    </row>
    <row r="67" spans="1:23" x14ac:dyDescent="0.25">
      <c r="A67" s="109">
        <v>61</v>
      </c>
      <c r="B67" s="118" t="s">
        <v>316</v>
      </c>
      <c r="C67" s="111"/>
      <c r="D67" s="112">
        <f>435+38</f>
        <v>473</v>
      </c>
      <c r="E67" s="101">
        <v>51</v>
      </c>
      <c r="F67" s="102"/>
      <c r="G67" s="102"/>
      <c r="H67" s="102"/>
      <c r="I67" s="102">
        <f t="shared" si="0"/>
        <v>51</v>
      </c>
      <c r="J67" s="103">
        <f t="shared" si="1"/>
        <v>524</v>
      </c>
      <c r="K67" s="113"/>
      <c r="L67" s="114"/>
      <c r="M67" s="114"/>
      <c r="N67" s="114"/>
      <c r="O67" s="106">
        <f t="shared" si="2"/>
        <v>0</v>
      </c>
      <c r="P67" s="113"/>
      <c r="Q67" s="115"/>
      <c r="R67" s="115"/>
      <c r="S67" s="115"/>
      <c r="T67" s="115"/>
      <c r="U67" s="115"/>
      <c r="V67" s="115"/>
      <c r="W67" s="116"/>
    </row>
    <row r="68" spans="1:23" ht="15.75" customHeight="1" x14ac:dyDescent="0.25">
      <c r="A68" s="109">
        <v>62</v>
      </c>
      <c r="B68" s="118" t="s">
        <v>263</v>
      </c>
      <c r="C68" s="111"/>
      <c r="D68" s="112">
        <f>264+23</f>
        <v>287</v>
      </c>
      <c r="E68" s="101"/>
      <c r="F68" s="102"/>
      <c r="G68" s="102"/>
      <c r="H68" s="102"/>
      <c r="I68" s="102">
        <f t="shared" si="0"/>
        <v>0</v>
      </c>
      <c r="J68" s="103">
        <f t="shared" si="1"/>
        <v>287</v>
      </c>
      <c r="K68" s="113"/>
      <c r="L68" s="114"/>
      <c r="M68" s="114"/>
      <c r="N68" s="114"/>
      <c r="O68" s="106">
        <f t="shared" si="2"/>
        <v>0</v>
      </c>
      <c r="P68" s="113"/>
      <c r="Q68" s="115"/>
      <c r="R68" s="115"/>
      <c r="S68" s="115"/>
      <c r="T68" s="115"/>
      <c r="U68" s="115"/>
      <c r="V68" s="115"/>
      <c r="W68" s="116"/>
    </row>
    <row r="69" spans="1:23" x14ac:dyDescent="0.25">
      <c r="A69" s="109">
        <v>63</v>
      </c>
      <c r="B69" s="123" t="s">
        <v>317</v>
      </c>
      <c r="C69" s="111">
        <f>65+19</f>
        <v>84</v>
      </c>
      <c r="D69" s="112">
        <f>856+74</f>
        <v>930</v>
      </c>
      <c r="E69" s="101">
        <v>150</v>
      </c>
      <c r="F69" s="102">
        <v>44</v>
      </c>
      <c r="G69" s="102">
        <v>5</v>
      </c>
      <c r="H69" s="102">
        <v>9</v>
      </c>
      <c r="I69" s="102">
        <f t="shared" si="0"/>
        <v>208</v>
      </c>
      <c r="J69" s="103">
        <f t="shared" si="1"/>
        <v>1222</v>
      </c>
      <c r="K69" s="113"/>
      <c r="L69" s="114"/>
      <c r="M69" s="114"/>
      <c r="N69" s="114"/>
      <c r="O69" s="106">
        <f t="shared" si="2"/>
        <v>0</v>
      </c>
      <c r="P69" s="113"/>
      <c r="Q69" s="115"/>
      <c r="R69" s="115"/>
      <c r="S69" s="115"/>
      <c r="T69" s="115"/>
      <c r="U69" s="115"/>
      <c r="V69" s="115"/>
      <c r="W69" s="116"/>
    </row>
    <row r="70" spans="1:23" x14ac:dyDescent="0.25">
      <c r="A70" s="109">
        <v>64</v>
      </c>
      <c r="B70" s="118" t="s">
        <v>318</v>
      </c>
      <c r="C70" s="111"/>
      <c r="D70" s="112">
        <f>329+29</f>
        <v>358</v>
      </c>
      <c r="E70" s="101"/>
      <c r="F70" s="102"/>
      <c r="G70" s="102"/>
      <c r="H70" s="102"/>
      <c r="I70" s="102">
        <f t="shared" si="0"/>
        <v>0</v>
      </c>
      <c r="J70" s="103">
        <f t="shared" si="1"/>
        <v>358</v>
      </c>
      <c r="K70" s="113"/>
      <c r="L70" s="114"/>
      <c r="M70" s="114"/>
      <c r="N70" s="114"/>
      <c r="O70" s="106">
        <f t="shared" si="2"/>
        <v>0</v>
      </c>
      <c r="P70" s="113"/>
      <c r="Q70" s="115"/>
      <c r="R70" s="115"/>
      <c r="S70" s="115"/>
      <c r="T70" s="115"/>
      <c r="U70" s="115"/>
      <c r="V70" s="115"/>
      <c r="W70" s="116"/>
    </row>
    <row r="71" spans="1:23" ht="13.5" customHeight="1" x14ac:dyDescent="0.25">
      <c r="A71" s="109">
        <v>65</v>
      </c>
      <c r="B71" s="117" t="s">
        <v>319</v>
      </c>
      <c r="C71" s="113"/>
      <c r="D71" s="114">
        <v>1621</v>
      </c>
      <c r="E71" s="101"/>
      <c r="F71" s="102"/>
      <c r="G71" s="102"/>
      <c r="H71" s="102"/>
      <c r="I71" s="102">
        <f t="shared" si="0"/>
        <v>0</v>
      </c>
      <c r="J71" s="103">
        <f t="shared" si="1"/>
        <v>1621</v>
      </c>
      <c r="K71" s="113"/>
      <c r="L71" s="114"/>
      <c r="M71" s="114"/>
      <c r="N71" s="114"/>
      <c r="O71" s="106">
        <f t="shared" si="2"/>
        <v>0</v>
      </c>
      <c r="P71" s="113"/>
      <c r="Q71" s="115"/>
      <c r="R71" s="115"/>
      <c r="S71" s="115"/>
      <c r="T71" s="115"/>
      <c r="U71" s="115"/>
      <c r="V71" s="115"/>
      <c r="W71" s="116"/>
    </row>
    <row r="72" spans="1:23" ht="13.5" customHeight="1" x14ac:dyDescent="0.25">
      <c r="A72" s="109">
        <v>66</v>
      </c>
      <c r="B72" s="117" t="s">
        <v>320</v>
      </c>
      <c r="C72" s="113"/>
      <c r="D72" s="114">
        <v>1385</v>
      </c>
      <c r="E72" s="101"/>
      <c r="F72" s="102"/>
      <c r="G72" s="102"/>
      <c r="H72" s="102"/>
      <c r="I72" s="102">
        <f t="shared" ref="I72:I104" si="3">SUM(E72:H72)</f>
        <v>0</v>
      </c>
      <c r="J72" s="103">
        <f t="shared" ref="J72:J104" si="4">C72+D72+I72</f>
        <v>1385</v>
      </c>
      <c r="K72" s="113"/>
      <c r="L72" s="114"/>
      <c r="M72" s="114"/>
      <c r="N72" s="114"/>
      <c r="O72" s="106">
        <f t="shared" ref="O72:O104" si="5">SUM(K72:N72)</f>
        <v>0</v>
      </c>
      <c r="P72" s="113"/>
      <c r="Q72" s="115"/>
      <c r="R72" s="115"/>
      <c r="S72" s="115"/>
      <c r="T72" s="115"/>
      <c r="U72" s="115"/>
      <c r="V72" s="115"/>
      <c r="W72" s="116"/>
    </row>
    <row r="73" spans="1:23" ht="13.5" customHeight="1" x14ac:dyDescent="0.25">
      <c r="A73" s="109">
        <v>67</v>
      </c>
      <c r="B73" s="117" t="s">
        <v>321</v>
      </c>
      <c r="C73" s="113"/>
      <c r="D73" s="114">
        <v>1909</v>
      </c>
      <c r="E73" s="101"/>
      <c r="F73" s="102"/>
      <c r="G73" s="102"/>
      <c r="H73" s="102"/>
      <c r="I73" s="102">
        <f t="shared" si="3"/>
        <v>0</v>
      </c>
      <c r="J73" s="103">
        <f t="shared" si="4"/>
        <v>1909</v>
      </c>
      <c r="K73" s="113"/>
      <c r="L73" s="114"/>
      <c r="M73" s="114"/>
      <c r="N73" s="114"/>
      <c r="O73" s="106">
        <f t="shared" si="5"/>
        <v>0</v>
      </c>
      <c r="P73" s="113"/>
      <c r="Q73" s="115"/>
      <c r="R73" s="115"/>
      <c r="S73" s="115"/>
      <c r="T73" s="115"/>
      <c r="U73" s="115"/>
      <c r="V73" s="115"/>
      <c r="W73" s="116"/>
    </row>
    <row r="74" spans="1:23" ht="13.5" customHeight="1" x14ac:dyDescent="0.25">
      <c r="A74" s="109">
        <v>68</v>
      </c>
      <c r="B74" s="117" t="s">
        <v>322</v>
      </c>
      <c r="C74" s="113"/>
      <c r="D74" s="114">
        <v>2326</v>
      </c>
      <c r="E74" s="101"/>
      <c r="F74" s="102"/>
      <c r="G74" s="102"/>
      <c r="H74" s="102"/>
      <c r="I74" s="102">
        <f t="shared" si="3"/>
        <v>0</v>
      </c>
      <c r="J74" s="103">
        <f t="shared" si="4"/>
        <v>2326</v>
      </c>
      <c r="K74" s="113"/>
      <c r="L74" s="114"/>
      <c r="M74" s="114"/>
      <c r="N74" s="114"/>
      <c r="O74" s="106">
        <f t="shared" si="5"/>
        <v>0</v>
      </c>
      <c r="P74" s="113"/>
      <c r="Q74" s="115"/>
      <c r="R74" s="115"/>
      <c r="S74" s="115"/>
      <c r="T74" s="115"/>
      <c r="U74" s="115"/>
      <c r="V74" s="115"/>
      <c r="W74" s="116"/>
    </row>
    <row r="75" spans="1:23" ht="13.5" customHeight="1" x14ac:dyDescent="0.25">
      <c r="A75" s="109">
        <v>69</v>
      </c>
      <c r="B75" s="117" t="s">
        <v>323</v>
      </c>
      <c r="C75" s="113"/>
      <c r="D75" s="114">
        <v>870</v>
      </c>
      <c r="E75" s="101"/>
      <c r="F75" s="102"/>
      <c r="G75" s="102"/>
      <c r="H75" s="102"/>
      <c r="I75" s="102">
        <f t="shared" si="3"/>
        <v>0</v>
      </c>
      <c r="J75" s="103">
        <f t="shared" si="4"/>
        <v>870</v>
      </c>
      <c r="K75" s="113"/>
      <c r="L75" s="114"/>
      <c r="M75" s="114"/>
      <c r="N75" s="114"/>
      <c r="O75" s="106">
        <f t="shared" si="5"/>
        <v>0</v>
      </c>
      <c r="P75" s="113"/>
      <c r="Q75" s="115"/>
      <c r="R75" s="115"/>
      <c r="S75" s="115"/>
      <c r="T75" s="115"/>
      <c r="U75" s="115"/>
      <c r="V75" s="115"/>
      <c r="W75" s="116"/>
    </row>
    <row r="76" spans="1:23" x14ac:dyDescent="0.25">
      <c r="A76" s="109">
        <v>70</v>
      </c>
      <c r="B76" s="118" t="s">
        <v>272</v>
      </c>
      <c r="C76" s="111"/>
      <c r="D76" s="112">
        <f>2758+239</f>
        <v>2997</v>
      </c>
      <c r="E76" s="101"/>
      <c r="F76" s="102"/>
      <c r="G76" s="102"/>
      <c r="H76" s="102"/>
      <c r="I76" s="102">
        <f t="shared" si="3"/>
        <v>0</v>
      </c>
      <c r="J76" s="103">
        <f t="shared" si="4"/>
        <v>2997</v>
      </c>
      <c r="K76" s="113"/>
      <c r="L76" s="114"/>
      <c r="M76" s="114"/>
      <c r="N76" s="114"/>
      <c r="O76" s="106">
        <f t="shared" si="5"/>
        <v>0</v>
      </c>
      <c r="P76" s="113"/>
      <c r="Q76" s="115"/>
      <c r="R76" s="115"/>
      <c r="S76" s="115"/>
      <c r="T76" s="115"/>
      <c r="U76" s="115"/>
      <c r="V76" s="115"/>
      <c r="W76" s="116"/>
    </row>
    <row r="77" spans="1:23" x14ac:dyDescent="0.25">
      <c r="A77" s="109">
        <v>71</v>
      </c>
      <c r="B77" s="118" t="s">
        <v>273</v>
      </c>
      <c r="C77" s="111"/>
      <c r="D77" s="112">
        <f>1783+154</f>
        <v>1937</v>
      </c>
      <c r="E77" s="101"/>
      <c r="F77" s="102"/>
      <c r="G77" s="102"/>
      <c r="H77" s="102"/>
      <c r="I77" s="102">
        <f t="shared" si="3"/>
        <v>0</v>
      </c>
      <c r="J77" s="103">
        <f t="shared" si="4"/>
        <v>1937</v>
      </c>
      <c r="K77" s="113"/>
      <c r="L77" s="114"/>
      <c r="M77" s="114"/>
      <c r="N77" s="114"/>
      <c r="O77" s="106">
        <f t="shared" si="5"/>
        <v>0</v>
      </c>
      <c r="P77" s="113"/>
      <c r="Q77" s="115"/>
      <c r="R77" s="115"/>
      <c r="S77" s="115"/>
      <c r="T77" s="115"/>
      <c r="U77" s="115"/>
      <c r="V77" s="115"/>
      <c r="W77" s="116"/>
    </row>
    <row r="78" spans="1:23" x14ac:dyDescent="0.25">
      <c r="A78" s="109">
        <v>72</v>
      </c>
      <c r="B78" s="118" t="s">
        <v>274</v>
      </c>
      <c r="C78" s="111"/>
      <c r="D78" s="112">
        <f>1718+149</f>
        <v>1867</v>
      </c>
      <c r="E78" s="101">
        <v>200</v>
      </c>
      <c r="F78" s="102"/>
      <c r="G78" s="102"/>
      <c r="H78" s="102"/>
      <c r="I78" s="102">
        <f t="shared" si="3"/>
        <v>200</v>
      </c>
      <c r="J78" s="103">
        <f t="shared" si="4"/>
        <v>2067</v>
      </c>
      <c r="K78" s="113"/>
      <c r="L78" s="114"/>
      <c r="M78" s="114"/>
      <c r="N78" s="114"/>
      <c r="O78" s="106">
        <f t="shared" si="5"/>
        <v>0</v>
      </c>
      <c r="P78" s="113"/>
      <c r="Q78" s="115"/>
      <c r="R78" s="115"/>
      <c r="S78" s="115"/>
      <c r="T78" s="115"/>
      <c r="U78" s="115"/>
      <c r="V78" s="115"/>
      <c r="W78" s="116"/>
    </row>
    <row r="79" spans="1:23" x14ac:dyDescent="0.25">
      <c r="A79" s="109">
        <v>73</v>
      </c>
      <c r="B79" s="118" t="s">
        <v>324</v>
      </c>
      <c r="C79" s="111"/>
      <c r="D79" s="112">
        <f>1297+112</f>
        <v>1409</v>
      </c>
      <c r="E79" s="101"/>
      <c r="F79" s="102"/>
      <c r="G79" s="102"/>
      <c r="H79" s="102"/>
      <c r="I79" s="102">
        <f t="shared" si="3"/>
        <v>0</v>
      </c>
      <c r="J79" s="103">
        <f t="shared" si="4"/>
        <v>1409</v>
      </c>
      <c r="K79" s="113"/>
      <c r="L79" s="114"/>
      <c r="M79" s="114"/>
      <c r="N79" s="114"/>
      <c r="O79" s="106">
        <f t="shared" si="5"/>
        <v>0</v>
      </c>
      <c r="P79" s="113"/>
      <c r="Q79" s="115"/>
      <c r="R79" s="115"/>
      <c r="S79" s="115"/>
      <c r="T79" s="115"/>
      <c r="U79" s="115"/>
      <c r="V79" s="115"/>
      <c r="W79" s="116"/>
    </row>
    <row r="80" spans="1:23" x14ac:dyDescent="0.25">
      <c r="A80" s="109">
        <v>74</v>
      </c>
      <c r="B80" s="118" t="s">
        <v>275</v>
      </c>
      <c r="C80" s="111"/>
      <c r="D80" s="112">
        <f>3377+292</f>
        <v>3669</v>
      </c>
      <c r="E80" s="101">
        <v>394</v>
      </c>
      <c r="F80" s="102"/>
      <c r="G80" s="102"/>
      <c r="H80" s="102"/>
      <c r="I80" s="102">
        <f t="shared" si="3"/>
        <v>394</v>
      </c>
      <c r="J80" s="103">
        <f t="shared" si="4"/>
        <v>4063</v>
      </c>
      <c r="K80" s="113"/>
      <c r="L80" s="114"/>
      <c r="M80" s="114"/>
      <c r="N80" s="114"/>
      <c r="O80" s="106">
        <f t="shared" si="5"/>
        <v>0</v>
      </c>
      <c r="P80" s="113"/>
      <c r="Q80" s="115"/>
      <c r="R80" s="115"/>
      <c r="S80" s="115"/>
      <c r="T80" s="115"/>
      <c r="U80" s="115"/>
      <c r="V80" s="115"/>
      <c r="W80" s="116"/>
    </row>
    <row r="81" spans="1:23" x14ac:dyDescent="0.25">
      <c r="A81" s="109">
        <v>75</v>
      </c>
      <c r="B81" s="118" t="s">
        <v>276</v>
      </c>
      <c r="C81" s="111"/>
      <c r="D81" s="112">
        <f>1721+149</f>
        <v>1870</v>
      </c>
      <c r="E81" s="101"/>
      <c r="F81" s="102"/>
      <c r="G81" s="102"/>
      <c r="H81" s="102"/>
      <c r="I81" s="102">
        <f t="shared" si="3"/>
        <v>0</v>
      </c>
      <c r="J81" s="103">
        <f t="shared" si="4"/>
        <v>1870</v>
      </c>
      <c r="K81" s="113"/>
      <c r="L81" s="114"/>
      <c r="M81" s="114"/>
      <c r="N81" s="114"/>
      <c r="O81" s="106">
        <f t="shared" si="5"/>
        <v>0</v>
      </c>
      <c r="P81" s="113"/>
      <c r="Q81" s="115"/>
      <c r="R81" s="115"/>
      <c r="S81" s="115"/>
      <c r="T81" s="115"/>
      <c r="U81" s="115"/>
      <c r="V81" s="115"/>
      <c r="W81" s="116"/>
    </row>
    <row r="82" spans="1:23" x14ac:dyDescent="0.25">
      <c r="A82" s="109">
        <v>76</v>
      </c>
      <c r="B82" s="118" t="s">
        <v>277</v>
      </c>
      <c r="C82" s="111"/>
      <c r="D82" s="112">
        <f>1946+169</f>
        <v>2115</v>
      </c>
      <c r="E82" s="101"/>
      <c r="F82" s="102"/>
      <c r="G82" s="102"/>
      <c r="H82" s="102"/>
      <c r="I82" s="102">
        <f t="shared" si="3"/>
        <v>0</v>
      </c>
      <c r="J82" s="103">
        <f t="shared" si="4"/>
        <v>2115</v>
      </c>
      <c r="K82" s="113"/>
      <c r="L82" s="114"/>
      <c r="M82" s="114"/>
      <c r="N82" s="114"/>
      <c r="O82" s="106">
        <f t="shared" si="5"/>
        <v>0</v>
      </c>
      <c r="P82" s="113"/>
      <c r="Q82" s="115"/>
      <c r="R82" s="115"/>
      <c r="S82" s="115"/>
      <c r="T82" s="115"/>
      <c r="U82" s="115"/>
      <c r="V82" s="115"/>
      <c r="W82" s="116"/>
    </row>
    <row r="83" spans="1:23" ht="12" customHeight="1" x14ac:dyDescent="0.25">
      <c r="A83" s="109">
        <v>77</v>
      </c>
      <c r="B83" s="118" t="s">
        <v>325</v>
      </c>
      <c r="C83" s="111">
        <f>42+12</f>
        <v>54</v>
      </c>
      <c r="D83" s="112">
        <f>1158+100</f>
        <v>1258</v>
      </c>
      <c r="E83" s="101">
        <v>362</v>
      </c>
      <c r="F83" s="102"/>
      <c r="G83" s="102"/>
      <c r="H83" s="102"/>
      <c r="I83" s="102">
        <f t="shared" si="3"/>
        <v>362</v>
      </c>
      <c r="J83" s="103">
        <f t="shared" si="4"/>
        <v>1674</v>
      </c>
      <c r="K83" s="113"/>
      <c r="L83" s="114"/>
      <c r="M83" s="114"/>
      <c r="N83" s="114"/>
      <c r="O83" s="106">
        <f t="shared" si="5"/>
        <v>0</v>
      </c>
      <c r="P83" s="113"/>
      <c r="Q83" s="115"/>
      <c r="R83" s="115"/>
      <c r="S83" s="115"/>
      <c r="T83" s="115"/>
      <c r="U83" s="115"/>
      <c r="V83" s="115"/>
      <c r="W83" s="116"/>
    </row>
    <row r="84" spans="1:23" ht="12" customHeight="1" x14ac:dyDescent="0.25">
      <c r="A84" s="109">
        <v>78</v>
      </c>
      <c r="B84" s="110" t="s">
        <v>278</v>
      </c>
      <c r="C84" s="111">
        <f>120+35</f>
        <v>155</v>
      </c>
      <c r="D84" s="112">
        <f>3296+285</f>
        <v>3581</v>
      </c>
      <c r="E84" s="101">
        <v>557</v>
      </c>
      <c r="F84" s="102"/>
      <c r="G84" s="102"/>
      <c r="H84" s="102"/>
      <c r="I84" s="102">
        <f t="shared" si="3"/>
        <v>557</v>
      </c>
      <c r="J84" s="103">
        <f t="shared" si="4"/>
        <v>4293</v>
      </c>
      <c r="K84" s="113"/>
      <c r="L84" s="114"/>
      <c r="M84" s="114"/>
      <c r="N84" s="114"/>
      <c r="O84" s="106">
        <f t="shared" si="5"/>
        <v>0</v>
      </c>
      <c r="P84" s="113"/>
      <c r="Q84" s="115"/>
      <c r="R84" s="115"/>
      <c r="S84" s="115"/>
      <c r="T84" s="115"/>
      <c r="U84" s="115"/>
      <c r="V84" s="115"/>
      <c r="W84" s="116"/>
    </row>
    <row r="85" spans="1:23" ht="12" customHeight="1" x14ac:dyDescent="0.25">
      <c r="A85" s="109">
        <v>79</v>
      </c>
      <c r="B85" s="110" t="s">
        <v>279</v>
      </c>
      <c r="C85" s="111"/>
      <c r="D85" s="112">
        <f>1519+132</f>
        <v>1651</v>
      </c>
      <c r="E85" s="101">
        <v>177</v>
      </c>
      <c r="F85" s="102"/>
      <c r="G85" s="102"/>
      <c r="H85" s="102"/>
      <c r="I85" s="102">
        <f t="shared" si="3"/>
        <v>177</v>
      </c>
      <c r="J85" s="103">
        <f t="shared" si="4"/>
        <v>1828</v>
      </c>
      <c r="K85" s="113"/>
      <c r="L85" s="114"/>
      <c r="M85" s="114"/>
      <c r="N85" s="114"/>
      <c r="O85" s="106">
        <f t="shared" si="5"/>
        <v>0</v>
      </c>
      <c r="P85" s="113"/>
      <c r="Q85" s="115"/>
      <c r="R85" s="115"/>
      <c r="S85" s="115"/>
      <c r="T85" s="115"/>
      <c r="U85" s="115"/>
      <c r="V85" s="115"/>
      <c r="W85" s="116"/>
    </row>
    <row r="86" spans="1:23" ht="12" customHeight="1" x14ac:dyDescent="0.25">
      <c r="A86" s="109">
        <v>80</v>
      </c>
      <c r="B86" s="110" t="s">
        <v>280</v>
      </c>
      <c r="C86" s="111"/>
      <c r="D86" s="112">
        <f>1477+128</f>
        <v>1605</v>
      </c>
      <c r="E86" s="101"/>
      <c r="F86" s="102"/>
      <c r="G86" s="102"/>
      <c r="H86" s="102"/>
      <c r="I86" s="102">
        <f t="shared" si="3"/>
        <v>0</v>
      </c>
      <c r="J86" s="103">
        <f t="shared" si="4"/>
        <v>1605</v>
      </c>
      <c r="K86" s="113"/>
      <c r="L86" s="114"/>
      <c r="M86" s="114"/>
      <c r="N86" s="114"/>
      <c r="O86" s="106">
        <f t="shared" si="5"/>
        <v>0</v>
      </c>
      <c r="P86" s="113"/>
      <c r="Q86" s="115"/>
      <c r="R86" s="115"/>
      <c r="S86" s="115"/>
      <c r="T86" s="115"/>
      <c r="U86" s="115"/>
      <c r="V86" s="115"/>
      <c r="W86" s="116"/>
    </row>
    <row r="87" spans="1:23" x14ac:dyDescent="0.25">
      <c r="A87" s="109">
        <v>81</v>
      </c>
      <c r="B87" s="118" t="s">
        <v>326</v>
      </c>
      <c r="C87" s="111">
        <f>72+21</f>
        <v>93</v>
      </c>
      <c r="D87" s="112">
        <f>1980+171</f>
        <v>2151</v>
      </c>
      <c r="E87" s="101">
        <v>231</v>
      </c>
      <c r="F87" s="102"/>
      <c r="G87" s="102"/>
      <c r="H87" s="102"/>
      <c r="I87" s="102">
        <f t="shared" si="3"/>
        <v>231</v>
      </c>
      <c r="J87" s="103">
        <f t="shared" si="4"/>
        <v>2475</v>
      </c>
      <c r="K87" s="113"/>
      <c r="L87" s="114"/>
      <c r="M87" s="114"/>
      <c r="N87" s="114"/>
      <c r="O87" s="106">
        <f t="shared" si="5"/>
        <v>0</v>
      </c>
      <c r="P87" s="113"/>
      <c r="Q87" s="115"/>
      <c r="R87" s="115"/>
      <c r="S87" s="115"/>
      <c r="T87" s="115"/>
      <c r="U87" s="115"/>
      <c r="V87" s="115"/>
      <c r="W87" s="116"/>
    </row>
    <row r="88" spans="1:23" x14ac:dyDescent="0.25">
      <c r="A88" s="109">
        <v>82</v>
      </c>
      <c r="B88" s="118" t="s">
        <v>282</v>
      </c>
      <c r="C88" s="111">
        <f>69+20</f>
        <v>89</v>
      </c>
      <c r="D88" s="112">
        <f>1905+165</f>
        <v>2070</v>
      </c>
      <c r="E88" s="101">
        <v>222</v>
      </c>
      <c r="F88" s="102"/>
      <c r="G88" s="102"/>
      <c r="H88" s="102"/>
      <c r="I88" s="102">
        <f t="shared" si="3"/>
        <v>222</v>
      </c>
      <c r="J88" s="103">
        <f t="shared" si="4"/>
        <v>2381</v>
      </c>
      <c r="K88" s="113"/>
      <c r="L88" s="114"/>
      <c r="M88" s="114"/>
      <c r="N88" s="114"/>
      <c r="O88" s="106">
        <f t="shared" si="5"/>
        <v>0</v>
      </c>
      <c r="P88" s="113"/>
      <c r="Q88" s="115"/>
      <c r="R88" s="115"/>
      <c r="S88" s="115"/>
      <c r="T88" s="115"/>
      <c r="U88" s="115"/>
      <c r="V88" s="115"/>
      <c r="W88" s="116"/>
    </row>
    <row r="89" spans="1:23" x14ac:dyDescent="0.25">
      <c r="A89" s="109">
        <v>83</v>
      </c>
      <c r="B89" s="118" t="s">
        <v>58</v>
      </c>
      <c r="C89" s="111">
        <f>60+18</f>
        <v>78</v>
      </c>
      <c r="D89" s="112">
        <f>1654+143</f>
        <v>1797</v>
      </c>
      <c r="E89" s="101">
        <v>214</v>
      </c>
      <c r="F89" s="102">
        <v>63</v>
      </c>
      <c r="G89" s="102">
        <v>10</v>
      </c>
      <c r="H89" s="102">
        <v>16</v>
      </c>
      <c r="I89" s="102">
        <f t="shared" si="3"/>
        <v>303</v>
      </c>
      <c r="J89" s="103">
        <f t="shared" si="4"/>
        <v>2178</v>
      </c>
      <c r="K89" s="113"/>
      <c r="L89" s="114"/>
      <c r="M89" s="114"/>
      <c r="N89" s="114"/>
      <c r="O89" s="106">
        <f t="shared" si="5"/>
        <v>0</v>
      </c>
      <c r="P89" s="113"/>
      <c r="Q89" s="115"/>
      <c r="R89" s="115"/>
      <c r="S89" s="115"/>
      <c r="T89" s="115"/>
      <c r="U89" s="115"/>
      <c r="V89" s="115"/>
      <c r="W89" s="116"/>
    </row>
    <row r="90" spans="1:23" x14ac:dyDescent="0.25">
      <c r="A90" s="109">
        <v>84</v>
      </c>
      <c r="B90" s="110" t="s">
        <v>284</v>
      </c>
      <c r="C90" s="111"/>
      <c r="D90" s="112">
        <f>948+82</f>
        <v>1030</v>
      </c>
      <c r="E90" s="101"/>
      <c r="F90" s="102"/>
      <c r="G90" s="102"/>
      <c r="H90" s="102"/>
      <c r="I90" s="102">
        <f t="shared" si="3"/>
        <v>0</v>
      </c>
      <c r="J90" s="103">
        <f t="shared" si="4"/>
        <v>1030</v>
      </c>
      <c r="K90" s="113"/>
      <c r="L90" s="114"/>
      <c r="M90" s="114"/>
      <c r="N90" s="114"/>
      <c r="O90" s="106">
        <f t="shared" si="5"/>
        <v>0</v>
      </c>
      <c r="P90" s="113"/>
      <c r="Q90" s="115"/>
      <c r="R90" s="115"/>
      <c r="S90" s="115"/>
      <c r="T90" s="115"/>
      <c r="U90" s="115"/>
      <c r="V90" s="115"/>
      <c r="W90" s="116"/>
    </row>
    <row r="91" spans="1:23" x14ac:dyDescent="0.25">
      <c r="A91" s="109">
        <v>85</v>
      </c>
      <c r="B91" s="120" t="s">
        <v>285</v>
      </c>
      <c r="C91" s="111">
        <f>16+5</f>
        <v>21</v>
      </c>
      <c r="D91" s="112">
        <f>439+38</f>
        <v>477</v>
      </c>
      <c r="E91" s="101">
        <v>51</v>
      </c>
      <c r="F91" s="102"/>
      <c r="G91" s="102"/>
      <c r="H91" s="102"/>
      <c r="I91" s="102">
        <f t="shared" si="3"/>
        <v>51</v>
      </c>
      <c r="J91" s="103">
        <f t="shared" si="4"/>
        <v>549</v>
      </c>
      <c r="K91" s="113"/>
      <c r="L91" s="114"/>
      <c r="M91" s="114"/>
      <c r="N91" s="114"/>
      <c r="O91" s="106">
        <f t="shared" si="5"/>
        <v>0</v>
      </c>
      <c r="P91" s="113"/>
      <c r="Q91" s="115"/>
      <c r="R91" s="115"/>
      <c r="S91" s="115"/>
      <c r="T91" s="115"/>
      <c r="U91" s="115"/>
      <c r="V91" s="115"/>
      <c r="W91" s="116"/>
    </row>
    <row r="92" spans="1:23" x14ac:dyDescent="0.25">
      <c r="A92" s="109">
        <v>86</v>
      </c>
      <c r="B92" s="120" t="s">
        <v>286</v>
      </c>
      <c r="C92" s="111"/>
      <c r="D92" s="112">
        <f>792-660-132</f>
        <v>0</v>
      </c>
      <c r="E92" s="101"/>
      <c r="F92" s="102"/>
      <c r="G92" s="102"/>
      <c r="H92" s="102"/>
      <c r="I92" s="102">
        <f t="shared" si="3"/>
        <v>0</v>
      </c>
      <c r="J92" s="103">
        <f t="shared" si="4"/>
        <v>0</v>
      </c>
      <c r="K92" s="113"/>
      <c r="L92" s="114"/>
      <c r="M92" s="114"/>
      <c r="N92" s="114"/>
      <c r="O92" s="106">
        <f t="shared" si="5"/>
        <v>0</v>
      </c>
      <c r="P92" s="113"/>
      <c r="Q92" s="115"/>
      <c r="R92" s="115"/>
      <c r="S92" s="115"/>
      <c r="T92" s="115"/>
      <c r="U92" s="115"/>
      <c r="V92" s="115"/>
      <c r="W92" s="116"/>
    </row>
    <row r="93" spans="1:23" ht="38.25" x14ac:dyDescent="0.25">
      <c r="A93" s="491">
        <v>87</v>
      </c>
      <c r="B93" s="124" t="s">
        <v>200</v>
      </c>
      <c r="C93" s="111"/>
      <c r="D93" s="112">
        <f>0+660+70+132</f>
        <v>862</v>
      </c>
      <c r="E93" s="101">
        <v>112</v>
      </c>
      <c r="F93" s="102"/>
      <c r="G93" s="102"/>
      <c r="H93" s="102"/>
      <c r="I93" s="102">
        <f t="shared" si="3"/>
        <v>112</v>
      </c>
      <c r="J93" s="103">
        <f t="shared" si="4"/>
        <v>974</v>
      </c>
      <c r="K93" s="113"/>
      <c r="L93" s="114"/>
      <c r="M93" s="114"/>
      <c r="N93" s="114"/>
      <c r="O93" s="106">
        <f t="shared" si="5"/>
        <v>0</v>
      </c>
      <c r="P93" s="113"/>
      <c r="Q93" s="115"/>
      <c r="R93" s="115"/>
      <c r="S93" s="115"/>
      <c r="T93" s="115"/>
      <c r="U93" s="115"/>
      <c r="V93" s="115"/>
      <c r="W93" s="116"/>
    </row>
    <row r="94" spans="1:23" x14ac:dyDescent="0.25">
      <c r="A94" s="493"/>
      <c r="B94" s="118" t="s">
        <v>61</v>
      </c>
      <c r="C94" s="111">
        <f>273+79</f>
        <v>352</v>
      </c>
      <c r="D94" s="112">
        <f>5012+433</f>
        <v>5445</v>
      </c>
      <c r="E94" s="101">
        <v>956</v>
      </c>
      <c r="F94" s="102">
        <v>508</v>
      </c>
      <c r="G94" s="102">
        <v>66</v>
      </c>
      <c r="H94" s="102">
        <v>102</v>
      </c>
      <c r="I94" s="102">
        <f t="shared" si="3"/>
        <v>1632</v>
      </c>
      <c r="J94" s="103">
        <f t="shared" si="4"/>
        <v>7429</v>
      </c>
      <c r="K94" s="113">
        <v>512</v>
      </c>
      <c r="L94" s="114">
        <v>11348</v>
      </c>
      <c r="M94" s="114">
        <v>33523</v>
      </c>
      <c r="N94" s="114">
        <v>6191</v>
      </c>
      <c r="O94" s="106">
        <f t="shared" si="5"/>
        <v>51574</v>
      </c>
      <c r="P94" s="113"/>
      <c r="Q94" s="115"/>
      <c r="R94" s="115"/>
      <c r="S94" s="115"/>
      <c r="T94" s="115"/>
      <c r="U94" s="115"/>
      <c r="V94" s="115"/>
      <c r="W94" s="116"/>
    </row>
    <row r="95" spans="1:23" x14ac:dyDescent="0.25">
      <c r="A95" s="109">
        <v>88</v>
      </c>
      <c r="B95" s="118" t="s">
        <v>327</v>
      </c>
      <c r="C95" s="111">
        <f>51-51</f>
        <v>0</v>
      </c>
      <c r="D95" s="112">
        <v>1403</v>
      </c>
      <c r="E95" s="101"/>
      <c r="F95" s="102"/>
      <c r="G95" s="102"/>
      <c r="H95" s="102"/>
      <c r="I95" s="102">
        <f t="shared" si="3"/>
        <v>0</v>
      </c>
      <c r="J95" s="103">
        <f t="shared" si="4"/>
        <v>1403</v>
      </c>
      <c r="K95" s="113"/>
      <c r="L95" s="114"/>
      <c r="M95" s="114"/>
      <c r="N95" s="114"/>
      <c r="O95" s="106">
        <f t="shared" si="5"/>
        <v>0</v>
      </c>
      <c r="P95" s="113"/>
      <c r="Q95" s="115"/>
      <c r="R95" s="115"/>
      <c r="S95" s="115"/>
      <c r="T95" s="115"/>
      <c r="U95" s="115"/>
      <c r="V95" s="115"/>
      <c r="W95" s="116"/>
    </row>
    <row r="96" spans="1:23" x14ac:dyDescent="0.25">
      <c r="A96" s="109">
        <v>89</v>
      </c>
      <c r="B96" s="118" t="s">
        <v>62</v>
      </c>
      <c r="C96" s="111">
        <f>200+59</f>
        <v>259</v>
      </c>
      <c r="D96" s="112">
        <f>1876+162</f>
        <v>2038</v>
      </c>
      <c r="E96" s="101">
        <v>950</v>
      </c>
      <c r="F96" s="102">
        <v>381</v>
      </c>
      <c r="G96" s="102">
        <v>51</v>
      </c>
      <c r="H96" s="102">
        <v>76</v>
      </c>
      <c r="I96" s="102">
        <f t="shared" si="3"/>
        <v>1458</v>
      </c>
      <c r="J96" s="103">
        <f t="shared" si="4"/>
        <v>3755</v>
      </c>
      <c r="K96" s="113"/>
      <c r="L96" s="114"/>
      <c r="M96" s="114"/>
      <c r="N96" s="114"/>
      <c r="O96" s="106">
        <f t="shared" si="5"/>
        <v>0</v>
      </c>
      <c r="P96" s="113"/>
      <c r="Q96" s="115"/>
      <c r="R96" s="115"/>
      <c r="S96" s="115"/>
      <c r="T96" s="115"/>
      <c r="U96" s="115"/>
      <c r="V96" s="115"/>
      <c r="W96" s="116"/>
    </row>
    <row r="97" spans="1:23" x14ac:dyDescent="0.25">
      <c r="A97" s="109">
        <v>90</v>
      </c>
      <c r="B97" s="118" t="s">
        <v>65</v>
      </c>
      <c r="C97" s="111">
        <f>137+40</f>
        <v>177</v>
      </c>
      <c r="D97" s="112">
        <f>302+26</f>
        <v>328</v>
      </c>
      <c r="E97" s="101">
        <v>146</v>
      </c>
      <c r="F97" s="102"/>
      <c r="G97" s="102"/>
      <c r="H97" s="102"/>
      <c r="I97" s="102">
        <f t="shared" si="3"/>
        <v>146</v>
      </c>
      <c r="J97" s="103">
        <f t="shared" si="4"/>
        <v>651</v>
      </c>
      <c r="K97" s="113"/>
      <c r="L97" s="114"/>
      <c r="M97" s="114"/>
      <c r="N97" s="114"/>
      <c r="O97" s="106">
        <f t="shared" si="5"/>
        <v>0</v>
      </c>
      <c r="P97" s="113"/>
      <c r="Q97" s="115"/>
      <c r="R97" s="115"/>
      <c r="S97" s="115"/>
      <c r="T97" s="115"/>
      <c r="U97" s="115"/>
      <c r="V97" s="115"/>
      <c r="W97" s="116"/>
    </row>
    <row r="98" spans="1:23" x14ac:dyDescent="0.25">
      <c r="A98" s="109">
        <v>91</v>
      </c>
      <c r="B98" s="118" t="s">
        <v>241</v>
      </c>
      <c r="C98" s="125">
        <f>332+97</f>
        <v>429</v>
      </c>
      <c r="D98" s="112"/>
      <c r="E98" s="101">
        <v>610</v>
      </c>
      <c r="F98" s="102">
        <v>509</v>
      </c>
      <c r="G98" s="102">
        <v>69</v>
      </c>
      <c r="H98" s="102">
        <v>118</v>
      </c>
      <c r="I98" s="102">
        <f t="shared" si="3"/>
        <v>1306</v>
      </c>
      <c r="J98" s="103">
        <f t="shared" si="4"/>
        <v>1735</v>
      </c>
      <c r="K98" s="113">
        <v>290</v>
      </c>
      <c r="L98" s="114">
        <v>6342</v>
      </c>
      <c r="M98" s="114">
        <v>18737</v>
      </c>
      <c r="N98" s="114">
        <v>3460</v>
      </c>
      <c r="O98" s="106">
        <f t="shared" si="5"/>
        <v>28829</v>
      </c>
      <c r="P98" s="113"/>
      <c r="Q98" s="115"/>
      <c r="R98" s="115"/>
      <c r="S98" s="115"/>
      <c r="T98" s="115"/>
      <c r="U98" s="115"/>
      <c r="V98" s="115"/>
      <c r="W98" s="116"/>
    </row>
    <row r="99" spans="1:23" x14ac:dyDescent="0.25">
      <c r="A99" s="109">
        <v>92</v>
      </c>
      <c r="B99" s="118" t="s">
        <v>66</v>
      </c>
      <c r="C99" s="125">
        <f>1174-1174</f>
        <v>0</v>
      </c>
      <c r="D99" s="112">
        <f>24238-12238</f>
        <v>12000</v>
      </c>
      <c r="E99" s="101"/>
      <c r="F99" s="102"/>
      <c r="G99" s="102"/>
      <c r="H99" s="102"/>
      <c r="I99" s="102">
        <f t="shared" si="3"/>
        <v>0</v>
      </c>
      <c r="J99" s="103">
        <f t="shared" si="4"/>
        <v>12000</v>
      </c>
      <c r="K99" s="113"/>
      <c r="L99" s="114"/>
      <c r="M99" s="114"/>
      <c r="N99" s="114"/>
      <c r="O99" s="106">
        <f t="shared" si="5"/>
        <v>0</v>
      </c>
      <c r="P99" s="113"/>
      <c r="Q99" s="115"/>
      <c r="R99" s="115"/>
      <c r="S99" s="115"/>
      <c r="T99" s="115"/>
      <c r="U99" s="115"/>
      <c r="V99" s="115"/>
      <c r="W99" s="116"/>
    </row>
    <row r="100" spans="1:23" ht="12" customHeight="1" x14ac:dyDescent="0.25">
      <c r="A100" s="109">
        <v>93</v>
      </c>
      <c r="B100" s="119" t="s">
        <v>67</v>
      </c>
      <c r="C100" s="125">
        <f>100+29</f>
        <v>129</v>
      </c>
      <c r="D100" s="112"/>
      <c r="E100" s="101">
        <v>322</v>
      </c>
      <c r="F100" s="102"/>
      <c r="G100" s="102"/>
      <c r="H100" s="102"/>
      <c r="I100" s="102">
        <f t="shared" si="3"/>
        <v>322</v>
      </c>
      <c r="J100" s="103">
        <f t="shared" si="4"/>
        <v>451</v>
      </c>
      <c r="K100" s="113"/>
      <c r="L100" s="114"/>
      <c r="M100" s="114"/>
      <c r="N100" s="114"/>
      <c r="O100" s="106">
        <f t="shared" si="5"/>
        <v>0</v>
      </c>
      <c r="P100" s="113"/>
      <c r="Q100" s="115"/>
      <c r="R100" s="115"/>
      <c r="S100" s="115"/>
      <c r="T100" s="115"/>
      <c r="U100" s="115"/>
      <c r="V100" s="115"/>
      <c r="W100" s="116"/>
    </row>
    <row r="101" spans="1:23" x14ac:dyDescent="0.25">
      <c r="A101" s="109">
        <v>94</v>
      </c>
      <c r="B101" s="119" t="s">
        <v>244</v>
      </c>
      <c r="C101" s="125">
        <f>444+130</f>
        <v>574</v>
      </c>
      <c r="D101" s="112">
        <f>3933+341</f>
        <v>4274</v>
      </c>
      <c r="E101" s="101">
        <v>636</v>
      </c>
      <c r="F101" s="102">
        <v>507</v>
      </c>
      <c r="G101" s="102">
        <v>63</v>
      </c>
      <c r="H101" s="102">
        <v>94</v>
      </c>
      <c r="I101" s="102">
        <f t="shared" si="3"/>
        <v>1300</v>
      </c>
      <c r="J101" s="103">
        <f t="shared" si="4"/>
        <v>6148</v>
      </c>
      <c r="K101" s="113">
        <v>130</v>
      </c>
      <c r="L101" s="114">
        <v>2855</v>
      </c>
      <c r="M101" s="114">
        <v>8436</v>
      </c>
      <c r="N101" s="114">
        <v>1558</v>
      </c>
      <c r="O101" s="106">
        <f t="shared" si="5"/>
        <v>12979</v>
      </c>
      <c r="P101" s="113"/>
      <c r="Q101" s="115"/>
      <c r="R101" s="115"/>
      <c r="S101" s="115"/>
      <c r="T101" s="115"/>
      <c r="U101" s="115"/>
      <c r="V101" s="115"/>
      <c r="W101" s="116"/>
    </row>
    <row r="102" spans="1:23" x14ac:dyDescent="0.25">
      <c r="A102" s="109">
        <v>95</v>
      </c>
      <c r="B102" s="119" t="s">
        <v>328</v>
      </c>
      <c r="C102" s="125"/>
      <c r="D102" s="112"/>
      <c r="E102" s="101">
        <v>188</v>
      </c>
      <c r="F102" s="102">
        <v>562</v>
      </c>
      <c r="G102" s="102">
        <v>82</v>
      </c>
      <c r="H102" s="102">
        <v>107</v>
      </c>
      <c r="I102" s="102">
        <f t="shared" si="3"/>
        <v>939</v>
      </c>
      <c r="J102" s="103">
        <f t="shared" si="4"/>
        <v>939</v>
      </c>
      <c r="K102" s="113">
        <v>153</v>
      </c>
      <c r="L102" s="114">
        <v>3381</v>
      </c>
      <c r="M102" s="114">
        <v>9989</v>
      </c>
      <c r="N102" s="114">
        <v>1844</v>
      </c>
      <c r="O102" s="106">
        <f t="shared" si="5"/>
        <v>15367</v>
      </c>
      <c r="P102" s="113"/>
      <c r="Q102" s="115"/>
      <c r="R102" s="115"/>
      <c r="S102" s="115"/>
      <c r="T102" s="115"/>
      <c r="U102" s="115"/>
      <c r="V102" s="115"/>
      <c r="W102" s="116"/>
    </row>
    <row r="103" spans="1:23" x14ac:dyDescent="0.25">
      <c r="A103" s="126">
        <v>96</v>
      </c>
      <c r="B103" s="120" t="s">
        <v>207</v>
      </c>
      <c r="C103" s="127"/>
      <c r="D103" s="128"/>
      <c r="E103" s="101"/>
      <c r="F103" s="102"/>
      <c r="G103" s="102"/>
      <c r="H103" s="102"/>
      <c r="I103" s="102">
        <f t="shared" si="3"/>
        <v>0</v>
      </c>
      <c r="J103" s="103">
        <f t="shared" si="4"/>
        <v>0</v>
      </c>
      <c r="K103" s="113"/>
      <c r="L103" s="114"/>
      <c r="M103" s="114"/>
      <c r="N103" s="114"/>
      <c r="O103" s="106">
        <f t="shared" si="5"/>
        <v>0</v>
      </c>
      <c r="P103" s="113">
        <v>300</v>
      </c>
      <c r="Q103" s="115">
        <v>300</v>
      </c>
      <c r="R103" s="115">
        <v>300</v>
      </c>
      <c r="S103" s="115">
        <v>140</v>
      </c>
      <c r="T103" s="115">
        <v>300</v>
      </c>
      <c r="U103" s="115">
        <v>400</v>
      </c>
      <c r="V103" s="115">
        <v>1079</v>
      </c>
      <c r="W103" s="129">
        <f>SUM(P103:V103)</f>
        <v>2819</v>
      </c>
    </row>
    <row r="104" spans="1:23" ht="12.75" thickBot="1" x14ac:dyDescent="0.3">
      <c r="A104" s="126">
        <v>97</v>
      </c>
      <c r="B104" s="120" t="s">
        <v>92</v>
      </c>
      <c r="C104" s="127"/>
      <c r="D104" s="128">
        <v>1300</v>
      </c>
      <c r="E104" s="130"/>
      <c r="F104" s="131"/>
      <c r="G104" s="131"/>
      <c r="H104" s="131"/>
      <c r="I104" s="131">
        <f t="shared" si="3"/>
        <v>0</v>
      </c>
      <c r="J104" s="132">
        <f t="shared" si="4"/>
        <v>1300</v>
      </c>
      <c r="K104" s="133"/>
      <c r="L104" s="134"/>
      <c r="M104" s="134"/>
      <c r="N104" s="134"/>
      <c r="O104" s="135">
        <f t="shared" si="5"/>
        <v>0</v>
      </c>
      <c r="P104" s="133"/>
      <c r="Q104" s="136"/>
      <c r="R104" s="136"/>
      <c r="S104" s="136"/>
      <c r="T104" s="136"/>
      <c r="U104" s="136"/>
      <c r="V104" s="136"/>
      <c r="W104" s="137"/>
    </row>
    <row r="105" spans="1:23" ht="12.75" thickBot="1" x14ac:dyDescent="0.3">
      <c r="A105" s="138"/>
      <c r="B105" s="139" t="s">
        <v>120</v>
      </c>
      <c r="C105" s="140">
        <f t="shared" ref="C105:W105" si="6">SUM(C6:C104)</f>
        <v>5921</v>
      </c>
      <c r="D105" s="141">
        <f t="shared" si="6"/>
        <v>163004</v>
      </c>
      <c r="E105" s="141">
        <f t="shared" si="6"/>
        <v>16358</v>
      </c>
      <c r="F105" s="141">
        <f t="shared" si="6"/>
        <v>5141</v>
      </c>
      <c r="G105" s="141">
        <f t="shared" si="6"/>
        <v>679</v>
      </c>
      <c r="H105" s="141">
        <f t="shared" si="6"/>
        <v>1022</v>
      </c>
      <c r="I105" s="141">
        <f t="shared" si="6"/>
        <v>23200</v>
      </c>
      <c r="J105" s="142">
        <f t="shared" si="6"/>
        <v>192125</v>
      </c>
      <c r="K105" s="141">
        <f t="shared" si="6"/>
        <v>2020</v>
      </c>
      <c r="L105" s="143">
        <f t="shared" si="6"/>
        <v>44393</v>
      </c>
      <c r="M105" s="143">
        <f t="shared" si="6"/>
        <v>131163</v>
      </c>
      <c r="N105" s="143">
        <f t="shared" si="6"/>
        <v>24216</v>
      </c>
      <c r="O105" s="142">
        <f t="shared" si="6"/>
        <v>201792</v>
      </c>
      <c r="P105" s="140">
        <f t="shared" si="6"/>
        <v>300</v>
      </c>
      <c r="Q105" s="143">
        <f t="shared" si="6"/>
        <v>300</v>
      </c>
      <c r="R105" s="143">
        <f t="shared" si="6"/>
        <v>300</v>
      </c>
      <c r="S105" s="143">
        <f t="shared" si="6"/>
        <v>140</v>
      </c>
      <c r="T105" s="143">
        <f t="shared" si="6"/>
        <v>300</v>
      </c>
      <c r="U105" s="143">
        <f t="shared" si="6"/>
        <v>400</v>
      </c>
      <c r="V105" s="143">
        <f t="shared" si="6"/>
        <v>1079</v>
      </c>
      <c r="W105" s="142">
        <f t="shared" si="6"/>
        <v>2819</v>
      </c>
    </row>
  </sheetData>
  <mergeCells count="26">
    <mergeCell ref="A30:A31"/>
    <mergeCell ref="A93:A94"/>
    <mergeCell ref="V4:V5"/>
    <mergeCell ref="W4:W5"/>
    <mergeCell ref="P4:P5"/>
    <mergeCell ref="Q4:Q5"/>
    <mergeCell ref="R4:R5"/>
    <mergeCell ref="S4:S5"/>
    <mergeCell ref="T4:T5"/>
    <mergeCell ref="U4:U5"/>
    <mergeCell ref="O4:O5"/>
    <mergeCell ref="A1:W1"/>
    <mergeCell ref="A3:A5"/>
    <mergeCell ref="B3:B5"/>
    <mergeCell ref="C3:J3"/>
    <mergeCell ref="K3:O3"/>
    <mergeCell ref="P3:W3"/>
    <mergeCell ref="C4:C5"/>
    <mergeCell ref="D4:D5"/>
    <mergeCell ref="F4:H4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1" sqref="M21"/>
    </sheetView>
  </sheetViews>
  <sheetFormatPr defaultRowHeight="11.25" x14ac:dyDescent="0.25"/>
  <cols>
    <col min="1" max="1" width="3.42578125" style="47" customWidth="1"/>
    <col min="2" max="2" width="25.140625" style="46" customWidth="1"/>
    <col min="3" max="3" width="8.7109375" style="48" customWidth="1"/>
    <col min="4" max="4" width="8.28515625" style="48" customWidth="1"/>
    <col min="5" max="5" width="9" style="48" customWidth="1"/>
    <col min="6" max="6" width="9.85546875" style="48" customWidth="1"/>
    <col min="7" max="7" width="11.140625" style="48" customWidth="1"/>
    <col min="8" max="8" width="8.5703125" style="48" customWidth="1"/>
    <col min="9" max="9" width="8.85546875" style="48" customWidth="1"/>
    <col min="10" max="10" width="6.42578125" style="48" customWidth="1"/>
    <col min="11" max="11" width="7" style="48" customWidth="1"/>
    <col min="12" max="12" width="8.42578125" style="48" customWidth="1"/>
    <col min="13" max="13" width="10" style="48" customWidth="1"/>
    <col min="14" max="14" width="10.85546875" style="48" customWidth="1"/>
    <col min="15" max="15" width="9.85546875" style="48" customWidth="1"/>
    <col min="16" max="16" width="10.140625" style="48" customWidth="1"/>
    <col min="17" max="17" width="9.5703125" style="48" customWidth="1"/>
    <col min="18" max="18" width="9.140625" style="48" customWidth="1"/>
    <col min="19" max="19" width="11.85546875" style="46" customWidth="1"/>
    <col min="20" max="16384" width="9.140625" style="46"/>
  </cols>
  <sheetData>
    <row r="1" spans="1:18" ht="18.75" x14ac:dyDescent="0.25">
      <c r="A1" s="409" t="s">
        <v>217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</row>
    <row r="2" spans="1:18" ht="12" thickBot="1" x14ac:dyDescent="0.3"/>
    <row r="3" spans="1:18" x14ac:dyDescent="0.25">
      <c r="A3" s="410" t="s">
        <v>0</v>
      </c>
      <c r="B3" s="412" t="s">
        <v>93</v>
      </c>
      <c r="C3" s="414" t="s">
        <v>218</v>
      </c>
      <c r="D3" s="415"/>
      <c r="E3" s="415"/>
      <c r="F3" s="415"/>
      <c r="G3" s="415"/>
      <c r="H3" s="415"/>
      <c r="I3" s="415"/>
      <c r="J3" s="416"/>
      <c r="K3" s="417"/>
      <c r="L3" s="383" t="s">
        <v>219</v>
      </c>
      <c r="M3" s="383" t="s">
        <v>220</v>
      </c>
      <c r="N3" s="414" t="s">
        <v>221</v>
      </c>
      <c r="O3" s="420"/>
      <c r="P3" s="420"/>
      <c r="Q3" s="421"/>
      <c r="R3" s="422" t="s">
        <v>126</v>
      </c>
    </row>
    <row r="4" spans="1:18" x14ac:dyDescent="0.25">
      <c r="A4" s="378"/>
      <c r="B4" s="381"/>
      <c r="C4" s="425" t="s">
        <v>222</v>
      </c>
      <c r="D4" s="395"/>
      <c r="E4" s="395"/>
      <c r="F4" s="395"/>
      <c r="G4" s="395"/>
      <c r="H4" s="395"/>
      <c r="I4" s="396"/>
      <c r="J4" s="397" t="s">
        <v>223</v>
      </c>
      <c r="K4" s="426" t="s">
        <v>130</v>
      </c>
      <c r="L4" s="418"/>
      <c r="M4" s="418"/>
      <c r="N4" s="390" t="s">
        <v>224</v>
      </c>
      <c r="O4" s="392" t="s">
        <v>225</v>
      </c>
      <c r="P4" s="392" t="s">
        <v>226</v>
      </c>
      <c r="Q4" s="428" t="s">
        <v>130</v>
      </c>
      <c r="R4" s="423"/>
    </row>
    <row r="5" spans="1:18" ht="124.5" thickBot="1" x14ac:dyDescent="0.3">
      <c r="A5" s="411"/>
      <c r="B5" s="413"/>
      <c r="C5" s="49" t="s">
        <v>227</v>
      </c>
      <c r="D5" s="50" t="s">
        <v>228</v>
      </c>
      <c r="E5" s="50" t="s">
        <v>229</v>
      </c>
      <c r="F5" s="50" t="s">
        <v>230</v>
      </c>
      <c r="G5" s="50" t="s">
        <v>231</v>
      </c>
      <c r="H5" s="50" t="s">
        <v>232</v>
      </c>
      <c r="I5" s="50" t="s">
        <v>130</v>
      </c>
      <c r="J5" s="398"/>
      <c r="K5" s="427"/>
      <c r="L5" s="419"/>
      <c r="M5" s="419"/>
      <c r="N5" s="391"/>
      <c r="O5" s="393"/>
      <c r="P5" s="393"/>
      <c r="Q5" s="407"/>
      <c r="R5" s="424"/>
    </row>
    <row r="6" spans="1:18" x14ac:dyDescent="0.25">
      <c r="A6" s="51">
        <v>1</v>
      </c>
      <c r="B6" s="52" t="s">
        <v>11</v>
      </c>
      <c r="C6" s="53"/>
      <c r="D6" s="40"/>
      <c r="E6" s="40"/>
      <c r="F6" s="40"/>
      <c r="G6" s="40"/>
      <c r="H6" s="40"/>
      <c r="I6" s="40">
        <f>SUM(C6:H6)</f>
        <v>0</v>
      </c>
      <c r="J6" s="54"/>
      <c r="K6" s="42">
        <f>I6+J6</f>
        <v>0</v>
      </c>
      <c r="L6" s="55"/>
      <c r="M6" s="55"/>
      <c r="N6" s="53">
        <v>2000</v>
      </c>
      <c r="O6" s="54">
        <f>2000-100</f>
        <v>1900</v>
      </c>
      <c r="P6" s="54">
        <f>2000-200</f>
        <v>1800</v>
      </c>
      <c r="Q6" s="56">
        <f>N6+O6+P6</f>
        <v>5700</v>
      </c>
      <c r="R6" s="45">
        <f>K6+L6+M6+Q6</f>
        <v>5700</v>
      </c>
    </row>
    <row r="7" spans="1:18" x14ac:dyDescent="0.25">
      <c r="A7" s="36">
        <v>2</v>
      </c>
      <c r="B7" s="37" t="s">
        <v>13</v>
      </c>
      <c r="C7" s="38"/>
      <c r="D7" s="39"/>
      <c r="E7" s="39"/>
      <c r="F7" s="39"/>
      <c r="G7" s="39"/>
      <c r="H7" s="39"/>
      <c r="I7" s="40">
        <f t="shared" ref="I7:I29" si="0">SUM(C7:H7)</f>
        <v>0</v>
      </c>
      <c r="J7" s="41"/>
      <c r="K7" s="42">
        <f t="shared" ref="K7:K29" si="1">I7+J7</f>
        <v>0</v>
      </c>
      <c r="L7" s="43"/>
      <c r="M7" s="43"/>
      <c r="N7" s="38">
        <f>1200-300</f>
        <v>900</v>
      </c>
      <c r="O7" s="41">
        <f>1200-350</f>
        <v>850</v>
      </c>
      <c r="P7" s="41">
        <f>1200-400</f>
        <v>800</v>
      </c>
      <c r="Q7" s="44">
        <f t="shared" ref="Q7:Q29" si="2">N7+O7+P7</f>
        <v>2550</v>
      </c>
      <c r="R7" s="45">
        <f t="shared" ref="R7:R29" si="3">K7+L7+M7+Q7</f>
        <v>2550</v>
      </c>
    </row>
    <row r="8" spans="1:18" x14ac:dyDescent="0.25">
      <c r="A8" s="36">
        <v>3</v>
      </c>
      <c r="B8" s="37" t="s">
        <v>148</v>
      </c>
      <c r="C8" s="38"/>
      <c r="D8" s="39"/>
      <c r="E8" s="39"/>
      <c r="F8" s="39"/>
      <c r="G8" s="39"/>
      <c r="H8" s="39"/>
      <c r="I8" s="40">
        <f t="shared" si="0"/>
        <v>0</v>
      </c>
      <c r="J8" s="41"/>
      <c r="K8" s="42">
        <f t="shared" si="1"/>
        <v>0</v>
      </c>
      <c r="L8" s="43">
        <v>9500</v>
      </c>
      <c r="M8" s="43"/>
      <c r="N8" s="38"/>
      <c r="O8" s="41"/>
      <c r="P8" s="41"/>
      <c r="Q8" s="44">
        <f t="shared" si="2"/>
        <v>0</v>
      </c>
      <c r="R8" s="45">
        <f t="shared" si="3"/>
        <v>9500</v>
      </c>
    </row>
    <row r="9" spans="1:18" x14ac:dyDescent="0.25">
      <c r="A9" s="36">
        <v>4</v>
      </c>
      <c r="B9" s="37" t="s">
        <v>233</v>
      </c>
      <c r="C9" s="38"/>
      <c r="D9" s="39"/>
      <c r="E9" s="39"/>
      <c r="F9" s="39"/>
      <c r="G9" s="39"/>
      <c r="H9" s="39"/>
      <c r="I9" s="40">
        <f t="shared" si="0"/>
        <v>0</v>
      </c>
      <c r="J9" s="41"/>
      <c r="K9" s="42">
        <f t="shared" si="1"/>
        <v>0</v>
      </c>
      <c r="L9" s="43"/>
      <c r="M9" s="43"/>
      <c r="N9" s="38">
        <v>4000</v>
      </c>
      <c r="O9" s="41">
        <f>4000-200</f>
        <v>3800</v>
      </c>
      <c r="P9" s="41">
        <f>4000-300</f>
        <v>3700</v>
      </c>
      <c r="Q9" s="44">
        <f t="shared" si="2"/>
        <v>11500</v>
      </c>
      <c r="R9" s="45">
        <f t="shared" si="3"/>
        <v>11500</v>
      </c>
    </row>
    <row r="10" spans="1:18" x14ac:dyDescent="0.25">
      <c r="A10" s="36">
        <v>5</v>
      </c>
      <c r="B10" s="37" t="s">
        <v>36</v>
      </c>
      <c r="C10" s="38"/>
      <c r="D10" s="39"/>
      <c r="E10" s="39"/>
      <c r="F10" s="39"/>
      <c r="G10" s="39"/>
      <c r="H10" s="39"/>
      <c r="I10" s="40">
        <f t="shared" si="0"/>
        <v>0</v>
      </c>
      <c r="J10" s="41"/>
      <c r="K10" s="42">
        <f t="shared" si="1"/>
        <v>0</v>
      </c>
      <c r="L10" s="43"/>
      <c r="M10" s="43"/>
      <c r="N10" s="38">
        <v>1400</v>
      </c>
      <c r="O10" s="41">
        <f>1400-100</f>
        <v>1300</v>
      </c>
      <c r="P10" s="41">
        <f>1400-200</f>
        <v>1200</v>
      </c>
      <c r="Q10" s="44">
        <f t="shared" si="2"/>
        <v>3900</v>
      </c>
      <c r="R10" s="45">
        <f t="shared" si="3"/>
        <v>3900</v>
      </c>
    </row>
    <row r="11" spans="1:18" x14ac:dyDescent="0.25">
      <c r="A11" s="36">
        <v>6</v>
      </c>
      <c r="B11" s="37" t="s">
        <v>234</v>
      </c>
      <c r="C11" s="38"/>
      <c r="D11" s="39"/>
      <c r="E11" s="39"/>
      <c r="F11" s="39"/>
      <c r="G11" s="39"/>
      <c r="H11" s="39"/>
      <c r="I11" s="40">
        <f t="shared" si="0"/>
        <v>0</v>
      </c>
      <c r="J11" s="41"/>
      <c r="K11" s="42">
        <f t="shared" si="1"/>
        <v>0</v>
      </c>
      <c r="L11" s="43"/>
      <c r="M11" s="43"/>
      <c r="N11" s="38">
        <f>2500-200</f>
        <v>2300</v>
      </c>
      <c r="O11" s="41">
        <f>2500-250</f>
        <v>2250</v>
      </c>
      <c r="P11" s="41">
        <f>2500-300</f>
        <v>2200</v>
      </c>
      <c r="Q11" s="44">
        <f t="shared" si="2"/>
        <v>6750</v>
      </c>
      <c r="R11" s="45">
        <f t="shared" si="3"/>
        <v>6750</v>
      </c>
    </row>
    <row r="12" spans="1:18" x14ac:dyDescent="0.25">
      <c r="A12" s="36">
        <v>7</v>
      </c>
      <c r="B12" s="57" t="s">
        <v>235</v>
      </c>
      <c r="C12" s="38"/>
      <c r="D12" s="39"/>
      <c r="E12" s="39"/>
      <c r="F12" s="39"/>
      <c r="G12" s="39"/>
      <c r="H12" s="39"/>
      <c r="I12" s="40">
        <f t="shared" si="0"/>
        <v>0</v>
      </c>
      <c r="J12" s="41"/>
      <c r="K12" s="42">
        <f t="shared" si="1"/>
        <v>0</v>
      </c>
      <c r="L12" s="43"/>
      <c r="M12" s="43"/>
      <c r="N12" s="38">
        <f>2000-200</f>
        <v>1800</v>
      </c>
      <c r="O12" s="41">
        <f>2000-250</f>
        <v>1750</v>
      </c>
      <c r="P12" s="41">
        <f>2000-300</f>
        <v>1700</v>
      </c>
      <c r="Q12" s="44">
        <f t="shared" si="2"/>
        <v>5250</v>
      </c>
      <c r="R12" s="45">
        <f t="shared" si="3"/>
        <v>5250</v>
      </c>
    </row>
    <row r="13" spans="1:18" x14ac:dyDescent="0.25">
      <c r="A13" s="36">
        <v>8</v>
      </c>
      <c r="B13" s="37" t="s">
        <v>54</v>
      </c>
      <c r="C13" s="38"/>
      <c r="D13" s="39"/>
      <c r="E13" s="39"/>
      <c r="F13" s="39"/>
      <c r="G13" s="39"/>
      <c r="H13" s="39"/>
      <c r="I13" s="40">
        <f t="shared" si="0"/>
        <v>0</v>
      </c>
      <c r="J13" s="41"/>
      <c r="K13" s="42">
        <f t="shared" si="1"/>
        <v>0</v>
      </c>
      <c r="L13" s="43"/>
      <c r="M13" s="43"/>
      <c r="N13" s="38">
        <f>2200-300</f>
        <v>1900</v>
      </c>
      <c r="O13" s="41">
        <f>2200-400</f>
        <v>1800</v>
      </c>
      <c r="P13" s="41">
        <f>2200-450</f>
        <v>1750</v>
      </c>
      <c r="Q13" s="44">
        <f t="shared" si="2"/>
        <v>5450</v>
      </c>
      <c r="R13" s="45">
        <f t="shared" si="3"/>
        <v>5450</v>
      </c>
    </row>
    <row r="14" spans="1:18" x14ac:dyDescent="0.25">
      <c r="A14" s="36">
        <v>9</v>
      </c>
      <c r="B14" s="37" t="s">
        <v>21</v>
      </c>
      <c r="C14" s="38"/>
      <c r="D14" s="39"/>
      <c r="E14" s="39"/>
      <c r="F14" s="39"/>
      <c r="G14" s="39"/>
      <c r="H14" s="39"/>
      <c r="I14" s="40">
        <f t="shared" si="0"/>
        <v>0</v>
      </c>
      <c r="J14" s="41"/>
      <c r="K14" s="42">
        <f t="shared" si="1"/>
        <v>0</v>
      </c>
      <c r="L14" s="43"/>
      <c r="M14" s="43"/>
      <c r="N14" s="38">
        <v>1000</v>
      </c>
      <c r="O14" s="41">
        <f>1000-50</f>
        <v>950</v>
      </c>
      <c r="P14" s="41">
        <f>1000-100</f>
        <v>900</v>
      </c>
      <c r="Q14" s="44">
        <f t="shared" si="2"/>
        <v>2850</v>
      </c>
      <c r="R14" s="45">
        <f t="shared" si="3"/>
        <v>2850</v>
      </c>
    </row>
    <row r="15" spans="1:18" x14ac:dyDescent="0.25">
      <c r="A15" s="36">
        <v>10</v>
      </c>
      <c r="B15" s="58" t="s">
        <v>45</v>
      </c>
      <c r="C15" s="38"/>
      <c r="D15" s="39"/>
      <c r="E15" s="39"/>
      <c r="F15" s="39"/>
      <c r="G15" s="39"/>
      <c r="H15" s="39"/>
      <c r="I15" s="40">
        <f t="shared" si="0"/>
        <v>0</v>
      </c>
      <c r="J15" s="41"/>
      <c r="K15" s="42">
        <f t="shared" si="1"/>
        <v>0</v>
      </c>
      <c r="L15" s="43"/>
      <c r="M15" s="43"/>
      <c r="N15" s="38">
        <f>1200-100</f>
        <v>1100</v>
      </c>
      <c r="O15" s="41">
        <f>1200-150</f>
        <v>1050</v>
      </c>
      <c r="P15" s="41">
        <f>1200-200</f>
        <v>1000</v>
      </c>
      <c r="Q15" s="44">
        <f t="shared" si="2"/>
        <v>3150</v>
      </c>
      <c r="R15" s="45">
        <f t="shared" si="3"/>
        <v>3150</v>
      </c>
    </row>
    <row r="16" spans="1:18" x14ac:dyDescent="0.25">
      <c r="A16" s="36">
        <v>11</v>
      </c>
      <c r="B16" s="37" t="s">
        <v>53</v>
      </c>
      <c r="C16" s="38"/>
      <c r="D16" s="39"/>
      <c r="E16" s="39"/>
      <c r="F16" s="39"/>
      <c r="G16" s="39"/>
      <c r="H16" s="39"/>
      <c r="I16" s="40">
        <f t="shared" si="0"/>
        <v>0</v>
      </c>
      <c r="J16" s="41"/>
      <c r="K16" s="42">
        <f t="shared" si="1"/>
        <v>0</v>
      </c>
      <c r="L16" s="43"/>
      <c r="M16" s="43"/>
      <c r="N16" s="38">
        <f>1600-100</f>
        <v>1500</v>
      </c>
      <c r="O16" s="41">
        <f>1600-100</f>
        <v>1500</v>
      </c>
      <c r="P16" s="41">
        <f>1600-200</f>
        <v>1400</v>
      </c>
      <c r="Q16" s="44">
        <f t="shared" si="2"/>
        <v>4400</v>
      </c>
      <c r="R16" s="45">
        <f t="shared" si="3"/>
        <v>4400</v>
      </c>
    </row>
    <row r="17" spans="1:18" x14ac:dyDescent="0.25">
      <c r="A17" s="36">
        <v>12</v>
      </c>
      <c r="B17" s="37" t="s">
        <v>61</v>
      </c>
      <c r="C17" s="38"/>
      <c r="D17" s="39"/>
      <c r="E17" s="39"/>
      <c r="F17" s="39"/>
      <c r="G17" s="39"/>
      <c r="H17" s="39"/>
      <c r="I17" s="40">
        <f t="shared" si="0"/>
        <v>0</v>
      </c>
      <c r="J17" s="41"/>
      <c r="K17" s="42">
        <f t="shared" si="1"/>
        <v>0</v>
      </c>
      <c r="L17" s="43"/>
      <c r="M17" s="43"/>
      <c r="N17" s="38">
        <f>2200-400</f>
        <v>1800</v>
      </c>
      <c r="O17" s="41">
        <f>2200-400</f>
        <v>1800</v>
      </c>
      <c r="P17" s="41">
        <f>2200-500</f>
        <v>1700</v>
      </c>
      <c r="Q17" s="44">
        <f t="shared" si="2"/>
        <v>5300</v>
      </c>
      <c r="R17" s="45">
        <f t="shared" si="3"/>
        <v>5300</v>
      </c>
    </row>
    <row r="18" spans="1:18" ht="22.5" x14ac:dyDescent="0.25">
      <c r="A18" s="36">
        <v>13</v>
      </c>
      <c r="B18" s="59" t="s">
        <v>236</v>
      </c>
      <c r="C18" s="38"/>
      <c r="D18" s="39"/>
      <c r="E18" s="39"/>
      <c r="F18" s="39"/>
      <c r="G18" s="39"/>
      <c r="H18" s="39"/>
      <c r="I18" s="40">
        <f t="shared" si="0"/>
        <v>0</v>
      </c>
      <c r="J18" s="41"/>
      <c r="K18" s="42">
        <f t="shared" si="1"/>
        <v>0</v>
      </c>
      <c r="L18" s="43"/>
      <c r="M18" s="43"/>
      <c r="N18" s="38">
        <f>2000-150</f>
        <v>1850</v>
      </c>
      <c r="O18" s="41">
        <f>2000-100</f>
        <v>1900</v>
      </c>
      <c r="P18" s="41">
        <f>2000-150</f>
        <v>1850</v>
      </c>
      <c r="Q18" s="44">
        <f t="shared" si="2"/>
        <v>5600</v>
      </c>
      <c r="R18" s="45">
        <f t="shared" si="3"/>
        <v>5600</v>
      </c>
    </row>
    <row r="19" spans="1:18" ht="14.25" customHeight="1" x14ac:dyDescent="0.25">
      <c r="A19" s="36">
        <v>14</v>
      </c>
      <c r="B19" s="37" t="s">
        <v>237</v>
      </c>
      <c r="C19" s="38"/>
      <c r="D19" s="39"/>
      <c r="E19" s="39"/>
      <c r="F19" s="39"/>
      <c r="G19" s="39"/>
      <c r="H19" s="39"/>
      <c r="I19" s="40">
        <f t="shared" si="0"/>
        <v>0</v>
      </c>
      <c r="J19" s="41"/>
      <c r="K19" s="42">
        <f t="shared" si="1"/>
        <v>0</v>
      </c>
      <c r="L19" s="43"/>
      <c r="M19" s="43"/>
      <c r="N19" s="38">
        <v>1600</v>
      </c>
      <c r="O19" s="41">
        <f>1600-100</f>
        <v>1500</v>
      </c>
      <c r="P19" s="41">
        <f>1600-200</f>
        <v>1400</v>
      </c>
      <c r="Q19" s="44">
        <f t="shared" si="2"/>
        <v>4500</v>
      </c>
      <c r="R19" s="45">
        <f t="shared" si="3"/>
        <v>4500</v>
      </c>
    </row>
    <row r="20" spans="1:18" x14ac:dyDescent="0.25">
      <c r="A20" s="36">
        <v>15</v>
      </c>
      <c r="B20" s="37" t="s">
        <v>238</v>
      </c>
      <c r="C20" s="38"/>
      <c r="D20" s="39"/>
      <c r="E20" s="39"/>
      <c r="F20" s="39"/>
      <c r="G20" s="39"/>
      <c r="H20" s="39"/>
      <c r="I20" s="40">
        <f t="shared" si="0"/>
        <v>0</v>
      </c>
      <c r="J20" s="41"/>
      <c r="K20" s="42">
        <f t="shared" si="1"/>
        <v>0</v>
      </c>
      <c r="L20" s="43"/>
      <c r="M20" s="43">
        <f>6245-5844</f>
        <v>401</v>
      </c>
      <c r="N20" s="38"/>
      <c r="O20" s="41"/>
      <c r="P20" s="41"/>
      <c r="Q20" s="44">
        <f t="shared" si="2"/>
        <v>0</v>
      </c>
      <c r="R20" s="45">
        <f t="shared" si="3"/>
        <v>401</v>
      </c>
    </row>
    <row r="21" spans="1:18" x14ac:dyDescent="0.25">
      <c r="A21" s="36">
        <v>16</v>
      </c>
      <c r="B21" s="37" t="s">
        <v>239</v>
      </c>
      <c r="C21" s="38"/>
      <c r="D21" s="39"/>
      <c r="E21" s="39"/>
      <c r="F21" s="39"/>
      <c r="G21" s="39"/>
      <c r="H21" s="39"/>
      <c r="I21" s="40">
        <f t="shared" si="0"/>
        <v>0</v>
      </c>
      <c r="J21" s="41"/>
      <c r="K21" s="42">
        <f t="shared" si="1"/>
        <v>0</v>
      </c>
      <c r="L21" s="43"/>
      <c r="M21" s="43">
        <f>0+5844</f>
        <v>5844</v>
      </c>
      <c r="N21" s="38"/>
      <c r="O21" s="41"/>
      <c r="P21" s="41"/>
      <c r="Q21" s="44">
        <f t="shared" si="2"/>
        <v>0</v>
      </c>
      <c r="R21" s="45">
        <f t="shared" si="3"/>
        <v>5844</v>
      </c>
    </row>
    <row r="22" spans="1:18" ht="22.5" x14ac:dyDescent="0.25">
      <c r="A22" s="36">
        <v>17</v>
      </c>
      <c r="B22" s="37" t="s">
        <v>65</v>
      </c>
      <c r="C22" s="38">
        <v>810</v>
      </c>
      <c r="D22" s="39">
        <v>50</v>
      </c>
      <c r="E22" s="39">
        <v>300</v>
      </c>
      <c r="F22" s="39"/>
      <c r="G22" s="39">
        <v>340</v>
      </c>
      <c r="H22" s="39"/>
      <c r="I22" s="40">
        <f t="shared" si="0"/>
        <v>1500</v>
      </c>
      <c r="J22" s="41"/>
      <c r="K22" s="42">
        <f t="shared" si="1"/>
        <v>1500</v>
      </c>
      <c r="L22" s="43"/>
      <c r="M22" s="43"/>
      <c r="N22" s="38"/>
      <c r="O22" s="41"/>
      <c r="P22" s="41"/>
      <c r="Q22" s="44">
        <f t="shared" si="2"/>
        <v>0</v>
      </c>
      <c r="R22" s="45">
        <f t="shared" si="3"/>
        <v>1500</v>
      </c>
    </row>
    <row r="23" spans="1:18" ht="22.5" x14ac:dyDescent="0.25">
      <c r="A23" s="36">
        <v>18</v>
      </c>
      <c r="B23" s="59" t="s">
        <v>240</v>
      </c>
      <c r="C23" s="38"/>
      <c r="D23" s="39"/>
      <c r="E23" s="39"/>
      <c r="F23" s="39"/>
      <c r="G23" s="39"/>
      <c r="H23" s="39"/>
      <c r="I23" s="40">
        <f t="shared" si="0"/>
        <v>0</v>
      </c>
      <c r="J23" s="41"/>
      <c r="K23" s="42">
        <f t="shared" si="1"/>
        <v>0</v>
      </c>
      <c r="L23" s="43"/>
      <c r="M23" s="43"/>
      <c r="N23" s="38">
        <f>1600-100</f>
        <v>1500</v>
      </c>
      <c r="O23" s="41">
        <f>1600-100</f>
        <v>1500</v>
      </c>
      <c r="P23" s="41">
        <f>1600-150</f>
        <v>1450</v>
      </c>
      <c r="Q23" s="44">
        <f t="shared" si="2"/>
        <v>4450</v>
      </c>
      <c r="R23" s="45">
        <f t="shared" si="3"/>
        <v>4450</v>
      </c>
    </row>
    <row r="24" spans="1:18" x14ac:dyDescent="0.25">
      <c r="A24" s="36">
        <v>19</v>
      </c>
      <c r="B24" s="37" t="s">
        <v>241</v>
      </c>
      <c r="C24" s="38">
        <v>400</v>
      </c>
      <c r="D24" s="39">
        <v>1900</v>
      </c>
      <c r="E24" s="39">
        <v>900</v>
      </c>
      <c r="F24" s="39">
        <v>450</v>
      </c>
      <c r="G24" s="39"/>
      <c r="H24" s="39">
        <v>150</v>
      </c>
      <c r="I24" s="40">
        <f t="shared" si="0"/>
        <v>3800</v>
      </c>
      <c r="J24" s="41">
        <v>1500</v>
      </c>
      <c r="K24" s="42">
        <f t="shared" si="1"/>
        <v>5300</v>
      </c>
      <c r="L24" s="43"/>
      <c r="M24" s="43"/>
      <c r="N24" s="38"/>
      <c r="O24" s="41"/>
      <c r="P24" s="41"/>
      <c r="Q24" s="44">
        <f t="shared" si="2"/>
        <v>0</v>
      </c>
      <c r="R24" s="45">
        <f t="shared" si="3"/>
        <v>5300</v>
      </c>
    </row>
    <row r="25" spans="1:18" x14ac:dyDescent="0.25">
      <c r="A25" s="36">
        <v>20</v>
      </c>
      <c r="B25" s="37" t="s">
        <v>242</v>
      </c>
      <c r="C25" s="38">
        <f>4700-1100</f>
        <v>3600</v>
      </c>
      <c r="D25" s="39">
        <f>100+1102</f>
        <v>1202</v>
      </c>
      <c r="E25" s="39">
        <f>200+200</f>
        <v>400</v>
      </c>
      <c r="F25" s="39">
        <f>0+35</f>
        <v>35</v>
      </c>
      <c r="G25" s="39">
        <f>1300-125</f>
        <v>1175</v>
      </c>
      <c r="H25" s="39">
        <f>0+41</f>
        <v>41</v>
      </c>
      <c r="I25" s="40">
        <f t="shared" si="0"/>
        <v>6453</v>
      </c>
      <c r="J25" s="41"/>
      <c r="K25" s="42">
        <f t="shared" si="1"/>
        <v>6453</v>
      </c>
      <c r="L25" s="43">
        <v>12000</v>
      </c>
      <c r="M25" s="43"/>
      <c r="N25" s="38"/>
      <c r="O25" s="41"/>
      <c r="P25" s="41"/>
      <c r="Q25" s="44">
        <f t="shared" si="2"/>
        <v>0</v>
      </c>
      <c r="R25" s="45">
        <f t="shared" si="3"/>
        <v>18453</v>
      </c>
    </row>
    <row r="26" spans="1:18" x14ac:dyDescent="0.25">
      <c r="A26" s="36">
        <v>21</v>
      </c>
      <c r="B26" s="37" t="s">
        <v>91</v>
      </c>
      <c r="C26" s="38"/>
      <c r="D26" s="39">
        <v>295</v>
      </c>
      <c r="E26" s="39">
        <v>140</v>
      </c>
      <c r="F26" s="39">
        <v>765</v>
      </c>
      <c r="G26" s="39"/>
      <c r="H26" s="39"/>
      <c r="I26" s="40">
        <f t="shared" si="0"/>
        <v>1200</v>
      </c>
      <c r="J26" s="41"/>
      <c r="K26" s="42">
        <f t="shared" si="1"/>
        <v>1200</v>
      </c>
      <c r="L26" s="43"/>
      <c r="M26" s="43"/>
      <c r="N26" s="38"/>
      <c r="O26" s="41"/>
      <c r="P26" s="41"/>
      <c r="Q26" s="44">
        <f t="shared" si="2"/>
        <v>0</v>
      </c>
      <c r="R26" s="45">
        <f t="shared" si="3"/>
        <v>1200</v>
      </c>
    </row>
    <row r="27" spans="1:18" x14ac:dyDescent="0.25">
      <c r="A27" s="36">
        <v>22</v>
      </c>
      <c r="B27" s="60" t="s">
        <v>243</v>
      </c>
      <c r="C27" s="38"/>
      <c r="D27" s="39"/>
      <c r="E27" s="39"/>
      <c r="F27" s="39"/>
      <c r="G27" s="39"/>
      <c r="H27" s="39"/>
      <c r="I27" s="40">
        <f t="shared" si="0"/>
        <v>0</v>
      </c>
      <c r="J27" s="41"/>
      <c r="K27" s="42">
        <f t="shared" si="1"/>
        <v>0</v>
      </c>
      <c r="L27" s="43"/>
      <c r="M27" s="43"/>
      <c r="N27" s="38">
        <v>6000</v>
      </c>
      <c r="O27" s="41">
        <f>6000-500</f>
        <v>5500</v>
      </c>
      <c r="P27" s="41">
        <f>6000-1000</f>
        <v>5000</v>
      </c>
      <c r="Q27" s="44">
        <f t="shared" si="2"/>
        <v>16500</v>
      </c>
      <c r="R27" s="45">
        <f t="shared" si="3"/>
        <v>16500</v>
      </c>
    </row>
    <row r="28" spans="1:18" x14ac:dyDescent="0.25">
      <c r="A28" s="36">
        <v>23</v>
      </c>
      <c r="B28" s="57" t="s">
        <v>244</v>
      </c>
      <c r="C28" s="38"/>
      <c r="D28" s="39"/>
      <c r="E28" s="39">
        <v>2000</v>
      </c>
      <c r="F28" s="39"/>
      <c r="G28" s="39"/>
      <c r="H28" s="39"/>
      <c r="I28" s="40">
        <f t="shared" si="0"/>
        <v>2000</v>
      </c>
      <c r="J28" s="41"/>
      <c r="K28" s="42">
        <f t="shared" si="1"/>
        <v>2000</v>
      </c>
      <c r="L28" s="43"/>
      <c r="M28" s="43"/>
      <c r="N28" s="38"/>
      <c r="O28" s="41"/>
      <c r="P28" s="41"/>
      <c r="Q28" s="44">
        <f t="shared" si="2"/>
        <v>0</v>
      </c>
      <c r="R28" s="45">
        <f t="shared" si="3"/>
        <v>2000</v>
      </c>
    </row>
    <row r="29" spans="1:18" ht="12" thickBot="1" x14ac:dyDescent="0.3">
      <c r="A29" s="61">
        <v>24</v>
      </c>
      <c r="B29" s="62" t="s">
        <v>207</v>
      </c>
      <c r="C29" s="63"/>
      <c r="D29" s="64"/>
      <c r="E29" s="64"/>
      <c r="F29" s="64"/>
      <c r="G29" s="64"/>
      <c r="H29" s="64"/>
      <c r="I29" s="40">
        <f t="shared" si="0"/>
        <v>0</v>
      </c>
      <c r="J29" s="65"/>
      <c r="K29" s="42">
        <f t="shared" si="1"/>
        <v>0</v>
      </c>
      <c r="L29" s="66"/>
      <c r="M29" s="66"/>
      <c r="N29" s="63">
        <f>4500-1500</f>
        <v>3000</v>
      </c>
      <c r="O29" s="65">
        <v>4500</v>
      </c>
      <c r="P29" s="65">
        <f>4500-1800</f>
        <v>2700</v>
      </c>
      <c r="Q29" s="67">
        <f t="shared" si="2"/>
        <v>10200</v>
      </c>
      <c r="R29" s="45">
        <f t="shared" si="3"/>
        <v>10200</v>
      </c>
    </row>
    <row r="30" spans="1:18" ht="12" thickBot="1" x14ac:dyDescent="0.3">
      <c r="A30" s="68"/>
      <c r="B30" s="69" t="s">
        <v>120</v>
      </c>
      <c r="C30" s="70">
        <f t="shared" ref="C30:R30" si="4">SUM(C6:C29)</f>
        <v>4810</v>
      </c>
      <c r="D30" s="71">
        <f t="shared" si="4"/>
        <v>3447</v>
      </c>
      <c r="E30" s="71">
        <f t="shared" si="4"/>
        <v>3740</v>
      </c>
      <c r="F30" s="71">
        <f t="shared" si="4"/>
        <v>1250</v>
      </c>
      <c r="G30" s="71">
        <f t="shared" si="4"/>
        <v>1515</v>
      </c>
      <c r="H30" s="71">
        <f t="shared" si="4"/>
        <v>191</v>
      </c>
      <c r="I30" s="71">
        <f t="shared" si="4"/>
        <v>14953</v>
      </c>
      <c r="J30" s="71">
        <f t="shared" si="4"/>
        <v>1500</v>
      </c>
      <c r="K30" s="72">
        <f t="shared" si="4"/>
        <v>16453</v>
      </c>
      <c r="L30" s="73">
        <f t="shared" si="4"/>
        <v>21500</v>
      </c>
      <c r="M30" s="73">
        <f t="shared" si="4"/>
        <v>6245</v>
      </c>
      <c r="N30" s="70">
        <f t="shared" si="4"/>
        <v>33650</v>
      </c>
      <c r="O30" s="71">
        <f t="shared" si="4"/>
        <v>33850</v>
      </c>
      <c r="P30" s="71">
        <f t="shared" si="4"/>
        <v>30550</v>
      </c>
      <c r="Q30" s="74">
        <f t="shared" si="4"/>
        <v>98050</v>
      </c>
      <c r="R30" s="75">
        <f t="shared" si="4"/>
        <v>142248</v>
      </c>
    </row>
  </sheetData>
  <mergeCells count="15">
    <mergeCell ref="A1:R1"/>
    <mergeCell ref="A3:A5"/>
    <mergeCell ref="B3:B5"/>
    <mergeCell ref="C3:K3"/>
    <mergeCell ref="L3:L5"/>
    <mergeCell ref="M3:M5"/>
    <mergeCell ref="N3:Q3"/>
    <mergeCell ref="R3:R5"/>
    <mergeCell ref="C4:I4"/>
    <mergeCell ref="J4:J5"/>
    <mergeCell ref="K4:K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71"/>
  <sheetViews>
    <sheetView zoomScaleNormal="100" zoomScaleSheetLayoutView="100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F46" sqref="F46"/>
    </sheetView>
  </sheetViews>
  <sheetFormatPr defaultRowHeight="12.75" x14ac:dyDescent="0.2"/>
  <cols>
    <col min="1" max="1" width="5" style="163" customWidth="1"/>
    <col min="2" max="2" width="44.5703125" style="163" customWidth="1"/>
    <col min="3" max="3" width="11" style="163" customWidth="1"/>
    <col min="4" max="5" width="7.85546875" style="193" customWidth="1"/>
    <col min="6" max="6" width="12.42578125" style="193" customWidth="1"/>
    <col min="7" max="7" width="11.28515625" style="193" customWidth="1"/>
    <col min="8" max="8" width="14.7109375" style="193" customWidth="1"/>
    <col min="9" max="9" width="10.140625" style="193" customWidth="1"/>
    <col min="10" max="10" width="13.5703125" style="193" customWidth="1"/>
    <col min="11" max="11" width="14" style="193" customWidth="1"/>
    <col min="12" max="16384" width="9.140625" style="163"/>
  </cols>
  <sheetData>
    <row r="1" spans="1:14" ht="24.75" customHeight="1" x14ac:dyDescent="0.2">
      <c r="A1" s="431" t="s">
        <v>392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4" ht="9.75" customHeight="1" x14ac:dyDescent="0.2">
      <c r="A2" s="164"/>
      <c r="B2" s="164"/>
      <c r="C2" s="164"/>
      <c r="D2" s="165"/>
      <c r="E2" s="165"/>
      <c r="F2" s="165"/>
      <c r="G2" s="165"/>
      <c r="H2" s="165"/>
      <c r="I2" s="165"/>
      <c r="J2" s="165"/>
      <c r="K2" s="165"/>
    </row>
    <row r="3" spans="1:14" s="166" customFormat="1" ht="18" customHeight="1" x14ac:dyDescent="0.2">
      <c r="A3" s="433" t="s">
        <v>0</v>
      </c>
      <c r="B3" s="433" t="s">
        <v>246</v>
      </c>
      <c r="C3" s="433" t="s">
        <v>393</v>
      </c>
      <c r="D3" s="436" t="s">
        <v>394</v>
      </c>
      <c r="E3" s="437"/>
      <c r="F3" s="437"/>
      <c r="G3" s="437"/>
      <c r="H3" s="437"/>
      <c r="I3" s="437"/>
      <c r="J3" s="437"/>
      <c r="K3" s="438"/>
    </row>
    <row r="4" spans="1:14" s="166" customFormat="1" ht="32.25" customHeight="1" x14ac:dyDescent="0.2">
      <c r="A4" s="434"/>
      <c r="B4" s="434"/>
      <c r="C4" s="434"/>
      <c r="D4" s="439" t="s">
        <v>395</v>
      </c>
      <c r="E4" s="439" t="s">
        <v>396</v>
      </c>
      <c r="F4" s="439" t="s">
        <v>397</v>
      </c>
      <c r="G4" s="439" t="s">
        <v>398</v>
      </c>
      <c r="H4" s="439" t="s">
        <v>399</v>
      </c>
      <c r="I4" s="442" t="s">
        <v>400</v>
      </c>
      <c r="J4" s="442"/>
      <c r="K4" s="442"/>
    </row>
    <row r="5" spans="1:14" s="166" customFormat="1" ht="15" customHeight="1" x14ac:dyDescent="0.2">
      <c r="A5" s="434"/>
      <c r="B5" s="434"/>
      <c r="C5" s="434"/>
      <c r="D5" s="440"/>
      <c r="E5" s="440"/>
      <c r="F5" s="440"/>
      <c r="G5" s="440"/>
      <c r="H5" s="440"/>
      <c r="I5" s="442" t="s">
        <v>130</v>
      </c>
      <c r="J5" s="442" t="s">
        <v>136</v>
      </c>
      <c r="K5" s="442"/>
    </row>
    <row r="6" spans="1:14" s="166" customFormat="1" ht="43.5" customHeight="1" x14ac:dyDescent="0.2">
      <c r="A6" s="435"/>
      <c r="B6" s="435"/>
      <c r="C6" s="435"/>
      <c r="D6" s="441"/>
      <c r="E6" s="441"/>
      <c r="F6" s="441"/>
      <c r="G6" s="441"/>
      <c r="H6" s="441"/>
      <c r="I6" s="442"/>
      <c r="J6" s="273" t="s">
        <v>401</v>
      </c>
      <c r="K6" s="273" t="s">
        <v>402</v>
      </c>
    </row>
    <row r="7" spans="1:14" ht="12.75" customHeight="1" x14ac:dyDescent="0.2">
      <c r="A7" s="167">
        <v>1</v>
      </c>
      <c r="B7" s="168" t="s">
        <v>13</v>
      </c>
      <c r="C7" s="169">
        <f>SUM(D7:I7)</f>
        <v>87959</v>
      </c>
      <c r="D7" s="169">
        <v>3875</v>
      </c>
      <c r="E7" s="169"/>
      <c r="F7" s="169"/>
      <c r="G7" s="169"/>
      <c r="H7" s="169"/>
      <c r="I7" s="169">
        <f>J7+K7</f>
        <v>84084</v>
      </c>
      <c r="J7" s="169">
        <f>20001+48</f>
        <v>20049</v>
      </c>
      <c r="K7" s="169">
        <v>64035</v>
      </c>
      <c r="N7" s="170"/>
    </row>
    <row r="8" spans="1:14" ht="15.75" customHeight="1" x14ac:dyDescent="0.2">
      <c r="A8" s="167">
        <v>2</v>
      </c>
      <c r="B8" s="168" t="s">
        <v>403</v>
      </c>
      <c r="C8" s="169">
        <f t="shared" ref="C8:C72" si="0">SUM(D8:I8)</f>
        <v>14751</v>
      </c>
      <c r="D8" s="169"/>
      <c r="E8" s="169"/>
      <c r="F8" s="169">
        <v>14751</v>
      </c>
      <c r="G8" s="169"/>
      <c r="H8" s="169"/>
      <c r="I8" s="169">
        <f t="shared" ref="I8:I72" si="1">J8+K8</f>
        <v>0</v>
      </c>
      <c r="J8" s="169">
        <v>0</v>
      </c>
      <c r="K8" s="169">
        <v>0</v>
      </c>
      <c r="N8" s="170"/>
    </row>
    <row r="9" spans="1:14" ht="13.5" customHeight="1" x14ac:dyDescent="0.2">
      <c r="A9" s="167">
        <v>3</v>
      </c>
      <c r="B9" s="171" t="s">
        <v>22</v>
      </c>
      <c r="C9" s="169">
        <f t="shared" si="0"/>
        <v>88722</v>
      </c>
      <c r="D9" s="169"/>
      <c r="E9" s="169"/>
      <c r="F9" s="169"/>
      <c r="G9" s="169"/>
      <c r="H9" s="169"/>
      <c r="I9" s="169">
        <f t="shared" si="1"/>
        <v>88722</v>
      </c>
      <c r="J9" s="169">
        <v>21116</v>
      </c>
      <c r="K9" s="169">
        <v>67606</v>
      </c>
      <c r="N9" s="170"/>
    </row>
    <row r="10" spans="1:14" ht="12.75" customHeight="1" x14ac:dyDescent="0.2">
      <c r="A10" s="167">
        <v>4</v>
      </c>
      <c r="B10" s="171" t="s">
        <v>343</v>
      </c>
      <c r="C10" s="169">
        <f t="shared" si="0"/>
        <v>8940</v>
      </c>
      <c r="D10" s="169"/>
      <c r="E10" s="169"/>
      <c r="F10" s="169">
        <v>8940</v>
      </c>
      <c r="G10" s="169"/>
      <c r="H10" s="169"/>
      <c r="I10" s="169">
        <f t="shared" si="1"/>
        <v>0</v>
      </c>
      <c r="J10" s="169">
        <v>0</v>
      </c>
      <c r="K10" s="169">
        <v>0</v>
      </c>
      <c r="N10" s="170"/>
    </row>
    <row r="11" spans="1:14" ht="13.5" customHeight="1" x14ac:dyDescent="0.2">
      <c r="A11" s="429">
        <v>5</v>
      </c>
      <c r="B11" s="172" t="s">
        <v>70</v>
      </c>
      <c r="C11" s="169">
        <f t="shared" si="0"/>
        <v>238311</v>
      </c>
      <c r="D11" s="169"/>
      <c r="E11" s="169">
        <v>6481</v>
      </c>
      <c r="F11" s="169"/>
      <c r="G11" s="169"/>
      <c r="H11" s="169"/>
      <c r="I11" s="169">
        <f t="shared" si="1"/>
        <v>231830</v>
      </c>
      <c r="J11" s="169">
        <f>62913-465+2684</f>
        <v>65132</v>
      </c>
      <c r="K11" s="169">
        <v>166698</v>
      </c>
      <c r="N11" s="170"/>
    </row>
    <row r="12" spans="1:14" s="175" customFormat="1" ht="37.5" customHeight="1" x14ac:dyDescent="0.2">
      <c r="A12" s="430"/>
      <c r="B12" s="173" t="s">
        <v>71</v>
      </c>
      <c r="C12" s="169">
        <f t="shared" si="0"/>
        <v>30732</v>
      </c>
      <c r="D12" s="174"/>
      <c r="E12" s="174"/>
      <c r="F12" s="174"/>
      <c r="G12" s="174"/>
      <c r="H12" s="174"/>
      <c r="I12" s="174">
        <f t="shared" si="1"/>
        <v>30732</v>
      </c>
      <c r="J12" s="169">
        <v>8359</v>
      </c>
      <c r="K12" s="169">
        <v>22373</v>
      </c>
      <c r="N12" s="170"/>
    </row>
    <row r="13" spans="1:14" ht="15" customHeight="1" x14ac:dyDescent="0.2">
      <c r="A13" s="167">
        <v>6</v>
      </c>
      <c r="B13" s="171" t="s">
        <v>52</v>
      </c>
      <c r="C13" s="169">
        <f t="shared" si="0"/>
        <v>74709</v>
      </c>
      <c r="D13" s="169"/>
      <c r="E13" s="169"/>
      <c r="F13" s="169"/>
      <c r="G13" s="169"/>
      <c r="H13" s="169"/>
      <c r="I13" s="169">
        <f t="shared" si="1"/>
        <v>74709</v>
      </c>
      <c r="J13" s="169">
        <v>23085</v>
      </c>
      <c r="K13" s="169">
        <v>51624</v>
      </c>
      <c r="N13" s="170"/>
    </row>
    <row r="14" spans="1:14" ht="12.75" customHeight="1" x14ac:dyDescent="0.2">
      <c r="A14" s="167">
        <v>7</v>
      </c>
      <c r="B14" s="171" t="s">
        <v>4</v>
      </c>
      <c r="C14" s="169">
        <f t="shared" si="0"/>
        <v>32964</v>
      </c>
      <c r="D14" s="169"/>
      <c r="E14" s="169"/>
      <c r="F14" s="169"/>
      <c r="G14" s="169"/>
      <c r="H14" s="169"/>
      <c r="I14" s="169">
        <f t="shared" si="1"/>
        <v>32964</v>
      </c>
      <c r="J14" s="169">
        <v>7219</v>
      </c>
      <c r="K14" s="169">
        <v>25745</v>
      </c>
      <c r="N14" s="170"/>
    </row>
    <row r="15" spans="1:14" ht="12.75" customHeight="1" x14ac:dyDescent="0.2">
      <c r="A15" s="167">
        <v>8</v>
      </c>
      <c r="B15" s="171" t="s">
        <v>8</v>
      </c>
      <c r="C15" s="169">
        <f t="shared" si="0"/>
        <v>33033</v>
      </c>
      <c r="D15" s="169"/>
      <c r="E15" s="169"/>
      <c r="F15" s="169"/>
      <c r="G15" s="169"/>
      <c r="H15" s="169"/>
      <c r="I15" s="169">
        <f t="shared" si="1"/>
        <v>33033</v>
      </c>
      <c r="J15" s="169">
        <v>6937</v>
      </c>
      <c r="K15" s="169">
        <v>26096</v>
      </c>
      <c r="N15" s="170"/>
    </row>
    <row r="16" spans="1:14" ht="12.75" customHeight="1" x14ac:dyDescent="0.2">
      <c r="A16" s="167">
        <v>9</v>
      </c>
      <c r="B16" s="171" t="s">
        <v>17</v>
      </c>
      <c r="C16" s="169">
        <f t="shared" si="0"/>
        <v>36711</v>
      </c>
      <c r="D16" s="169"/>
      <c r="E16" s="169"/>
      <c r="F16" s="169"/>
      <c r="G16" s="169"/>
      <c r="H16" s="169"/>
      <c r="I16" s="169">
        <f t="shared" si="1"/>
        <v>36711</v>
      </c>
      <c r="J16" s="169">
        <v>7856</v>
      </c>
      <c r="K16" s="169">
        <v>28855</v>
      </c>
      <c r="N16" s="170"/>
    </row>
    <row r="17" spans="1:14" ht="12.75" customHeight="1" x14ac:dyDescent="0.2">
      <c r="A17" s="167">
        <v>10</v>
      </c>
      <c r="B17" s="171" t="s">
        <v>44</v>
      </c>
      <c r="C17" s="169">
        <f t="shared" si="0"/>
        <v>39393</v>
      </c>
      <c r="D17" s="169"/>
      <c r="E17" s="169"/>
      <c r="F17" s="169"/>
      <c r="G17" s="169"/>
      <c r="H17" s="169"/>
      <c r="I17" s="169">
        <f t="shared" si="1"/>
        <v>39393</v>
      </c>
      <c r="J17" s="169">
        <v>9179</v>
      </c>
      <c r="K17" s="169">
        <v>30214</v>
      </c>
      <c r="N17" s="170"/>
    </row>
    <row r="18" spans="1:14" ht="13.5" customHeight="1" x14ac:dyDescent="0.2">
      <c r="A18" s="167">
        <v>11</v>
      </c>
      <c r="B18" s="172" t="s">
        <v>29</v>
      </c>
      <c r="C18" s="169">
        <f t="shared" si="0"/>
        <v>41195</v>
      </c>
      <c r="D18" s="169"/>
      <c r="E18" s="169"/>
      <c r="F18" s="169"/>
      <c r="G18" s="169"/>
      <c r="H18" s="169"/>
      <c r="I18" s="169">
        <f t="shared" si="1"/>
        <v>41195</v>
      </c>
      <c r="J18" s="169">
        <v>14253</v>
      </c>
      <c r="K18" s="169">
        <v>26942</v>
      </c>
      <c r="N18" s="170"/>
    </row>
    <row r="19" spans="1:14" ht="15" customHeight="1" x14ac:dyDescent="0.2">
      <c r="A19" s="167">
        <v>12</v>
      </c>
      <c r="B19" s="171" t="s">
        <v>30</v>
      </c>
      <c r="C19" s="169">
        <f t="shared" si="0"/>
        <v>37749</v>
      </c>
      <c r="D19" s="169"/>
      <c r="E19" s="169"/>
      <c r="F19" s="169"/>
      <c r="G19" s="169"/>
      <c r="H19" s="169"/>
      <c r="I19" s="169">
        <f t="shared" si="1"/>
        <v>37749</v>
      </c>
      <c r="J19" s="169">
        <v>9060</v>
      </c>
      <c r="K19" s="169">
        <v>28689</v>
      </c>
      <c r="N19" s="170"/>
    </row>
    <row r="20" spans="1:14" ht="12.75" customHeight="1" x14ac:dyDescent="0.2">
      <c r="A20" s="167">
        <v>13</v>
      </c>
      <c r="B20" s="172" t="s">
        <v>33</v>
      </c>
      <c r="C20" s="169">
        <f t="shared" si="0"/>
        <v>45457</v>
      </c>
      <c r="D20" s="169"/>
      <c r="E20" s="169"/>
      <c r="F20" s="169"/>
      <c r="G20" s="169"/>
      <c r="H20" s="169"/>
      <c r="I20" s="169">
        <f t="shared" si="1"/>
        <v>45457</v>
      </c>
      <c r="J20" s="169">
        <v>10682</v>
      </c>
      <c r="K20" s="169">
        <v>34775</v>
      </c>
      <c r="N20" s="170"/>
    </row>
    <row r="21" spans="1:14" ht="15" customHeight="1" x14ac:dyDescent="0.2">
      <c r="A21" s="167">
        <v>14</v>
      </c>
      <c r="B21" s="171" t="s">
        <v>39</v>
      </c>
      <c r="C21" s="169">
        <f t="shared" si="0"/>
        <v>37464</v>
      </c>
      <c r="D21" s="169"/>
      <c r="E21" s="169"/>
      <c r="F21" s="169"/>
      <c r="G21" s="169"/>
      <c r="H21" s="169"/>
      <c r="I21" s="169">
        <f t="shared" si="1"/>
        <v>37464</v>
      </c>
      <c r="J21" s="169">
        <v>8242</v>
      </c>
      <c r="K21" s="169">
        <v>29222</v>
      </c>
      <c r="N21" s="170"/>
    </row>
    <row r="22" spans="1:14" ht="13.5" customHeight="1" x14ac:dyDescent="0.2">
      <c r="A22" s="167">
        <v>15</v>
      </c>
      <c r="B22" s="171" t="s">
        <v>404</v>
      </c>
      <c r="C22" s="169">
        <f t="shared" si="0"/>
        <v>116</v>
      </c>
      <c r="D22" s="169"/>
      <c r="E22" s="169"/>
      <c r="F22" s="169">
        <f>465-349</f>
        <v>116</v>
      </c>
      <c r="G22" s="169"/>
      <c r="H22" s="169"/>
      <c r="I22" s="169">
        <f t="shared" si="1"/>
        <v>0</v>
      </c>
      <c r="J22" s="169">
        <v>0</v>
      </c>
      <c r="K22" s="169">
        <v>0</v>
      </c>
      <c r="N22" s="170"/>
    </row>
    <row r="23" spans="1:14" ht="12.75" customHeight="1" x14ac:dyDescent="0.2">
      <c r="A23" s="167">
        <v>16</v>
      </c>
      <c r="B23" s="171" t="s">
        <v>405</v>
      </c>
      <c r="C23" s="169">
        <f t="shared" si="0"/>
        <v>116</v>
      </c>
      <c r="D23" s="169"/>
      <c r="E23" s="169"/>
      <c r="F23" s="169">
        <f>465-349</f>
        <v>116</v>
      </c>
      <c r="G23" s="169"/>
      <c r="H23" s="169"/>
      <c r="I23" s="169">
        <f t="shared" si="1"/>
        <v>0</v>
      </c>
      <c r="J23" s="169">
        <v>0</v>
      </c>
      <c r="K23" s="169">
        <v>0</v>
      </c>
      <c r="N23" s="170"/>
    </row>
    <row r="24" spans="1:14" ht="10.5" customHeight="1" x14ac:dyDescent="0.2">
      <c r="A24" s="167">
        <v>17</v>
      </c>
      <c r="B24" s="171" t="s">
        <v>406</v>
      </c>
      <c r="C24" s="169">
        <f t="shared" si="0"/>
        <v>116</v>
      </c>
      <c r="D24" s="169"/>
      <c r="E24" s="169"/>
      <c r="F24" s="169">
        <f>465-349</f>
        <v>116</v>
      </c>
      <c r="G24" s="169"/>
      <c r="H24" s="169"/>
      <c r="I24" s="169">
        <f t="shared" si="1"/>
        <v>0</v>
      </c>
      <c r="J24" s="169">
        <v>0</v>
      </c>
      <c r="K24" s="169">
        <v>0</v>
      </c>
      <c r="N24" s="170"/>
    </row>
    <row r="25" spans="1:14" ht="13.5" customHeight="1" x14ac:dyDescent="0.2">
      <c r="A25" s="167">
        <v>18</v>
      </c>
      <c r="B25" s="172" t="s">
        <v>407</v>
      </c>
      <c r="C25" s="169">
        <f t="shared" si="0"/>
        <v>116</v>
      </c>
      <c r="D25" s="169"/>
      <c r="E25" s="169"/>
      <c r="F25" s="169">
        <f>465-349</f>
        <v>116</v>
      </c>
      <c r="G25" s="169"/>
      <c r="H25" s="169"/>
      <c r="I25" s="169">
        <f t="shared" si="1"/>
        <v>0</v>
      </c>
      <c r="J25" s="169">
        <v>0</v>
      </c>
      <c r="K25" s="169">
        <v>0</v>
      </c>
      <c r="N25" s="170"/>
    </row>
    <row r="26" spans="1:14" ht="13.5" customHeight="1" x14ac:dyDescent="0.2">
      <c r="A26" s="167">
        <v>19</v>
      </c>
      <c r="B26" s="172" t="s">
        <v>408</v>
      </c>
      <c r="C26" s="169">
        <f t="shared" si="0"/>
        <v>116</v>
      </c>
      <c r="D26" s="169"/>
      <c r="E26" s="169"/>
      <c r="F26" s="169">
        <f>465-349</f>
        <v>116</v>
      </c>
      <c r="G26" s="169"/>
      <c r="H26" s="169"/>
      <c r="I26" s="169">
        <v>0</v>
      </c>
      <c r="J26" s="169">
        <v>0</v>
      </c>
      <c r="K26" s="169">
        <v>0</v>
      </c>
      <c r="N26" s="170"/>
    </row>
    <row r="27" spans="1:14" ht="12" customHeight="1" x14ac:dyDescent="0.2">
      <c r="A27" s="167">
        <v>20</v>
      </c>
      <c r="B27" s="171" t="s">
        <v>409</v>
      </c>
      <c r="C27" s="169">
        <f t="shared" si="0"/>
        <v>99</v>
      </c>
      <c r="D27" s="169"/>
      <c r="E27" s="169"/>
      <c r="F27" s="169">
        <f>340-241</f>
        <v>99</v>
      </c>
      <c r="G27" s="169"/>
      <c r="H27" s="169"/>
      <c r="I27" s="169">
        <f t="shared" si="1"/>
        <v>0</v>
      </c>
      <c r="J27" s="169">
        <v>0</v>
      </c>
      <c r="K27" s="169">
        <v>0</v>
      </c>
      <c r="N27" s="170"/>
    </row>
    <row r="28" spans="1:14" ht="10.5" customHeight="1" x14ac:dyDescent="0.2">
      <c r="A28" s="167">
        <v>21</v>
      </c>
      <c r="B28" s="171" t="s">
        <v>410</v>
      </c>
      <c r="C28" s="169">
        <f t="shared" si="0"/>
        <v>116</v>
      </c>
      <c r="D28" s="169"/>
      <c r="E28" s="169"/>
      <c r="F28" s="169">
        <f>465-349</f>
        <v>116</v>
      </c>
      <c r="G28" s="169"/>
      <c r="H28" s="169"/>
      <c r="I28" s="169">
        <f t="shared" si="1"/>
        <v>0</v>
      </c>
      <c r="J28" s="169">
        <v>0</v>
      </c>
      <c r="K28" s="169">
        <v>0</v>
      </c>
      <c r="N28" s="170"/>
    </row>
    <row r="29" spans="1:14" ht="17.25" customHeight="1" x14ac:dyDescent="0.2">
      <c r="A29" s="167">
        <v>22</v>
      </c>
      <c r="B29" s="172" t="s">
        <v>411</v>
      </c>
      <c r="C29" s="169">
        <f t="shared" si="0"/>
        <v>116</v>
      </c>
      <c r="D29" s="169"/>
      <c r="E29" s="169"/>
      <c r="F29" s="169">
        <f>465-349</f>
        <v>116</v>
      </c>
      <c r="G29" s="169"/>
      <c r="H29" s="169"/>
      <c r="I29" s="169">
        <v>0</v>
      </c>
      <c r="J29" s="169">
        <v>0</v>
      </c>
      <c r="K29" s="169">
        <v>0</v>
      </c>
      <c r="N29" s="170"/>
    </row>
    <row r="30" spans="1:14" ht="15" customHeight="1" x14ac:dyDescent="0.2">
      <c r="A30" s="167">
        <v>23</v>
      </c>
      <c r="B30" s="171" t="s">
        <v>412</v>
      </c>
      <c r="C30" s="169">
        <f t="shared" si="0"/>
        <v>102</v>
      </c>
      <c r="D30" s="169"/>
      <c r="E30" s="169"/>
      <c r="F30" s="169">
        <f>150-48</f>
        <v>102</v>
      </c>
      <c r="G30" s="169"/>
      <c r="H30" s="169"/>
      <c r="I30" s="169">
        <f t="shared" si="1"/>
        <v>0</v>
      </c>
      <c r="J30" s="169">
        <v>0</v>
      </c>
      <c r="K30" s="169">
        <v>0</v>
      </c>
      <c r="N30" s="170"/>
    </row>
    <row r="31" spans="1:14" ht="12.75" customHeight="1" x14ac:dyDescent="0.2">
      <c r="A31" s="167">
        <v>24</v>
      </c>
      <c r="B31" s="171" t="s">
        <v>53</v>
      </c>
      <c r="C31" s="169">
        <f t="shared" si="0"/>
        <v>91438</v>
      </c>
      <c r="D31" s="169">
        <v>3617</v>
      </c>
      <c r="E31" s="169"/>
      <c r="F31" s="169"/>
      <c r="G31" s="169"/>
      <c r="H31" s="169"/>
      <c r="I31" s="169">
        <f t="shared" si="1"/>
        <v>87821</v>
      </c>
      <c r="J31" s="169">
        <v>20023</v>
      </c>
      <c r="K31" s="169">
        <v>67798</v>
      </c>
      <c r="N31" s="170"/>
    </row>
    <row r="32" spans="1:14" ht="15" customHeight="1" x14ac:dyDescent="0.2">
      <c r="A32" s="167">
        <v>25</v>
      </c>
      <c r="B32" s="176" t="s">
        <v>357</v>
      </c>
      <c r="C32" s="169">
        <f t="shared" si="0"/>
        <v>16986</v>
      </c>
      <c r="D32" s="169"/>
      <c r="E32" s="169"/>
      <c r="F32" s="169">
        <v>16986</v>
      </c>
      <c r="G32" s="169"/>
      <c r="H32" s="169"/>
      <c r="I32" s="169">
        <f t="shared" si="1"/>
        <v>0</v>
      </c>
      <c r="J32" s="169">
        <v>0</v>
      </c>
      <c r="K32" s="169">
        <v>0</v>
      </c>
      <c r="N32" s="170"/>
    </row>
    <row r="33" spans="1:14" ht="12.75" customHeight="1" x14ac:dyDescent="0.2">
      <c r="A33" s="167">
        <v>26</v>
      </c>
      <c r="B33" s="171" t="s">
        <v>6</v>
      </c>
      <c r="C33" s="169">
        <f t="shared" si="0"/>
        <v>93025</v>
      </c>
      <c r="D33" s="169"/>
      <c r="E33" s="169"/>
      <c r="F33" s="169"/>
      <c r="G33" s="169"/>
      <c r="H33" s="169"/>
      <c r="I33" s="169">
        <f t="shared" si="1"/>
        <v>93025</v>
      </c>
      <c r="J33" s="169">
        <v>26698</v>
      </c>
      <c r="K33" s="169">
        <v>66327</v>
      </c>
      <c r="N33" s="170"/>
    </row>
    <row r="34" spans="1:14" ht="12.75" customHeight="1" x14ac:dyDescent="0.2">
      <c r="A34" s="167">
        <v>27</v>
      </c>
      <c r="B34" s="171" t="s">
        <v>11</v>
      </c>
      <c r="C34" s="169">
        <f t="shared" si="0"/>
        <v>176859</v>
      </c>
      <c r="D34" s="169"/>
      <c r="E34" s="169">
        <v>5599</v>
      </c>
      <c r="F34" s="169"/>
      <c r="G34" s="169"/>
      <c r="H34" s="169"/>
      <c r="I34" s="169">
        <f>J34+K34</f>
        <v>171260</v>
      </c>
      <c r="J34" s="169">
        <v>50864</v>
      </c>
      <c r="K34" s="169">
        <v>120396</v>
      </c>
      <c r="N34" s="170"/>
    </row>
    <row r="35" spans="1:14" ht="12.75" customHeight="1" x14ac:dyDescent="0.2">
      <c r="A35" s="167">
        <v>28</v>
      </c>
      <c r="B35" s="171" t="s">
        <v>46</v>
      </c>
      <c r="C35" s="169">
        <f t="shared" si="0"/>
        <v>120378</v>
      </c>
      <c r="D35" s="169"/>
      <c r="E35" s="169"/>
      <c r="F35" s="169"/>
      <c r="G35" s="169"/>
      <c r="H35" s="169"/>
      <c r="I35" s="169">
        <f t="shared" si="1"/>
        <v>120378</v>
      </c>
      <c r="J35" s="169">
        <v>42253</v>
      </c>
      <c r="K35" s="169">
        <v>78125</v>
      </c>
      <c r="N35" s="170"/>
    </row>
    <row r="36" spans="1:14" ht="12.75" customHeight="1" x14ac:dyDescent="0.2">
      <c r="A36" s="167">
        <v>29</v>
      </c>
      <c r="B36" s="171" t="s">
        <v>348</v>
      </c>
      <c r="C36" s="169">
        <f t="shared" si="0"/>
        <v>23989</v>
      </c>
      <c r="D36" s="169"/>
      <c r="E36" s="169"/>
      <c r="F36" s="169"/>
      <c r="G36" s="169"/>
      <c r="H36" s="169"/>
      <c r="I36" s="169">
        <f t="shared" si="1"/>
        <v>23989</v>
      </c>
      <c r="J36" s="169">
        <v>7724</v>
      </c>
      <c r="K36" s="169">
        <v>16265</v>
      </c>
      <c r="N36" s="170"/>
    </row>
    <row r="37" spans="1:14" ht="13.5" customHeight="1" x14ac:dyDescent="0.2">
      <c r="A37" s="167">
        <v>30</v>
      </c>
      <c r="B37" s="171" t="s">
        <v>48</v>
      </c>
      <c r="C37" s="169">
        <f t="shared" si="0"/>
        <v>49971</v>
      </c>
      <c r="D37" s="169"/>
      <c r="E37" s="169"/>
      <c r="F37" s="169"/>
      <c r="G37" s="169"/>
      <c r="H37" s="169"/>
      <c r="I37" s="169">
        <f t="shared" si="1"/>
        <v>49971</v>
      </c>
      <c r="J37" s="169">
        <v>10294</v>
      </c>
      <c r="K37" s="169">
        <v>39677</v>
      </c>
      <c r="N37" s="170"/>
    </row>
    <row r="38" spans="1:14" ht="12.75" customHeight="1" x14ac:dyDescent="0.2">
      <c r="A38" s="167">
        <v>31</v>
      </c>
      <c r="B38" s="171" t="s">
        <v>1</v>
      </c>
      <c r="C38" s="169">
        <f t="shared" si="0"/>
        <v>68814</v>
      </c>
      <c r="D38" s="169"/>
      <c r="E38" s="169"/>
      <c r="F38" s="169"/>
      <c r="G38" s="169"/>
      <c r="H38" s="169"/>
      <c r="I38" s="169">
        <f t="shared" si="1"/>
        <v>68814</v>
      </c>
      <c r="J38" s="169">
        <v>9040</v>
      </c>
      <c r="K38" s="169">
        <v>59774</v>
      </c>
      <c r="N38" s="170"/>
    </row>
    <row r="39" spans="1:14" ht="15" customHeight="1" x14ac:dyDescent="0.2">
      <c r="A39" s="167">
        <v>32</v>
      </c>
      <c r="B39" s="171" t="s">
        <v>18</v>
      </c>
      <c r="C39" s="169">
        <f t="shared" si="0"/>
        <v>28532</v>
      </c>
      <c r="D39" s="169"/>
      <c r="E39" s="169"/>
      <c r="F39" s="169"/>
      <c r="G39" s="169"/>
      <c r="H39" s="169"/>
      <c r="I39" s="169">
        <f t="shared" si="1"/>
        <v>28532</v>
      </c>
      <c r="J39" s="169">
        <v>9358</v>
      </c>
      <c r="K39" s="169">
        <v>19174</v>
      </c>
      <c r="N39" s="170"/>
    </row>
    <row r="40" spans="1:14" ht="13.5" customHeight="1" x14ac:dyDescent="0.2">
      <c r="A40" s="167">
        <v>33</v>
      </c>
      <c r="B40" s="171" t="s">
        <v>25</v>
      </c>
      <c r="C40" s="169">
        <f t="shared" si="0"/>
        <v>23611</v>
      </c>
      <c r="D40" s="169"/>
      <c r="E40" s="169"/>
      <c r="F40" s="169"/>
      <c r="G40" s="169"/>
      <c r="H40" s="169"/>
      <c r="I40" s="169">
        <f t="shared" si="1"/>
        <v>23611</v>
      </c>
      <c r="J40" s="169">
        <v>4392</v>
      </c>
      <c r="K40" s="169">
        <v>19219</v>
      </c>
      <c r="N40" s="170"/>
    </row>
    <row r="41" spans="1:14" ht="14.25" customHeight="1" x14ac:dyDescent="0.2">
      <c r="A41" s="429">
        <v>34</v>
      </c>
      <c r="B41" s="171" t="s">
        <v>459</v>
      </c>
      <c r="C41" s="169">
        <f t="shared" si="0"/>
        <v>93778</v>
      </c>
      <c r="D41" s="169"/>
      <c r="E41" s="169">
        <f>12203-157</f>
        <v>12046</v>
      </c>
      <c r="F41" s="169"/>
      <c r="G41" s="169"/>
      <c r="H41" s="169"/>
      <c r="I41" s="169">
        <f t="shared" si="1"/>
        <v>81732</v>
      </c>
      <c r="J41" s="169">
        <f>17245</f>
        <v>17245</v>
      </c>
      <c r="K41" s="169">
        <f>64487</f>
        <v>64487</v>
      </c>
      <c r="N41" s="170"/>
    </row>
    <row r="42" spans="1:14" ht="40.5" customHeight="1" x14ac:dyDescent="0.2">
      <c r="A42" s="430"/>
      <c r="B42" s="171" t="s">
        <v>639</v>
      </c>
      <c r="C42" s="169">
        <f t="shared" si="0"/>
        <v>73986</v>
      </c>
      <c r="D42" s="169"/>
      <c r="E42" s="169"/>
      <c r="F42" s="169"/>
      <c r="G42" s="169"/>
      <c r="H42" s="169"/>
      <c r="I42" s="169">
        <f t="shared" si="1"/>
        <v>73986</v>
      </c>
      <c r="J42" s="169">
        <v>25499</v>
      </c>
      <c r="K42" s="169">
        <v>48487</v>
      </c>
      <c r="N42" s="170"/>
    </row>
    <row r="43" spans="1:14" ht="15.75" customHeight="1" x14ac:dyDescent="0.2">
      <c r="A43" s="167">
        <v>35</v>
      </c>
      <c r="B43" s="171" t="s">
        <v>55</v>
      </c>
      <c r="C43" s="169">
        <f t="shared" si="0"/>
        <v>13509</v>
      </c>
      <c r="D43" s="169"/>
      <c r="E43" s="169"/>
      <c r="F43" s="169"/>
      <c r="G43" s="169"/>
      <c r="H43" s="169"/>
      <c r="I43" s="169">
        <f t="shared" si="1"/>
        <v>13509</v>
      </c>
      <c r="J43" s="169">
        <f>29311-25499</f>
        <v>3812</v>
      </c>
      <c r="K43" s="169">
        <f>58184-48487</f>
        <v>9697</v>
      </c>
      <c r="N43" s="170"/>
    </row>
    <row r="44" spans="1:14" ht="15.75" customHeight="1" x14ac:dyDescent="0.2">
      <c r="A44" s="167">
        <v>36</v>
      </c>
      <c r="B44" s="171" t="s">
        <v>72</v>
      </c>
      <c r="C44" s="169">
        <f t="shared" si="0"/>
        <v>94813</v>
      </c>
      <c r="D44" s="169"/>
      <c r="E44" s="169"/>
      <c r="F44" s="169"/>
      <c r="G44" s="169"/>
      <c r="H44" s="169"/>
      <c r="I44" s="169">
        <f t="shared" si="1"/>
        <v>94813</v>
      </c>
      <c r="J44" s="169">
        <f>31288</f>
        <v>31288</v>
      </c>
      <c r="K44" s="169">
        <v>63525</v>
      </c>
      <c r="N44" s="170"/>
    </row>
    <row r="45" spans="1:14" ht="14.25" customHeight="1" x14ac:dyDescent="0.2">
      <c r="A45" s="429">
        <v>37</v>
      </c>
      <c r="B45" s="171" t="s">
        <v>73</v>
      </c>
      <c r="C45" s="169">
        <f t="shared" si="0"/>
        <v>45211</v>
      </c>
      <c r="D45" s="169"/>
      <c r="E45" s="169"/>
      <c r="F45" s="169"/>
      <c r="G45" s="169"/>
      <c r="H45" s="169"/>
      <c r="I45" s="169">
        <f t="shared" si="1"/>
        <v>45211</v>
      </c>
      <c r="J45" s="169">
        <v>9313</v>
      </c>
      <c r="K45" s="169">
        <v>35898</v>
      </c>
      <c r="N45" s="170"/>
    </row>
    <row r="46" spans="1:14" s="175" customFormat="1" ht="36.75" customHeight="1" x14ac:dyDescent="0.2">
      <c r="A46" s="430"/>
      <c r="B46" s="173" t="s">
        <v>74</v>
      </c>
      <c r="C46" s="169">
        <f t="shared" si="0"/>
        <v>79164</v>
      </c>
      <c r="D46" s="174"/>
      <c r="E46" s="174"/>
      <c r="F46" s="174"/>
      <c r="G46" s="174"/>
      <c r="H46" s="174"/>
      <c r="I46" s="174">
        <f t="shared" si="1"/>
        <v>79164</v>
      </c>
      <c r="J46" s="169">
        <v>16704</v>
      </c>
      <c r="K46" s="169">
        <v>62460</v>
      </c>
      <c r="N46" s="170"/>
    </row>
    <row r="47" spans="1:14" ht="16.5" customHeight="1" x14ac:dyDescent="0.2">
      <c r="A47" s="167">
        <v>38</v>
      </c>
      <c r="B47" s="171" t="s">
        <v>75</v>
      </c>
      <c r="C47" s="169">
        <f t="shared" si="0"/>
        <v>76880</v>
      </c>
      <c r="D47" s="169"/>
      <c r="E47" s="169"/>
      <c r="F47" s="169"/>
      <c r="G47" s="169"/>
      <c r="H47" s="169"/>
      <c r="I47" s="169">
        <f t="shared" si="1"/>
        <v>76880</v>
      </c>
      <c r="J47" s="169">
        <v>14453</v>
      </c>
      <c r="K47" s="169">
        <v>62427</v>
      </c>
      <c r="N47" s="170"/>
    </row>
    <row r="48" spans="1:14" ht="27" customHeight="1" x14ac:dyDescent="0.2">
      <c r="A48" s="167">
        <v>39</v>
      </c>
      <c r="B48" s="171" t="s">
        <v>413</v>
      </c>
      <c r="C48" s="169">
        <f t="shared" si="0"/>
        <v>63474</v>
      </c>
      <c r="D48" s="169"/>
      <c r="E48" s="169"/>
      <c r="F48" s="169">
        <v>63474</v>
      </c>
      <c r="G48" s="169"/>
      <c r="H48" s="169"/>
      <c r="I48" s="169">
        <f t="shared" si="1"/>
        <v>0</v>
      </c>
      <c r="J48" s="169">
        <v>0</v>
      </c>
      <c r="K48" s="169">
        <v>0</v>
      </c>
      <c r="N48" s="170"/>
    </row>
    <row r="49" spans="1:14" ht="12" customHeight="1" x14ac:dyDescent="0.2">
      <c r="A49" s="167">
        <v>40</v>
      </c>
      <c r="B49" s="171" t="s">
        <v>76</v>
      </c>
      <c r="C49" s="169">
        <f t="shared" si="0"/>
        <v>10558</v>
      </c>
      <c r="D49" s="169"/>
      <c r="E49" s="169"/>
      <c r="F49" s="169">
        <v>10558</v>
      </c>
      <c r="G49" s="169"/>
      <c r="H49" s="169"/>
      <c r="I49" s="169">
        <f t="shared" si="1"/>
        <v>0</v>
      </c>
      <c r="J49" s="169">
        <v>0</v>
      </c>
      <c r="K49" s="169">
        <v>0</v>
      </c>
      <c r="N49" s="170"/>
    </row>
    <row r="50" spans="1:14" ht="13.5" customHeight="1" x14ac:dyDescent="0.2">
      <c r="A50" s="429">
        <v>41</v>
      </c>
      <c r="B50" s="171" t="s">
        <v>54</v>
      </c>
      <c r="C50" s="169">
        <f t="shared" si="0"/>
        <v>119277</v>
      </c>
      <c r="D50" s="169">
        <v>3355</v>
      </c>
      <c r="E50" s="169"/>
      <c r="F50" s="169"/>
      <c r="G50" s="169"/>
      <c r="H50" s="169"/>
      <c r="I50" s="169">
        <f t="shared" si="1"/>
        <v>115922</v>
      </c>
      <c r="J50" s="169">
        <v>24575</v>
      </c>
      <c r="K50" s="169">
        <v>91347</v>
      </c>
      <c r="N50" s="170"/>
    </row>
    <row r="51" spans="1:14" s="175" customFormat="1" ht="38.25" customHeight="1" x14ac:dyDescent="0.2">
      <c r="A51" s="443"/>
      <c r="B51" s="173" t="s">
        <v>77</v>
      </c>
      <c r="C51" s="169">
        <f t="shared" si="0"/>
        <v>45204</v>
      </c>
      <c r="D51" s="174"/>
      <c r="E51" s="174"/>
      <c r="F51" s="174"/>
      <c r="G51" s="174"/>
      <c r="H51" s="174"/>
      <c r="I51" s="174">
        <f t="shared" si="1"/>
        <v>45204</v>
      </c>
      <c r="J51" s="169">
        <v>5424</v>
      </c>
      <c r="K51" s="169">
        <v>39780</v>
      </c>
      <c r="N51" s="170"/>
    </row>
    <row r="52" spans="1:14" s="175" customFormat="1" ht="31.5" customHeight="1" x14ac:dyDescent="0.2">
      <c r="A52" s="430"/>
      <c r="B52" s="177" t="s">
        <v>361</v>
      </c>
      <c r="C52" s="169">
        <f t="shared" si="0"/>
        <v>19000</v>
      </c>
      <c r="D52" s="174"/>
      <c r="E52" s="174"/>
      <c r="F52" s="174">
        <v>19000</v>
      </c>
      <c r="G52" s="174"/>
      <c r="H52" s="174"/>
      <c r="I52" s="174">
        <f t="shared" si="1"/>
        <v>0</v>
      </c>
      <c r="J52" s="169">
        <f>19000-19000</f>
        <v>0</v>
      </c>
      <c r="K52" s="169">
        <v>0</v>
      </c>
      <c r="N52" s="170"/>
    </row>
    <row r="53" spans="1:14" ht="15.75" customHeight="1" x14ac:dyDescent="0.2">
      <c r="A53" s="167">
        <v>42</v>
      </c>
      <c r="B53" s="171" t="s">
        <v>359</v>
      </c>
      <c r="C53" s="169">
        <f t="shared" si="0"/>
        <v>26820</v>
      </c>
      <c r="D53" s="169"/>
      <c r="E53" s="169"/>
      <c r="F53" s="169">
        <v>26820</v>
      </c>
      <c r="G53" s="169"/>
      <c r="H53" s="169"/>
      <c r="I53" s="169">
        <f t="shared" si="1"/>
        <v>0</v>
      </c>
      <c r="J53" s="169">
        <v>0</v>
      </c>
      <c r="K53" s="169">
        <v>0</v>
      </c>
      <c r="N53" s="170"/>
    </row>
    <row r="54" spans="1:14" ht="13.5" customHeight="1" x14ac:dyDescent="0.2">
      <c r="A54" s="167">
        <v>43</v>
      </c>
      <c r="B54" s="171" t="s">
        <v>78</v>
      </c>
      <c r="C54" s="169">
        <f t="shared" si="0"/>
        <v>8493</v>
      </c>
      <c r="D54" s="169"/>
      <c r="E54" s="169"/>
      <c r="F54" s="169">
        <v>8493</v>
      </c>
      <c r="G54" s="169"/>
      <c r="H54" s="169"/>
      <c r="I54" s="169">
        <f t="shared" si="1"/>
        <v>0</v>
      </c>
      <c r="J54" s="169">
        <v>0</v>
      </c>
      <c r="K54" s="169">
        <v>0</v>
      </c>
      <c r="N54" s="170"/>
    </row>
    <row r="55" spans="1:14" ht="14.25" customHeight="1" x14ac:dyDescent="0.2">
      <c r="A55" s="429">
        <v>44</v>
      </c>
      <c r="B55" s="171" t="s">
        <v>36</v>
      </c>
      <c r="C55" s="169">
        <f t="shared" si="0"/>
        <v>108151</v>
      </c>
      <c r="D55" s="169"/>
      <c r="E55" s="169">
        <v>5555</v>
      </c>
      <c r="F55" s="169"/>
      <c r="G55" s="169"/>
      <c r="H55" s="169"/>
      <c r="I55" s="169">
        <f t="shared" si="1"/>
        <v>102596</v>
      </c>
      <c r="J55" s="169">
        <v>33754</v>
      </c>
      <c r="K55" s="169">
        <v>68842</v>
      </c>
      <c r="N55" s="170"/>
    </row>
    <row r="56" spans="1:14" s="175" customFormat="1" ht="37.5" customHeight="1" x14ac:dyDescent="0.2">
      <c r="A56" s="430"/>
      <c r="B56" s="173" t="s">
        <v>79</v>
      </c>
      <c r="C56" s="169">
        <f t="shared" si="0"/>
        <v>40100</v>
      </c>
      <c r="D56" s="174"/>
      <c r="E56" s="174"/>
      <c r="F56" s="174"/>
      <c r="G56" s="174"/>
      <c r="H56" s="174"/>
      <c r="I56" s="174">
        <f t="shared" si="1"/>
        <v>40100</v>
      </c>
      <c r="J56" s="169">
        <v>13955</v>
      </c>
      <c r="K56" s="169">
        <v>26145</v>
      </c>
      <c r="N56" s="170"/>
    </row>
    <row r="57" spans="1:14" ht="13.5" customHeight="1" x14ac:dyDescent="0.2">
      <c r="A57" s="167">
        <v>45</v>
      </c>
      <c r="B57" s="171" t="s">
        <v>28</v>
      </c>
      <c r="C57" s="169">
        <f t="shared" si="0"/>
        <v>141299</v>
      </c>
      <c r="D57" s="169"/>
      <c r="E57" s="169"/>
      <c r="F57" s="169"/>
      <c r="G57" s="169"/>
      <c r="H57" s="169"/>
      <c r="I57" s="169">
        <f t="shared" si="1"/>
        <v>141299</v>
      </c>
      <c r="J57" s="169">
        <v>42814</v>
      </c>
      <c r="K57" s="169">
        <v>98485</v>
      </c>
      <c r="N57" s="170"/>
    </row>
    <row r="58" spans="1:14" s="178" customFormat="1" ht="12.75" customHeight="1" x14ac:dyDescent="0.2">
      <c r="A58" s="167">
        <v>46</v>
      </c>
      <c r="B58" s="171" t="s">
        <v>37</v>
      </c>
      <c r="C58" s="169">
        <f t="shared" si="0"/>
        <v>136601</v>
      </c>
      <c r="D58" s="169"/>
      <c r="E58" s="169"/>
      <c r="F58" s="169"/>
      <c r="G58" s="169"/>
      <c r="H58" s="169"/>
      <c r="I58" s="169">
        <f t="shared" si="1"/>
        <v>136601</v>
      </c>
      <c r="J58" s="169">
        <v>29779</v>
      </c>
      <c r="K58" s="169">
        <v>106822</v>
      </c>
      <c r="N58" s="170"/>
    </row>
    <row r="59" spans="1:14" ht="10.5" customHeight="1" x14ac:dyDescent="0.2">
      <c r="A59" s="167">
        <v>47</v>
      </c>
      <c r="B59" s="171" t="s">
        <v>24</v>
      </c>
      <c r="C59" s="169">
        <f t="shared" si="0"/>
        <v>42852</v>
      </c>
      <c r="D59" s="169"/>
      <c r="E59" s="169"/>
      <c r="F59" s="169"/>
      <c r="G59" s="169"/>
      <c r="H59" s="169"/>
      <c r="I59" s="169">
        <f t="shared" si="1"/>
        <v>42852</v>
      </c>
      <c r="J59" s="169">
        <v>11827</v>
      </c>
      <c r="K59" s="169">
        <v>31025</v>
      </c>
      <c r="N59" s="170"/>
    </row>
    <row r="60" spans="1:14" ht="10.5" customHeight="1" x14ac:dyDescent="0.2">
      <c r="A60" s="167">
        <v>48</v>
      </c>
      <c r="B60" s="171" t="s">
        <v>19</v>
      </c>
      <c r="C60" s="169">
        <f t="shared" si="0"/>
        <v>53478</v>
      </c>
      <c r="D60" s="169"/>
      <c r="E60" s="169"/>
      <c r="F60" s="169"/>
      <c r="G60" s="169"/>
      <c r="H60" s="169"/>
      <c r="I60" s="169">
        <f t="shared" si="1"/>
        <v>53478</v>
      </c>
      <c r="J60" s="169">
        <v>19306</v>
      </c>
      <c r="K60" s="169">
        <v>34172</v>
      </c>
      <c r="N60" s="170"/>
    </row>
    <row r="61" spans="1:14" ht="10.5" customHeight="1" x14ac:dyDescent="0.2">
      <c r="A61" s="167">
        <v>49</v>
      </c>
      <c r="B61" s="171" t="s">
        <v>34</v>
      </c>
      <c r="C61" s="169">
        <f t="shared" si="0"/>
        <v>49407</v>
      </c>
      <c r="D61" s="169"/>
      <c r="E61" s="169"/>
      <c r="F61" s="169"/>
      <c r="G61" s="169"/>
      <c r="H61" s="169"/>
      <c r="I61" s="169">
        <f t="shared" si="1"/>
        <v>49407</v>
      </c>
      <c r="J61" s="169">
        <v>14822</v>
      </c>
      <c r="K61" s="169">
        <v>34585</v>
      </c>
      <c r="N61" s="170"/>
    </row>
    <row r="62" spans="1:14" ht="11.25" customHeight="1" x14ac:dyDescent="0.2">
      <c r="A62" s="167">
        <v>50</v>
      </c>
      <c r="B62" s="171" t="s">
        <v>43</v>
      </c>
      <c r="C62" s="169">
        <f t="shared" si="0"/>
        <v>31735</v>
      </c>
      <c r="D62" s="169"/>
      <c r="E62" s="169"/>
      <c r="F62" s="169"/>
      <c r="G62" s="169"/>
      <c r="H62" s="169"/>
      <c r="I62" s="169">
        <f t="shared" si="1"/>
        <v>31735</v>
      </c>
      <c r="J62" s="169">
        <v>9521</v>
      </c>
      <c r="K62" s="169">
        <v>22214</v>
      </c>
      <c r="N62" s="170"/>
    </row>
    <row r="63" spans="1:14" ht="10.5" customHeight="1" x14ac:dyDescent="0.2">
      <c r="A63" s="167">
        <v>51</v>
      </c>
      <c r="B63" s="171" t="s">
        <v>5</v>
      </c>
      <c r="C63" s="169">
        <f t="shared" si="0"/>
        <v>55126</v>
      </c>
      <c r="D63" s="169"/>
      <c r="E63" s="169"/>
      <c r="F63" s="169"/>
      <c r="G63" s="169"/>
      <c r="H63" s="169"/>
      <c r="I63" s="169">
        <f t="shared" si="1"/>
        <v>55126</v>
      </c>
      <c r="J63" s="169">
        <v>14278</v>
      </c>
      <c r="K63" s="169">
        <v>40848</v>
      </c>
      <c r="N63" s="170"/>
    </row>
    <row r="64" spans="1:14" ht="10.5" customHeight="1" x14ac:dyDescent="0.2">
      <c r="A64" s="167">
        <v>52</v>
      </c>
      <c r="B64" s="171" t="s">
        <v>47</v>
      </c>
      <c r="C64" s="169">
        <f t="shared" si="0"/>
        <v>25714</v>
      </c>
      <c r="D64" s="169"/>
      <c r="E64" s="169"/>
      <c r="F64" s="169"/>
      <c r="G64" s="169"/>
      <c r="H64" s="169"/>
      <c r="I64" s="169">
        <f t="shared" si="1"/>
        <v>25714</v>
      </c>
      <c r="J64" s="169">
        <v>7046</v>
      </c>
      <c r="K64" s="169">
        <v>18668</v>
      </c>
      <c r="N64" s="170"/>
    </row>
    <row r="65" spans="1:14" s="178" customFormat="1" ht="15" customHeight="1" x14ac:dyDescent="0.2">
      <c r="A65" s="167">
        <v>53</v>
      </c>
      <c r="B65" s="171" t="s">
        <v>364</v>
      </c>
      <c r="C65" s="169">
        <f t="shared" si="0"/>
        <v>11394</v>
      </c>
      <c r="D65" s="169"/>
      <c r="E65" s="169"/>
      <c r="F65" s="169"/>
      <c r="G65" s="169"/>
      <c r="H65" s="169"/>
      <c r="I65" s="169">
        <f t="shared" si="1"/>
        <v>11394</v>
      </c>
      <c r="J65" s="169">
        <v>4785</v>
      </c>
      <c r="K65" s="169">
        <v>6609</v>
      </c>
      <c r="N65" s="170"/>
    </row>
    <row r="66" spans="1:14" s="178" customFormat="1" ht="15.75" customHeight="1" x14ac:dyDescent="0.2">
      <c r="A66" s="167">
        <v>54</v>
      </c>
      <c r="B66" s="171" t="s">
        <v>80</v>
      </c>
      <c r="C66" s="169">
        <f t="shared" si="0"/>
        <v>18451</v>
      </c>
      <c r="D66" s="169"/>
      <c r="E66" s="169"/>
      <c r="F66" s="169"/>
      <c r="G66" s="169"/>
      <c r="H66" s="169"/>
      <c r="I66" s="169">
        <f t="shared" si="1"/>
        <v>18451</v>
      </c>
      <c r="J66" s="169">
        <v>6679</v>
      </c>
      <c r="K66" s="169">
        <v>11772</v>
      </c>
      <c r="N66" s="170"/>
    </row>
    <row r="67" spans="1:14" ht="10.5" customHeight="1" x14ac:dyDescent="0.2">
      <c r="A67" s="167">
        <v>55</v>
      </c>
      <c r="B67" s="168" t="s">
        <v>45</v>
      </c>
      <c r="C67" s="169">
        <f t="shared" si="0"/>
        <v>219127</v>
      </c>
      <c r="D67" s="169"/>
      <c r="E67" s="169"/>
      <c r="F67" s="169"/>
      <c r="G67" s="169"/>
      <c r="H67" s="169"/>
      <c r="I67" s="169">
        <f t="shared" si="1"/>
        <v>219127</v>
      </c>
      <c r="J67" s="169">
        <v>46893</v>
      </c>
      <c r="K67" s="169">
        <v>172234</v>
      </c>
      <c r="N67" s="170"/>
    </row>
    <row r="68" spans="1:14" ht="10.5" customHeight="1" x14ac:dyDescent="0.2">
      <c r="A68" s="167">
        <v>56</v>
      </c>
      <c r="B68" s="171" t="s">
        <v>9</v>
      </c>
      <c r="C68" s="169">
        <f t="shared" si="0"/>
        <v>156220</v>
      </c>
      <c r="D68" s="169"/>
      <c r="E68" s="169">
        <v>2680</v>
      </c>
      <c r="F68" s="169"/>
      <c r="G68" s="169"/>
      <c r="H68" s="169"/>
      <c r="I68" s="169">
        <f t="shared" si="1"/>
        <v>153540</v>
      </c>
      <c r="J68" s="169">
        <f>32714+671</f>
        <v>33385</v>
      </c>
      <c r="K68" s="169">
        <v>120155</v>
      </c>
      <c r="N68" s="170"/>
    </row>
    <row r="69" spans="1:14" ht="10.5" customHeight="1" x14ac:dyDescent="0.2">
      <c r="A69" s="167">
        <v>57</v>
      </c>
      <c r="B69" s="168" t="s">
        <v>81</v>
      </c>
      <c r="C69" s="169">
        <f t="shared" si="0"/>
        <v>160871</v>
      </c>
      <c r="D69" s="169"/>
      <c r="E69" s="169">
        <v>6981</v>
      </c>
      <c r="F69" s="169"/>
      <c r="G69" s="169"/>
      <c r="H69" s="169"/>
      <c r="I69" s="169">
        <f t="shared" si="1"/>
        <v>153890</v>
      </c>
      <c r="J69" s="169">
        <v>31855</v>
      </c>
      <c r="K69" s="169">
        <v>122035</v>
      </c>
      <c r="N69" s="170"/>
    </row>
    <row r="70" spans="1:14" ht="24" customHeight="1" x14ac:dyDescent="0.2">
      <c r="A70" s="167">
        <v>58</v>
      </c>
      <c r="B70" s="168" t="s">
        <v>414</v>
      </c>
      <c r="C70" s="169">
        <f t="shared" si="0"/>
        <v>24758</v>
      </c>
      <c r="D70" s="169"/>
      <c r="E70" s="169"/>
      <c r="F70" s="169">
        <v>24758</v>
      </c>
      <c r="G70" s="169"/>
      <c r="H70" s="169"/>
      <c r="I70" s="169">
        <f t="shared" si="1"/>
        <v>0</v>
      </c>
      <c r="J70" s="169">
        <v>0</v>
      </c>
      <c r="K70" s="169">
        <v>0</v>
      </c>
      <c r="N70" s="170"/>
    </row>
    <row r="71" spans="1:14" ht="10.5" customHeight="1" x14ac:dyDescent="0.2">
      <c r="A71" s="167">
        <v>59</v>
      </c>
      <c r="B71" s="171" t="s">
        <v>20</v>
      </c>
      <c r="C71" s="169">
        <f t="shared" si="0"/>
        <v>62567</v>
      </c>
      <c r="D71" s="169"/>
      <c r="E71" s="169"/>
      <c r="F71" s="169"/>
      <c r="G71" s="169"/>
      <c r="H71" s="169"/>
      <c r="I71" s="169">
        <f t="shared" si="1"/>
        <v>62567</v>
      </c>
      <c r="J71" s="169">
        <v>13765</v>
      </c>
      <c r="K71" s="169">
        <v>48802</v>
      </c>
      <c r="N71" s="170"/>
    </row>
    <row r="72" spans="1:14" ht="10.5" customHeight="1" x14ac:dyDescent="0.2">
      <c r="A72" s="167">
        <v>60</v>
      </c>
      <c r="B72" s="168" t="s">
        <v>7</v>
      </c>
      <c r="C72" s="169">
        <f t="shared" si="0"/>
        <v>45225</v>
      </c>
      <c r="D72" s="169"/>
      <c r="E72" s="169"/>
      <c r="F72" s="169"/>
      <c r="G72" s="169"/>
      <c r="H72" s="169"/>
      <c r="I72" s="169">
        <f t="shared" si="1"/>
        <v>45225</v>
      </c>
      <c r="J72" s="169">
        <v>10040</v>
      </c>
      <c r="K72" s="169">
        <v>35185</v>
      </c>
      <c r="N72" s="170"/>
    </row>
    <row r="73" spans="1:14" ht="10.5" customHeight="1" x14ac:dyDescent="0.2">
      <c r="A73" s="167">
        <v>61</v>
      </c>
      <c r="B73" s="171" t="s">
        <v>12</v>
      </c>
      <c r="C73" s="169">
        <f t="shared" ref="C73:C136" si="2">SUM(D73:I73)</f>
        <v>34846</v>
      </c>
      <c r="D73" s="169"/>
      <c r="E73" s="169"/>
      <c r="F73" s="169"/>
      <c r="G73" s="169"/>
      <c r="H73" s="169"/>
      <c r="I73" s="169">
        <f t="shared" ref="I73:I137" si="3">J73+K73</f>
        <v>34846</v>
      </c>
      <c r="J73" s="169">
        <f>7797+38</f>
        <v>7835</v>
      </c>
      <c r="K73" s="169">
        <v>27011</v>
      </c>
      <c r="N73" s="170"/>
    </row>
    <row r="74" spans="1:14" ht="10.5" customHeight="1" x14ac:dyDescent="0.2">
      <c r="A74" s="167">
        <v>62</v>
      </c>
      <c r="B74" s="168" t="s">
        <v>27</v>
      </c>
      <c r="C74" s="169">
        <f t="shared" si="2"/>
        <v>53029</v>
      </c>
      <c r="D74" s="169"/>
      <c r="E74" s="169"/>
      <c r="F74" s="169"/>
      <c r="G74" s="169"/>
      <c r="H74" s="169"/>
      <c r="I74" s="169">
        <f t="shared" si="3"/>
        <v>53029</v>
      </c>
      <c r="J74" s="169">
        <f>11823+13</f>
        <v>11836</v>
      </c>
      <c r="K74" s="169">
        <v>41193</v>
      </c>
      <c r="N74" s="170"/>
    </row>
    <row r="75" spans="1:14" ht="10.5" customHeight="1" x14ac:dyDescent="0.2">
      <c r="A75" s="167">
        <v>63</v>
      </c>
      <c r="B75" s="171" t="s">
        <v>23</v>
      </c>
      <c r="C75" s="169">
        <f t="shared" si="2"/>
        <v>22096</v>
      </c>
      <c r="D75" s="169"/>
      <c r="E75" s="169"/>
      <c r="F75" s="169"/>
      <c r="G75" s="169"/>
      <c r="H75" s="169"/>
      <c r="I75" s="169">
        <f t="shared" si="3"/>
        <v>22096</v>
      </c>
      <c r="J75" s="169">
        <v>6695</v>
      </c>
      <c r="K75" s="169">
        <v>15401</v>
      </c>
      <c r="N75" s="170"/>
    </row>
    <row r="76" spans="1:14" ht="10.5" customHeight="1" x14ac:dyDescent="0.2">
      <c r="A76" s="167">
        <v>64</v>
      </c>
      <c r="B76" s="171" t="s">
        <v>40</v>
      </c>
      <c r="C76" s="169">
        <f t="shared" si="2"/>
        <v>43566</v>
      </c>
      <c r="D76" s="169"/>
      <c r="E76" s="169"/>
      <c r="F76" s="169"/>
      <c r="G76" s="169"/>
      <c r="H76" s="169"/>
      <c r="I76" s="169">
        <f t="shared" si="3"/>
        <v>43566</v>
      </c>
      <c r="J76" s="169">
        <f>10650+96</f>
        <v>10746</v>
      </c>
      <c r="K76" s="169">
        <v>32820</v>
      </c>
      <c r="N76" s="170"/>
    </row>
    <row r="77" spans="1:14" ht="11.25" customHeight="1" x14ac:dyDescent="0.2">
      <c r="A77" s="167">
        <v>65</v>
      </c>
      <c r="B77" s="171" t="s">
        <v>2</v>
      </c>
      <c r="C77" s="169">
        <f t="shared" si="2"/>
        <v>64826</v>
      </c>
      <c r="D77" s="169"/>
      <c r="E77" s="169"/>
      <c r="F77" s="169"/>
      <c r="G77" s="169"/>
      <c r="H77" s="169"/>
      <c r="I77" s="169">
        <f t="shared" si="3"/>
        <v>64826</v>
      </c>
      <c r="J77" s="169">
        <v>19124</v>
      </c>
      <c r="K77" s="169">
        <v>45702</v>
      </c>
      <c r="N77" s="170"/>
    </row>
    <row r="78" spans="1:14" ht="10.5" customHeight="1" x14ac:dyDescent="0.2">
      <c r="A78" s="167">
        <v>66</v>
      </c>
      <c r="B78" s="168" t="s">
        <v>51</v>
      </c>
      <c r="C78" s="169">
        <f t="shared" si="2"/>
        <v>35415</v>
      </c>
      <c r="D78" s="169"/>
      <c r="E78" s="169"/>
      <c r="F78" s="169"/>
      <c r="G78" s="169"/>
      <c r="H78" s="169"/>
      <c r="I78" s="169">
        <f t="shared" si="3"/>
        <v>35415</v>
      </c>
      <c r="J78" s="169">
        <v>8712</v>
      </c>
      <c r="K78" s="169">
        <v>26703</v>
      </c>
      <c r="N78" s="170"/>
    </row>
    <row r="79" spans="1:14" ht="10.5" customHeight="1" x14ac:dyDescent="0.2">
      <c r="A79" s="167">
        <v>67</v>
      </c>
      <c r="B79" s="171" t="s">
        <v>415</v>
      </c>
      <c r="C79" s="169">
        <f t="shared" si="2"/>
        <v>102</v>
      </c>
      <c r="D79" s="169"/>
      <c r="E79" s="169"/>
      <c r="F79" s="169">
        <f>150-48</f>
        <v>102</v>
      </c>
      <c r="G79" s="169"/>
      <c r="H79" s="169"/>
      <c r="I79" s="169">
        <f t="shared" si="3"/>
        <v>0</v>
      </c>
      <c r="J79" s="169">
        <v>0</v>
      </c>
      <c r="K79" s="169">
        <v>0</v>
      </c>
      <c r="N79" s="170"/>
    </row>
    <row r="80" spans="1:14" ht="10.5" customHeight="1" x14ac:dyDescent="0.2">
      <c r="A80" s="167">
        <v>68</v>
      </c>
      <c r="B80" s="171" t="s">
        <v>416</v>
      </c>
      <c r="C80" s="169">
        <f t="shared" si="2"/>
        <v>12</v>
      </c>
      <c r="D80" s="169"/>
      <c r="E80" s="169"/>
      <c r="F80" s="169">
        <f>50-38</f>
        <v>12</v>
      </c>
      <c r="G80" s="169"/>
      <c r="H80" s="169"/>
      <c r="I80" s="169">
        <f t="shared" si="3"/>
        <v>0</v>
      </c>
      <c r="J80" s="169">
        <v>0</v>
      </c>
      <c r="K80" s="169">
        <v>0</v>
      </c>
      <c r="N80" s="170"/>
    </row>
    <row r="81" spans="1:14" ht="10.5" customHeight="1" x14ac:dyDescent="0.2">
      <c r="A81" s="167">
        <v>69</v>
      </c>
      <c r="B81" s="179" t="s">
        <v>417</v>
      </c>
      <c r="C81" s="169">
        <f t="shared" si="2"/>
        <v>112</v>
      </c>
      <c r="D81" s="169"/>
      <c r="E81" s="169"/>
      <c r="F81" s="169">
        <f>125-13</f>
        <v>112</v>
      </c>
      <c r="G81" s="169"/>
      <c r="H81" s="169"/>
      <c r="I81" s="169">
        <f t="shared" si="3"/>
        <v>0</v>
      </c>
      <c r="J81" s="169">
        <v>0</v>
      </c>
      <c r="K81" s="169">
        <v>0</v>
      </c>
      <c r="N81" s="170"/>
    </row>
    <row r="82" spans="1:14" ht="10.5" customHeight="1" x14ac:dyDescent="0.2">
      <c r="A82" s="167">
        <v>70</v>
      </c>
      <c r="B82" s="171" t="s">
        <v>418</v>
      </c>
      <c r="C82" s="169">
        <f t="shared" si="2"/>
        <v>12</v>
      </c>
      <c r="D82" s="169"/>
      <c r="E82" s="169"/>
      <c r="F82" s="169">
        <f>50-38</f>
        <v>12</v>
      </c>
      <c r="G82" s="169"/>
      <c r="H82" s="169"/>
      <c r="I82" s="169">
        <f t="shared" si="3"/>
        <v>0</v>
      </c>
      <c r="J82" s="169">
        <v>0</v>
      </c>
      <c r="K82" s="169">
        <v>0</v>
      </c>
      <c r="N82" s="170"/>
    </row>
    <row r="83" spans="1:14" ht="15" customHeight="1" x14ac:dyDescent="0.2">
      <c r="A83" s="167">
        <v>71</v>
      </c>
      <c r="B83" s="171" t="s">
        <v>419</v>
      </c>
      <c r="C83" s="169">
        <f t="shared" si="2"/>
        <v>90</v>
      </c>
      <c r="D83" s="169"/>
      <c r="E83" s="169"/>
      <c r="F83" s="169">
        <f>100-10</f>
        <v>90</v>
      </c>
      <c r="G83" s="169"/>
      <c r="H83" s="169"/>
      <c r="I83" s="169">
        <f t="shared" si="3"/>
        <v>0</v>
      </c>
      <c r="J83" s="169">
        <v>0</v>
      </c>
      <c r="K83" s="169">
        <v>0</v>
      </c>
      <c r="N83" s="170"/>
    </row>
    <row r="84" spans="1:14" ht="10.5" customHeight="1" x14ac:dyDescent="0.2">
      <c r="A84" s="167">
        <v>72</v>
      </c>
      <c r="B84" s="180" t="s">
        <v>420</v>
      </c>
      <c r="C84" s="169">
        <f t="shared" si="2"/>
        <v>223</v>
      </c>
      <c r="D84" s="169"/>
      <c r="E84" s="169"/>
      <c r="F84" s="169">
        <f>894-671</f>
        <v>223</v>
      </c>
      <c r="G84" s="169"/>
      <c r="H84" s="169"/>
      <c r="I84" s="169">
        <f t="shared" si="3"/>
        <v>0</v>
      </c>
      <c r="J84" s="169">
        <v>0</v>
      </c>
      <c r="K84" s="169">
        <v>0</v>
      </c>
      <c r="N84" s="170"/>
    </row>
    <row r="85" spans="1:14" ht="10.5" customHeight="1" x14ac:dyDescent="0.2">
      <c r="A85" s="167">
        <v>73</v>
      </c>
      <c r="B85" s="181" t="s">
        <v>376</v>
      </c>
      <c r="C85" s="169">
        <f t="shared" si="2"/>
        <v>66167</v>
      </c>
      <c r="D85" s="169"/>
      <c r="E85" s="169"/>
      <c r="F85" s="169"/>
      <c r="G85" s="169"/>
      <c r="H85" s="169"/>
      <c r="I85" s="169">
        <f t="shared" si="3"/>
        <v>66167</v>
      </c>
      <c r="J85" s="169">
        <v>13895</v>
      </c>
      <c r="K85" s="169">
        <v>52272</v>
      </c>
      <c r="N85" s="170"/>
    </row>
    <row r="86" spans="1:14" ht="10.5" customHeight="1" x14ac:dyDescent="0.2">
      <c r="A86" s="167">
        <v>74</v>
      </c>
      <c r="B86" s="181" t="s">
        <v>377</v>
      </c>
      <c r="C86" s="169">
        <f t="shared" si="2"/>
        <v>56538</v>
      </c>
      <c r="D86" s="169"/>
      <c r="E86" s="169"/>
      <c r="F86" s="169"/>
      <c r="G86" s="169"/>
      <c r="H86" s="169"/>
      <c r="I86" s="169">
        <f t="shared" si="3"/>
        <v>56538</v>
      </c>
      <c r="J86" s="169">
        <v>11025</v>
      </c>
      <c r="K86" s="169">
        <v>45513</v>
      </c>
      <c r="N86" s="170"/>
    </row>
    <row r="87" spans="1:14" ht="10.5" customHeight="1" x14ac:dyDescent="0.2">
      <c r="A87" s="167">
        <v>75</v>
      </c>
      <c r="B87" s="181" t="s">
        <v>378</v>
      </c>
      <c r="C87" s="169">
        <f t="shared" si="2"/>
        <v>79099</v>
      </c>
      <c r="D87" s="169"/>
      <c r="E87" s="169"/>
      <c r="F87" s="169"/>
      <c r="G87" s="169"/>
      <c r="H87" s="169">
        <v>1164</v>
      </c>
      <c r="I87" s="169">
        <f t="shared" si="3"/>
        <v>77935</v>
      </c>
      <c r="J87" s="169">
        <v>17847</v>
      </c>
      <c r="K87" s="169">
        <v>60088</v>
      </c>
      <c r="N87" s="170"/>
    </row>
    <row r="88" spans="1:14" ht="10.5" customHeight="1" x14ac:dyDescent="0.2">
      <c r="A88" s="167">
        <v>76</v>
      </c>
      <c r="B88" s="181" t="s">
        <v>379</v>
      </c>
      <c r="C88" s="169">
        <f t="shared" si="2"/>
        <v>96050</v>
      </c>
      <c r="D88" s="169"/>
      <c r="E88" s="169"/>
      <c r="F88" s="169"/>
      <c r="G88" s="169"/>
      <c r="H88" s="169">
        <v>1095</v>
      </c>
      <c r="I88" s="169">
        <f t="shared" si="3"/>
        <v>94955</v>
      </c>
      <c r="J88" s="169">
        <v>23929</v>
      </c>
      <c r="K88" s="169">
        <v>71026</v>
      </c>
      <c r="N88" s="170"/>
    </row>
    <row r="89" spans="1:14" ht="10.5" customHeight="1" x14ac:dyDescent="0.2">
      <c r="A89" s="167">
        <v>77</v>
      </c>
      <c r="B89" s="181" t="s">
        <v>380</v>
      </c>
      <c r="C89" s="169">
        <f t="shared" si="2"/>
        <v>35538</v>
      </c>
      <c r="D89" s="169"/>
      <c r="E89" s="169"/>
      <c r="F89" s="169"/>
      <c r="G89" s="169"/>
      <c r="H89" s="169"/>
      <c r="I89" s="169">
        <f t="shared" si="3"/>
        <v>35538</v>
      </c>
      <c r="J89" s="169">
        <v>8316</v>
      </c>
      <c r="K89" s="169">
        <v>27222</v>
      </c>
      <c r="N89" s="170"/>
    </row>
    <row r="90" spans="1:14" ht="22.5" customHeight="1" x14ac:dyDescent="0.2">
      <c r="A90" s="167">
        <v>78</v>
      </c>
      <c r="B90" s="181" t="s">
        <v>421</v>
      </c>
      <c r="C90" s="169">
        <f t="shared" si="2"/>
        <v>20749</v>
      </c>
      <c r="D90" s="169"/>
      <c r="E90" s="169"/>
      <c r="F90" s="169">
        <f>20562+187</f>
        <v>20749</v>
      </c>
      <c r="G90" s="169"/>
      <c r="H90" s="169"/>
      <c r="I90" s="169">
        <f t="shared" si="3"/>
        <v>0</v>
      </c>
      <c r="J90" s="169">
        <v>0</v>
      </c>
      <c r="K90" s="169">
        <v>0</v>
      </c>
      <c r="N90" s="170"/>
    </row>
    <row r="91" spans="1:14" ht="24" customHeight="1" x14ac:dyDescent="0.2">
      <c r="A91" s="167">
        <v>79</v>
      </c>
      <c r="B91" s="181" t="s">
        <v>381</v>
      </c>
      <c r="C91" s="169">
        <f t="shared" si="2"/>
        <v>30404</v>
      </c>
      <c r="D91" s="169"/>
      <c r="E91" s="169"/>
      <c r="F91" s="169">
        <f>30217+187</f>
        <v>30404</v>
      </c>
      <c r="G91" s="169"/>
      <c r="H91" s="169"/>
      <c r="I91" s="169">
        <f t="shared" si="3"/>
        <v>0</v>
      </c>
      <c r="J91" s="169">
        <v>0</v>
      </c>
      <c r="K91" s="169">
        <v>0</v>
      </c>
      <c r="N91" s="170"/>
    </row>
    <row r="92" spans="1:14" ht="10.5" customHeight="1" x14ac:dyDescent="0.2">
      <c r="A92" s="167">
        <v>80</v>
      </c>
      <c r="B92" s="181" t="s">
        <v>365</v>
      </c>
      <c r="C92" s="169">
        <f t="shared" si="2"/>
        <v>96170</v>
      </c>
      <c r="D92" s="169"/>
      <c r="E92" s="169"/>
      <c r="F92" s="169"/>
      <c r="G92" s="169"/>
      <c r="H92" s="169"/>
      <c r="I92" s="169">
        <f t="shared" si="3"/>
        <v>96170</v>
      </c>
      <c r="J92" s="169">
        <v>23465</v>
      </c>
      <c r="K92" s="169">
        <v>72705</v>
      </c>
      <c r="N92" s="170"/>
    </row>
    <row r="93" spans="1:14" ht="10.5" customHeight="1" x14ac:dyDescent="0.2">
      <c r="A93" s="167">
        <v>81</v>
      </c>
      <c r="B93" s="181" t="s">
        <v>366</v>
      </c>
      <c r="C93" s="169">
        <f t="shared" si="2"/>
        <v>55649</v>
      </c>
      <c r="D93" s="169"/>
      <c r="E93" s="169"/>
      <c r="F93" s="169"/>
      <c r="G93" s="169"/>
      <c r="H93" s="169"/>
      <c r="I93" s="169">
        <f t="shared" si="3"/>
        <v>55649</v>
      </c>
      <c r="J93" s="169">
        <v>14914</v>
      </c>
      <c r="K93" s="169">
        <v>40735</v>
      </c>
      <c r="N93" s="170"/>
    </row>
    <row r="94" spans="1:14" ht="10.5" customHeight="1" x14ac:dyDescent="0.2">
      <c r="A94" s="167">
        <v>82</v>
      </c>
      <c r="B94" s="181" t="s">
        <v>367</v>
      </c>
      <c r="C94" s="169">
        <f t="shared" si="2"/>
        <v>66647</v>
      </c>
      <c r="D94" s="169">
        <v>4356</v>
      </c>
      <c r="E94" s="169"/>
      <c r="F94" s="169"/>
      <c r="G94" s="169"/>
      <c r="H94" s="169"/>
      <c r="I94" s="169">
        <f t="shared" si="3"/>
        <v>62291</v>
      </c>
      <c r="J94" s="169">
        <v>17753</v>
      </c>
      <c r="K94" s="169">
        <v>44538</v>
      </c>
      <c r="N94" s="170"/>
    </row>
    <row r="95" spans="1:14" ht="10.5" customHeight="1" x14ac:dyDescent="0.2">
      <c r="A95" s="167">
        <v>83</v>
      </c>
      <c r="B95" s="181" t="s">
        <v>368</v>
      </c>
      <c r="C95" s="169">
        <f t="shared" si="2"/>
        <v>40342</v>
      </c>
      <c r="D95" s="169"/>
      <c r="E95" s="169"/>
      <c r="F95" s="169"/>
      <c r="G95" s="169"/>
      <c r="H95" s="169"/>
      <c r="I95" s="169">
        <f t="shared" si="3"/>
        <v>40342</v>
      </c>
      <c r="J95" s="169">
        <v>10650</v>
      </c>
      <c r="K95" s="169">
        <v>29692</v>
      </c>
      <c r="N95" s="170"/>
    </row>
    <row r="96" spans="1:14" ht="10.5" customHeight="1" x14ac:dyDescent="0.2">
      <c r="A96" s="167">
        <v>84</v>
      </c>
      <c r="B96" s="181" t="s">
        <v>369</v>
      </c>
      <c r="C96" s="169">
        <f t="shared" si="2"/>
        <v>127606</v>
      </c>
      <c r="D96" s="169">
        <v>6373</v>
      </c>
      <c r="E96" s="169"/>
      <c r="F96" s="169"/>
      <c r="G96" s="169"/>
      <c r="H96" s="169"/>
      <c r="I96" s="169">
        <f t="shared" si="3"/>
        <v>121233</v>
      </c>
      <c r="J96" s="169">
        <v>30793</v>
      </c>
      <c r="K96" s="169">
        <v>90440</v>
      </c>
      <c r="N96" s="170"/>
    </row>
    <row r="97" spans="1:14" ht="10.5" customHeight="1" x14ac:dyDescent="0.2">
      <c r="A97" s="167">
        <v>85</v>
      </c>
      <c r="B97" s="181" t="s">
        <v>370</v>
      </c>
      <c r="C97" s="169">
        <f t="shared" si="2"/>
        <v>61795</v>
      </c>
      <c r="D97" s="169"/>
      <c r="E97" s="169"/>
      <c r="F97" s="169"/>
      <c r="G97" s="169"/>
      <c r="H97" s="169"/>
      <c r="I97" s="169">
        <f t="shared" si="3"/>
        <v>61795</v>
      </c>
      <c r="J97" s="169">
        <v>20949</v>
      </c>
      <c r="K97" s="169">
        <v>40846</v>
      </c>
      <c r="N97" s="170"/>
    </row>
    <row r="98" spans="1:14" ht="10.5" customHeight="1" x14ac:dyDescent="0.2">
      <c r="A98" s="167">
        <v>86</v>
      </c>
      <c r="B98" s="181" t="s">
        <v>371</v>
      </c>
      <c r="C98" s="169">
        <f t="shared" si="2"/>
        <v>61401</v>
      </c>
      <c r="D98" s="169"/>
      <c r="E98" s="169"/>
      <c r="F98" s="169"/>
      <c r="G98" s="169"/>
      <c r="H98" s="169"/>
      <c r="I98" s="169">
        <f t="shared" si="3"/>
        <v>61401</v>
      </c>
      <c r="J98" s="169">
        <v>17683</v>
      </c>
      <c r="K98" s="169">
        <v>43718</v>
      </c>
      <c r="N98" s="170"/>
    </row>
    <row r="99" spans="1:14" ht="10.5" customHeight="1" x14ac:dyDescent="0.2">
      <c r="A99" s="167">
        <v>87</v>
      </c>
      <c r="B99" s="181" t="s">
        <v>372</v>
      </c>
      <c r="C99" s="169">
        <f t="shared" si="2"/>
        <v>35865</v>
      </c>
      <c r="D99" s="169"/>
      <c r="E99" s="169"/>
      <c r="F99" s="169"/>
      <c r="G99" s="169"/>
      <c r="H99" s="169"/>
      <c r="I99" s="169">
        <f t="shared" si="3"/>
        <v>35865</v>
      </c>
      <c r="J99" s="169">
        <v>11190</v>
      </c>
      <c r="K99" s="169">
        <v>24675</v>
      </c>
      <c r="N99" s="170"/>
    </row>
    <row r="100" spans="1:14" ht="10.5" customHeight="1" x14ac:dyDescent="0.2">
      <c r="A100" s="167">
        <v>88</v>
      </c>
      <c r="B100" s="181" t="s">
        <v>237</v>
      </c>
      <c r="C100" s="169">
        <f t="shared" si="2"/>
        <v>127655</v>
      </c>
      <c r="D100" s="169">
        <v>6031</v>
      </c>
      <c r="E100" s="169"/>
      <c r="F100" s="169"/>
      <c r="G100" s="169"/>
      <c r="H100" s="169"/>
      <c r="I100" s="169">
        <f t="shared" si="3"/>
        <v>121624</v>
      </c>
      <c r="J100" s="169">
        <v>29311</v>
      </c>
      <c r="K100" s="169">
        <v>92313</v>
      </c>
      <c r="N100" s="170"/>
    </row>
    <row r="101" spans="1:14" ht="10.5" customHeight="1" x14ac:dyDescent="0.2">
      <c r="A101" s="167">
        <v>89</v>
      </c>
      <c r="B101" s="181" t="s">
        <v>373</v>
      </c>
      <c r="C101" s="169">
        <f t="shared" si="2"/>
        <v>47341</v>
      </c>
      <c r="D101" s="169"/>
      <c r="E101" s="169"/>
      <c r="F101" s="169"/>
      <c r="G101" s="169"/>
      <c r="H101" s="169"/>
      <c r="I101" s="169">
        <f t="shared" si="3"/>
        <v>47341</v>
      </c>
      <c r="J101" s="169">
        <v>13398</v>
      </c>
      <c r="K101" s="169">
        <v>33943</v>
      </c>
      <c r="N101" s="170"/>
    </row>
    <row r="102" spans="1:14" ht="10.5" customHeight="1" x14ac:dyDescent="0.2">
      <c r="A102" s="167">
        <v>90</v>
      </c>
      <c r="B102" s="181" t="s">
        <v>374</v>
      </c>
      <c r="C102" s="169">
        <f t="shared" si="2"/>
        <v>46111</v>
      </c>
      <c r="D102" s="169"/>
      <c r="E102" s="169"/>
      <c r="F102" s="169"/>
      <c r="G102" s="169"/>
      <c r="H102" s="169"/>
      <c r="I102" s="169">
        <f t="shared" si="3"/>
        <v>46111</v>
      </c>
      <c r="J102" s="169">
        <v>16600</v>
      </c>
      <c r="K102" s="169">
        <v>29511</v>
      </c>
      <c r="N102" s="170"/>
    </row>
    <row r="103" spans="1:14" ht="12.75" customHeight="1" x14ac:dyDescent="0.2">
      <c r="A103" s="167">
        <v>91</v>
      </c>
      <c r="B103" s="181" t="s">
        <v>422</v>
      </c>
      <c r="C103" s="169">
        <f t="shared" si="2"/>
        <v>17957</v>
      </c>
      <c r="D103" s="169"/>
      <c r="E103" s="169"/>
      <c r="F103" s="169">
        <v>17957</v>
      </c>
      <c r="G103" s="169"/>
      <c r="H103" s="169"/>
      <c r="I103" s="169">
        <f t="shared" si="3"/>
        <v>0</v>
      </c>
      <c r="J103" s="169">
        <v>0</v>
      </c>
      <c r="K103" s="169">
        <v>0</v>
      </c>
      <c r="N103" s="170"/>
    </row>
    <row r="104" spans="1:14" ht="14.25" customHeight="1" x14ac:dyDescent="0.2">
      <c r="A104" s="167">
        <v>92</v>
      </c>
      <c r="B104" s="181" t="s">
        <v>382</v>
      </c>
      <c r="C104" s="169">
        <f t="shared" si="2"/>
        <v>20651</v>
      </c>
      <c r="D104" s="169"/>
      <c r="E104" s="169"/>
      <c r="F104" s="169">
        <v>20651</v>
      </c>
      <c r="G104" s="169"/>
      <c r="H104" s="169"/>
      <c r="I104" s="169">
        <f t="shared" si="3"/>
        <v>0</v>
      </c>
      <c r="J104" s="169">
        <v>0</v>
      </c>
      <c r="K104" s="169">
        <v>0</v>
      </c>
      <c r="N104" s="170"/>
    </row>
    <row r="105" spans="1:14" ht="13.5" customHeight="1" x14ac:dyDescent="0.2">
      <c r="A105" s="167">
        <v>93</v>
      </c>
      <c r="B105" s="181" t="s">
        <v>423</v>
      </c>
      <c r="C105" s="169">
        <f t="shared" si="2"/>
        <v>23813</v>
      </c>
      <c r="D105" s="169"/>
      <c r="E105" s="169"/>
      <c r="F105" s="169">
        <v>23813</v>
      </c>
      <c r="G105" s="169"/>
      <c r="H105" s="169"/>
      <c r="I105" s="169">
        <f t="shared" si="3"/>
        <v>0</v>
      </c>
      <c r="J105" s="169">
        <v>0</v>
      </c>
      <c r="K105" s="169">
        <v>0</v>
      </c>
      <c r="N105" s="170"/>
    </row>
    <row r="106" spans="1:14" ht="15" customHeight="1" x14ac:dyDescent="0.2">
      <c r="A106" s="167">
        <v>94</v>
      </c>
      <c r="B106" s="181" t="s">
        <v>424</v>
      </c>
      <c r="C106" s="169">
        <f t="shared" si="2"/>
        <v>20088</v>
      </c>
      <c r="D106" s="169"/>
      <c r="E106" s="169"/>
      <c r="F106" s="169">
        <v>20088</v>
      </c>
      <c r="G106" s="169"/>
      <c r="H106" s="169"/>
      <c r="I106" s="169">
        <f t="shared" si="3"/>
        <v>0</v>
      </c>
      <c r="J106" s="169">
        <v>0</v>
      </c>
      <c r="K106" s="169">
        <v>0</v>
      </c>
      <c r="N106" s="170"/>
    </row>
    <row r="107" spans="1:14" ht="15.75" customHeight="1" x14ac:dyDescent="0.2">
      <c r="A107" s="167">
        <v>95</v>
      </c>
      <c r="B107" s="181" t="s">
        <v>425</v>
      </c>
      <c r="C107" s="169">
        <f t="shared" si="2"/>
        <v>28711</v>
      </c>
      <c r="D107" s="169"/>
      <c r="E107" s="169"/>
      <c r="F107" s="169">
        <v>28711</v>
      </c>
      <c r="G107" s="169"/>
      <c r="H107" s="169"/>
      <c r="I107" s="169">
        <f t="shared" si="3"/>
        <v>0</v>
      </c>
      <c r="J107" s="169">
        <v>0</v>
      </c>
      <c r="K107" s="169">
        <v>0</v>
      </c>
      <c r="N107" s="170"/>
    </row>
    <row r="108" spans="1:14" ht="15.75" customHeight="1" x14ac:dyDescent="0.2">
      <c r="A108" s="167">
        <v>96</v>
      </c>
      <c r="B108" s="181" t="s">
        <v>426</v>
      </c>
      <c r="C108" s="169">
        <f t="shared" si="2"/>
        <v>18306</v>
      </c>
      <c r="D108" s="169"/>
      <c r="E108" s="169"/>
      <c r="F108" s="169">
        <v>18306</v>
      </c>
      <c r="G108" s="169"/>
      <c r="H108" s="169"/>
      <c r="I108" s="169">
        <f t="shared" si="3"/>
        <v>0</v>
      </c>
      <c r="J108" s="169">
        <v>0</v>
      </c>
      <c r="K108" s="169">
        <v>0</v>
      </c>
      <c r="N108" s="170"/>
    </row>
    <row r="109" spans="1:14" ht="13.5" customHeight="1" x14ac:dyDescent="0.2">
      <c r="A109" s="167">
        <v>97</v>
      </c>
      <c r="B109" s="181" t="s">
        <v>427</v>
      </c>
      <c r="C109" s="169">
        <f t="shared" si="2"/>
        <v>15447</v>
      </c>
      <c r="D109" s="169"/>
      <c r="E109" s="169"/>
      <c r="F109" s="169">
        <v>15447</v>
      </c>
      <c r="G109" s="169"/>
      <c r="H109" s="169"/>
      <c r="I109" s="169">
        <f t="shared" si="3"/>
        <v>0</v>
      </c>
      <c r="J109" s="169">
        <v>0</v>
      </c>
      <c r="K109" s="169">
        <v>0</v>
      </c>
      <c r="N109" s="170"/>
    </row>
    <row r="110" spans="1:14" ht="10.5" customHeight="1" x14ac:dyDescent="0.2">
      <c r="A110" s="167">
        <v>98</v>
      </c>
      <c r="B110" s="181" t="s">
        <v>428</v>
      </c>
      <c r="C110" s="169">
        <f t="shared" si="2"/>
        <v>119921</v>
      </c>
      <c r="D110" s="169"/>
      <c r="E110" s="169"/>
      <c r="F110" s="169"/>
      <c r="G110" s="169"/>
      <c r="H110" s="169">
        <v>1362</v>
      </c>
      <c r="I110" s="169">
        <f t="shared" si="3"/>
        <v>118559</v>
      </c>
      <c r="J110" s="169">
        <v>27387</v>
      </c>
      <c r="K110" s="169">
        <v>91172</v>
      </c>
      <c r="N110" s="170"/>
    </row>
    <row r="111" spans="1:14" ht="10.5" customHeight="1" x14ac:dyDescent="0.2">
      <c r="A111" s="167">
        <v>99</v>
      </c>
      <c r="B111" s="181" t="s">
        <v>63</v>
      </c>
      <c r="C111" s="169">
        <f t="shared" si="2"/>
        <v>77420</v>
      </c>
      <c r="D111" s="169"/>
      <c r="E111" s="169"/>
      <c r="F111" s="169"/>
      <c r="G111" s="169"/>
      <c r="H111" s="169">
        <v>3723</v>
      </c>
      <c r="I111" s="169">
        <f t="shared" si="3"/>
        <v>73697</v>
      </c>
      <c r="J111" s="169">
        <v>27120</v>
      </c>
      <c r="K111" s="169">
        <v>46577</v>
      </c>
      <c r="N111" s="170"/>
    </row>
    <row r="112" spans="1:14" ht="10.5" customHeight="1" x14ac:dyDescent="0.2">
      <c r="A112" s="167">
        <v>100</v>
      </c>
      <c r="B112" s="181" t="s">
        <v>58</v>
      </c>
      <c r="C112" s="169">
        <f t="shared" si="2"/>
        <v>65562</v>
      </c>
      <c r="D112" s="169"/>
      <c r="E112" s="169"/>
      <c r="F112" s="169"/>
      <c r="G112" s="169"/>
      <c r="H112" s="169"/>
      <c r="I112" s="169">
        <f t="shared" si="3"/>
        <v>65562</v>
      </c>
      <c r="J112" s="169">
        <v>13309</v>
      </c>
      <c r="K112" s="169">
        <v>52253</v>
      </c>
      <c r="N112" s="170"/>
    </row>
    <row r="113" spans="1:14" ht="10.5" customHeight="1" x14ac:dyDescent="0.2">
      <c r="A113" s="167">
        <v>101</v>
      </c>
      <c r="B113" s="181" t="s">
        <v>57</v>
      </c>
      <c r="C113" s="169">
        <f t="shared" si="2"/>
        <v>38645</v>
      </c>
      <c r="D113" s="169"/>
      <c r="E113" s="169"/>
      <c r="F113" s="169"/>
      <c r="G113" s="169"/>
      <c r="H113" s="169"/>
      <c r="I113" s="169">
        <f t="shared" si="3"/>
        <v>38645</v>
      </c>
      <c r="J113" s="169">
        <v>11516</v>
      </c>
      <c r="K113" s="169">
        <v>27129</v>
      </c>
      <c r="N113" s="170"/>
    </row>
    <row r="114" spans="1:14" ht="10.5" customHeight="1" x14ac:dyDescent="0.2">
      <c r="A114" s="167">
        <v>102</v>
      </c>
      <c r="B114" s="181" t="s">
        <v>59</v>
      </c>
      <c r="C114" s="169">
        <f t="shared" si="2"/>
        <v>17815</v>
      </c>
      <c r="D114" s="169"/>
      <c r="E114" s="169"/>
      <c r="F114" s="169"/>
      <c r="G114" s="169"/>
      <c r="H114" s="169">
        <v>4025</v>
      </c>
      <c r="I114" s="169">
        <f t="shared" si="3"/>
        <v>13790</v>
      </c>
      <c r="J114" s="169">
        <v>3227</v>
      </c>
      <c r="K114" s="169">
        <v>10563</v>
      </c>
      <c r="N114" s="170"/>
    </row>
    <row r="115" spans="1:14" ht="10.5" customHeight="1" x14ac:dyDescent="0.2">
      <c r="A115" s="167">
        <v>103</v>
      </c>
      <c r="B115" s="181" t="s">
        <v>60</v>
      </c>
      <c r="C115" s="169">
        <f t="shared" si="2"/>
        <v>4886</v>
      </c>
      <c r="D115" s="169"/>
      <c r="E115" s="169"/>
      <c r="F115" s="169"/>
      <c r="G115" s="169"/>
      <c r="H115" s="169"/>
      <c r="I115" s="169">
        <f t="shared" si="3"/>
        <v>4886</v>
      </c>
      <c r="J115" s="169">
        <f>10238-8532-497</f>
        <v>1209</v>
      </c>
      <c r="K115" s="169">
        <f>22060-18383</f>
        <v>3677</v>
      </c>
      <c r="N115" s="170"/>
    </row>
    <row r="116" spans="1:14" ht="36" customHeight="1" x14ac:dyDescent="0.2">
      <c r="A116" s="429">
        <v>104</v>
      </c>
      <c r="B116" s="181" t="s">
        <v>200</v>
      </c>
      <c r="C116" s="169">
        <f t="shared" si="2"/>
        <v>27412</v>
      </c>
      <c r="D116" s="169"/>
      <c r="E116" s="169"/>
      <c r="F116" s="169"/>
      <c r="G116" s="169"/>
      <c r="H116" s="169"/>
      <c r="I116" s="169">
        <f>J116+K116</f>
        <v>27412</v>
      </c>
      <c r="J116" s="169">
        <f>8532+497</f>
        <v>9029</v>
      </c>
      <c r="K116" s="169">
        <v>18383</v>
      </c>
      <c r="N116" s="170"/>
    </row>
    <row r="117" spans="1:14" ht="10.5" customHeight="1" x14ac:dyDescent="0.2">
      <c r="A117" s="430"/>
      <c r="B117" s="181" t="s">
        <v>61</v>
      </c>
      <c r="C117" s="169">
        <f t="shared" si="2"/>
        <v>199146</v>
      </c>
      <c r="D117" s="169"/>
      <c r="E117" s="169">
        <v>6804</v>
      </c>
      <c r="F117" s="169"/>
      <c r="G117" s="169"/>
      <c r="H117" s="169"/>
      <c r="I117" s="169">
        <f t="shared" si="3"/>
        <v>192342</v>
      </c>
      <c r="J117" s="169">
        <v>61549</v>
      </c>
      <c r="K117" s="169">
        <v>130793</v>
      </c>
      <c r="N117" s="170"/>
    </row>
    <row r="118" spans="1:14" ht="10.5" customHeight="1" x14ac:dyDescent="0.2">
      <c r="A118" s="167">
        <v>105</v>
      </c>
      <c r="B118" s="181" t="s">
        <v>64</v>
      </c>
      <c r="C118" s="169">
        <f t="shared" si="2"/>
        <v>57276</v>
      </c>
      <c r="D118" s="169"/>
      <c r="E118" s="169"/>
      <c r="F118" s="169"/>
      <c r="G118" s="169"/>
      <c r="H118" s="169"/>
      <c r="I118" s="169">
        <f t="shared" si="3"/>
        <v>57276</v>
      </c>
      <c r="J118" s="169">
        <v>12028</v>
      </c>
      <c r="K118" s="169">
        <v>45248</v>
      </c>
      <c r="N118" s="170"/>
    </row>
    <row r="119" spans="1:14" ht="10.5" customHeight="1" x14ac:dyDescent="0.2">
      <c r="A119" s="167">
        <v>106</v>
      </c>
      <c r="B119" s="181" t="s">
        <v>62</v>
      </c>
      <c r="C119" s="169">
        <f t="shared" si="2"/>
        <v>75310</v>
      </c>
      <c r="D119" s="169"/>
      <c r="E119" s="169"/>
      <c r="F119" s="169"/>
      <c r="G119" s="169"/>
      <c r="H119" s="169"/>
      <c r="I119" s="169">
        <f t="shared" si="3"/>
        <v>75310</v>
      </c>
      <c r="J119" s="169">
        <v>19581</v>
      </c>
      <c r="K119" s="169">
        <v>55729</v>
      </c>
      <c r="N119" s="170"/>
    </row>
    <row r="120" spans="1:14" ht="10.5" customHeight="1" x14ac:dyDescent="0.2">
      <c r="A120" s="167">
        <v>107</v>
      </c>
      <c r="B120" s="181" t="s">
        <v>82</v>
      </c>
      <c r="C120" s="169">
        <f t="shared" si="2"/>
        <v>34417</v>
      </c>
      <c r="D120" s="169"/>
      <c r="E120" s="169"/>
      <c r="F120" s="169">
        <v>34417</v>
      </c>
      <c r="G120" s="169"/>
      <c r="H120" s="169"/>
      <c r="I120" s="169">
        <f t="shared" si="3"/>
        <v>0</v>
      </c>
      <c r="J120" s="169">
        <v>0</v>
      </c>
      <c r="K120" s="169">
        <v>0</v>
      </c>
      <c r="N120" s="170"/>
    </row>
    <row r="121" spans="1:14" ht="10.5" customHeight="1" x14ac:dyDescent="0.2">
      <c r="A121" s="429">
        <v>108</v>
      </c>
      <c r="B121" s="181" t="s">
        <v>65</v>
      </c>
      <c r="C121" s="169">
        <f t="shared" si="2"/>
        <v>13204</v>
      </c>
      <c r="D121" s="169"/>
      <c r="E121" s="169"/>
      <c r="F121" s="169"/>
      <c r="G121" s="169"/>
      <c r="H121" s="169"/>
      <c r="I121" s="169">
        <f t="shared" si="3"/>
        <v>13204</v>
      </c>
      <c r="J121" s="169">
        <v>2799</v>
      </c>
      <c r="K121" s="169">
        <v>10405</v>
      </c>
      <c r="N121" s="170"/>
    </row>
    <row r="122" spans="1:14" ht="26.25" customHeight="1" x14ac:dyDescent="0.2">
      <c r="A122" s="430"/>
      <c r="B122" s="182" t="s">
        <v>429</v>
      </c>
      <c r="C122" s="169">
        <f t="shared" si="2"/>
        <v>4470</v>
      </c>
      <c r="D122" s="174"/>
      <c r="E122" s="174"/>
      <c r="F122" s="174">
        <v>4470</v>
      </c>
      <c r="G122" s="174"/>
      <c r="H122" s="174"/>
      <c r="I122" s="174">
        <f t="shared" si="3"/>
        <v>0</v>
      </c>
      <c r="J122" s="169">
        <v>0</v>
      </c>
      <c r="K122" s="169">
        <v>0</v>
      </c>
      <c r="N122" s="170"/>
    </row>
    <row r="123" spans="1:14" ht="23.25" customHeight="1" x14ac:dyDescent="0.2">
      <c r="A123" s="167">
        <v>109</v>
      </c>
      <c r="B123" s="181" t="s">
        <v>83</v>
      </c>
      <c r="C123" s="169">
        <f t="shared" si="2"/>
        <v>1341</v>
      </c>
      <c r="D123" s="169"/>
      <c r="E123" s="169"/>
      <c r="F123" s="169">
        <v>1341</v>
      </c>
      <c r="G123" s="169"/>
      <c r="H123" s="169"/>
      <c r="I123" s="169">
        <f t="shared" si="3"/>
        <v>0</v>
      </c>
      <c r="J123" s="169">
        <v>0</v>
      </c>
      <c r="K123" s="169">
        <v>0</v>
      </c>
      <c r="N123" s="170"/>
    </row>
    <row r="124" spans="1:14" ht="10.5" customHeight="1" x14ac:dyDescent="0.2">
      <c r="A124" s="167">
        <v>110</v>
      </c>
      <c r="B124" s="171" t="s">
        <v>430</v>
      </c>
      <c r="C124" s="169">
        <f t="shared" si="2"/>
        <v>8084</v>
      </c>
      <c r="D124" s="169"/>
      <c r="E124" s="169"/>
      <c r="F124" s="169"/>
      <c r="G124" s="169"/>
      <c r="H124" s="169"/>
      <c r="I124" s="169">
        <f t="shared" si="3"/>
        <v>8084</v>
      </c>
      <c r="J124" s="169">
        <v>1819</v>
      </c>
      <c r="K124" s="169">
        <v>6265</v>
      </c>
      <c r="N124" s="170"/>
    </row>
    <row r="125" spans="1:14" ht="10.5" customHeight="1" x14ac:dyDescent="0.2">
      <c r="A125" s="167">
        <v>111</v>
      </c>
      <c r="B125" s="168" t="s">
        <v>3</v>
      </c>
      <c r="C125" s="169">
        <f t="shared" si="2"/>
        <v>29159</v>
      </c>
      <c r="D125" s="169"/>
      <c r="E125" s="169"/>
      <c r="F125" s="169"/>
      <c r="G125" s="169"/>
      <c r="H125" s="169"/>
      <c r="I125" s="169">
        <f t="shared" si="3"/>
        <v>29159</v>
      </c>
      <c r="J125" s="169">
        <v>8864</v>
      </c>
      <c r="K125" s="169">
        <v>20295</v>
      </c>
      <c r="N125" s="170"/>
    </row>
    <row r="126" spans="1:14" ht="10.5" customHeight="1" x14ac:dyDescent="0.2">
      <c r="A126" s="167">
        <v>112</v>
      </c>
      <c r="B126" s="171" t="s">
        <v>10</v>
      </c>
      <c r="C126" s="169">
        <f t="shared" si="2"/>
        <v>30564</v>
      </c>
      <c r="D126" s="169"/>
      <c r="E126" s="169"/>
      <c r="F126" s="169"/>
      <c r="G126" s="169"/>
      <c r="H126" s="169"/>
      <c r="I126" s="169">
        <f t="shared" si="3"/>
        <v>30564</v>
      </c>
      <c r="J126" s="169">
        <v>9108</v>
      </c>
      <c r="K126" s="169">
        <v>21456</v>
      </c>
      <c r="N126" s="170"/>
    </row>
    <row r="127" spans="1:14" ht="11.25" customHeight="1" x14ac:dyDescent="0.2">
      <c r="A127" s="167">
        <v>113</v>
      </c>
      <c r="B127" s="168" t="s">
        <v>15</v>
      </c>
      <c r="C127" s="169">
        <f t="shared" si="2"/>
        <v>81377</v>
      </c>
      <c r="D127" s="169"/>
      <c r="E127" s="169"/>
      <c r="F127" s="169"/>
      <c r="G127" s="169"/>
      <c r="H127" s="169"/>
      <c r="I127" s="169">
        <f t="shared" si="3"/>
        <v>81377</v>
      </c>
      <c r="J127" s="169">
        <f>19774+335</f>
        <v>20109</v>
      </c>
      <c r="K127" s="169">
        <v>61268</v>
      </c>
      <c r="N127" s="170"/>
    </row>
    <row r="128" spans="1:14" ht="10.5" customHeight="1" x14ac:dyDescent="0.2">
      <c r="A128" s="167">
        <v>114</v>
      </c>
      <c r="B128" s="171" t="s">
        <v>38</v>
      </c>
      <c r="C128" s="169">
        <f t="shared" si="2"/>
        <v>36702</v>
      </c>
      <c r="D128" s="169"/>
      <c r="E128" s="169"/>
      <c r="F128" s="169"/>
      <c r="G128" s="169"/>
      <c r="H128" s="169"/>
      <c r="I128" s="169">
        <f t="shared" si="3"/>
        <v>36702</v>
      </c>
      <c r="J128" s="169">
        <v>8698</v>
      </c>
      <c r="K128" s="169">
        <v>28004</v>
      </c>
      <c r="N128" s="170"/>
    </row>
    <row r="129" spans="1:14" ht="10.5" customHeight="1" x14ac:dyDescent="0.2">
      <c r="A129" s="167">
        <v>115</v>
      </c>
      <c r="B129" s="171" t="s">
        <v>16</v>
      </c>
      <c r="C129" s="169">
        <f t="shared" si="2"/>
        <v>44967</v>
      </c>
      <c r="D129" s="169"/>
      <c r="E129" s="169"/>
      <c r="F129" s="169"/>
      <c r="G129" s="169"/>
      <c r="H129" s="169"/>
      <c r="I129" s="169">
        <f t="shared" si="3"/>
        <v>44967</v>
      </c>
      <c r="J129" s="169">
        <f>10817-150+48</f>
        <v>10715</v>
      </c>
      <c r="K129" s="169">
        <v>34252</v>
      </c>
      <c r="N129" s="170"/>
    </row>
    <row r="130" spans="1:14" ht="10.5" customHeight="1" x14ac:dyDescent="0.2">
      <c r="A130" s="167">
        <v>116</v>
      </c>
      <c r="B130" s="168" t="s">
        <v>26</v>
      </c>
      <c r="C130" s="169">
        <f t="shared" si="2"/>
        <v>87998</v>
      </c>
      <c r="D130" s="169"/>
      <c r="E130" s="169"/>
      <c r="F130" s="169"/>
      <c r="G130" s="169"/>
      <c r="H130" s="169"/>
      <c r="I130" s="169">
        <f t="shared" si="3"/>
        <v>87998</v>
      </c>
      <c r="J130" s="169">
        <v>27015</v>
      </c>
      <c r="K130" s="169">
        <v>60983</v>
      </c>
      <c r="N130" s="170"/>
    </row>
    <row r="131" spans="1:14" ht="10.5" customHeight="1" x14ac:dyDescent="0.2">
      <c r="A131" s="167">
        <v>117</v>
      </c>
      <c r="B131" s="168" t="s">
        <v>31</v>
      </c>
      <c r="C131" s="169">
        <f t="shared" si="2"/>
        <v>77146</v>
      </c>
      <c r="D131" s="169"/>
      <c r="E131" s="169"/>
      <c r="F131" s="169"/>
      <c r="G131" s="169"/>
      <c r="H131" s="169"/>
      <c r="I131" s="169">
        <f t="shared" si="3"/>
        <v>77146</v>
      </c>
      <c r="J131" s="169">
        <v>16201</v>
      </c>
      <c r="K131" s="169">
        <v>60945</v>
      </c>
      <c r="N131" s="170"/>
    </row>
    <row r="132" spans="1:14" ht="10.5" customHeight="1" x14ac:dyDescent="0.2">
      <c r="A132" s="167">
        <v>118</v>
      </c>
      <c r="B132" s="171" t="s">
        <v>32</v>
      </c>
      <c r="C132" s="169">
        <f t="shared" si="2"/>
        <v>27502</v>
      </c>
      <c r="D132" s="169"/>
      <c r="E132" s="169"/>
      <c r="F132" s="169"/>
      <c r="G132" s="169"/>
      <c r="H132" s="169"/>
      <c r="I132" s="169">
        <f t="shared" si="3"/>
        <v>27502</v>
      </c>
      <c r="J132" s="169">
        <v>7426</v>
      </c>
      <c r="K132" s="169">
        <v>20076</v>
      </c>
      <c r="N132" s="170"/>
    </row>
    <row r="133" spans="1:14" ht="10.5" customHeight="1" x14ac:dyDescent="0.2">
      <c r="A133" s="167">
        <v>119</v>
      </c>
      <c r="B133" s="168" t="s">
        <v>35</v>
      </c>
      <c r="C133" s="169">
        <f t="shared" si="2"/>
        <v>42848</v>
      </c>
      <c r="D133" s="169"/>
      <c r="E133" s="169"/>
      <c r="F133" s="169"/>
      <c r="G133" s="169"/>
      <c r="H133" s="169"/>
      <c r="I133" s="169">
        <f t="shared" si="3"/>
        <v>42848</v>
      </c>
      <c r="J133" s="169">
        <v>8141</v>
      </c>
      <c r="K133" s="169">
        <v>34707</v>
      </c>
      <c r="N133" s="170"/>
    </row>
    <row r="134" spans="1:14" ht="10.5" customHeight="1" x14ac:dyDescent="0.2">
      <c r="A134" s="167">
        <v>120</v>
      </c>
      <c r="B134" s="171" t="s">
        <v>42</v>
      </c>
      <c r="C134" s="169">
        <f t="shared" si="2"/>
        <v>41611</v>
      </c>
      <c r="D134" s="169"/>
      <c r="E134" s="169"/>
      <c r="F134" s="169"/>
      <c r="G134" s="169"/>
      <c r="H134" s="169"/>
      <c r="I134" s="169">
        <f t="shared" si="3"/>
        <v>41611</v>
      </c>
      <c r="J134" s="169">
        <v>11818</v>
      </c>
      <c r="K134" s="169">
        <v>29793</v>
      </c>
      <c r="N134" s="170"/>
    </row>
    <row r="135" spans="1:14" ht="10.5" customHeight="1" x14ac:dyDescent="0.2">
      <c r="A135" s="167">
        <v>121</v>
      </c>
      <c r="B135" s="171" t="s">
        <v>21</v>
      </c>
      <c r="C135" s="169">
        <f t="shared" si="2"/>
        <v>50630</v>
      </c>
      <c r="D135" s="169">
        <v>2503</v>
      </c>
      <c r="E135" s="169"/>
      <c r="F135" s="169"/>
      <c r="G135" s="169"/>
      <c r="H135" s="169"/>
      <c r="I135" s="169">
        <f t="shared" si="3"/>
        <v>48127</v>
      </c>
      <c r="J135" s="169">
        <v>9481</v>
      </c>
      <c r="K135" s="169">
        <v>38646</v>
      </c>
      <c r="N135" s="170"/>
    </row>
    <row r="136" spans="1:14" ht="10.5" customHeight="1" x14ac:dyDescent="0.2">
      <c r="A136" s="167">
        <v>122</v>
      </c>
      <c r="B136" s="168" t="s">
        <v>41</v>
      </c>
      <c r="C136" s="169">
        <f t="shared" si="2"/>
        <v>31621</v>
      </c>
      <c r="D136" s="169"/>
      <c r="E136" s="169"/>
      <c r="F136" s="169"/>
      <c r="G136" s="169"/>
      <c r="H136" s="169"/>
      <c r="I136" s="169">
        <f t="shared" si="3"/>
        <v>31621</v>
      </c>
      <c r="J136" s="169">
        <v>8443</v>
      </c>
      <c r="K136" s="169">
        <v>23178</v>
      </c>
      <c r="N136" s="170"/>
    </row>
    <row r="137" spans="1:14" ht="10.5" customHeight="1" x14ac:dyDescent="0.2">
      <c r="A137" s="167">
        <v>123</v>
      </c>
      <c r="B137" s="171" t="s">
        <v>49</v>
      </c>
      <c r="C137" s="169">
        <f t="shared" ref="C137:C168" si="4">SUM(D137:I137)</f>
        <v>47183</v>
      </c>
      <c r="D137" s="169"/>
      <c r="E137" s="169"/>
      <c r="F137" s="169"/>
      <c r="G137" s="169"/>
      <c r="H137" s="169"/>
      <c r="I137" s="169">
        <f t="shared" si="3"/>
        <v>47183</v>
      </c>
      <c r="J137" s="169">
        <v>9861</v>
      </c>
      <c r="K137" s="169">
        <v>37322</v>
      </c>
      <c r="N137" s="170"/>
    </row>
    <row r="138" spans="1:14" ht="10.5" customHeight="1" x14ac:dyDescent="0.2">
      <c r="A138" s="167">
        <v>124</v>
      </c>
      <c r="B138" s="171" t="s">
        <v>50</v>
      </c>
      <c r="C138" s="169">
        <f t="shared" si="4"/>
        <v>79417</v>
      </c>
      <c r="D138" s="169"/>
      <c r="E138" s="169"/>
      <c r="F138" s="169"/>
      <c r="G138" s="169"/>
      <c r="H138" s="169"/>
      <c r="I138" s="169">
        <f t="shared" ref="I138:I170" si="5">J138+K138</f>
        <v>79417</v>
      </c>
      <c r="J138" s="169">
        <v>20648</v>
      </c>
      <c r="K138" s="169">
        <v>58769</v>
      </c>
      <c r="N138" s="170"/>
    </row>
    <row r="139" spans="1:14" ht="10.5" customHeight="1" x14ac:dyDescent="0.2">
      <c r="A139" s="167">
        <v>125</v>
      </c>
      <c r="B139" s="171" t="s">
        <v>14</v>
      </c>
      <c r="C139" s="169">
        <f t="shared" si="4"/>
        <v>37483</v>
      </c>
      <c r="D139" s="169"/>
      <c r="E139" s="169"/>
      <c r="F139" s="169"/>
      <c r="G139" s="169"/>
      <c r="H139" s="169"/>
      <c r="I139" s="169">
        <f t="shared" si="5"/>
        <v>37483</v>
      </c>
      <c r="J139" s="169">
        <v>7497</v>
      </c>
      <c r="K139" s="169">
        <v>29986</v>
      </c>
      <c r="N139" s="170"/>
    </row>
    <row r="140" spans="1:14" ht="24" customHeight="1" x14ac:dyDescent="0.2">
      <c r="A140" s="167">
        <v>126</v>
      </c>
      <c r="B140" s="181" t="s">
        <v>389</v>
      </c>
      <c r="C140" s="169">
        <f t="shared" si="4"/>
        <v>34894</v>
      </c>
      <c r="D140" s="169"/>
      <c r="E140" s="169"/>
      <c r="F140" s="169"/>
      <c r="G140" s="169"/>
      <c r="H140" s="169"/>
      <c r="I140" s="169">
        <f t="shared" si="5"/>
        <v>34894</v>
      </c>
      <c r="J140" s="169">
        <v>7991</v>
      </c>
      <c r="K140" s="169">
        <v>26903</v>
      </c>
      <c r="N140" s="170"/>
    </row>
    <row r="141" spans="1:14" ht="10.5" customHeight="1" x14ac:dyDescent="0.2">
      <c r="A141" s="167">
        <v>127</v>
      </c>
      <c r="B141" s="183" t="s">
        <v>431</v>
      </c>
      <c r="C141" s="169">
        <f t="shared" si="4"/>
        <v>1635</v>
      </c>
      <c r="D141" s="169"/>
      <c r="E141" s="169"/>
      <c r="F141" s="169"/>
      <c r="G141" s="169">
        <v>1635</v>
      </c>
      <c r="H141" s="169"/>
      <c r="I141" s="169">
        <f t="shared" si="5"/>
        <v>0</v>
      </c>
      <c r="J141" s="169">
        <v>0</v>
      </c>
      <c r="K141" s="169">
        <v>0</v>
      </c>
      <c r="N141" s="170"/>
    </row>
    <row r="142" spans="1:14" s="185" customFormat="1" ht="10.5" customHeight="1" x14ac:dyDescent="0.2">
      <c r="A142" s="167">
        <v>128</v>
      </c>
      <c r="B142" s="181" t="s">
        <v>432</v>
      </c>
      <c r="C142" s="169">
        <f t="shared" si="4"/>
        <v>102</v>
      </c>
      <c r="D142" s="184"/>
      <c r="E142" s="184"/>
      <c r="F142" s="184">
        <f>150-48</f>
        <v>102</v>
      </c>
      <c r="G142" s="184"/>
      <c r="H142" s="184"/>
      <c r="I142" s="184">
        <f t="shared" si="5"/>
        <v>0</v>
      </c>
      <c r="J142" s="184">
        <v>0</v>
      </c>
      <c r="K142" s="184">
        <v>0</v>
      </c>
      <c r="N142" s="170"/>
    </row>
    <row r="143" spans="1:14" ht="10.5" customHeight="1" x14ac:dyDescent="0.2">
      <c r="A143" s="167">
        <v>129</v>
      </c>
      <c r="B143" s="171" t="s">
        <v>433</v>
      </c>
      <c r="C143" s="169">
        <f t="shared" si="4"/>
        <v>0</v>
      </c>
      <c r="D143" s="169"/>
      <c r="E143" s="169"/>
      <c r="F143" s="169">
        <f>113-113</f>
        <v>0</v>
      </c>
      <c r="G143" s="169"/>
      <c r="H143" s="169"/>
      <c r="I143" s="169">
        <f t="shared" si="5"/>
        <v>0</v>
      </c>
      <c r="J143" s="169">
        <v>0</v>
      </c>
      <c r="K143" s="169">
        <v>0</v>
      </c>
      <c r="N143" s="170"/>
    </row>
    <row r="144" spans="1:14" ht="10.5" customHeight="1" x14ac:dyDescent="0.2">
      <c r="A144" s="167">
        <v>130</v>
      </c>
      <c r="B144" s="168" t="s">
        <v>434</v>
      </c>
      <c r="C144" s="169">
        <f t="shared" si="4"/>
        <v>112</v>
      </c>
      <c r="D144" s="169"/>
      <c r="E144" s="169"/>
      <c r="F144" s="169">
        <f>447-335</f>
        <v>112</v>
      </c>
      <c r="G144" s="169"/>
      <c r="H144" s="169"/>
      <c r="I144" s="169">
        <f t="shared" si="5"/>
        <v>0</v>
      </c>
      <c r="J144" s="169">
        <v>0</v>
      </c>
      <c r="K144" s="169">
        <v>0</v>
      </c>
      <c r="N144" s="170"/>
    </row>
    <row r="145" spans="1:14" ht="10.5" customHeight="1" x14ac:dyDescent="0.2">
      <c r="A145" s="167">
        <v>131</v>
      </c>
      <c r="B145" s="171" t="s">
        <v>435</v>
      </c>
      <c r="C145" s="169">
        <f t="shared" si="4"/>
        <v>50</v>
      </c>
      <c r="D145" s="169"/>
      <c r="E145" s="169"/>
      <c r="F145" s="169">
        <f>56-6</f>
        <v>50</v>
      </c>
      <c r="G145" s="169"/>
      <c r="H145" s="169"/>
      <c r="I145" s="169">
        <f t="shared" si="5"/>
        <v>0</v>
      </c>
      <c r="J145" s="169">
        <v>0</v>
      </c>
      <c r="K145" s="169">
        <v>0</v>
      </c>
      <c r="N145" s="170"/>
    </row>
    <row r="146" spans="1:14" s="178" customFormat="1" ht="12.75" customHeight="1" x14ac:dyDescent="0.2">
      <c r="A146" s="167">
        <v>132</v>
      </c>
      <c r="B146" s="181" t="s">
        <v>436</v>
      </c>
      <c r="C146" s="169">
        <f t="shared" si="4"/>
        <v>7844</v>
      </c>
      <c r="D146" s="169"/>
      <c r="E146" s="169"/>
      <c r="F146" s="169"/>
      <c r="G146" s="169">
        <v>7844</v>
      </c>
      <c r="H146" s="169"/>
      <c r="I146" s="169">
        <f t="shared" si="5"/>
        <v>0</v>
      </c>
      <c r="J146" s="169">
        <v>0</v>
      </c>
      <c r="K146" s="169">
        <v>0</v>
      </c>
      <c r="N146" s="170"/>
    </row>
    <row r="147" spans="1:14" s="186" customFormat="1" ht="12.75" customHeight="1" x14ac:dyDescent="0.2">
      <c r="A147" s="167">
        <v>133</v>
      </c>
      <c r="B147" s="171" t="s">
        <v>112</v>
      </c>
      <c r="C147" s="169">
        <f t="shared" si="4"/>
        <v>28</v>
      </c>
      <c r="D147" s="169"/>
      <c r="E147" s="169"/>
      <c r="F147" s="169">
        <f>31-3</f>
        <v>28</v>
      </c>
      <c r="G147" s="169"/>
      <c r="H147" s="169"/>
      <c r="I147" s="169">
        <f t="shared" si="5"/>
        <v>0</v>
      </c>
      <c r="J147" s="169">
        <v>0</v>
      </c>
      <c r="K147" s="169">
        <v>0</v>
      </c>
      <c r="N147" s="170"/>
    </row>
    <row r="148" spans="1:14" x14ac:dyDescent="0.2">
      <c r="A148" s="167">
        <v>134</v>
      </c>
      <c r="B148" s="171" t="s">
        <v>437</v>
      </c>
      <c r="C148" s="169">
        <f t="shared" si="4"/>
        <v>0</v>
      </c>
      <c r="D148" s="169"/>
      <c r="E148" s="169"/>
      <c r="F148" s="169">
        <f>31-31</f>
        <v>0</v>
      </c>
      <c r="G148" s="169"/>
      <c r="H148" s="169"/>
      <c r="I148" s="169">
        <f t="shared" si="5"/>
        <v>0</v>
      </c>
      <c r="J148" s="169">
        <v>0</v>
      </c>
      <c r="K148" s="169">
        <v>0</v>
      </c>
      <c r="N148" s="170"/>
    </row>
    <row r="149" spans="1:14" x14ac:dyDescent="0.2">
      <c r="A149" s="167">
        <v>135</v>
      </c>
      <c r="B149" s="171" t="s">
        <v>84</v>
      </c>
      <c r="C149" s="169">
        <f t="shared" si="4"/>
        <v>184</v>
      </c>
      <c r="D149" s="169"/>
      <c r="E149" s="169"/>
      <c r="F149" s="169">
        <f>288-104</f>
        <v>184</v>
      </c>
      <c r="G149" s="169"/>
      <c r="H149" s="169"/>
      <c r="I149" s="169">
        <f t="shared" si="5"/>
        <v>0</v>
      </c>
      <c r="J149" s="169">
        <v>0</v>
      </c>
      <c r="K149" s="169">
        <v>0</v>
      </c>
      <c r="N149" s="170"/>
    </row>
    <row r="150" spans="1:14" x14ac:dyDescent="0.2">
      <c r="A150" s="167">
        <v>136</v>
      </c>
      <c r="B150" s="171" t="s">
        <v>438</v>
      </c>
      <c r="C150" s="169">
        <f t="shared" si="4"/>
        <v>760</v>
      </c>
      <c r="D150" s="169"/>
      <c r="E150" s="169"/>
      <c r="F150" s="169"/>
      <c r="G150" s="169">
        <v>760</v>
      </c>
      <c r="H150" s="169"/>
      <c r="I150" s="169">
        <f t="shared" si="5"/>
        <v>0</v>
      </c>
      <c r="J150" s="169">
        <v>0</v>
      </c>
      <c r="K150" s="169">
        <v>0</v>
      </c>
      <c r="N150" s="170"/>
    </row>
    <row r="151" spans="1:14" x14ac:dyDescent="0.2">
      <c r="A151" s="167">
        <v>137</v>
      </c>
      <c r="B151" s="171" t="s">
        <v>116</v>
      </c>
      <c r="C151" s="169">
        <f t="shared" si="4"/>
        <v>28</v>
      </c>
      <c r="D151" s="169"/>
      <c r="E151" s="169"/>
      <c r="F151" s="169">
        <f>31-3</f>
        <v>28</v>
      </c>
      <c r="G151" s="169"/>
      <c r="H151" s="169"/>
      <c r="I151" s="169">
        <f t="shared" si="5"/>
        <v>0</v>
      </c>
      <c r="J151" s="169">
        <v>0</v>
      </c>
      <c r="K151" s="169">
        <v>0</v>
      </c>
      <c r="N151" s="170"/>
    </row>
    <row r="152" spans="1:14" x14ac:dyDescent="0.2">
      <c r="A152" s="167">
        <v>138</v>
      </c>
      <c r="B152" s="171" t="s">
        <v>439</v>
      </c>
      <c r="C152" s="169">
        <f t="shared" si="4"/>
        <v>0</v>
      </c>
      <c r="D152" s="169"/>
      <c r="E152" s="169"/>
      <c r="F152" s="169">
        <f>113-113</f>
        <v>0</v>
      </c>
      <c r="G152" s="169"/>
      <c r="H152" s="169"/>
      <c r="I152" s="169"/>
      <c r="J152" s="169"/>
      <c r="K152" s="169"/>
      <c r="N152" s="170"/>
    </row>
    <row r="153" spans="1:14" x14ac:dyDescent="0.2">
      <c r="A153" s="167">
        <v>139</v>
      </c>
      <c r="B153" s="171" t="s">
        <v>440</v>
      </c>
      <c r="C153" s="169">
        <f t="shared" si="4"/>
        <v>22</v>
      </c>
      <c r="D153" s="169"/>
      <c r="E153" s="169"/>
      <c r="F153" s="169">
        <f>25-3</f>
        <v>22</v>
      </c>
      <c r="G153" s="169"/>
      <c r="H153" s="169"/>
      <c r="I153" s="169"/>
      <c r="J153" s="169"/>
      <c r="K153" s="169"/>
      <c r="N153" s="170"/>
    </row>
    <row r="154" spans="1:14" x14ac:dyDescent="0.2">
      <c r="A154" s="167">
        <v>140</v>
      </c>
      <c r="B154" s="171" t="s">
        <v>441</v>
      </c>
      <c r="C154" s="169">
        <f t="shared" si="4"/>
        <v>2976</v>
      </c>
      <c r="D154" s="169"/>
      <c r="E154" s="169"/>
      <c r="F154" s="169"/>
      <c r="G154" s="169">
        <v>2976</v>
      </c>
      <c r="H154" s="169"/>
      <c r="I154" s="169">
        <f t="shared" si="5"/>
        <v>0</v>
      </c>
      <c r="J154" s="169">
        <v>0</v>
      </c>
      <c r="K154" s="169">
        <v>0</v>
      </c>
      <c r="N154" s="170"/>
    </row>
    <row r="155" spans="1:14" s="187" customFormat="1" ht="14.25" customHeight="1" x14ac:dyDescent="0.2">
      <c r="A155" s="167">
        <v>141</v>
      </c>
      <c r="B155" s="171" t="s">
        <v>442</v>
      </c>
      <c r="C155" s="169">
        <f t="shared" si="4"/>
        <v>28</v>
      </c>
      <c r="D155" s="184"/>
      <c r="E155" s="184"/>
      <c r="F155" s="184">
        <f>113-85</f>
        <v>28</v>
      </c>
      <c r="G155" s="184"/>
      <c r="H155" s="184"/>
      <c r="I155" s="184">
        <f t="shared" si="5"/>
        <v>0</v>
      </c>
      <c r="J155" s="184">
        <v>0</v>
      </c>
      <c r="K155" s="184">
        <v>0</v>
      </c>
      <c r="N155" s="170"/>
    </row>
    <row r="156" spans="1:14" s="187" customFormat="1" ht="15.75" customHeight="1" x14ac:dyDescent="0.2">
      <c r="A156" s="167">
        <v>142</v>
      </c>
      <c r="B156" s="171" t="s">
        <v>443</v>
      </c>
      <c r="C156" s="169">
        <f t="shared" si="4"/>
        <v>28</v>
      </c>
      <c r="D156" s="184"/>
      <c r="E156" s="184"/>
      <c r="F156" s="184">
        <f>113-85</f>
        <v>28</v>
      </c>
      <c r="G156" s="184"/>
      <c r="H156" s="184"/>
      <c r="I156" s="184">
        <f t="shared" si="5"/>
        <v>0</v>
      </c>
      <c r="J156" s="184">
        <v>0</v>
      </c>
      <c r="K156" s="184">
        <v>0</v>
      </c>
      <c r="N156" s="170"/>
    </row>
    <row r="157" spans="1:14" s="185" customFormat="1" x14ac:dyDescent="0.2">
      <c r="A157" s="167">
        <v>143</v>
      </c>
      <c r="B157" s="171" t="s">
        <v>444</v>
      </c>
      <c r="C157" s="169">
        <f t="shared" si="4"/>
        <v>28</v>
      </c>
      <c r="D157" s="184"/>
      <c r="E157" s="184"/>
      <c r="F157" s="184">
        <f>113-85</f>
        <v>28</v>
      </c>
      <c r="G157" s="184"/>
      <c r="H157" s="184"/>
      <c r="I157" s="184">
        <f t="shared" si="5"/>
        <v>0</v>
      </c>
      <c r="J157" s="184">
        <v>0</v>
      </c>
      <c r="K157" s="184">
        <v>0</v>
      </c>
      <c r="N157" s="170"/>
    </row>
    <row r="158" spans="1:14" x14ac:dyDescent="0.2">
      <c r="A158" s="167">
        <v>144</v>
      </c>
      <c r="B158" s="171" t="s">
        <v>445</v>
      </c>
      <c r="C158" s="169">
        <f t="shared" si="4"/>
        <v>192</v>
      </c>
      <c r="D158" s="169"/>
      <c r="E158" s="169"/>
      <c r="F158" s="169"/>
      <c r="G158" s="169">
        <v>192</v>
      </c>
      <c r="H158" s="169"/>
      <c r="I158" s="169"/>
      <c r="J158" s="169"/>
      <c r="K158" s="169"/>
      <c r="N158" s="170"/>
    </row>
    <row r="159" spans="1:14" x14ac:dyDescent="0.2">
      <c r="A159" s="167">
        <v>145</v>
      </c>
      <c r="B159" s="171" t="s">
        <v>85</v>
      </c>
      <c r="C159" s="169">
        <f t="shared" si="4"/>
        <v>764</v>
      </c>
      <c r="D159" s="169"/>
      <c r="E159" s="169"/>
      <c r="F159" s="169"/>
      <c r="G159" s="169">
        <v>764</v>
      </c>
      <c r="H159" s="169"/>
      <c r="I159" s="169">
        <f t="shared" si="5"/>
        <v>0</v>
      </c>
      <c r="J159" s="169">
        <v>0</v>
      </c>
      <c r="K159" s="169">
        <v>0</v>
      </c>
      <c r="N159" s="170"/>
    </row>
    <row r="160" spans="1:14" x14ac:dyDescent="0.2">
      <c r="A160" s="167">
        <v>146</v>
      </c>
      <c r="B160" s="171" t="s">
        <v>66</v>
      </c>
      <c r="C160" s="169">
        <f t="shared" si="4"/>
        <v>1932</v>
      </c>
      <c r="D160" s="169"/>
      <c r="E160" s="169"/>
      <c r="F160" s="169"/>
      <c r="G160" s="169">
        <v>183</v>
      </c>
      <c r="H160" s="169">
        <v>1749</v>
      </c>
      <c r="I160" s="169">
        <f t="shared" si="5"/>
        <v>0</v>
      </c>
      <c r="J160" s="169">
        <v>0</v>
      </c>
      <c r="K160" s="169">
        <v>0</v>
      </c>
      <c r="N160" s="170"/>
    </row>
    <row r="161" spans="1:14" x14ac:dyDescent="0.2">
      <c r="A161" s="167">
        <v>147</v>
      </c>
      <c r="B161" s="171" t="s">
        <v>86</v>
      </c>
      <c r="C161" s="169">
        <f t="shared" si="4"/>
        <v>23691</v>
      </c>
      <c r="D161" s="169"/>
      <c r="E161" s="169"/>
      <c r="F161" s="169">
        <v>23691</v>
      </c>
      <c r="G161" s="169"/>
      <c r="H161" s="169"/>
      <c r="I161" s="169">
        <f t="shared" si="5"/>
        <v>0</v>
      </c>
      <c r="J161" s="169">
        <v>0</v>
      </c>
      <c r="K161" s="169">
        <v>0</v>
      </c>
      <c r="N161" s="170"/>
    </row>
    <row r="162" spans="1:14" x14ac:dyDescent="0.2">
      <c r="A162" s="167">
        <v>148</v>
      </c>
      <c r="B162" s="171" t="s">
        <v>206</v>
      </c>
      <c r="C162" s="169">
        <f t="shared" si="4"/>
        <v>35562</v>
      </c>
      <c r="D162" s="169"/>
      <c r="E162" s="169"/>
      <c r="F162" s="169">
        <v>35562</v>
      </c>
      <c r="G162" s="169"/>
      <c r="H162" s="169"/>
      <c r="I162" s="169">
        <f t="shared" si="5"/>
        <v>0</v>
      </c>
      <c r="J162" s="169">
        <v>0</v>
      </c>
      <c r="K162" s="169">
        <v>0</v>
      </c>
      <c r="N162" s="170"/>
    </row>
    <row r="163" spans="1:14" x14ac:dyDescent="0.2">
      <c r="A163" s="167">
        <v>149</v>
      </c>
      <c r="B163" s="171" t="s">
        <v>87</v>
      </c>
      <c r="C163" s="169">
        <f t="shared" si="4"/>
        <v>35581</v>
      </c>
      <c r="D163" s="169"/>
      <c r="E163" s="169"/>
      <c r="F163" s="169">
        <v>35581</v>
      </c>
      <c r="G163" s="169"/>
      <c r="H163" s="169"/>
      <c r="I163" s="169">
        <f t="shared" si="5"/>
        <v>0</v>
      </c>
      <c r="J163" s="169">
        <v>0</v>
      </c>
      <c r="K163" s="169">
        <v>0</v>
      </c>
      <c r="N163" s="170"/>
    </row>
    <row r="164" spans="1:14" x14ac:dyDescent="0.2">
      <c r="A164" s="429">
        <v>150</v>
      </c>
      <c r="B164" s="171" t="s">
        <v>88</v>
      </c>
      <c r="C164" s="169">
        <f t="shared" si="4"/>
        <v>79411</v>
      </c>
      <c r="D164" s="169"/>
      <c r="E164" s="169">
        <v>7530</v>
      </c>
      <c r="F164" s="169"/>
      <c r="G164" s="169"/>
      <c r="H164" s="169">
        <v>5422</v>
      </c>
      <c r="I164" s="169">
        <f t="shared" si="5"/>
        <v>66459</v>
      </c>
      <c r="J164" s="169">
        <v>18143</v>
      </c>
      <c r="K164" s="169">
        <v>48316</v>
      </c>
      <c r="N164" s="170"/>
    </row>
    <row r="165" spans="1:14" s="189" customFormat="1" ht="39.75" customHeight="1" x14ac:dyDescent="0.2">
      <c r="A165" s="430"/>
      <c r="B165" s="188" t="s">
        <v>446</v>
      </c>
      <c r="C165" s="169">
        <f t="shared" si="4"/>
        <v>129687</v>
      </c>
      <c r="D165" s="174"/>
      <c r="E165" s="174"/>
      <c r="F165" s="174"/>
      <c r="G165" s="174"/>
      <c r="H165" s="174"/>
      <c r="I165" s="169">
        <f t="shared" si="5"/>
        <v>129687</v>
      </c>
      <c r="J165" s="169">
        <v>26326</v>
      </c>
      <c r="K165" s="169">
        <v>103361</v>
      </c>
      <c r="N165" s="170"/>
    </row>
    <row r="166" spans="1:14" x14ac:dyDescent="0.2">
      <c r="A166" s="167">
        <v>151</v>
      </c>
      <c r="B166" s="171" t="s">
        <v>447</v>
      </c>
      <c r="C166" s="169">
        <f t="shared" si="4"/>
        <v>13410</v>
      </c>
      <c r="D166" s="169"/>
      <c r="E166" s="169"/>
      <c r="F166" s="169">
        <v>13410</v>
      </c>
      <c r="G166" s="169"/>
      <c r="H166" s="169"/>
      <c r="I166" s="169">
        <f t="shared" si="5"/>
        <v>0</v>
      </c>
      <c r="J166" s="169">
        <v>0</v>
      </c>
      <c r="K166" s="169">
        <v>0</v>
      </c>
      <c r="N166" s="170"/>
    </row>
    <row r="167" spans="1:14" x14ac:dyDescent="0.2">
      <c r="A167" s="167">
        <v>152</v>
      </c>
      <c r="B167" s="171" t="s">
        <v>119</v>
      </c>
      <c r="C167" s="169">
        <f t="shared" si="4"/>
        <v>894</v>
      </c>
      <c r="D167" s="169"/>
      <c r="E167" s="169"/>
      <c r="F167" s="169">
        <v>894</v>
      </c>
      <c r="G167" s="169"/>
      <c r="H167" s="169"/>
      <c r="I167" s="169">
        <f t="shared" si="5"/>
        <v>0</v>
      </c>
      <c r="J167" s="169">
        <v>0</v>
      </c>
      <c r="K167" s="169">
        <v>0</v>
      </c>
      <c r="N167" s="170"/>
    </row>
    <row r="168" spans="1:14" x14ac:dyDescent="0.2">
      <c r="A168" s="167">
        <v>153</v>
      </c>
      <c r="B168" s="171" t="s">
        <v>448</v>
      </c>
      <c r="C168" s="169">
        <f t="shared" si="4"/>
        <v>157</v>
      </c>
      <c r="D168" s="169"/>
      <c r="E168" s="169">
        <v>157</v>
      </c>
      <c r="F168" s="169"/>
      <c r="G168" s="169"/>
      <c r="H168" s="169"/>
      <c r="I168" s="169"/>
      <c r="J168" s="169"/>
      <c r="K168" s="169"/>
      <c r="N168" s="170"/>
    </row>
    <row r="169" spans="1:14" x14ac:dyDescent="0.2">
      <c r="A169" s="167"/>
      <c r="B169" s="171" t="s">
        <v>69</v>
      </c>
      <c r="C169" s="169">
        <f>19968+144+113</f>
        <v>20225</v>
      </c>
      <c r="D169" s="169"/>
      <c r="E169" s="169"/>
      <c r="F169" s="169"/>
      <c r="G169" s="169"/>
      <c r="H169" s="169"/>
      <c r="I169" s="169">
        <f t="shared" si="5"/>
        <v>0</v>
      </c>
      <c r="J169" s="169">
        <v>0</v>
      </c>
      <c r="K169" s="169">
        <v>0</v>
      </c>
      <c r="N169" s="170"/>
    </row>
    <row r="170" spans="1:14" x14ac:dyDescent="0.2">
      <c r="A170" s="167"/>
      <c r="B170" s="190" t="s">
        <v>449</v>
      </c>
      <c r="C170" s="169">
        <f>G170</f>
        <v>1445</v>
      </c>
      <c r="D170" s="169"/>
      <c r="E170" s="169"/>
      <c r="F170" s="169"/>
      <c r="G170" s="169">
        <f>1445</f>
        <v>1445</v>
      </c>
      <c r="H170" s="169"/>
      <c r="I170" s="169">
        <f t="shared" si="5"/>
        <v>0</v>
      </c>
      <c r="J170" s="169">
        <v>0</v>
      </c>
      <c r="K170" s="169">
        <v>0</v>
      </c>
      <c r="N170" s="170"/>
    </row>
    <row r="171" spans="1:14" ht="18.75" customHeight="1" x14ac:dyDescent="0.2">
      <c r="A171" s="191"/>
      <c r="B171" s="191" t="s">
        <v>120</v>
      </c>
      <c r="C171" s="192">
        <f>SUM(C7:C170)</f>
        <v>7129165</v>
      </c>
      <c r="D171" s="192">
        <f t="shared" ref="D171:K171" si="6">SUM(D7:D170)</f>
        <v>30110</v>
      </c>
      <c r="E171" s="192">
        <f t="shared" si="6"/>
        <v>53833</v>
      </c>
      <c r="F171" s="192">
        <f>SUM(F7:F170)</f>
        <v>541446</v>
      </c>
      <c r="G171" s="192">
        <f t="shared" si="6"/>
        <v>15799</v>
      </c>
      <c r="H171" s="192">
        <f t="shared" si="6"/>
        <v>18540</v>
      </c>
      <c r="I171" s="192">
        <f t="shared" si="6"/>
        <v>6449212</v>
      </c>
      <c r="J171" s="192">
        <f t="shared" si="6"/>
        <v>1658356</v>
      </c>
      <c r="K171" s="192">
        <f t="shared" si="6"/>
        <v>4790856</v>
      </c>
      <c r="N171" s="170"/>
    </row>
  </sheetData>
  <mergeCells count="21">
    <mergeCell ref="A50:A52"/>
    <mergeCell ref="A55:A56"/>
    <mergeCell ref="A116:A117"/>
    <mergeCell ref="A121:A122"/>
    <mergeCell ref="A164:A165"/>
    <mergeCell ref="A45:A46"/>
    <mergeCell ref="A1:K1"/>
    <mergeCell ref="A3:A6"/>
    <mergeCell ref="B3:B6"/>
    <mergeCell ref="C3:C6"/>
    <mergeCell ref="D3:K3"/>
    <mergeCell ref="D4:D6"/>
    <mergeCell ref="E4:E6"/>
    <mergeCell ref="F4:F6"/>
    <mergeCell ref="G4:G6"/>
    <mergeCell ref="H4:H6"/>
    <mergeCell ref="I4:K4"/>
    <mergeCell ref="I5:I6"/>
    <mergeCell ref="J5:K5"/>
    <mergeCell ref="A11:A12"/>
    <mergeCell ref="A41:A42"/>
  </mergeCells>
  <pageMargins left="0.51181102362204722" right="0.39370078740157483" top="0.39370078740157483" bottom="0.19685039370078741" header="0.31496062992125984" footer="0.31496062992125984"/>
  <pageSetup paperSize="9" scale="61" fitToHeight="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G138"/>
  <sheetViews>
    <sheetView tabSelected="1" zoomScale="80" zoomScaleNormal="80" zoomScaleSheetLayoutView="77" workbookViewId="0">
      <pane xSplit="4" ySplit="5" topLeftCell="E81" activePane="bottomRight" state="frozen"/>
      <selection activeCell="U73" sqref="U73"/>
      <selection pane="topRight" activeCell="U73" sqref="U73"/>
      <selection pane="bottomLeft" activeCell="U73" sqref="U73"/>
      <selection pane="bottomRight" activeCell="E91" sqref="E91"/>
    </sheetView>
  </sheetViews>
  <sheetFormatPr defaultRowHeight="18.75" outlineLevelCol="1" x14ac:dyDescent="0.25"/>
  <cols>
    <col min="1" max="1" width="7.42578125" style="151" customWidth="1"/>
    <col min="2" max="2" width="12.42578125" style="151" hidden="1" customWidth="1"/>
    <col min="3" max="3" width="11.140625" style="151" hidden="1" customWidth="1"/>
    <col min="4" max="4" width="54" style="162" customWidth="1"/>
    <col min="5" max="5" width="25.42578125" style="151" customWidth="1"/>
    <col min="6" max="6" width="21.5703125" style="151" customWidth="1" outlineLevel="1"/>
    <col min="7" max="7" width="25" style="151" customWidth="1" outlineLevel="1"/>
    <col min="8" max="16384" width="9.140625" style="151"/>
  </cols>
  <sheetData>
    <row r="1" spans="1:7" s="150" customFormat="1" x14ac:dyDescent="0.25">
      <c r="A1" s="147"/>
      <c r="B1" s="147"/>
      <c r="C1" s="147"/>
      <c r="D1" s="148"/>
      <c r="E1" s="147"/>
      <c r="F1" s="147"/>
      <c r="G1" s="149"/>
    </row>
    <row r="2" spans="1:7" ht="60" customHeight="1" x14ac:dyDescent="0.25">
      <c r="A2" s="446" t="s">
        <v>329</v>
      </c>
      <c r="B2" s="446"/>
      <c r="C2" s="446"/>
      <c r="D2" s="446"/>
      <c r="E2" s="446"/>
      <c r="F2" s="446"/>
      <c r="G2" s="446"/>
    </row>
    <row r="3" spans="1:7" x14ac:dyDescent="0.25">
      <c r="A3" s="152"/>
      <c r="B3" s="152"/>
      <c r="C3" s="152"/>
      <c r="D3" s="153" t="s">
        <v>330</v>
      </c>
      <c r="E3" s="154">
        <v>0.54</v>
      </c>
      <c r="F3" s="152"/>
      <c r="G3" s="152"/>
    </row>
    <row r="4" spans="1:7" ht="58.5" customHeight="1" x14ac:dyDescent="0.25">
      <c r="A4" s="447" t="s">
        <v>0</v>
      </c>
      <c r="B4" s="447" t="s">
        <v>515</v>
      </c>
      <c r="C4" s="447" t="s">
        <v>516</v>
      </c>
      <c r="D4" s="447" t="s">
        <v>133</v>
      </c>
      <c r="E4" s="444" t="s">
        <v>331</v>
      </c>
      <c r="F4" s="447" t="s">
        <v>332</v>
      </c>
      <c r="G4" s="447"/>
    </row>
    <row r="5" spans="1:7" ht="51" customHeight="1" x14ac:dyDescent="0.25">
      <c r="A5" s="447"/>
      <c r="B5" s="447"/>
      <c r="C5" s="447"/>
      <c r="D5" s="447"/>
      <c r="E5" s="445"/>
      <c r="F5" s="272" t="s">
        <v>333</v>
      </c>
      <c r="G5" s="272" t="s">
        <v>334</v>
      </c>
    </row>
    <row r="6" spans="1:7" x14ac:dyDescent="0.25">
      <c r="A6" s="272">
        <v>1</v>
      </c>
      <c r="B6" s="272">
        <v>2</v>
      </c>
      <c r="C6" s="272">
        <v>5</v>
      </c>
      <c r="D6" s="272">
        <v>2</v>
      </c>
      <c r="E6" s="155" t="s">
        <v>335</v>
      </c>
      <c r="F6" s="155" t="s">
        <v>336</v>
      </c>
      <c r="G6" s="155" t="s">
        <v>337</v>
      </c>
    </row>
    <row r="7" spans="1:7" ht="36.950000000000003" hidden="1" customHeight="1" x14ac:dyDescent="0.25">
      <c r="A7" s="156"/>
      <c r="B7" s="156"/>
      <c r="C7" s="156"/>
      <c r="D7" s="272" t="s">
        <v>338</v>
      </c>
      <c r="E7" s="272">
        <v>1261668</v>
      </c>
      <c r="F7" s="272">
        <v>0</v>
      </c>
      <c r="G7" s="272">
        <v>0</v>
      </c>
    </row>
    <row r="8" spans="1:7" ht="27" customHeight="1" x14ac:dyDescent="0.25">
      <c r="A8" s="272">
        <v>1</v>
      </c>
      <c r="B8" s="272" t="s">
        <v>517</v>
      </c>
      <c r="C8" s="272" t="s">
        <v>518</v>
      </c>
      <c r="D8" s="157" t="s">
        <v>1</v>
      </c>
      <c r="E8" s="272">
        <v>21515</v>
      </c>
      <c r="F8" s="272"/>
      <c r="G8" s="272"/>
    </row>
    <row r="9" spans="1:7" ht="27" customHeight="1" x14ac:dyDescent="0.25">
      <c r="A9" s="272">
        <v>2</v>
      </c>
      <c r="B9" s="272" t="s">
        <v>519</v>
      </c>
      <c r="C9" s="272" t="s">
        <v>518</v>
      </c>
      <c r="D9" s="157" t="s">
        <v>2</v>
      </c>
      <c r="E9" s="272">
        <v>20292</v>
      </c>
      <c r="F9" s="272"/>
      <c r="G9" s="272"/>
    </row>
    <row r="10" spans="1:7" ht="27" customHeight="1" x14ac:dyDescent="0.25">
      <c r="A10" s="272">
        <v>3</v>
      </c>
      <c r="B10" s="272" t="s">
        <v>520</v>
      </c>
      <c r="C10" s="272" t="s">
        <v>518</v>
      </c>
      <c r="D10" s="157" t="s">
        <v>3</v>
      </c>
      <c r="E10" s="272">
        <v>9126</v>
      </c>
      <c r="F10" s="272"/>
      <c r="G10" s="272"/>
    </row>
    <row r="11" spans="1:7" ht="27" customHeight="1" x14ac:dyDescent="0.25">
      <c r="A11" s="272">
        <v>4</v>
      </c>
      <c r="B11" s="272" t="s">
        <v>521</v>
      </c>
      <c r="C11" s="272" t="s">
        <v>518</v>
      </c>
      <c r="D11" s="157" t="s">
        <v>4</v>
      </c>
      <c r="E11" s="272">
        <v>10315</v>
      </c>
      <c r="F11" s="272"/>
      <c r="G11" s="272"/>
    </row>
    <row r="12" spans="1:7" ht="27" customHeight="1" x14ac:dyDescent="0.25">
      <c r="A12" s="272">
        <v>5</v>
      </c>
      <c r="B12" s="272" t="s">
        <v>522</v>
      </c>
      <c r="C12" s="272" t="s">
        <v>518</v>
      </c>
      <c r="D12" s="157" t="s">
        <v>5</v>
      </c>
      <c r="E12" s="272">
        <v>17262</v>
      </c>
      <c r="F12" s="272"/>
      <c r="G12" s="272"/>
    </row>
    <row r="13" spans="1:7" ht="27" customHeight="1" x14ac:dyDescent="0.25">
      <c r="A13" s="272">
        <v>6</v>
      </c>
      <c r="B13" s="272" t="s">
        <v>523</v>
      </c>
      <c r="C13" s="272" t="s">
        <v>518</v>
      </c>
      <c r="D13" s="157" t="s">
        <v>6</v>
      </c>
      <c r="E13" s="272">
        <v>29089</v>
      </c>
      <c r="F13" s="272"/>
      <c r="G13" s="272"/>
    </row>
    <row r="14" spans="1:7" ht="27" customHeight="1" x14ac:dyDescent="0.25">
      <c r="A14" s="272">
        <v>7</v>
      </c>
      <c r="B14" s="272" t="s">
        <v>524</v>
      </c>
      <c r="C14" s="272" t="s">
        <v>518</v>
      </c>
      <c r="D14" s="157" t="s">
        <v>7</v>
      </c>
      <c r="E14" s="272">
        <v>14157</v>
      </c>
      <c r="F14" s="272"/>
      <c r="G14" s="272"/>
    </row>
    <row r="15" spans="1:7" ht="27" customHeight="1" x14ac:dyDescent="0.25">
      <c r="A15" s="272">
        <v>8</v>
      </c>
      <c r="B15" s="272" t="s">
        <v>525</v>
      </c>
      <c r="C15" s="272" t="s">
        <v>518</v>
      </c>
      <c r="D15" s="157" t="s">
        <v>8</v>
      </c>
      <c r="E15" s="272">
        <v>10342</v>
      </c>
      <c r="F15" s="272"/>
      <c r="G15" s="272"/>
    </row>
    <row r="16" spans="1:7" ht="27" customHeight="1" x14ac:dyDescent="0.25">
      <c r="A16" s="272">
        <v>9</v>
      </c>
      <c r="B16" s="272" t="s">
        <v>526</v>
      </c>
      <c r="C16" s="272" t="s">
        <v>527</v>
      </c>
      <c r="D16" s="157" t="s">
        <v>9</v>
      </c>
      <c r="E16" s="272">
        <v>48134</v>
      </c>
      <c r="F16" s="272"/>
      <c r="G16" s="272"/>
    </row>
    <row r="17" spans="1:7" ht="27" customHeight="1" x14ac:dyDescent="0.25">
      <c r="A17" s="272">
        <v>10</v>
      </c>
      <c r="B17" s="272" t="s">
        <v>528</v>
      </c>
      <c r="C17" s="272" t="s">
        <v>518</v>
      </c>
      <c r="D17" s="157" t="s">
        <v>10</v>
      </c>
      <c r="E17" s="272">
        <v>9562</v>
      </c>
      <c r="F17" s="272"/>
      <c r="G17" s="272"/>
    </row>
    <row r="18" spans="1:7" ht="27" customHeight="1" x14ac:dyDescent="0.25">
      <c r="A18" s="272">
        <v>11</v>
      </c>
      <c r="B18" s="272" t="s">
        <v>529</v>
      </c>
      <c r="C18" s="272" t="s">
        <v>530</v>
      </c>
      <c r="D18" s="157" t="s">
        <v>11</v>
      </c>
      <c r="E18" s="272">
        <v>53592</v>
      </c>
      <c r="F18" s="272"/>
      <c r="G18" s="272"/>
    </row>
    <row r="19" spans="1:7" ht="27" customHeight="1" x14ac:dyDescent="0.25">
      <c r="A19" s="272">
        <v>12</v>
      </c>
      <c r="B19" s="272" t="s">
        <v>531</v>
      </c>
      <c r="C19" s="272" t="s">
        <v>518</v>
      </c>
      <c r="D19" s="157" t="s">
        <v>12</v>
      </c>
      <c r="E19" s="272">
        <f>10527+155</f>
        <v>10682</v>
      </c>
      <c r="F19" s="272"/>
      <c r="G19" s="272"/>
    </row>
    <row r="20" spans="1:7" ht="27" customHeight="1" x14ac:dyDescent="0.25">
      <c r="A20" s="272">
        <v>13</v>
      </c>
      <c r="B20" s="272" t="s">
        <v>531</v>
      </c>
      <c r="C20" s="272" t="s">
        <v>518</v>
      </c>
      <c r="D20" s="157" t="s">
        <v>339</v>
      </c>
      <c r="E20" s="272">
        <f>225-169</f>
        <v>56</v>
      </c>
      <c r="F20" s="272"/>
      <c r="G20" s="272"/>
    </row>
    <row r="21" spans="1:7" ht="27" customHeight="1" x14ac:dyDescent="0.25">
      <c r="A21" s="272">
        <v>14</v>
      </c>
      <c r="B21" s="272" t="s">
        <v>531</v>
      </c>
      <c r="C21" s="272" t="s">
        <v>518</v>
      </c>
      <c r="D21" s="157" t="s">
        <v>340</v>
      </c>
      <c r="E21" s="272">
        <f>207-155</f>
        <v>52</v>
      </c>
      <c r="F21" s="272"/>
      <c r="G21" s="272"/>
    </row>
    <row r="22" spans="1:7" ht="27" customHeight="1" x14ac:dyDescent="0.25">
      <c r="A22" s="272">
        <v>15</v>
      </c>
      <c r="B22" s="272" t="s">
        <v>532</v>
      </c>
      <c r="C22" s="272" t="s">
        <v>530</v>
      </c>
      <c r="D22" s="157" t="s">
        <v>13</v>
      </c>
      <c r="E22" s="272">
        <v>29854</v>
      </c>
      <c r="F22" s="272"/>
      <c r="G22" s="272"/>
    </row>
    <row r="23" spans="1:7" ht="27" customHeight="1" x14ac:dyDescent="0.25">
      <c r="A23" s="272">
        <v>16</v>
      </c>
      <c r="B23" s="272" t="s">
        <v>533</v>
      </c>
      <c r="C23" s="272" t="s">
        <v>518</v>
      </c>
      <c r="D23" s="157" t="s">
        <v>341</v>
      </c>
      <c r="E23" s="272">
        <v>1100</v>
      </c>
      <c r="F23" s="272"/>
      <c r="G23" s="272"/>
    </row>
    <row r="24" spans="1:7" ht="27" customHeight="1" x14ac:dyDescent="0.25">
      <c r="A24" s="272">
        <v>17</v>
      </c>
      <c r="B24" s="272" t="s">
        <v>534</v>
      </c>
      <c r="C24" s="272" t="s">
        <v>518</v>
      </c>
      <c r="D24" s="157" t="s">
        <v>14</v>
      </c>
      <c r="E24" s="272">
        <v>11732</v>
      </c>
      <c r="F24" s="272"/>
      <c r="G24" s="272"/>
    </row>
    <row r="25" spans="1:7" ht="27" customHeight="1" x14ac:dyDescent="0.25">
      <c r="A25" s="272">
        <v>18</v>
      </c>
      <c r="B25" s="272" t="s">
        <v>535</v>
      </c>
      <c r="C25" s="272" t="s">
        <v>518</v>
      </c>
      <c r="D25" s="157" t="s">
        <v>15</v>
      </c>
      <c r="E25" s="272">
        <f>25241+188</f>
        <v>25429</v>
      </c>
      <c r="F25" s="272"/>
      <c r="G25" s="272"/>
    </row>
    <row r="26" spans="1:7" ht="27" customHeight="1" x14ac:dyDescent="0.25">
      <c r="A26" s="272">
        <v>19</v>
      </c>
      <c r="B26" s="272" t="s">
        <v>536</v>
      </c>
      <c r="C26" s="272" t="s">
        <v>518</v>
      </c>
      <c r="D26" s="157" t="s">
        <v>342</v>
      </c>
      <c r="E26" s="272">
        <f>250-188</f>
        <v>62</v>
      </c>
      <c r="F26" s="272"/>
      <c r="G26" s="272"/>
    </row>
    <row r="27" spans="1:7" ht="27" customHeight="1" x14ac:dyDescent="0.25">
      <c r="A27" s="272">
        <v>20</v>
      </c>
      <c r="B27" s="272" t="s">
        <v>537</v>
      </c>
      <c r="C27" s="272" t="s">
        <v>518</v>
      </c>
      <c r="D27" s="157" t="s">
        <v>16</v>
      </c>
      <c r="E27" s="272">
        <f>14063+38</f>
        <v>14101</v>
      </c>
      <c r="F27" s="272"/>
      <c r="G27" s="272"/>
    </row>
    <row r="28" spans="1:7" ht="27" customHeight="1" x14ac:dyDescent="0.25">
      <c r="A28" s="272">
        <v>21</v>
      </c>
      <c r="B28" s="272" t="s">
        <v>538</v>
      </c>
      <c r="C28" s="272" t="s">
        <v>518</v>
      </c>
      <c r="D28" s="157" t="s">
        <v>17</v>
      </c>
      <c r="E28" s="272">
        <v>11498</v>
      </c>
      <c r="F28" s="272"/>
      <c r="G28" s="272"/>
    </row>
    <row r="29" spans="1:7" ht="27" customHeight="1" x14ac:dyDescent="0.25">
      <c r="A29" s="272">
        <v>22</v>
      </c>
      <c r="B29" s="272" t="s">
        <v>539</v>
      </c>
      <c r="C29" s="272" t="s">
        <v>518</v>
      </c>
      <c r="D29" s="157" t="s">
        <v>18</v>
      </c>
      <c r="E29" s="272">
        <v>8916</v>
      </c>
      <c r="F29" s="272"/>
      <c r="G29" s="272"/>
    </row>
    <row r="30" spans="1:7" ht="27" customHeight="1" x14ac:dyDescent="0.25">
      <c r="A30" s="272">
        <v>23</v>
      </c>
      <c r="B30" s="272" t="s">
        <v>540</v>
      </c>
      <c r="C30" s="272" t="s">
        <v>518</v>
      </c>
      <c r="D30" s="157" t="s">
        <v>19</v>
      </c>
      <c r="E30" s="272">
        <v>16731</v>
      </c>
      <c r="F30" s="272"/>
      <c r="G30" s="272"/>
    </row>
    <row r="31" spans="1:7" ht="27" customHeight="1" x14ac:dyDescent="0.25">
      <c r="A31" s="272">
        <v>24</v>
      </c>
      <c r="B31" s="272" t="s">
        <v>541</v>
      </c>
      <c r="C31" s="272" t="s">
        <v>518</v>
      </c>
      <c r="D31" s="157" t="s">
        <v>20</v>
      </c>
      <c r="E31" s="272">
        <v>19583</v>
      </c>
      <c r="F31" s="272"/>
      <c r="G31" s="272"/>
    </row>
    <row r="32" spans="1:7" ht="27" customHeight="1" x14ac:dyDescent="0.25">
      <c r="A32" s="272">
        <v>25</v>
      </c>
      <c r="B32" s="272" t="s">
        <v>542</v>
      </c>
      <c r="C32" s="272" t="s">
        <v>543</v>
      </c>
      <c r="D32" s="157" t="s">
        <v>21</v>
      </c>
      <c r="E32" s="272">
        <v>15052</v>
      </c>
      <c r="F32" s="272"/>
      <c r="G32" s="272"/>
    </row>
    <row r="33" spans="1:7" ht="27" customHeight="1" x14ac:dyDescent="0.25">
      <c r="A33" s="272">
        <v>26</v>
      </c>
      <c r="B33" s="272" t="s">
        <v>544</v>
      </c>
      <c r="C33" s="272" t="s">
        <v>530</v>
      </c>
      <c r="D33" s="157" t="s">
        <v>22</v>
      </c>
      <c r="E33" s="272">
        <v>28769</v>
      </c>
      <c r="F33" s="272"/>
      <c r="G33" s="272"/>
    </row>
    <row r="34" spans="1:7" ht="27" customHeight="1" x14ac:dyDescent="0.25">
      <c r="A34" s="272">
        <v>27</v>
      </c>
      <c r="B34" s="272" t="s">
        <v>545</v>
      </c>
      <c r="C34" s="272" t="s">
        <v>518</v>
      </c>
      <c r="D34" s="157" t="s">
        <v>343</v>
      </c>
      <c r="E34" s="272">
        <v>1800</v>
      </c>
      <c r="F34" s="272"/>
      <c r="G34" s="272"/>
    </row>
    <row r="35" spans="1:7" ht="27" customHeight="1" x14ac:dyDescent="0.25">
      <c r="A35" s="272">
        <v>28</v>
      </c>
      <c r="B35" s="272" t="s">
        <v>546</v>
      </c>
      <c r="C35" s="272" t="s">
        <v>518</v>
      </c>
      <c r="D35" s="157" t="s">
        <v>23</v>
      </c>
      <c r="E35" s="272">
        <v>6922</v>
      </c>
      <c r="F35" s="272"/>
      <c r="G35" s="272"/>
    </row>
    <row r="36" spans="1:7" ht="27" customHeight="1" x14ac:dyDescent="0.25">
      <c r="A36" s="272">
        <v>29</v>
      </c>
      <c r="B36" s="272" t="s">
        <v>547</v>
      </c>
      <c r="C36" s="272" t="s">
        <v>518</v>
      </c>
      <c r="D36" s="157" t="s">
        <v>24</v>
      </c>
      <c r="E36" s="272">
        <v>13405</v>
      </c>
      <c r="F36" s="272"/>
      <c r="G36" s="272"/>
    </row>
    <row r="37" spans="1:7" ht="27" customHeight="1" x14ac:dyDescent="0.25">
      <c r="A37" s="272">
        <v>30</v>
      </c>
      <c r="B37" s="272" t="s">
        <v>548</v>
      </c>
      <c r="C37" s="272" t="s">
        <v>518</v>
      </c>
      <c r="D37" s="157" t="s">
        <v>25</v>
      </c>
      <c r="E37" s="272">
        <v>7388</v>
      </c>
      <c r="F37" s="272"/>
      <c r="G37" s="272"/>
    </row>
    <row r="38" spans="1:7" ht="27" customHeight="1" x14ac:dyDescent="0.25">
      <c r="A38" s="272">
        <v>31</v>
      </c>
      <c r="B38" s="272" t="s">
        <v>549</v>
      </c>
      <c r="C38" s="272" t="s">
        <v>518</v>
      </c>
      <c r="D38" s="157" t="s">
        <v>26</v>
      </c>
      <c r="E38" s="272">
        <v>27518</v>
      </c>
      <c r="F38" s="272"/>
      <c r="G38" s="272"/>
    </row>
    <row r="39" spans="1:7" ht="27" customHeight="1" x14ac:dyDescent="0.25">
      <c r="A39" s="272">
        <v>32</v>
      </c>
      <c r="B39" s="272" t="s">
        <v>550</v>
      </c>
      <c r="C39" s="272" t="s">
        <v>518</v>
      </c>
      <c r="D39" s="157" t="s">
        <v>27</v>
      </c>
      <c r="E39" s="272">
        <v>16636</v>
      </c>
      <c r="F39" s="272"/>
      <c r="G39" s="272"/>
    </row>
    <row r="40" spans="1:7" ht="27" customHeight="1" x14ac:dyDescent="0.25">
      <c r="A40" s="272">
        <v>33</v>
      </c>
      <c r="B40" s="272" t="s">
        <v>551</v>
      </c>
      <c r="C40" s="272" t="s">
        <v>527</v>
      </c>
      <c r="D40" s="157" t="s">
        <v>28</v>
      </c>
      <c r="E40" s="272">
        <v>44220</v>
      </c>
      <c r="F40" s="272"/>
      <c r="G40" s="272"/>
    </row>
    <row r="41" spans="1:7" ht="27" customHeight="1" x14ac:dyDescent="0.25">
      <c r="A41" s="272">
        <v>34</v>
      </c>
      <c r="B41" s="272" t="s">
        <v>552</v>
      </c>
      <c r="C41" s="272" t="s">
        <v>518</v>
      </c>
      <c r="D41" s="157" t="s">
        <v>29</v>
      </c>
      <c r="E41" s="272">
        <v>12892</v>
      </c>
      <c r="F41" s="272"/>
      <c r="G41" s="272"/>
    </row>
    <row r="42" spans="1:7" ht="27" customHeight="1" x14ac:dyDescent="0.25">
      <c r="A42" s="272">
        <v>35</v>
      </c>
      <c r="B42" s="272" t="s">
        <v>553</v>
      </c>
      <c r="C42" s="272" t="s">
        <v>518</v>
      </c>
      <c r="D42" s="157" t="s">
        <v>30</v>
      </c>
      <c r="E42" s="272">
        <v>11818</v>
      </c>
      <c r="F42" s="272"/>
      <c r="G42" s="272"/>
    </row>
    <row r="43" spans="1:7" ht="27" customHeight="1" x14ac:dyDescent="0.25">
      <c r="A43" s="272">
        <v>36</v>
      </c>
      <c r="B43" s="272" t="s">
        <v>554</v>
      </c>
      <c r="C43" s="272" t="s">
        <v>518</v>
      </c>
      <c r="D43" s="157" t="s">
        <v>31</v>
      </c>
      <c r="E43" s="272">
        <v>24139</v>
      </c>
      <c r="F43" s="272"/>
      <c r="G43" s="272"/>
    </row>
    <row r="44" spans="1:7" ht="27" customHeight="1" x14ac:dyDescent="0.25">
      <c r="A44" s="272">
        <v>37</v>
      </c>
      <c r="B44" s="272" t="s">
        <v>555</v>
      </c>
      <c r="C44" s="272" t="s">
        <v>518</v>
      </c>
      <c r="D44" s="157" t="s">
        <v>32</v>
      </c>
      <c r="E44" s="272">
        <v>8605</v>
      </c>
      <c r="F44" s="272"/>
      <c r="G44" s="272"/>
    </row>
    <row r="45" spans="1:7" ht="27" customHeight="1" x14ac:dyDescent="0.25">
      <c r="A45" s="272">
        <v>38</v>
      </c>
      <c r="B45" s="272" t="s">
        <v>556</v>
      </c>
      <c r="C45" s="272" t="s">
        <v>518</v>
      </c>
      <c r="D45" s="157" t="s">
        <v>33</v>
      </c>
      <c r="E45" s="272">
        <v>14234</v>
      </c>
      <c r="F45" s="272"/>
      <c r="G45" s="272"/>
    </row>
    <row r="46" spans="1:7" ht="27" customHeight="1" x14ac:dyDescent="0.25">
      <c r="A46" s="272">
        <v>39</v>
      </c>
      <c r="B46" s="272" t="s">
        <v>557</v>
      </c>
      <c r="C46" s="272" t="s">
        <v>518</v>
      </c>
      <c r="D46" s="157" t="s">
        <v>34</v>
      </c>
      <c r="E46" s="272">
        <v>15459</v>
      </c>
      <c r="F46" s="272"/>
      <c r="G46" s="272"/>
    </row>
    <row r="47" spans="1:7" ht="27" customHeight="1" x14ac:dyDescent="0.25">
      <c r="A47" s="272">
        <v>40</v>
      </c>
      <c r="B47" s="272" t="s">
        <v>558</v>
      </c>
      <c r="C47" s="272" t="s">
        <v>518</v>
      </c>
      <c r="D47" s="157" t="s">
        <v>35</v>
      </c>
      <c r="E47" s="272">
        <v>13413</v>
      </c>
      <c r="F47" s="272"/>
      <c r="G47" s="272"/>
    </row>
    <row r="48" spans="1:7" ht="27" customHeight="1" x14ac:dyDescent="0.25">
      <c r="A48" s="272">
        <v>41</v>
      </c>
      <c r="B48" s="272" t="s">
        <v>559</v>
      </c>
      <c r="C48" s="272" t="s">
        <v>518</v>
      </c>
      <c r="D48" s="157" t="s">
        <v>344</v>
      </c>
      <c r="E48" s="272">
        <v>12544</v>
      </c>
      <c r="F48" s="272"/>
      <c r="G48" s="272"/>
    </row>
    <row r="49" spans="1:7" ht="27" customHeight="1" x14ac:dyDescent="0.25">
      <c r="A49" s="272">
        <v>42</v>
      </c>
      <c r="B49" s="272" t="s">
        <v>559</v>
      </c>
      <c r="C49" s="272" t="s">
        <v>530</v>
      </c>
      <c r="D49" s="157" t="s">
        <v>36</v>
      </c>
      <c r="E49" s="272">
        <v>32127</v>
      </c>
      <c r="F49" s="272"/>
      <c r="G49" s="272"/>
    </row>
    <row r="50" spans="1:7" ht="27" customHeight="1" x14ac:dyDescent="0.25">
      <c r="A50" s="272">
        <v>43</v>
      </c>
      <c r="B50" s="272" t="s">
        <v>560</v>
      </c>
      <c r="C50" s="272" t="s">
        <v>527</v>
      </c>
      <c r="D50" s="157" t="s">
        <v>37</v>
      </c>
      <c r="E50" s="272">
        <v>42744</v>
      </c>
      <c r="F50" s="272"/>
      <c r="G50" s="272"/>
    </row>
    <row r="51" spans="1:7" ht="27" customHeight="1" x14ac:dyDescent="0.25">
      <c r="A51" s="272">
        <v>44</v>
      </c>
      <c r="B51" s="272" t="s">
        <v>561</v>
      </c>
      <c r="C51" s="272" t="s">
        <v>518</v>
      </c>
      <c r="D51" s="157" t="s">
        <v>38</v>
      </c>
      <c r="E51" s="272">
        <v>11485</v>
      </c>
      <c r="F51" s="272"/>
      <c r="G51" s="272"/>
    </row>
    <row r="52" spans="1:7" ht="27" customHeight="1" x14ac:dyDescent="0.25">
      <c r="A52" s="272">
        <v>45</v>
      </c>
      <c r="B52" s="272" t="s">
        <v>562</v>
      </c>
      <c r="C52" s="272" t="s">
        <v>518</v>
      </c>
      <c r="D52" s="157" t="s">
        <v>39</v>
      </c>
      <c r="E52" s="272">
        <v>11722</v>
      </c>
      <c r="F52" s="272"/>
      <c r="G52" s="272"/>
    </row>
    <row r="53" spans="1:7" ht="27" customHeight="1" x14ac:dyDescent="0.25">
      <c r="A53" s="272">
        <v>46</v>
      </c>
      <c r="B53" s="272" t="s">
        <v>563</v>
      </c>
      <c r="C53" s="272" t="s">
        <v>518</v>
      </c>
      <c r="D53" s="157" t="s">
        <v>40</v>
      </c>
      <c r="E53" s="272">
        <f>13541+255</f>
        <v>13796</v>
      </c>
      <c r="F53" s="272"/>
      <c r="G53" s="272"/>
    </row>
    <row r="54" spans="1:7" ht="27" customHeight="1" x14ac:dyDescent="0.25">
      <c r="A54" s="272">
        <v>47</v>
      </c>
      <c r="B54" s="272" t="s">
        <v>563</v>
      </c>
      <c r="C54" s="272" t="s">
        <v>518</v>
      </c>
      <c r="D54" s="157" t="s">
        <v>345</v>
      </c>
      <c r="E54" s="272">
        <f>115-86</f>
        <v>29</v>
      </c>
      <c r="F54" s="272"/>
      <c r="G54" s="272"/>
    </row>
    <row r="55" spans="1:7" ht="27" customHeight="1" x14ac:dyDescent="0.25">
      <c r="A55" s="272">
        <v>48</v>
      </c>
      <c r="B55" s="272" t="s">
        <v>564</v>
      </c>
      <c r="C55" s="272" t="s">
        <v>518</v>
      </c>
      <c r="D55" s="157" t="s">
        <v>41</v>
      </c>
      <c r="E55" s="272">
        <v>9893</v>
      </c>
      <c r="F55" s="272"/>
      <c r="G55" s="272"/>
    </row>
    <row r="56" spans="1:7" ht="27" customHeight="1" x14ac:dyDescent="0.25">
      <c r="A56" s="272">
        <v>49</v>
      </c>
      <c r="B56" s="272" t="s">
        <v>565</v>
      </c>
      <c r="C56" s="272" t="s">
        <v>518</v>
      </c>
      <c r="D56" s="157" t="s">
        <v>42</v>
      </c>
      <c r="E56" s="272">
        <v>13017</v>
      </c>
      <c r="F56" s="272"/>
      <c r="G56" s="272"/>
    </row>
    <row r="57" spans="1:7" ht="27" customHeight="1" x14ac:dyDescent="0.25">
      <c r="A57" s="272">
        <v>50</v>
      </c>
      <c r="B57" s="272" t="s">
        <v>566</v>
      </c>
      <c r="C57" s="272" t="s">
        <v>518</v>
      </c>
      <c r="D57" s="157" t="s">
        <v>43</v>
      </c>
      <c r="E57" s="272">
        <v>9937</v>
      </c>
      <c r="F57" s="272"/>
      <c r="G57" s="272"/>
    </row>
    <row r="58" spans="1:7" ht="27" customHeight="1" x14ac:dyDescent="0.25">
      <c r="A58" s="272">
        <v>51</v>
      </c>
      <c r="B58" s="272" t="s">
        <v>567</v>
      </c>
      <c r="C58" s="272" t="s">
        <v>518</v>
      </c>
      <c r="D58" s="157" t="s">
        <v>346</v>
      </c>
      <c r="E58" s="272">
        <v>20615</v>
      </c>
      <c r="F58" s="272"/>
      <c r="G58" s="272"/>
    </row>
    <row r="59" spans="1:7" ht="27" customHeight="1" x14ac:dyDescent="0.25">
      <c r="A59" s="272">
        <v>52</v>
      </c>
      <c r="B59" s="272" t="s">
        <v>568</v>
      </c>
      <c r="C59" s="272" t="s">
        <v>518</v>
      </c>
      <c r="D59" s="157" t="s">
        <v>44</v>
      </c>
      <c r="E59" s="272">
        <v>12330</v>
      </c>
      <c r="F59" s="272"/>
      <c r="G59" s="272"/>
    </row>
    <row r="60" spans="1:7" ht="27" customHeight="1" x14ac:dyDescent="0.25">
      <c r="A60" s="272">
        <v>53</v>
      </c>
      <c r="B60" s="272" t="s">
        <v>569</v>
      </c>
      <c r="C60" s="272" t="s">
        <v>530</v>
      </c>
      <c r="D60" s="157" t="s">
        <v>45</v>
      </c>
      <c r="E60" s="272">
        <v>68685</v>
      </c>
      <c r="F60" s="272"/>
      <c r="G60" s="272"/>
    </row>
    <row r="61" spans="1:7" ht="27" customHeight="1" x14ac:dyDescent="0.25">
      <c r="A61" s="272">
        <v>54</v>
      </c>
      <c r="B61" s="272" t="s">
        <v>570</v>
      </c>
      <c r="C61" s="272" t="s">
        <v>518</v>
      </c>
      <c r="D61" s="157" t="s">
        <v>347</v>
      </c>
      <c r="E61" s="272">
        <v>33546</v>
      </c>
      <c r="F61" s="272"/>
      <c r="G61" s="272"/>
    </row>
    <row r="62" spans="1:7" ht="27" customHeight="1" x14ac:dyDescent="0.25">
      <c r="A62" s="272">
        <v>55</v>
      </c>
      <c r="B62" s="272" t="s">
        <v>571</v>
      </c>
      <c r="C62" s="272" t="s">
        <v>527</v>
      </c>
      <c r="D62" s="157" t="s">
        <v>46</v>
      </c>
      <c r="E62" s="272">
        <v>37664</v>
      </c>
      <c r="F62" s="272"/>
      <c r="G62" s="272"/>
    </row>
    <row r="63" spans="1:7" ht="27" customHeight="1" x14ac:dyDescent="0.25">
      <c r="A63" s="272">
        <v>56</v>
      </c>
      <c r="B63" s="272" t="s">
        <v>572</v>
      </c>
      <c r="C63" s="272" t="s">
        <v>518</v>
      </c>
      <c r="D63" s="157" t="s">
        <v>47</v>
      </c>
      <c r="E63" s="272">
        <v>8055</v>
      </c>
      <c r="F63" s="272"/>
      <c r="G63" s="272"/>
    </row>
    <row r="64" spans="1:7" ht="27" customHeight="1" x14ac:dyDescent="0.25">
      <c r="A64" s="272">
        <v>57</v>
      </c>
      <c r="B64" s="272" t="s">
        <v>573</v>
      </c>
      <c r="C64" s="272" t="s">
        <v>518</v>
      </c>
      <c r="D64" s="157" t="s">
        <v>48</v>
      </c>
      <c r="E64" s="272">
        <v>15509</v>
      </c>
      <c r="F64" s="272"/>
      <c r="G64" s="272"/>
    </row>
    <row r="65" spans="1:7" ht="27" customHeight="1" x14ac:dyDescent="0.25">
      <c r="A65" s="272">
        <v>58</v>
      </c>
      <c r="B65" s="272" t="s">
        <v>574</v>
      </c>
      <c r="C65" s="272" t="s">
        <v>518</v>
      </c>
      <c r="D65" s="157" t="s">
        <v>49</v>
      </c>
      <c r="E65" s="272">
        <v>14771</v>
      </c>
      <c r="F65" s="272"/>
      <c r="G65" s="272"/>
    </row>
    <row r="66" spans="1:7" ht="27" customHeight="1" x14ac:dyDescent="0.25">
      <c r="A66" s="272">
        <v>59</v>
      </c>
      <c r="B66" s="272" t="s">
        <v>575</v>
      </c>
      <c r="C66" s="272" t="s">
        <v>518</v>
      </c>
      <c r="D66" s="157" t="s">
        <v>50</v>
      </c>
      <c r="E66" s="272">
        <v>24858</v>
      </c>
      <c r="F66" s="272"/>
      <c r="G66" s="272"/>
    </row>
    <row r="67" spans="1:7" ht="27" customHeight="1" x14ac:dyDescent="0.25">
      <c r="A67" s="272">
        <v>60</v>
      </c>
      <c r="B67" s="272" t="s">
        <v>576</v>
      </c>
      <c r="C67" s="272" t="s">
        <v>518</v>
      </c>
      <c r="D67" s="157" t="s">
        <v>51</v>
      </c>
      <c r="E67" s="272">
        <v>11087</v>
      </c>
      <c r="F67" s="272"/>
      <c r="G67" s="272"/>
    </row>
    <row r="68" spans="1:7" ht="27" customHeight="1" x14ac:dyDescent="0.25">
      <c r="A68" s="272">
        <v>61</v>
      </c>
      <c r="B68" s="272" t="s">
        <v>577</v>
      </c>
      <c r="C68" s="272" t="s">
        <v>518</v>
      </c>
      <c r="D68" s="157" t="s">
        <v>52</v>
      </c>
      <c r="E68" s="272">
        <v>23384</v>
      </c>
      <c r="F68" s="272"/>
      <c r="G68" s="272"/>
    </row>
    <row r="69" spans="1:7" ht="27" customHeight="1" x14ac:dyDescent="0.25">
      <c r="A69" s="272">
        <v>62</v>
      </c>
      <c r="B69" s="272" t="s">
        <v>578</v>
      </c>
      <c r="C69" s="272" t="s">
        <v>579</v>
      </c>
      <c r="D69" s="157" t="s">
        <v>348</v>
      </c>
      <c r="E69" s="272">
        <v>7319</v>
      </c>
      <c r="F69" s="272"/>
      <c r="G69" s="272"/>
    </row>
    <row r="70" spans="1:7" ht="27" customHeight="1" x14ac:dyDescent="0.25">
      <c r="A70" s="272">
        <v>63</v>
      </c>
      <c r="B70" s="272" t="s">
        <v>580</v>
      </c>
      <c r="C70" s="272" t="s">
        <v>543</v>
      </c>
      <c r="D70" s="157" t="s">
        <v>147</v>
      </c>
      <c r="E70" s="272">
        <f>72573+332</f>
        <v>72905</v>
      </c>
      <c r="F70" s="272"/>
      <c r="G70" s="272"/>
    </row>
    <row r="71" spans="1:7" ht="27" customHeight="1" x14ac:dyDescent="0.25">
      <c r="A71" s="272">
        <v>64</v>
      </c>
      <c r="B71" s="272" t="s">
        <v>581</v>
      </c>
      <c r="C71" s="272" t="s">
        <v>518</v>
      </c>
      <c r="D71" s="157" t="s">
        <v>349</v>
      </c>
      <c r="E71" s="272">
        <f>80-60</f>
        <v>20</v>
      </c>
      <c r="F71" s="272"/>
      <c r="G71" s="272"/>
    </row>
    <row r="72" spans="1:7" ht="27" customHeight="1" x14ac:dyDescent="0.25">
      <c r="A72" s="272">
        <v>65</v>
      </c>
      <c r="B72" s="272" t="s">
        <v>582</v>
      </c>
      <c r="C72" s="272" t="s">
        <v>518</v>
      </c>
      <c r="D72" s="157" t="s">
        <v>350</v>
      </c>
      <c r="E72" s="272">
        <f>43-32</f>
        <v>11</v>
      </c>
      <c r="F72" s="272"/>
      <c r="G72" s="272"/>
    </row>
    <row r="73" spans="1:7" ht="27" customHeight="1" x14ac:dyDescent="0.25">
      <c r="A73" s="272">
        <v>66</v>
      </c>
      <c r="B73" s="155" t="s">
        <v>583</v>
      </c>
      <c r="C73" s="272" t="s">
        <v>518</v>
      </c>
      <c r="D73" s="157" t="s">
        <v>351</v>
      </c>
      <c r="E73" s="272">
        <f>80-60</f>
        <v>20</v>
      </c>
      <c r="F73" s="272"/>
      <c r="G73" s="272"/>
    </row>
    <row r="74" spans="1:7" ht="27" customHeight="1" x14ac:dyDescent="0.25">
      <c r="A74" s="272">
        <v>67</v>
      </c>
      <c r="B74" s="155" t="s">
        <v>583</v>
      </c>
      <c r="C74" s="272" t="s">
        <v>518</v>
      </c>
      <c r="D74" s="157" t="s">
        <v>352</v>
      </c>
      <c r="E74" s="272">
        <f>80-60</f>
        <v>20</v>
      </c>
      <c r="F74" s="272"/>
      <c r="G74" s="272"/>
    </row>
    <row r="75" spans="1:7" ht="27" customHeight="1" x14ac:dyDescent="0.25">
      <c r="A75" s="272">
        <v>68</v>
      </c>
      <c r="B75" s="272" t="s">
        <v>584</v>
      </c>
      <c r="C75" s="272" t="s">
        <v>518</v>
      </c>
      <c r="D75" s="157" t="s">
        <v>353</v>
      </c>
      <c r="E75" s="272">
        <f>80-60</f>
        <v>20</v>
      </c>
      <c r="F75" s="272"/>
      <c r="G75" s="272"/>
    </row>
    <row r="76" spans="1:7" ht="27" customHeight="1" x14ac:dyDescent="0.25">
      <c r="A76" s="272">
        <v>69</v>
      </c>
      <c r="B76" s="272"/>
      <c r="C76" s="272"/>
      <c r="D76" s="157" t="s">
        <v>354</v>
      </c>
      <c r="E76" s="272">
        <f>80-60</f>
        <v>20</v>
      </c>
      <c r="F76" s="272"/>
      <c r="G76" s="272"/>
    </row>
    <row r="77" spans="1:7" ht="27" customHeight="1" x14ac:dyDescent="0.25">
      <c r="A77" s="272">
        <v>70</v>
      </c>
      <c r="B77" s="272" t="s">
        <v>580</v>
      </c>
      <c r="C77" s="272" t="s">
        <v>518</v>
      </c>
      <c r="D77" s="157" t="s">
        <v>355</v>
      </c>
      <c r="E77" s="272">
        <v>9431</v>
      </c>
      <c r="F77" s="272"/>
      <c r="G77" s="272"/>
    </row>
    <row r="78" spans="1:7" ht="27" customHeight="1" x14ac:dyDescent="0.25">
      <c r="A78" s="272">
        <v>71</v>
      </c>
      <c r="B78" s="272" t="s">
        <v>585</v>
      </c>
      <c r="C78" s="272" t="s">
        <v>530</v>
      </c>
      <c r="D78" s="157" t="s">
        <v>152</v>
      </c>
      <c r="E78" s="272">
        <v>52908</v>
      </c>
      <c r="F78" s="272"/>
      <c r="G78" s="272"/>
    </row>
    <row r="79" spans="1:7" ht="27" customHeight="1" x14ac:dyDescent="0.25">
      <c r="A79" s="272">
        <v>72</v>
      </c>
      <c r="B79" s="272" t="s">
        <v>586</v>
      </c>
      <c r="C79" s="272" t="s">
        <v>518</v>
      </c>
      <c r="D79" s="157" t="s">
        <v>356</v>
      </c>
      <c r="E79" s="272">
        <v>3000</v>
      </c>
      <c r="F79" s="272"/>
      <c r="G79" s="272"/>
    </row>
    <row r="80" spans="1:7" ht="27" customHeight="1" x14ac:dyDescent="0.25">
      <c r="A80" s="272">
        <v>73</v>
      </c>
      <c r="B80" s="272" t="s">
        <v>587</v>
      </c>
      <c r="C80" s="272" t="s">
        <v>530</v>
      </c>
      <c r="D80" s="157" t="s">
        <v>53</v>
      </c>
      <c r="E80" s="272">
        <v>30982</v>
      </c>
      <c r="F80" s="272"/>
      <c r="G80" s="272"/>
    </row>
    <row r="81" spans="1:7" ht="27" customHeight="1" x14ac:dyDescent="0.25">
      <c r="A81" s="272">
        <v>74</v>
      </c>
      <c r="B81" s="272" t="s">
        <v>588</v>
      </c>
      <c r="C81" s="272" t="s">
        <v>518</v>
      </c>
      <c r="D81" s="157" t="s">
        <v>357</v>
      </c>
      <c r="E81" s="272">
        <v>1800</v>
      </c>
      <c r="F81" s="272"/>
      <c r="G81" s="272"/>
    </row>
    <row r="82" spans="1:7" ht="27" customHeight="1" x14ac:dyDescent="0.25">
      <c r="A82" s="272">
        <v>75</v>
      </c>
      <c r="B82" s="272" t="s">
        <v>589</v>
      </c>
      <c r="C82" s="272" t="s">
        <v>527</v>
      </c>
      <c r="D82" s="157" t="s">
        <v>358</v>
      </c>
      <c r="E82" s="272">
        <v>7616</v>
      </c>
      <c r="F82" s="272"/>
      <c r="G82" s="272"/>
    </row>
    <row r="83" spans="1:7" ht="27" customHeight="1" x14ac:dyDescent="0.25">
      <c r="A83" s="272">
        <v>76</v>
      </c>
      <c r="B83" s="272" t="s">
        <v>590</v>
      </c>
      <c r="C83" s="272" t="s">
        <v>543</v>
      </c>
      <c r="D83" s="157" t="s">
        <v>54</v>
      </c>
      <c r="E83" s="272">
        <f>44878-5200</f>
        <v>39678</v>
      </c>
      <c r="F83" s="272"/>
      <c r="G83" s="272"/>
    </row>
    <row r="84" spans="1:7" ht="27" customHeight="1" x14ac:dyDescent="0.25">
      <c r="A84" s="272">
        <v>77</v>
      </c>
      <c r="B84" s="272" t="s">
        <v>591</v>
      </c>
      <c r="C84" s="272" t="s">
        <v>518</v>
      </c>
      <c r="D84" s="157" t="s">
        <v>359</v>
      </c>
      <c r="E84" s="272">
        <v>5710</v>
      </c>
      <c r="F84" s="272"/>
      <c r="G84" s="272"/>
    </row>
    <row r="85" spans="1:7" ht="27" customHeight="1" x14ac:dyDescent="0.25">
      <c r="A85" s="272">
        <v>78</v>
      </c>
      <c r="B85" s="272" t="s">
        <v>590</v>
      </c>
      <c r="C85" s="272" t="s">
        <v>527</v>
      </c>
      <c r="D85" s="157" t="s">
        <v>360</v>
      </c>
      <c r="E85" s="272">
        <f>13930+5200</f>
        <v>19130</v>
      </c>
      <c r="F85" s="272"/>
      <c r="G85" s="272"/>
    </row>
    <row r="86" spans="1:7" ht="33.75" customHeight="1" x14ac:dyDescent="0.25">
      <c r="A86" s="272">
        <v>79</v>
      </c>
      <c r="B86" s="272"/>
      <c r="C86" s="272" t="s">
        <v>527</v>
      </c>
      <c r="D86" s="157" t="s">
        <v>361</v>
      </c>
      <c r="E86" s="272">
        <v>1093</v>
      </c>
      <c r="F86" s="272"/>
      <c r="G86" s="272"/>
    </row>
    <row r="87" spans="1:7" ht="27" customHeight="1" x14ac:dyDescent="0.25">
      <c r="A87" s="272">
        <v>80</v>
      </c>
      <c r="B87" s="272" t="s">
        <v>592</v>
      </c>
      <c r="C87" s="272" t="s">
        <v>530</v>
      </c>
      <c r="D87" s="157" t="s">
        <v>150</v>
      </c>
      <c r="E87" s="272">
        <v>33217</v>
      </c>
      <c r="F87" s="272"/>
      <c r="G87" s="272"/>
    </row>
    <row r="88" spans="1:7" ht="27" customHeight="1" x14ac:dyDescent="0.25">
      <c r="A88" s="272">
        <v>81</v>
      </c>
      <c r="B88" s="272" t="s">
        <v>567</v>
      </c>
      <c r="C88" s="272" t="s">
        <v>530</v>
      </c>
      <c r="D88" s="157" t="s">
        <v>151</v>
      </c>
      <c r="E88" s="272">
        <v>16406</v>
      </c>
      <c r="F88" s="156"/>
      <c r="G88" s="156"/>
    </row>
    <row r="89" spans="1:7" ht="27" customHeight="1" x14ac:dyDescent="0.25">
      <c r="A89" s="272">
        <v>82</v>
      </c>
      <c r="B89" s="272" t="s">
        <v>593</v>
      </c>
      <c r="C89" s="272" t="s">
        <v>518</v>
      </c>
      <c r="D89" s="157" t="s">
        <v>55</v>
      </c>
      <c r="E89" s="272">
        <f>32441-27050</f>
        <v>5391</v>
      </c>
      <c r="F89" s="156"/>
      <c r="G89" s="156"/>
    </row>
    <row r="90" spans="1:7" ht="27" customHeight="1" x14ac:dyDescent="0.25">
      <c r="A90" s="444">
        <v>83</v>
      </c>
      <c r="B90" s="272" t="s">
        <v>594</v>
      </c>
      <c r="C90" s="272" t="s">
        <v>543</v>
      </c>
      <c r="D90" s="157" t="s">
        <v>56</v>
      </c>
      <c r="E90" s="272">
        <f>32781</f>
        <v>32781</v>
      </c>
      <c r="F90" s="272">
        <v>6544</v>
      </c>
      <c r="G90" s="156"/>
    </row>
    <row r="91" spans="1:7" ht="48" customHeight="1" x14ac:dyDescent="0.25">
      <c r="A91" s="445"/>
      <c r="B91" s="272"/>
      <c r="C91" s="272"/>
      <c r="D91" s="157" t="s">
        <v>640</v>
      </c>
      <c r="E91" s="272">
        <v>27050</v>
      </c>
      <c r="F91" s="272"/>
      <c r="G91" s="156"/>
    </row>
    <row r="92" spans="1:7" ht="27" customHeight="1" x14ac:dyDescent="0.25">
      <c r="A92" s="272">
        <v>84</v>
      </c>
      <c r="B92" s="272" t="s">
        <v>595</v>
      </c>
      <c r="C92" s="272" t="s">
        <v>527</v>
      </c>
      <c r="D92" s="157" t="s">
        <v>362</v>
      </c>
      <c r="E92" s="272">
        <v>22040</v>
      </c>
      <c r="F92" s="156"/>
      <c r="G92" s="156"/>
    </row>
    <row r="93" spans="1:7" ht="27" customHeight="1" x14ac:dyDescent="0.25">
      <c r="A93" s="272">
        <v>85</v>
      </c>
      <c r="B93" s="272" t="s">
        <v>596</v>
      </c>
      <c r="C93" s="272" t="s">
        <v>518</v>
      </c>
      <c r="D93" s="157" t="s">
        <v>363</v>
      </c>
      <c r="E93" s="272">
        <v>11000</v>
      </c>
      <c r="F93" s="156"/>
      <c r="G93" s="156"/>
    </row>
    <row r="94" spans="1:7" ht="27" customHeight="1" x14ac:dyDescent="0.25">
      <c r="A94" s="272">
        <v>86</v>
      </c>
      <c r="B94" s="272" t="s">
        <v>597</v>
      </c>
      <c r="C94" s="272" t="s">
        <v>518</v>
      </c>
      <c r="D94" s="157" t="s">
        <v>364</v>
      </c>
      <c r="E94" s="272">
        <v>3838</v>
      </c>
      <c r="F94" s="156"/>
      <c r="G94" s="156"/>
    </row>
    <row r="95" spans="1:7" ht="27" customHeight="1" x14ac:dyDescent="0.25">
      <c r="A95" s="272">
        <v>87</v>
      </c>
      <c r="B95" s="272" t="s">
        <v>598</v>
      </c>
      <c r="C95" s="272" t="s">
        <v>518</v>
      </c>
      <c r="D95" s="157" t="s">
        <v>365</v>
      </c>
      <c r="E95" s="272">
        <v>25220</v>
      </c>
      <c r="F95" s="272"/>
      <c r="G95" s="272"/>
    </row>
    <row r="96" spans="1:7" ht="27" customHeight="1" x14ac:dyDescent="0.25">
      <c r="A96" s="272">
        <v>88</v>
      </c>
      <c r="B96" s="272" t="s">
        <v>599</v>
      </c>
      <c r="C96" s="272" t="s">
        <v>518</v>
      </c>
      <c r="D96" s="157" t="s">
        <v>366</v>
      </c>
      <c r="E96" s="272">
        <v>15142</v>
      </c>
      <c r="F96" s="272"/>
      <c r="G96" s="272"/>
    </row>
    <row r="97" spans="1:7" ht="27" customHeight="1" x14ac:dyDescent="0.25">
      <c r="A97" s="272">
        <v>89</v>
      </c>
      <c r="B97" s="272" t="s">
        <v>600</v>
      </c>
      <c r="C97" s="272" t="s">
        <v>518</v>
      </c>
      <c r="D97" s="157" t="s">
        <v>367</v>
      </c>
      <c r="E97" s="272">
        <v>14590</v>
      </c>
      <c r="F97" s="272"/>
      <c r="G97" s="272"/>
    </row>
    <row r="98" spans="1:7" ht="27" customHeight="1" x14ac:dyDescent="0.25">
      <c r="A98" s="272">
        <v>90</v>
      </c>
      <c r="B98" s="272" t="s">
        <v>601</v>
      </c>
      <c r="C98" s="272" t="s">
        <v>518</v>
      </c>
      <c r="D98" s="157" t="s">
        <v>368</v>
      </c>
      <c r="E98" s="272">
        <v>11014</v>
      </c>
      <c r="F98" s="272"/>
      <c r="G98" s="272"/>
    </row>
    <row r="99" spans="1:7" ht="27" customHeight="1" x14ac:dyDescent="0.25">
      <c r="A99" s="272">
        <v>91</v>
      </c>
      <c r="B99" s="272" t="s">
        <v>602</v>
      </c>
      <c r="C99" s="272" t="s">
        <v>518</v>
      </c>
      <c r="D99" s="157" t="s">
        <v>369</v>
      </c>
      <c r="E99" s="272">
        <v>28684</v>
      </c>
      <c r="F99" s="272"/>
      <c r="G99" s="272"/>
    </row>
    <row r="100" spans="1:7" ht="27" customHeight="1" x14ac:dyDescent="0.25">
      <c r="A100" s="272">
        <v>92</v>
      </c>
      <c r="B100" s="272" t="s">
        <v>603</v>
      </c>
      <c r="C100" s="272" t="s">
        <v>518</v>
      </c>
      <c r="D100" s="157" t="s">
        <v>370</v>
      </c>
      <c r="E100" s="272">
        <v>14621</v>
      </c>
      <c r="F100" s="272"/>
      <c r="G100" s="272"/>
    </row>
    <row r="101" spans="1:7" ht="27" customHeight="1" x14ac:dyDescent="0.25">
      <c r="A101" s="272">
        <v>93</v>
      </c>
      <c r="B101" s="272" t="s">
        <v>604</v>
      </c>
      <c r="C101" s="272" t="s">
        <v>518</v>
      </c>
      <c r="D101" s="157" t="s">
        <v>371</v>
      </c>
      <c r="E101" s="272">
        <v>16531</v>
      </c>
      <c r="F101" s="272"/>
      <c r="G101" s="272"/>
    </row>
    <row r="102" spans="1:7" ht="27" customHeight="1" x14ac:dyDescent="0.25">
      <c r="A102" s="272">
        <v>94</v>
      </c>
      <c r="B102" s="272" t="s">
        <v>605</v>
      </c>
      <c r="C102" s="272" t="s">
        <v>530</v>
      </c>
      <c r="D102" s="157" t="s">
        <v>194</v>
      </c>
      <c r="E102" s="272">
        <v>37331</v>
      </c>
      <c r="F102" s="272">
        <v>9241</v>
      </c>
      <c r="G102" s="272"/>
    </row>
    <row r="103" spans="1:7" ht="27" customHeight="1" x14ac:dyDescent="0.25">
      <c r="A103" s="272">
        <v>95</v>
      </c>
      <c r="B103" s="272" t="s">
        <v>606</v>
      </c>
      <c r="C103" s="272" t="s">
        <v>518</v>
      </c>
      <c r="D103" s="157" t="s">
        <v>372</v>
      </c>
      <c r="E103" s="272">
        <v>9837</v>
      </c>
      <c r="F103" s="272"/>
      <c r="G103" s="272"/>
    </row>
    <row r="104" spans="1:7" ht="27" customHeight="1" x14ac:dyDescent="0.25">
      <c r="A104" s="272">
        <v>96</v>
      </c>
      <c r="B104" s="272" t="s">
        <v>607</v>
      </c>
      <c r="C104" s="272" t="s">
        <v>518</v>
      </c>
      <c r="D104" s="157" t="s">
        <v>237</v>
      </c>
      <c r="E104" s="272">
        <v>28000</v>
      </c>
      <c r="F104" s="272"/>
      <c r="G104" s="272"/>
    </row>
    <row r="105" spans="1:7" ht="27" customHeight="1" x14ac:dyDescent="0.25">
      <c r="A105" s="272">
        <v>97</v>
      </c>
      <c r="B105" s="272" t="s">
        <v>608</v>
      </c>
      <c r="C105" s="272" t="s">
        <v>518</v>
      </c>
      <c r="D105" s="157" t="s">
        <v>373</v>
      </c>
      <c r="E105" s="272">
        <v>12904</v>
      </c>
      <c r="F105" s="272"/>
      <c r="G105" s="272"/>
    </row>
    <row r="106" spans="1:7" ht="27" customHeight="1" x14ac:dyDescent="0.25">
      <c r="A106" s="272">
        <v>98</v>
      </c>
      <c r="B106" s="272" t="s">
        <v>609</v>
      </c>
      <c r="C106" s="272" t="s">
        <v>518</v>
      </c>
      <c r="D106" s="157" t="s">
        <v>374</v>
      </c>
      <c r="E106" s="272">
        <v>12543</v>
      </c>
      <c r="F106" s="272"/>
      <c r="G106" s="272"/>
    </row>
    <row r="107" spans="1:7" ht="27" customHeight="1" x14ac:dyDescent="0.25">
      <c r="A107" s="272">
        <v>99</v>
      </c>
      <c r="B107" s="272" t="s">
        <v>610</v>
      </c>
      <c r="C107" s="272" t="s">
        <v>518</v>
      </c>
      <c r="D107" s="157" t="s">
        <v>57</v>
      </c>
      <c r="E107" s="272">
        <v>8052</v>
      </c>
      <c r="F107" s="272"/>
      <c r="G107" s="272"/>
    </row>
    <row r="108" spans="1:7" ht="27" customHeight="1" x14ac:dyDescent="0.25">
      <c r="A108" s="272">
        <v>100</v>
      </c>
      <c r="B108" s="272" t="s">
        <v>611</v>
      </c>
      <c r="C108" s="272" t="s">
        <v>527</v>
      </c>
      <c r="D108" s="157" t="s">
        <v>58</v>
      </c>
      <c r="E108" s="272">
        <v>14053</v>
      </c>
      <c r="F108" s="272"/>
      <c r="G108" s="272"/>
    </row>
    <row r="109" spans="1:7" ht="27" customHeight="1" x14ac:dyDescent="0.25">
      <c r="A109" s="272">
        <v>101</v>
      </c>
      <c r="B109" s="272" t="s">
        <v>612</v>
      </c>
      <c r="C109" s="272" t="s">
        <v>543</v>
      </c>
      <c r="D109" s="157" t="s">
        <v>59</v>
      </c>
      <c r="E109" s="272">
        <v>45477</v>
      </c>
      <c r="F109" s="272">
        <v>27314</v>
      </c>
      <c r="G109" s="272">
        <v>14432</v>
      </c>
    </row>
    <row r="110" spans="1:7" ht="27" customHeight="1" x14ac:dyDescent="0.25">
      <c r="A110" s="272">
        <v>102</v>
      </c>
      <c r="B110" s="272" t="s">
        <v>613</v>
      </c>
      <c r="C110" s="272" t="s">
        <v>518</v>
      </c>
      <c r="D110" s="157" t="s">
        <v>60</v>
      </c>
      <c r="E110" s="272">
        <f>6730-5608-318</f>
        <v>804</v>
      </c>
      <c r="F110" s="272"/>
      <c r="G110" s="272"/>
    </row>
    <row r="111" spans="1:7" ht="35.25" customHeight="1" x14ac:dyDescent="0.25">
      <c r="A111" s="444">
        <v>103</v>
      </c>
      <c r="B111" s="272"/>
      <c r="C111" s="272"/>
      <c r="D111" s="157" t="s">
        <v>375</v>
      </c>
      <c r="E111" s="272">
        <f>5608+318</f>
        <v>5926</v>
      </c>
      <c r="F111" s="272"/>
      <c r="G111" s="272"/>
    </row>
    <row r="112" spans="1:7" ht="27" customHeight="1" x14ac:dyDescent="0.25">
      <c r="A112" s="445"/>
      <c r="B112" s="272" t="s">
        <v>614</v>
      </c>
      <c r="C112" s="272" t="s">
        <v>543</v>
      </c>
      <c r="D112" s="157" t="s">
        <v>61</v>
      </c>
      <c r="E112" s="272">
        <v>42574</v>
      </c>
      <c r="F112" s="272"/>
      <c r="G112" s="272"/>
    </row>
    <row r="113" spans="1:7" ht="27" customHeight="1" x14ac:dyDescent="0.25">
      <c r="A113" s="272">
        <v>104</v>
      </c>
      <c r="B113" s="272" t="s">
        <v>615</v>
      </c>
      <c r="C113" s="272" t="s">
        <v>616</v>
      </c>
      <c r="D113" s="157" t="s">
        <v>62</v>
      </c>
      <c r="E113" s="272">
        <v>15932</v>
      </c>
      <c r="F113" s="272"/>
      <c r="G113" s="272"/>
    </row>
    <row r="114" spans="1:7" ht="27" customHeight="1" x14ac:dyDescent="0.25">
      <c r="A114" s="272">
        <v>105</v>
      </c>
      <c r="B114" s="272" t="s">
        <v>617</v>
      </c>
      <c r="C114" s="272" t="s">
        <v>527</v>
      </c>
      <c r="D114" s="157" t="s">
        <v>63</v>
      </c>
      <c r="E114" s="272">
        <v>41449</v>
      </c>
      <c r="F114" s="272">
        <v>25272</v>
      </c>
      <c r="G114" s="272"/>
    </row>
    <row r="115" spans="1:7" ht="27" customHeight="1" x14ac:dyDescent="0.25">
      <c r="A115" s="272">
        <v>106</v>
      </c>
      <c r="B115" s="272" t="s">
        <v>618</v>
      </c>
      <c r="C115" s="272" t="s">
        <v>616</v>
      </c>
      <c r="D115" s="157" t="s">
        <v>64</v>
      </c>
      <c r="E115" s="272">
        <v>30005</v>
      </c>
      <c r="F115" s="272"/>
      <c r="G115" s="272"/>
    </row>
    <row r="116" spans="1:7" ht="27" customHeight="1" x14ac:dyDescent="0.25">
      <c r="A116" s="272">
        <v>107</v>
      </c>
      <c r="B116" s="272" t="s">
        <v>619</v>
      </c>
      <c r="C116" s="272" t="s">
        <v>518</v>
      </c>
      <c r="D116" s="157" t="s">
        <v>376</v>
      </c>
      <c r="E116" s="272">
        <v>11163</v>
      </c>
      <c r="F116" s="272"/>
      <c r="G116" s="272"/>
    </row>
    <row r="117" spans="1:7" ht="27" customHeight="1" x14ac:dyDescent="0.25">
      <c r="A117" s="272">
        <v>108</v>
      </c>
      <c r="B117" s="272" t="s">
        <v>620</v>
      </c>
      <c r="C117" s="272" t="s">
        <v>518</v>
      </c>
      <c r="D117" s="157" t="s">
        <v>377</v>
      </c>
      <c r="E117" s="272">
        <v>9539</v>
      </c>
      <c r="F117" s="272"/>
      <c r="G117" s="272"/>
    </row>
    <row r="118" spans="1:7" ht="27" customHeight="1" x14ac:dyDescent="0.25">
      <c r="A118" s="272">
        <v>109</v>
      </c>
      <c r="B118" s="272" t="s">
        <v>621</v>
      </c>
      <c r="C118" s="272" t="s">
        <v>518</v>
      </c>
      <c r="D118" s="157" t="s">
        <v>378</v>
      </c>
      <c r="E118" s="272">
        <v>26459</v>
      </c>
      <c r="F118" s="272">
        <v>13311</v>
      </c>
      <c r="G118" s="272"/>
    </row>
    <row r="119" spans="1:7" ht="27" customHeight="1" x14ac:dyDescent="0.25">
      <c r="A119" s="272">
        <v>110</v>
      </c>
      <c r="B119" s="272" t="s">
        <v>622</v>
      </c>
      <c r="C119" s="272" t="s">
        <v>518</v>
      </c>
      <c r="D119" s="157" t="s">
        <v>379</v>
      </c>
      <c r="E119" s="272">
        <v>28531</v>
      </c>
      <c r="F119" s="272">
        <v>12511</v>
      </c>
      <c r="G119" s="272"/>
    </row>
    <row r="120" spans="1:7" ht="27" customHeight="1" x14ac:dyDescent="0.25">
      <c r="A120" s="272">
        <v>111</v>
      </c>
      <c r="B120" s="272" t="s">
        <v>623</v>
      </c>
      <c r="C120" s="272" t="s">
        <v>518</v>
      </c>
      <c r="D120" s="157" t="s">
        <v>380</v>
      </c>
      <c r="E120" s="272">
        <v>5997</v>
      </c>
      <c r="F120" s="272"/>
      <c r="G120" s="272"/>
    </row>
    <row r="121" spans="1:7" ht="27" customHeight="1" x14ac:dyDescent="0.25">
      <c r="A121" s="272">
        <v>112</v>
      </c>
      <c r="B121" s="272" t="s">
        <v>624</v>
      </c>
      <c r="C121" s="272" t="s">
        <v>518</v>
      </c>
      <c r="D121" s="157" t="s">
        <v>381</v>
      </c>
      <c r="E121" s="272">
        <f>9725+75</f>
        <v>9800</v>
      </c>
      <c r="F121" s="272"/>
      <c r="G121" s="272"/>
    </row>
    <row r="122" spans="1:7" ht="27" customHeight="1" x14ac:dyDescent="0.25">
      <c r="A122" s="272">
        <v>113</v>
      </c>
      <c r="B122" s="272" t="s">
        <v>625</v>
      </c>
      <c r="C122" s="272" t="s">
        <v>518</v>
      </c>
      <c r="D122" s="157" t="s">
        <v>382</v>
      </c>
      <c r="E122" s="272">
        <v>23001</v>
      </c>
      <c r="F122" s="272"/>
      <c r="G122" s="272"/>
    </row>
    <row r="123" spans="1:7" ht="27" customHeight="1" x14ac:dyDescent="0.25">
      <c r="A123" s="272">
        <v>114</v>
      </c>
      <c r="B123" s="272" t="s">
        <v>626</v>
      </c>
      <c r="C123" s="272" t="s">
        <v>518</v>
      </c>
      <c r="D123" s="157" t="s">
        <v>383</v>
      </c>
      <c r="E123" s="272">
        <f>50-38</f>
        <v>12</v>
      </c>
      <c r="F123" s="272"/>
      <c r="G123" s="272"/>
    </row>
    <row r="124" spans="1:7" ht="27" customHeight="1" x14ac:dyDescent="0.25">
      <c r="A124" s="272">
        <v>115</v>
      </c>
      <c r="B124" s="155" t="s">
        <v>627</v>
      </c>
      <c r="C124" s="272" t="s">
        <v>518</v>
      </c>
      <c r="D124" s="157" t="s">
        <v>384</v>
      </c>
      <c r="E124" s="272">
        <f>25-19</f>
        <v>6</v>
      </c>
      <c r="F124" s="272"/>
      <c r="G124" s="272"/>
    </row>
    <row r="125" spans="1:7" ht="27" customHeight="1" x14ac:dyDescent="0.25">
      <c r="A125" s="272">
        <v>116</v>
      </c>
      <c r="B125" s="155" t="s">
        <v>628</v>
      </c>
      <c r="C125" s="272" t="s">
        <v>518</v>
      </c>
      <c r="D125" s="157" t="s">
        <v>385</v>
      </c>
      <c r="E125" s="272">
        <f>25-19</f>
        <v>6</v>
      </c>
      <c r="F125" s="272"/>
      <c r="G125" s="272"/>
    </row>
    <row r="126" spans="1:7" ht="27" customHeight="1" x14ac:dyDescent="0.25">
      <c r="A126" s="272">
        <v>117</v>
      </c>
      <c r="B126" s="155"/>
      <c r="C126" s="272" t="s">
        <v>518</v>
      </c>
      <c r="D126" s="157" t="s">
        <v>386</v>
      </c>
      <c r="E126" s="272">
        <f>25-19</f>
        <v>6</v>
      </c>
      <c r="F126" s="272"/>
      <c r="G126" s="272"/>
    </row>
    <row r="127" spans="1:7" ht="27" customHeight="1" x14ac:dyDescent="0.25">
      <c r="A127" s="272">
        <v>118</v>
      </c>
      <c r="B127" s="155"/>
      <c r="C127" s="272" t="s">
        <v>518</v>
      </c>
      <c r="D127" s="157" t="s">
        <v>387</v>
      </c>
      <c r="E127" s="272">
        <f>24-18</f>
        <v>6</v>
      </c>
      <c r="F127" s="272"/>
      <c r="G127" s="272"/>
    </row>
    <row r="128" spans="1:7" ht="27" customHeight="1" x14ac:dyDescent="0.25">
      <c r="A128" s="272">
        <v>119</v>
      </c>
      <c r="B128" s="155"/>
      <c r="C128" s="272"/>
      <c r="D128" s="157" t="s">
        <v>388</v>
      </c>
      <c r="E128" s="272">
        <f>25-25</f>
        <v>0</v>
      </c>
      <c r="F128" s="272"/>
      <c r="G128" s="272"/>
    </row>
    <row r="129" spans="1:7" ht="27" customHeight="1" x14ac:dyDescent="0.25">
      <c r="A129" s="272">
        <v>120</v>
      </c>
      <c r="B129" s="272" t="s">
        <v>629</v>
      </c>
      <c r="C129" s="272" t="s">
        <v>518</v>
      </c>
      <c r="D129" s="157" t="s">
        <v>175</v>
      </c>
      <c r="E129" s="272">
        <v>2245</v>
      </c>
      <c r="F129" s="272"/>
      <c r="G129" s="272"/>
    </row>
    <row r="130" spans="1:7" ht="27" customHeight="1" x14ac:dyDescent="0.25">
      <c r="A130" s="272">
        <v>121</v>
      </c>
      <c r="B130" s="272" t="s">
        <v>630</v>
      </c>
      <c r="C130" s="272" t="s">
        <v>527</v>
      </c>
      <c r="D130" s="157" t="s">
        <v>389</v>
      </c>
      <c r="E130" s="272">
        <v>7270</v>
      </c>
      <c r="F130" s="272"/>
      <c r="G130" s="272"/>
    </row>
    <row r="131" spans="1:7" ht="27" customHeight="1" x14ac:dyDescent="0.25">
      <c r="A131" s="272">
        <v>122</v>
      </c>
      <c r="B131" s="272" t="s">
        <v>631</v>
      </c>
      <c r="C131" s="272" t="s">
        <v>632</v>
      </c>
      <c r="D131" s="157" t="s">
        <v>65</v>
      </c>
      <c r="E131" s="272">
        <v>4028</v>
      </c>
      <c r="F131" s="272"/>
      <c r="G131" s="272"/>
    </row>
    <row r="132" spans="1:7" ht="27" customHeight="1" x14ac:dyDescent="0.25">
      <c r="A132" s="272">
        <v>123</v>
      </c>
      <c r="B132" s="272" t="s">
        <v>633</v>
      </c>
      <c r="C132" s="272" t="s">
        <v>616</v>
      </c>
      <c r="D132" s="157" t="s">
        <v>390</v>
      </c>
      <c r="E132" s="272">
        <v>12716</v>
      </c>
      <c r="F132" s="272"/>
      <c r="G132" s="272">
        <v>12716</v>
      </c>
    </row>
    <row r="133" spans="1:7" s="158" customFormat="1" ht="27" customHeight="1" x14ac:dyDescent="0.25">
      <c r="A133" s="272">
        <v>124</v>
      </c>
      <c r="B133" s="272" t="s">
        <v>634</v>
      </c>
      <c r="C133" s="272" t="s">
        <v>635</v>
      </c>
      <c r="D133" s="157" t="s">
        <v>66</v>
      </c>
      <c r="E133" s="272">
        <v>23850</v>
      </c>
      <c r="F133" s="272">
        <v>19974</v>
      </c>
      <c r="G133" s="272"/>
    </row>
    <row r="134" spans="1:7" ht="27" customHeight="1" x14ac:dyDescent="0.25">
      <c r="A134" s="272">
        <v>125</v>
      </c>
      <c r="B134" s="272" t="s">
        <v>570</v>
      </c>
      <c r="C134" s="272" t="s">
        <v>616</v>
      </c>
      <c r="D134" s="157" t="s">
        <v>391</v>
      </c>
      <c r="E134" s="272">
        <v>49841</v>
      </c>
      <c r="F134" s="272">
        <v>36789</v>
      </c>
      <c r="G134" s="272"/>
    </row>
    <row r="135" spans="1:7" ht="27" customHeight="1" x14ac:dyDescent="0.25">
      <c r="A135" s="272">
        <v>126</v>
      </c>
      <c r="B135" s="272" t="s">
        <v>636</v>
      </c>
      <c r="C135" s="272" t="s">
        <v>616</v>
      </c>
      <c r="D135" s="157" t="s">
        <v>67</v>
      </c>
      <c r="E135" s="272">
        <v>30000</v>
      </c>
      <c r="F135" s="272"/>
      <c r="G135" s="272"/>
    </row>
    <row r="136" spans="1:7" ht="27" customHeight="1" x14ac:dyDescent="0.25">
      <c r="A136" s="272">
        <v>127</v>
      </c>
      <c r="B136" s="272" t="s">
        <v>637</v>
      </c>
      <c r="C136" s="272" t="s">
        <v>616</v>
      </c>
      <c r="D136" s="157" t="s">
        <v>68</v>
      </c>
      <c r="E136" s="272">
        <v>4000</v>
      </c>
      <c r="F136" s="272"/>
      <c r="G136" s="272"/>
    </row>
    <row r="137" spans="1:7" ht="27" customHeight="1" x14ac:dyDescent="0.25">
      <c r="A137" s="272"/>
      <c r="B137" s="272" t="s">
        <v>638</v>
      </c>
      <c r="C137" s="272" t="s">
        <v>638</v>
      </c>
      <c r="D137" s="157" t="s">
        <v>69</v>
      </c>
      <c r="E137" s="272">
        <f>9154+25</f>
        <v>9179</v>
      </c>
      <c r="F137" s="272"/>
      <c r="G137" s="272"/>
    </row>
    <row r="138" spans="1:7" s="161" customFormat="1" ht="26.25" customHeight="1" x14ac:dyDescent="0.25">
      <c r="A138" s="159"/>
      <c r="B138" s="159"/>
      <c r="C138" s="159"/>
      <c r="D138" s="160" t="s">
        <v>120</v>
      </c>
      <c r="E138" s="159">
        <f>SUM(E8:E137)</f>
        <v>2175000</v>
      </c>
      <c r="F138" s="159">
        <f>SUM(F8:F137)</f>
        <v>150956</v>
      </c>
      <c r="G138" s="159">
        <f>SUM(G8:G137)</f>
        <v>27148</v>
      </c>
    </row>
  </sheetData>
  <mergeCells count="9">
    <mergeCell ref="A90:A91"/>
    <mergeCell ref="A111:A112"/>
    <mergeCell ref="A2:G2"/>
    <mergeCell ref="A4:A5"/>
    <mergeCell ref="B4:B5"/>
    <mergeCell ref="C4:C5"/>
    <mergeCell ref="D4:D5"/>
    <mergeCell ref="E4:E5"/>
    <mergeCell ref="F4:G4"/>
  </mergeCells>
  <conditionalFormatting sqref="D1 D3:D4 D6:D7 E6:G6 D164:D1048576 D138:D162">
    <cfRule type="containsText" dxfId="0" priority="1" operator="containsText" text="агид">
      <formula>NOT(ISERROR(SEARCH("агид",D1)))</formula>
    </cfRule>
  </conditionalFormatting>
  <pageMargins left="0.78740157480314965" right="0" top="0" bottom="0" header="0.31496062992125984" footer="0.31496062992125984"/>
  <pageSetup paperSize="9" scale="69" fitToHeight="5" orientation="portrait" r:id="rId1"/>
  <rowBreaks count="1" manualBreakCount="1">
    <brk id="50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КС (пр.111)</vt:lpstr>
      <vt:lpstr>СМП Пр 111</vt:lpstr>
      <vt:lpstr>ДС Пр. 111</vt:lpstr>
      <vt:lpstr>ВМП по ДС Пр. 111</vt:lpstr>
      <vt:lpstr>УЗИ ссс Пр. 111</vt:lpstr>
      <vt:lpstr>Эндоскопия Пр. 111</vt:lpstr>
      <vt:lpstr>Радиоиз,луч,КТ,УЗИ скр. Пр. 111</vt:lpstr>
      <vt:lpstr>Обращения Пр.111</vt:lpstr>
      <vt:lpstr>Неотложн. МП Пр.111</vt:lpstr>
      <vt:lpstr>Всего профил.2020 Пр.111</vt:lpstr>
      <vt:lpstr>Проф.с иными целями Пр.111</vt:lpstr>
      <vt:lpstr>Центры здоровья Пр.111</vt:lpstr>
      <vt:lpstr>'СМП Пр 111'!OLE_LINK1</vt:lpstr>
      <vt:lpstr>'КС (пр.111)'!Заголовки_для_печати</vt:lpstr>
      <vt:lpstr>'Неотложн. МП Пр.111'!Заголовки_для_печати</vt:lpstr>
      <vt:lpstr>'Обращения Пр.111'!Заголовки_для_печати</vt:lpstr>
      <vt:lpstr>'Неотложн. МП Пр.111'!Область_печати</vt:lpstr>
      <vt:lpstr>'Обращения Пр.111'!Область_печати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2020-03-27T09:18:47Z</cp:lastPrinted>
  <dcterms:created xsi:type="dcterms:W3CDTF">2019-11-28T06:32:34Z</dcterms:created>
  <dcterms:modified xsi:type="dcterms:W3CDTF">2020-05-07T10:14:40Z</dcterms:modified>
</cp:coreProperties>
</file>