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AIO\Aйдар\На сайт изменения в тарифное\"/>
    </mc:Choice>
  </mc:AlternateContent>
  <bookViews>
    <workbookView xWindow="0" yWindow="0" windowWidth="19200" windowHeight="11595" firstSheet="4" activeTab="6"/>
  </bookViews>
  <sheets>
    <sheet name="КС" sheetId="31" r:id="rId1"/>
    <sheet name="ВМП по КС" sheetId="32" r:id="rId2"/>
    <sheet name="ДС (пр.109)" sheetId="27" r:id="rId3"/>
    <sheet name="УЗИ ссс Пр.109" sheetId="25" r:id="rId4"/>
    <sheet name="Эндоскопия Пр.109" sheetId="26" r:id="rId5"/>
    <sheet name="КТ, МРТ Пр. 109" sheetId="29" r:id="rId6"/>
    <sheet name="Радиоиз,луч,КТ,УЗИ скрин Пр.109" sheetId="30" r:id="rId7"/>
    <sheet name="Гемодиализ Пр. 109" sheetId="28" r:id="rId8"/>
    <sheet name="Обращения Пр.109" sheetId="33" r:id="rId9"/>
    <sheet name="Неотложн. МП Пр.109" sheetId="34" r:id="rId10"/>
    <sheet name="Всего профилактика 2020 Пр.109" sheetId="37" r:id="rId11"/>
    <sheet name="Проф.иные цели 2020 Пр.109" sheetId="19" r:id="rId12"/>
    <sheet name="Частные МО обр.по заб.Пр.109" sheetId="35" r:id="rId13"/>
    <sheet name="Частные МО неот.помощь Пр.109" sheetId="36" r:id="rId14"/>
    <sheet name="Част.МО по спец.проф.Пр.109" sheetId="22" r:id="rId15"/>
    <sheet name="СМП Пр 109" sheetId="38" r:id="rId16"/>
  </sheets>
  <externalReferences>
    <externalReference r:id="rId17"/>
    <externalReference r:id="rId18"/>
    <externalReference r:id="rId19"/>
  </externalReferences>
  <definedNames>
    <definedName name="__xlnm.Print_Area_2" localSheetId="9">#REF!</definedName>
    <definedName name="__xlnm.Print_Area_2" localSheetId="8">#REF!</definedName>
    <definedName name="__xlnm.Print_Area_2" localSheetId="11">#REF!</definedName>
    <definedName name="__xlnm.Print_Area_2" localSheetId="15">#REF!</definedName>
    <definedName name="__xlnm.Print_Area_2" localSheetId="3">#REF!</definedName>
    <definedName name="__xlnm.Print_Area_2" localSheetId="4">#REF!</definedName>
    <definedName name="__xlnm.Print_Area_2">#REF!</definedName>
    <definedName name="_xlnm._FilterDatabase" localSheetId="9" hidden="1">'Неотложн. МП Пр.109'!$A$5:$G$5</definedName>
    <definedName name="_xlnm._FilterDatabase" localSheetId="8" hidden="1">'Обращения Пр.109'!$A$6:$K$169</definedName>
    <definedName name="Kbcn" localSheetId="9">#REF!</definedName>
    <definedName name="Kbcn" localSheetId="8">#REF!</definedName>
    <definedName name="Kbcn" localSheetId="11">#REF!</definedName>
    <definedName name="Kbcn" localSheetId="15">#REF!</definedName>
    <definedName name="Kbcn" localSheetId="3">#REF!</definedName>
    <definedName name="Kbcn" localSheetId="4">#REF!</definedName>
    <definedName name="Kbcn">#REF!</definedName>
    <definedName name="Neot_17" localSheetId="9">#REF!</definedName>
    <definedName name="Neot_17" localSheetId="8">#REF!</definedName>
    <definedName name="Neot_17" localSheetId="11">#REF!</definedName>
    <definedName name="Neot_17" localSheetId="15">#REF!</definedName>
    <definedName name="Neot_17" localSheetId="3">#REF!</definedName>
    <definedName name="Neot_17" localSheetId="4">#REF!</definedName>
    <definedName name="Neot_17">#REF!</definedName>
    <definedName name="OLE_LINK1" localSheetId="15">'СМП Пр 109'!$A$3</definedName>
    <definedName name="res2_range" localSheetId="1">#REF!</definedName>
    <definedName name="res2_range" localSheetId="0">#REF!</definedName>
    <definedName name="res2_range" localSheetId="9">#REF!</definedName>
    <definedName name="res2_range" localSheetId="8">#REF!</definedName>
    <definedName name="res2_range" localSheetId="11">#REF!</definedName>
    <definedName name="res2_range" localSheetId="15">#REF!</definedName>
    <definedName name="res2_range" localSheetId="3">#REF!</definedName>
    <definedName name="res2_range">#REF!</definedName>
    <definedName name="Tg_CZ" localSheetId="9">#REF!</definedName>
    <definedName name="Tg_CZ" localSheetId="8">#REF!</definedName>
    <definedName name="Tg_CZ" localSheetId="11">#REF!</definedName>
    <definedName name="Tg_CZ" localSheetId="15">#REF!</definedName>
    <definedName name="Tg_CZ" localSheetId="3">#REF!</definedName>
    <definedName name="Tg_CZ">#REF!</definedName>
    <definedName name="Tg_Disp" localSheetId="9">#REF!</definedName>
    <definedName name="Tg_Disp" localSheetId="8">#REF!</definedName>
    <definedName name="Tg_Disp" localSheetId="11">#REF!</definedName>
    <definedName name="Tg_Disp" localSheetId="15">#REF!</definedName>
    <definedName name="Tg_Disp" localSheetId="3">#REF!</definedName>
    <definedName name="Tg_Disp">#REF!</definedName>
    <definedName name="Tg_Geri" localSheetId="9">#REF!</definedName>
    <definedName name="Tg_Geri" localSheetId="8">#REF!</definedName>
    <definedName name="Tg_Geri" localSheetId="11">#REF!</definedName>
    <definedName name="Tg_Geri" localSheetId="15">#REF!</definedName>
    <definedName name="Tg_Geri" localSheetId="3">#REF!</definedName>
    <definedName name="Tg_Geri">#REF!</definedName>
    <definedName name="Tg_Kons" localSheetId="9">#REF!</definedName>
    <definedName name="Tg_Kons" localSheetId="8">#REF!</definedName>
    <definedName name="Tg_Kons" localSheetId="11">#REF!</definedName>
    <definedName name="Tg_Kons" localSheetId="15">#REF!</definedName>
    <definedName name="Tg_Kons" localSheetId="3">#REF!</definedName>
    <definedName name="Tg_Kons">#REF!</definedName>
    <definedName name="Tg_Med" localSheetId="9">#REF!</definedName>
    <definedName name="Tg_Med" localSheetId="8">#REF!</definedName>
    <definedName name="Tg_Med" localSheetId="11">#REF!</definedName>
    <definedName name="Tg_Med" localSheetId="15">#REF!</definedName>
    <definedName name="Tg_Med" localSheetId="3">#REF!</definedName>
    <definedName name="Tg_Med">#REF!</definedName>
    <definedName name="Tg_Neot" localSheetId="9">#REF!</definedName>
    <definedName name="Tg_Neot" localSheetId="8">#REF!</definedName>
    <definedName name="Tg_Neot" localSheetId="11">#REF!</definedName>
    <definedName name="Tg_Neot" localSheetId="15">#REF!</definedName>
    <definedName name="Tg_Neot" localSheetId="3">#REF!</definedName>
    <definedName name="Tg_Neot">#REF!</definedName>
    <definedName name="Tg_Nepr" localSheetId="9">#REF!</definedName>
    <definedName name="Tg_Nepr" localSheetId="8">#REF!</definedName>
    <definedName name="Tg_Nepr" localSheetId="11">#REF!</definedName>
    <definedName name="Tg_Nepr" localSheetId="15">#REF!</definedName>
    <definedName name="Tg_Nepr" localSheetId="3">#REF!</definedName>
    <definedName name="Tg_Nepr">#REF!</definedName>
    <definedName name="Tg_Obr" localSheetId="9">#REF!</definedName>
    <definedName name="Tg_Obr" localSheetId="8">#REF!</definedName>
    <definedName name="Tg_Obr" localSheetId="11">#REF!</definedName>
    <definedName name="Tg_Obr" localSheetId="15">#REF!</definedName>
    <definedName name="Tg_Obr" localSheetId="3">#REF!</definedName>
    <definedName name="Tg_Obr">#REF!</definedName>
    <definedName name="Tg_Reestr" localSheetId="9">#REF!</definedName>
    <definedName name="Tg_Reestr" localSheetId="8">#REF!</definedName>
    <definedName name="Tg_Reestr" localSheetId="11">#REF!</definedName>
    <definedName name="Tg_Reestr" localSheetId="15">#REF!</definedName>
    <definedName name="Tg_Reestr" localSheetId="3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9">#REF!</definedName>
    <definedName name="_xlnm.Database" localSheetId="8">#REF!</definedName>
    <definedName name="_xlnm.Database" localSheetId="11">#REF!</definedName>
    <definedName name="_xlnm.Database" localSheetId="15">#REF!</definedName>
    <definedName name="_xlnm.Database" localSheetId="3">#REF!</definedName>
    <definedName name="_xlnm.Database" localSheetId="4">#REF!</definedName>
    <definedName name="_xlnm.Database">#REF!</definedName>
    <definedName name="Д">[2]Данные!$B$1:$EF$178</definedName>
    <definedName name="_xlnm.Print_Titles" localSheetId="10">'Всего профилактика 2020 Пр.109'!$3:$9</definedName>
    <definedName name="_xlnm.Print_Titles" localSheetId="0">КС!$4:$6</definedName>
    <definedName name="_xlnm.Print_Titles" localSheetId="9">'Неотложн. МП Пр.109'!$4:$6</definedName>
    <definedName name="_xlnm.Print_Titles" localSheetId="8">'Обращения Пр.109'!$3:$6</definedName>
    <definedName name="_xlnm.Print_Titles" localSheetId="11">'Проф.иные цели 2020 Пр.109'!$3:$9</definedName>
    <definedName name="ЗД">[2]Данные!$BY$3:$DB$3</definedName>
    <definedName name="_xlnm.Print_Area" localSheetId="9">'Неотложн. МП Пр.109'!$A$1:$G$137</definedName>
    <definedName name="_xlnm.Print_Area" localSheetId="8">'Обращения Пр.109'!$A$1:$K$169</definedName>
    <definedName name="ппорь" localSheetId="9">#REF!</definedName>
    <definedName name="ппорь" localSheetId="8">#REF!</definedName>
    <definedName name="ппорь" localSheetId="11">#REF!</definedName>
    <definedName name="ппорь" localSheetId="15">#REF!</definedName>
    <definedName name="ппорь" localSheetId="3">#REF!</definedName>
    <definedName name="ппорь" localSheetId="4">#REF!</definedName>
    <definedName name="ппорь">#REF!</definedName>
    <definedName name="ФЗ">[2]Данные!$DC$3:$EF$3</definedName>
    <definedName name="Шт">[2]Данные!$AU$3:$BX$3</definedName>
    <definedName name="ЭКО" localSheetId="9">#REF!</definedName>
    <definedName name="ЭКО" localSheetId="8">#REF!</definedName>
    <definedName name="ЭКО" localSheetId="11">#REF!</definedName>
    <definedName name="ЭКО" localSheetId="15">#REF!</definedName>
    <definedName name="ЭКО" localSheetId="3">#REF!</definedName>
    <definedName name="ЭКО" localSheetId="4">#REF!</definedName>
    <definedName name="ЭКО">#REF!</definedName>
  </definedNames>
  <calcPr calcId="152511"/>
</workbook>
</file>

<file path=xl/calcChain.xml><?xml version="1.0" encoding="utf-8"?>
<calcChain xmlns="http://schemas.openxmlformats.org/spreadsheetml/2006/main">
  <c r="K136" i="27" l="1"/>
  <c r="K67" i="27"/>
  <c r="K54" i="27"/>
  <c r="D117" i="31" l="1"/>
  <c r="E117" i="31"/>
  <c r="F117" i="31"/>
  <c r="G117" i="31"/>
  <c r="H117" i="31"/>
  <c r="I117" i="31"/>
  <c r="C117" i="31"/>
  <c r="K65" i="38"/>
  <c r="C65" i="38"/>
  <c r="O65" i="38"/>
  <c r="N65" i="38"/>
  <c r="M65" i="38"/>
  <c r="L65" i="38"/>
  <c r="H65" i="38"/>
  <c r="G65" i="38"/>
  <c r="F65" i="38"/>
  <c r="E65" i="38"/>
  <c r="D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J5" i="38"/>
  <c r="J65" i="38" l="1"/>
  <c r="T163" i="19"/>
  <c r="S163" i="19"/>
  <c r="R163" i="19"/>
  <c r="Q163" i="19"/>
  <c r="P163" i="19"/>
  <c r="O163" i="19"/>
  <c r="N163" i="19"/>
  <c r="M163" i="19"/>
  <c r="L163" i="19"/>
  <c r="K163" i="19"/>
  <c r="J163" i="19"/>
  <c r="H163" i="19"/>
  <c r="G163" i="19"/>
  <c r="F163" i="19"/>
  <c r="E163" i="19"/>
  <c r="D163" i="19"/>
  <c r="I162" i="19"/>
  <c r="C162" i="19" s="1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I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I163" i="37"/>
  <c r="H163" i="37"/>
  <c r="F163" i="37"/>
  <c r="E163" i="37"/>
  <c r="J162" i="37"/>
  <c r="G162" i="37"/>
  <c r="D162" i="37"/>
  <c r="J161" i="37"/>
  <c r="G161" i="37"/>
  <c r="D161" i="37"/>
  <c r="J160" i="37"/>
  <c r="G160" i="37"/>
  <c r="D160" i="37"/>
  <c r="J159" i="37"/>
  <c r="G159" i="37"/>
  <c r="D159" i="37"/>
  <c r="J158" i="37"/>
  <c r="G158" i="37"/>
  <c r="D158" i="37"/>
  <c r="J157" i="37"/>
  <c r="G157" i="37"/>
  <c r="D157" i="37"/>
  <c r="J156" i="37"/>
  <c r="G156" i="37"/>
  <c r="D156" i="37"/>
  <c r="J155" i="37"/>
  <c r="G155" i="37"/>
  <c r="D155" i="37"/>
  <c r="J154" i="37"/>
  <c r="G154" i="37"/>
  <c r="D154" i="37"/>
  <c r="J153" i="37"/>
  <c r="G153" i="37"/>
  <c r="D153" i="37"/>
  <c r="J152" i="37"/>
  <c r="G152" i="37"/>
  <c r="D152" i="37"/>
  <c r="J151" i="37"/>
  <c r="G151" i="37"/>
  <c r="D151" i="37"/>
  <c r="J150" i="37"/>
  <c r="G150" i="37"/>
  <c r="D150" i="37"/>
  <c r="J149" i="37"/>
  <c r="G149" i="37"/>
  <c r="D149" i="37"/>
  <c r="J148" i="37"/>
  <c r="G148" i="37"/>
  <c r="D148" i="37"/>
  <c r="J147" i="37"/>
  <c r="G147" i="37"/>
  <c r="D147" i="37"/>
  <c r="J146" i="37"/>
  <c r="G146" i="37"/>
  <c r="D146" i="37"/>
  <c r="J145" i="37"/>
  <c r="G145" i="37"/>
  <c r="D145" i="37"/>
  <c r="J144" i="37"/>
  <c r="G144" i="37"/>
  <c r="D144" i="37"/>
  <c r="J143" i="37"/>
  <c r="G143" i="37"/>
  <c r="D143" i="37"/>
  <c r="J142" i="37"/>
  <c r="G142" i="37"/>
  <c r="D142" i="37"/>
  <c r="J141" i="37"/>
  <c r="G141" i="37"/>
  <c r="D141" i="37"/>
  <c r="J140" i="37"/>
  <c r="G140" i="37"/>
  <c r="D140" i="37"/>
  <c r="J139" i="37"/>
  <c r="G139" i="37"/>
  <c r="D139" i="37"/>
  <c r="J138" i="37"/>
  <c r="G138" i="37"/>
  <c r="D138" i="37"/>
  <c r="J137" i="37"/>
  <c r="G137" i="37"/>
  <c r="D137" i="37"/>
  <c r="J136" i="37"/>
  <c r="G136" i="37"/>
  <c r="D136" i="37"/>
  <c r="J135" i="37"/>
  <c r="G135" i="37"/>
  <c r="D135" i="37"/>
  <c r="J134" i="37"/>
  <c r="G134" i="37"/>
  <c r="D134" i="37"/>
  <c r="J133" i="37"/>
  <c r="G133" i="37"/>
  <c r="D133" i="37"/>
  <c r="J132" i="37"/>
  <c r="G132" i="37"/>
  <c r="D132" i="37"/>
  <c r="J131" i="37"/>
  <c r="G131" i="37"/>
  <c r="D131" i="37"/>
  <c r="J130" i="37"/>
  <c r="G130" i="37"/>
  <c r="D130" i="37"/>
  <c r="J129" i="37"/>
  <c r="G129" i="37"/>
  <c r="D129" i="37"/>
  <c r="J128" i="37"/>
  <c r="G128" i="37"/>
  <c r="D128" i="37"/>
  <c r="J127" i="37"/>
  <c r="G127" i="37"/>
  <c r="D127" i="37"/>
  <c r="J126" i="37"/>
  <c r="G126" i="37"/>
  <c r="D126" i="37"/>
  <c r="J125" i="37"/>
  <c r="G125" i="37"/>
  <c r="D125" i="37"/>
  <c r="J124" i="37"/>
  <c r="G124" i="37"/>
  <c r="D124" i="37"/>
  <c r="J123" i="37"/>
  <c r="G123" i="37"/>
  <c r="D123" i="37"/>
  <c r="J122" i="37"/>
  <c r="G122" i="37"/>
  <c r="D122" i="37"/>
  <c r="J121" i="37"/>
  <c r="G121" i="37"/>
  <c r="D121" i="37"/>
  <c r="J120" i="37"/>
  <c r="G120" i="37"/>
  <c r="D120" i="37"/>
  <c r="J119" i="37"/>
  <c r="G119" i="37"/>
  <c r="D119" i="37"/>
  <c r="J118" i="37"/>
  <c r="G118" i="37"/>
  <c r="D118" i="37"/>
  <c r="J117" i="37"/>
  <c r="G117" i="37"/>
  <c r="D117" i="37"/>
  <c r="J116" i="37"/>
  <c r="G116" i="37"/>
  <c r="D116" i="37"/>
  <c r="J115" i="37"/>
  <c r="G115" i="37"/>
  <c r="D115" i="37"/>
  <c r="J114" i="37"/>
  <c r="G114" i="37"/>
  <c r="D114" i="37"/>
  <c r="J113" i="37"/>
  <c r="G113" i="37"/>
  <c r="D113" i="37"/>
  <c r="J112" i="37"/>
  <c r="G112" i="37"/>
  <c r="D112" i="37"/>
  <c r="J111" i="37"/>
  <c r="G111" i="37"/>
  <c r="D111" i="37"/>
  <c r="J110" i="37"/>
  <c r="G110" i="37"/>
  <c r="D110" i="37"/>
  <c r="J109" i="37"/>
  <c r="G109" i="37"/>
  <c r="D109" i="37"/>
  <c r="J108" i="37"/>
  <c r="G108" i="37"/>
  <c r="D108" i="37"/>
  <c r="J107" i="37"/>
  <c r="G107" i="37"/>
  <c r="D107" i="37"/>
  <c r="J106" i="37"/>
  <c r="G106" i="37"/>
  <c r="D106" i="37"/>
  <c r="J105" i="37"/>
  <c r="G105" i="37"/>
  <c r="D105" i="37"/>
  <c r="J104" i="37"/>
  <c r="G104" i="37"/>
  <c r="D104" i="37"/>
  <c r="J103" i="37"/>
  <c r="G103" i="37"/>
  <c r="D103" i="37"/>
  <c r="J102" i="37"/>
  <c r="G102" i="37"/>
  <c r="D102" i="37"/>
  <c r="J101" i="37"/>
  <c r="G101" i="37"/>
  <c r="D101" i="37"/>
  <c r="J100" i="37"/>
  <c r="G100" i="37"/>
  <c r="D100" i="37"/>
  <c r="J99" i="37"/>
  <c r="G99" i="37"/>
  <c r="D99" i="37"/>
  <c r="J98" i="37"/>
  <c r="G98" i="37"/>
  <c r="D98" i="37"/>
  <c r="J97" i="37"/>
  <c r="G97" i="37"/>
  <c r="D97" i="37"/>
  <c r="J96" i="37"/>
  <c r="G96" i="37"/>
  <c r="D96" i="37"/>
  <c r="J95" i="37"/>
  <c r="G95" i="37"/>
  <c r="D95" i="37"/>
  <c r="J94" i="37"/>
  <c r="G94" i="37"/>
  <c r="D94" i="37"/>
  <c r="J93" i="37"/>
  <c r="G93" i="37"/>
  <c r="D93" i="37"/>
  <c r="J92" i="37"/>
  <c r="G92" i="37"/>
  <c r="D92" i="37"/>
  <c r="J91" i="37"/>
  <c r="G91" i="37"/>
  <c r="D91" i="37"/>
  <c r="J90" i="37"/>
  <c r="G90" i="37"/>
  <c r="D90" i="37"/>
  <c r="J89" i="37"/>
  <c r="G89" i="37"/>
  <c r="D89" i="37"/>
  <c r="J88" i="37"/>
  <c r="G88" i="37"/>
  <c r="D88" i="37"/>
  <c r="J87" i="37"/>
  <c r="G87" i="37"/>
  <c r="D87" i="37"/>
  <c r="J86" i="37"/>
  <c r="G86" i="37"/>
  <c r="D86" i="37"/>
  <c r="J85" i="37"/>
  <c r="G85" i="37"/>
  <c r="D85" i="37"/>
  <c r="J84" i="37"/>
  <c r="G84" i="37"/>
  <c r="D84" i="37"/>
  <c r="J83" i="37"/>
  <c r="G83" i="37"/>
  <c r="D83" i="37"/>
  <c r="J82" i="37"/>
  <c r="G82" i="37"/>
  <c r="D82" i="37"/>
  <c r="J81" i="37"/>
  <c r="G81" i="37"/>
  <c r="D81" i="37"/>
  <c r="J80" i="37"/>
  <c r="G80" i="37"/>
  <c r="D80" i="37"/>
  <c r="J79" i="37"/>
  <c r="G79" i="37"/>
  <c r="D79" i="37"/>
  <c r="J78" i="37"/>
  <c r="G78" i="37"/>
  <c r="D78" i="37"/>
  <c r="J77" i="37"/>
  <c r="G77" i="37"/>
  <c r="D77" i="37"/>
  <c r="J76" i="37"/>
  <c r="G76" i="37"/>
  <c r="D76" i="37"/>
  <c r="J75" i="37"/>
  <c r="G75" i="37"/>
  <c r="D75" i="37"/>
  <c r="J74" i="37"/>
  <c r="G74" i="37"/>
  <c r="D74" i="37"/>
  <c r="J73" i="37"/>
  <c r="G73" i="37"/>
  <c r="D73" i="37"/>
  <c r="J72" i="37"/>
  <c r="G72" i="37"/>
  <c r="D72" i="37"/>
  <c r="J71" i="37"/>
  <c r="G71" i="37"/>
  <c r="D71" i="37"/>
  <c r="J70" i="37"/>
  <c r="G70" i="37"/>
  <c r="D70" i="37"/>
  <c r="J69" i="37"/>
  <c r="G69" i="37"/>
  <c r="D69" i="37"/>
  <c r="J68" i="37"/>
  <c r="G68" i="37"/>
  <c r="D68" i="37"/>
  <c r="J67" i="37"/>
  <c r="G67" i="37"/>
  <c r="D67" i="37"/>
  <c r="J66" i="37"/>
  <c r="G66" i="37"/>
  <c r="D66" i="37"/>
  <c r="J65" i="37"/>
  <c r="G65" i="37"/>
  <c r="D65" i="37"/>
  <c r="J64" i="37"/>
  <c r="G64" i="37"/>
  <c r="D64" i="37"/>
  <c r="J63" i="37"/>
  <c r="G63" i="37"/>
  <c r="D63" i="37"/>
  <c r="J62" i="37"/>
  <c r="G62" i="37"/>
  <c r="D62" i="37"/>
  <c r="J61" i="37"/>
  <c r="G61" i="37"/>
  <c r="D61" i="37"/>
  <c r="J60" i="37"/>
  <c r="G60" i="37"/>
  <c r="D60" i="37"/>
  <c r="J59" i="37"/>
  <c r="G59" i="37"/>
  <c r="D59" i="37"/>
  <c r="J58" i="37"/>
  <c r="G58" i="37"/>
  <c r="D58" i="37"/>
  <c r="J57" i="37"/>
  <c r="G57" i="37"/>
  <c r="D57" i="37"/>
  <c r="J56" i="37"/>
  <c r="G56" i="37"/>
  <c r="D56" i="37"/>
  <c r="J55" i="37"/>
  <c r="G55" i="37"/>
  <c r="D55" i="37"/>
  <c r="J54" i="37"/>
  <c r="G54" i="37"/>
  <c r="D54" i="37"/>
  <c r="J53" i="37"/>
  <c r="G53" i="37"/>
  <c r="D53" i="37"/>
  <c r="J52" i="37"/>
  <c r="G52" i="37"/>
  <c r="D52" i="37"/>
  <c r="J51" i="37"/>
  <c r="G51" i="37"/>
  <c r="D51" i="37"/>
  <c r="J50" i="37"/>
  <c r="G50" i="37"/>
  <c r="D50" i="37"/>
  <c r="J49" i="37"/>
  <c r="G49" i="37"/>
  <c r="D49" i="37"/>
  <c r="J48" i="37"/>
  <c r="G48" i="37"/>
  <c r="D48" i="37"/>
  <c r="J47" i="37"/>
  <c r="G47" i="37"/>
  <c r="D47" i="37"/>
  <c r="J46" i="37"/>
  <c r="G46" i="37"/>
  <c r="D46" i="37"/>
  <c r="J45" i="37"/>
  <c r="G45" i="37"/>
  <c r="D45" i="37"/>
  <c r="J44" i="37"/>
  <c r="G44" i="37"/>
  <c r="D44" i="37"/>
  <c r="J43" i="37"/>
  <c r="G43" i="37"/>
  <c r="D43" i="37"/>
  <c r="J42" i="37"/>
  <c r="G42" i="37"/>
  <c r="D42" i="37"/>
  <c r="J41" i="37"/>
  <c r="G41" i="37"/>
  <c r="D41" i="37"/>
  <c r="J40" i="37"/>
  <c r="G40" i="37"/>
  <c r="D40" i="37"/>
  <c r="J39" i="37"/>
  <c r="G39" i="37"/>
  <c r="D39" i="37"/>
  <c r="J38" i="37"/>
  <c r="G38" i="37"/>
  <c r="D38" i="37"/>
  <c r="J37" i="37"/>
  <c r="G37" i="37"/>
  <c r="D37" i="37"/>
  <c r="J36" i="37"/>
  <c r="G36" i="37"/>
  <c r="D36" i="37"/>
  <c r="J35" i="37"/>
  <c r="G35" i="37"/>
  <c r="D35" i="37"/>
  <c r="J34" i="37"/>
  <c r="G34" i="37"/>
  <c r="D34" i="37"/>
  <c r="J33" i="37"/>
  <c r="G33" i="37"/>
  <c r="D33" i="37"/>
  <c r="J32" i="37"/>
  <c r="G32" i="37"/>
  <c r="D32" i="37"/>
  <c r="J31" i="37"/>
  <c r="G31" i="37"/>
  <c r="D31" i="37"/>
  <c r="J30" i="37"/>
  <c r="G30" i="37"/>
  <c r="D30" i="37"/>
  <c r="J29" i="37"/>
  <c r="G29" i="37"/>
  <c r="D29" i="37"/>
  <c r="J28" i="37"/>
  <c r="G28" i="37"/>
  <c r="D28" i="37"/>
  <c r="J27" i="37"/>
  <c r="G27" i="37"/>
  <c r="D27" i="37"/>
  <c r="J26" i="37"/>
  <c r="G26" i="37"/>
  <c r="D26" i="37"/>
  <c r="J25" i="37"/>
  <c r="G25" i="37"/>
  <c r="D25" i="37"/>
  <c r="J24" i="37"/>
  <c r="G24" i="37"/>
  <c r="D24" i="37"/>
  <c r="J23" i="37"/>
  <c r="G23" i="37"/>
  <c r="D23" i="37"/>
  <c r="J22" i="37"/>
  <c r="G22" i="37"/>
  <c r="D22" i="37"/>
  <c r="J21" i="37"/>
  <c r="G21" i="37"/>
  <c r="D21" i="37"/>
  <c r="J20" i="37"/>
  <c r="G20" i="37"/>
  <c r="D20" i="37"/>
  <c r="J19" i="37"/>
  <c r="G19" i="37"/>
  <c r="D19" i="37"/>
  <c r="J18" i="37"/>
  <c r="G18" i="37"/>
  <c r="D18" i="37"/>
  <c r="J17" i="37"/>
  <c r="G17" i="37"/>
  <c r="D17" i="37"/>
  <c r="J16" i="37"/>
  <c r="G16" i="37"/>
  <c r="D16" i="37"/>
  <c r="J15" i="37"/>
  <c r="G15" i="37"/>
  <c r="D15" i="37"/>
  <c r="J14" i="37"/>
  <c r="G14" i="37"/>
  <c r="D14" i="37"/>
  <c r="J13" i="37"/>
  <c r="G13" i="37"/>
  <c r="D13" i="37"/>
  <c r="J12" i="37"/>
  <c r="G12" i="37"/>
  <c r="D12" i="37"/>
  <c r="J11" i="37"/>
  <c r="G11" i="37"/>
  <c r="D11" i="37"/>
  <c r="J10" i="37"/>
  <c r="G10" i="37"/>
  <c r="D10" i="37"/>
  <c r="C23" i="37" l="1"/>
  <c r="C27" i="37"/>
  <c r="C31" i="37"/>
  <c r="C35" i="37"/>
  <c r="C39" i="37"/>
  <c r="C43" i="37"/>
  <c r="C47" i="37"/>
  <c r="C51" i="37"/>
  <c r="C55" i="37"/>
  <c r="C59" i="37"/>
  <c r="C63" i="37"/>
  <c r="C67" i="37"/>
  <c r="C71" i="37"/>
  <c r="C75" i="37"/>
  <c r="C79" i="37"/>
  <c r="C83" i="37"/>
  <c r="C87" i="37"/>
  <c r="C91" i="37"/>
  <c r="C95" i="37"/>
  <c r="C99" i="37"/>
  <c r="C103" i="37"/>
  <c r="C107" i="37"/>
  <c r="C111" i="37"/>
  <c r="C115" i="37"/>
  <c r="C119" i="37"/>
  <c r="C123" i="37"/>
  <c r="C127" i="37"/>
  <c r="C131" i="37"/>
  <c r="C135" i="37"/>
  <c r="C139" i="37"/>
  <c r="C13" i="37"/>
  <c r="C17" i="37"/>
  <c r="D163" i="37"/>
  <c r="C143" i="37"/>
  <c r="C147" i="37"/>
  <c r="C151" i="37"/>
  <c r="C155" i="37"/>
  <c r="C159" i="37"/>
  <c r="C12" i="37"/>
  <c r="C16" i="37"/>
  <c r="C11" i="37"/>
  <c r="C15" i="37"/>
  <c r="C19" i="37"/>
  <c r="C10" i="37"/>
  <c r="C14" i="37"/>
  <c r="C18" i="37"/>
  <c r="C20" i="37"/>
  <c r="C24" i="37"/>
  <c r="C28" i="37"/>
  <c r="C32" i="37"/>
  <c r="C36" i="37"/>
  <c r="C40" i="37"/>
  <c r="C44" i="37"/>
  <c r="C48" i="37"/>
  <c r="C52" i="37"/>
  <c r="C56" i="37"/>
  <c r="C60" i="37"/>
  <c r="C64" i="37"/>
  <c r="C68" i="37"/>
  <c r="C72" i="37"/>
  <c r="C76" i="37"/>
  <c r="C80" i="37"/>
  <c r="I163" i="19"/>
  <c r="C135" i="19"/>
  <c r="C163" i="19" s="1"/>
  <c r="C22" i="37"/>
  <c r="C26" i="37"/>
  <c r="C30" i="37"/>
  <c r="C34" i="37"/>
  <c r="C38" i="37"/>
  <c r="C42" i="37"/>
  <c r="C46" i="37"/>
  <c r="C50" i="37"/>
  <c r="C54" i="37"/>
  <c r="C58" i="37"/>
  <c r="C62" i="37"/>
  <c r="C66" i="37"/>
  <c r="C70" i="37"/>
  <c r="C74" i="37"/>
  <c r="C78" i="37"/>
  <c r="J163" i="37"/>
  <c r="C21" i="37"/>
  <c r="C25" i="37"/>
  <c r="C29" i="37"/>
  <c r="C33" i="37"/>
  <c r="C37" i="37"/>
  <c r="C41" i="37"/>
  <c r="C45" i="37"/>
  <c r="C49" i="37"/>
  <c r="C53" i="37"/>
  <c r="C57" i="37"/>
  <c r="C61" i="37"/>
  <c r="C65" i="37"/>
  <c r="C69" i="37"/>
  <c r="C73" i="37"/>
  <c r="C77" i="37"/>
  <c r="C81" i="37"/>
  <c r="C85" i="37"/>
  <c r="C89" i="37"/>
  <c r="C93" i="37"/>
  <c r="C97" i="37"/>
  <c r="C101" i="37"/>
  <c r="C105" i="37"/>
  <c r="C109" i="37"/>
  <c r="C113" i="37"/>
  <c r="C117" i="37"/>
  <c r="C121" i="37"/>
  <c r="C125" i="37"/>
  <c r="C129" i="37"/>
  <c r="C133" i="37"/>
  <c r="C137" i="37"/>
  <c r="C141" i="37"/>
  <c r="C145" i="37"/>
  <c r="C149" i="37"/>
  <c r="C153" i="37"/>
  <c r="C157" i="37"/>
  <c r="C161" i="37"/>
  <c r="G163" i="37"/>
  <c r="C84" i="37"/>
  <c r="C88" i="37"/>
  <c r="C92" i="37"/>
  <c r="C96" i="37"/>
  <c r="C100" i="37"/>
  <c r="C104" i="37"/>
  <c r="C108" i="37"/>
  <c r="C112" i="37"/>
  <c r="C116" i="37"/>
  <c r="C120" i="37"/>
  <c r="C124" i="37"/>
  <c r="C128" i="37"/>
  <c r="C132" i="37"/>
  <c r="C136" i="37"/>
  <c r="C140" i="37"/>
  <c r="C144" i="37"/>
  <c r="C148" i="37"/>
  <c r="C152" i="37"/>
  <c r="C156" i="37"/>
  <c r="C160" i="37"/>
  <c r="C82" i="37"/>
  <c r="C86" i="37"/>
  <c r="C90" i="37"/>
  <c r="C94" i="37"/>
  <c r="C98" i="37"/>
  <c r="C102" i="37"/>
  <c r="C106" i="37"/>
  <c r="C110" i="37"/>
  <c r="C114" i="37"/>
  <c r="C118" i="37"/>
  <c r="C122" i="37"/>
  <c r="C126" i="37"/>
  <c r="C130" i="37"/>
  <c r="C134" i="37"/>
  <c r="C138" i="37"/>
  <c r="C142" i="37"/>
  <c r="C146" i="37"/>
  <c r="C150" i="37"/>
  <c r="C154" i="37"/>
  <c r="C158" i="37"/>
  <c r="C162" i="37"/>
  <c r="C163" i="37" l="1"/>
  <c r="D17" i="36"/>
  <c r="D21" i="36" s="1"/>
  <c r="C17" i="36"/>
  <c r="C21" i="36" s="1"/>
  <c r="M33" i="35"/>
  <c r="L33" i="35"/>
  <c r="K33" i="35"/>
  <c r="J33" i="35"/>
  <c r="I33" i="35"/>
  <c r="H33" i="35"/>
  <c r="G33" i="35"/>
  <c r="F33" i="35"/>
  <c r="E24" i="35"/>
  <c r="E33" i="35" s="1"/>
  <c r="C24" i="35"/>
  <c r="D20" i="35"/>
  <c r="D33" i="35" s="1"/>
  <c r="C20" i="35"/>
  <c r="C33" i="35" s="1"/>
  <c r="G137" i="34" l="1"/>
  <c r="F137" i="34"/>
  <c r="E136" i="34"/>
  <c r="E127" i="34"/>
  <c r="E109" i="34"/>
  <c r="E137" i="34" l="1"/>
  <c r="C167" i="33" l="1"/>
  <c r="G168" i="33"/>
  <c r="H169" i="33"/>
  <c r="E169" i="33"/>
  <c r="D169" i="33"/>
  <c r="I168" i="33"/>
  <c r="G169" i="33"/>
  <c r="C168" i="33"/>
  <c r="I167" i="33"/>
  <c r="I166" i="33"/>
  <c r="I165" i="33"/>
  <c r="I164" i="33"/>
  <c r="I163" i="33"/>
  <c r="C163" i="33"/>
  <c r="I162" i="33"/>
  <c r="I161" i="33"/>
  <c r="I160" i="33"/>
  <c r="I159" i="33"/>
  <c r="I158" i="33"/>
  <c r="I156" i="33"/>
  <c r="C156" i="33"/>
  <c r="I155" i="33"/>
  <c r="C155" i="33"/>
  <c r="I154" i="33"/>
  <c r="C154" i="33"/>
  <c r="I153" i="33"/>
  <c r="F151" i="33"/>
  <c r="C151" i="33" s="1"/>
  <c r="I150" i="33"/>
  <c r="I149" i="33"/>
  <c r="I148" i="33"/>
  <c r="I147" i="33"/>
  <c r="F147" i="33"/>
  <c r="C147" i="33" s="1"/>
  <c r="I146" i="33"/>
  <c r="I145" i="33"/>
  <c r="I144" i="33"/>
  <c r="I143" i="33"/>
  <c r="I142" i="33"/>
  <c r="I141" i="33"/>
  <c r="C141" i="33"/>
  <c r="I140" i="33"/>
  <c r="I139" i="33"/>
  <c r="I138" i="33"/>
  <c r="I137" i="33"/>
  <c r="I136" i="33"/>
  <c r="I135" i="33"/>
  <c r="I134" i="33"/>
  <c r="I133" i="33"/>
  <c r="I132" i="33"/>
  <c r="I131" i="33"/>
  <c r="I130" i="33"/>
  <c r="I129" i="33"/>
  <c r="J128" i="33"/>
  <c r="I128" i="33" s="1"/>
  <c r="C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C115" i="33"/>
  <c r="K114" i="33"/>
  <c r="K169" i="33" s="1"/>
  <c r="J114" i="33"/>
  <c r="I114" i="33" s="1"/>
  <c r="C114" i="33" s="1"/>
  <c r="I113" i="33"/>
  <c r="I112" i="33"/>
  <c r="I111" i="33"/>
  <c r="I110" i="33"/>
  <c r="I109" i="33"/>
  <c r="I108" i="33"/>
  <c r="I107" i="33"/>
  <c r="I106" i="33"/>
  <c r="I105" i="33"/>
  <c r="I104" i="33"/>
  <c r="I103" i="33"/>
  <c r="I102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I83" i="33"/>
  <c r="I82" i="33"/>
  <c r="I81" i="33"/>
  <c r="I80" i="33"/>
  <c r="C80" i="33"/>
  <c r="I79" i="33"/>
  <c r="I78" i="33"/>
  <c r="I77" i="33"/>
  <c r="I76" i="33"/>
  <c r="I75" i="33"/>
  <c r="C75" i="33"/>
  <c r="I74" i="33"/>
  <c r="I73" i="33"/>
  <c r="I72" i="33"/>
  <c r="I71" i="33"/>
  <c r="I70" i="33"/>
  <c r="I69" i="33"/>
  <c r="I68" i="33"/>
  <c r="I67" i="33"/>
  <c r="C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J51" i="33"/>
  <c r="I51" i="33" s="1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8" i="33"/>
  <c r="I27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J11" i="33"/>
  <c r="I11" i="33"/>
  <c r="C11" i="33"/>
  <c r="I10" i="33"/>
  <c r="I9" i="33"/>
  <c r="I8" i="33"/>
  <c r="I7" i="33"/>
  <c r="I169" i="33" l="1"/>
  <c r="C169" i="33"/>
  <c r="J169" i="33"/>
  <c r="F169" i="33"/>
  <c r="Z80" i="32"/>
  <c r="AB80" i="32" s="1"/>
  <c r="Z79" i="32"/>
  <c r="AA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B78" i="32"/>
  <c r="Z77" i="32"/>
  <c r="AB77" i="32" s="1"/>
  <c r="AB76" i="32" s="1"/>
  <c r="AA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B76" i="32"/>
  <c r="Z75" i="32"/>
  <c r="AB75" i="32" s="1"/>
  <c r="Z74" i="32"/>
  <c r="AA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Z72" i="32"/>
  <c r="AB72" i="32" s="1"/>
  <c r="Z71" i="32"/>
  <c r="AB71" i="32" s="1"/>
  <c r="V70" i="32"/>
  <c r="R70" i="32"/>
  <c r="R69" i="32"/>
  <c r="Z68" i="32"/>
  <c r="AB68" i="32" s="1"/>
  <c r="Z67" i="32"/>
  <c r="AA66" i="32"/>
  <c r="Y66" i="32"/>
  <c r="X66" i="32"/>
  <c r="W66" i="32"/>
  <c r="U66" i="32"/>
  <c r="T66" i="32"/>
  <c r="S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Z65" i="32"/>
  <c r="AB65" i="32" s="1"/>
  <c r="Z64" i="32"/>
  <c r="AB64" i="32" s="1"/>
  <c r="AB63" i="32" s="1"/>
  <c r="AA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Z62" i="32"/>
  <c r="AB62" i="32" s="1"/>
  <c r="Z61" i="32"/>
  <c r="AB61" i="32" s="1"/>
  <c r="Z60" i="32"/>
  <c r="AB60" i="32" s="1"/>
  <c r="Z59" i="32"/>
  <c r="AB59" i="32" s="1"/>
  <c r="Z58" i="32"/>
  <c r="AB58" i="32" s="1"/>
  <c r="D58" i="32"/>
  <c r="R57" i="32"/>
  <c r="Z57" i="32" s="1"/>
  <c r="AB57" i="32" s="1"/>
  <c r="D57" i="32"/>
  <c r="R56" i="32"/>
  <c r="D56" i="32"/>
  <c r="W55" i="32"/>
  <c r="V55" i="32"/>
  <c r="R55" i="32"/>
  <c r="D55" i="32"/>
  <c r="R54" i="32"/>
  <c r="Z54" i="32" s="1"/>
  <c r="AB54" i="32" s="1"/>
  <c r="D54" i="32"/>
  <c r="W53" i="32"/>
  <c r="V53" i="32"/>
  <c r="R53" i="32"/>
  <c r="D53" i="32"/>
  <c r="W52" i="32"/>
  <c r="V52" i="32"/>
  <c r="R52" i="32"/>
  <c r="R51" i="32" s="1"/>
  <c r="D52" i="32"/>
  <c r="AA51" i="32"/>
  <c r="Y51" i="32"/>
  <c r="X51" i="32"/>
  <c r="U51" i="32"/>
  <c r="T51" i="32"/>
  <c r="S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C51" i="32"/>
  <c r="B51" i="32"/>
  <c r="Z50" i="32"/>
  <c r="AA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Z48" i="32"/>
  <c r="AB48" i="32" s="1"/>
  <c r="Z47" i="32"/>
  <c r="AB47" i="32" s="1"/>
  <c r="Z46" i="32"/>
  <c r="AB46" i="32" s="1"/>
  <c r="AA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Z44" i="32"/>
  <c r="AB44" i="32" s="1"/>
  <c r="Z43" i="32"/>
  <c r="AA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Z41" i="32"/>
  <c r="AB41" i="32" s="1"/>
  <c r="Z40" i="32"/>
  <c r="AB40" i="32" s="1"/>
  <c r="AA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Z38" i="32"/>
  <c r="AB38" i="32" s="1"/>
  <c r="Z37" i="32"/>
  <c r="AB37" i="32" s="1"/>
  <c r="Z36" i="32"/>
  <c r="AB36" i="32" s="1"/>
  <c r="Z35" i="32"/>
  <c r="AB35" i="32" s="1"/>
  <c r="Z34" i="32"/>
  <c r="AB34" i="32" s="1"/>
  <c r="V33" i="32"/>
  <c r="B33" i="32"/>
  <c r="B32" i="32" s="1"/>
  <c r="AA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Z31" i="32"/>
  <c r="AB31" i="32" s="1"/>
  <c r="Z30" i="32"/>
  <c r="AB30" i="32" s="1"/>
  <c r="AA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Z28" i="32"/>
  <c r="AB28" i="32" s="1"/>
  <c r="S27" i="32"/>
  <c r="Z27" i="32" s="1"/>
  <c r="AB27" i="32" s="1"/>
  <c r="Z26" i="32"/>
  <c r="AB26" i="32" s="1"/>
  <c r="Z25" i="32"/>
  <c r="AB25" i="32" s="1"/>
  <c r="S24" i="32"/>
  <c r="Z24" i="32" s="1"/>
  <c r="AB24" i="32" s="1"/>
  <c r="Z23" i="32"/>
  <c r="AA22" i="32"/>
  <c r="Y22" i="32"/>
  <c r="X22" i="32"/>
  <c r="W22" i="32"/>
  <c r="V22" i="32"/>
  <c r="U22" i="32"/>
  <c r="T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Z21" i="32"/>
  <c r="AB21" i="32" s="1"/>
  <c r="Z20" i="32"/>
  <c r="AB20" i="32" s="1"/>
  <c r="AB19" i="32" s="1"/>
  <c r="AA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Z18" i="32"/>
  <c r="AA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Z16" i="32"/>
  <c r="AB16" i="32" s="1"/>
  <c r="AB15" i="32" s="1"/>
  <c r="AA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Z14" i="32"/>
  <c r="AB14" i="32" s="1"/>
  <c r="Z13" i="32"/>
  <c r="AA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Z11" i="32"/>
  <c r="AB11" i="32" s="1"/>
  <c r="AB10" i="32" s="1"/>
  <c r="AA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Z9" i="32"/>
  <c r="AB9" i="32" s="1"/>
  <c r="Z8" i="32"/>
  <c r="AA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Z6" i="32"/>
  <c r="AB6" i="32" s="1"/>
  <c r="Z5" i="32"/>
  <c r="AB5" i="32" s="1"/>
  <c r="AA4" i="32"/>
  <c r="AA81" i="32" s="1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AB29" i="32" l="1"/>
  <c r="AB39" i="32"/>
  <c r="AB45" i="32"/>
  <c r="C81" i="32"/>
  <c r="E81" i="32"/>
  <c r="G81" i="32"/>
  <c r="I81" i="32"/>
  <c r="K81" i="32"/>
  <c r="M81" i="32"/>
  <c r="O81" i="32"/>
  <c r="Q81" i="32"/>
  <c r="U81" i="32"/>
  <c r="Y81" i="32"/>
  <c r="Z19" i="32"/>
  <c r="S22" i="32"/>
  <c r="S81" i="32" s="1"/>
  <c r="Z29" i="32"/>
  <c r="Z39" i="32"/>
  <c r="Z45" i="32"/>
  <c r="D51" i="32"/>
  <c r="V51" i="32"/>
  <c r="V81" i="32" s="1"/>
  <c r="AB4" i="32"/>
  <c r="B81" i="32"/>
  <c r="F81" i="32"/>
  <c r="D81" i="32"/>
  <c r="Z4" i="32"/>
  <c r="Z10" i="32"/>
  <c r="Z15" i="32"/>
  <c r="Z52" i="32"/>
  <c r="Z56" i="32"/>
  <c r="AB56" i="32" s="1"/>
  <c r="Z63" i="32"/>
  <c r="Z76" i="32"/>
  <c r="AB23" i="32"/>
  <c r="AB22" i="32" s="1"/>
  <c r="Z22" i="32"/>
  <c r="AB52" i="32"/>
  <c r="AB67" i="32"/>
  <c r="Z69" i="32"/>
  <c r="AB69" i="32" s="1"/>
  <c r="R66" i="32"/>
  <c r="AB74" i="32"/>
  <c r="AB73" i="32" s="1"/>
  <c r="Z73" i="32"/>
  <c r="AB79" i="32"/>
  <c r="AB78" i="32" s="1"/>
  <c r="Z78" i="32"/>
  <c r="H81" i="32"/>
  <c r="J81" i="32"/>
  <c r="L81" i="32"/>
  <c r="N81" i="32"/>
  <c r="P81" i="32"/>
  <c r="R81" i="32"/>
  <c r="T81" i="32"/>
  <c r="X81" i="32"/>
  <c r="AB8" i="32"/>
  <c r="AB7" i="32" s="1"/>
  <c r="Z7" i="32"/>
  <c r="AB13" i="32"/>
  <c r="AB12" i="32" s="1"/>
  <c r="Z12" i="32"/>
  <c r="AB18" i="32"/>
  <c r="AB17" i="32" s="1"/>
  <c r="Z17" i="32"/>
  <c r="Z33" i="32"/>
  <c r="AB43" i="32"/>
  <c r="AB42" i="32" s="1"/>
  <c r="Z42" i="32"/>
  <c r="AB50" i="32"/>
  <c r="AB49" i="32" s="1"/>
  <c r="Z49" i="32"/>
  <c r="W51" i="32"/>
  <c r="W81" i="32" s="1"/>
  <c r="Z53" i="32"/>
  <c r="AB53" i="32" s="1"/>
  <c r="Z55" i="32"/>
  <c r="AB55" i="32" s="1"/>
  <c r="Z70" i="32"/>
  <c r="AB70" i="32" s="1"/>
  <c r="V66" i="32"/>
  <c r="C115" i="31"/>
  <c r="F114" i="31"/>
  <c r="C114" i="31" s="1"/>
  <c r="C113" i="31"/>
  <c r="C112" i="31"/>
  <c r="C111" i="31"/>
  <c r="C110" i="31"/>
  <c r="C109" i="31"/>
  <c r="C108" i="31"/>
  <c r="C107" i="31"/>
  <c r="C106" i="31"/>
  <c r="F105" i="31"/>
  <c r="C105" i="31" s="1"/>
  <c r="C104" i="31"/>
  <c r="C103" i="31"/>
  <c r="C102" i="31"/>
  <c r="H101" i="31"/>
  <c r="F101" i="31"/>
  <c r="C101" i="31" s="1"/>
  <c r="C100" i="31"/>
  <c r="F99" i="31"/>
  <c r="D99" i="31"/>
  <c r="C98" i="31"/>
  <c r="C97" i="31"/>
  <c r="C96" i="31"/>
  <c r="H95" i="31"/>
  <c r="E95" i="31"/>
  <c r="D95" i="31"/>
  <c r="C95" i="31" s="1"/>
  <c r="C94" i="31"/>
  <c r="C93" i="31"/>
  <c r="D92" i="31"/>
  <c r="C92" i="31" s="1"/>
  <c r="C91" i="31"/>
  <c r="F90" i="31"/>
  <c r="C90" i="31" s="1"/>
  <c r="C89" i="31"/>
  <c r="C88" i="31"/>
  <c r="C87" i="31"/>
  <c r="C86" i="31"/>
  <c r="C85" i="31"/>
  <c r="C84" i="31"/>
  <c r="C83" i="31"/>
  <c r="C82" i="31"/>
  <c r="C81" i="31"/>
  <c r="C80" i="31"/>
  <c r="C79" i="31"/>
  <c r="C78" i="31"/>
  <c r="H77" i="31"/>
  <c r="C77" i="31"/>
  <c r="C76" i="31"/>
  <c r="C75" i="31"/>
  <c r="C74" i="31"/>
  <c r="C73" i="31"/>
  <c r="C72" i="31"/>
  <c r="C71" i="31"/>
  <c r="C70" i="31"/>
  <c r="C69" i="31"/>
  <c r="C68" i="31"/>
  <c r="C67" i="31"/>
  <c r="H66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F52" i="31"/>
  <c r="C52" i="31" s="1"/>
  <c r="C51" i="31"/>
  <c r="C50" i="31"/>
  <c r="C49" i="31"/>
  <c r="C48" i="31"/>
  <c r="C47" i="31"/>
  <c r="C46" i="31"/>
  <c r="C45" i="31"/>
  <c r="H44" i="31"/>
  <c r="C44" i="31"/>
  <c r="C43" i="31"/>
  <c r="H42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H19" i="31"/>
  <c r="C19" i="31"/>
  <c r="C18" i="31"/>
  <c r="H17" i="31"/>
  <c r="C17" i="31"/>
  <c r="H16" i="31"/>
  <c r="C16" i="31"/>
  <c r="C15" i="31"/>
  <c r="H14" i="31"/>
  <c r="C14" i="31"/>
  <c r="H13" i="31"/>
  <c r="C13" i="31"/>
  <c r="C12" i="31"/>
  <c r="C11" i="31"/>
  <c r="C10" i="31"/>
  <c r="C9" i="31"/>
  <c r="C8" i="31"/>
  <c r="C7" i="31"/>
  <c r="C99" i="31" l="1"/>
  <c r="AB33" i="32"/>
  <c r="AB32" i="32" s="1"/>
  <c r="Z32" i="32"/>
  <c r="Z66" i="32"/>
  <c r="AB51" i="32"/>
  <c r="Z51" i="32"/>
  <c r="AB66" i="32"/>
  <c r="N102" i="26"/>
  <c r="M102" i="26"/>
  <c r="L102" i="26"/>
  <c r="K102" i="26"/>
  <c r="J102" i="26"/>
  <c r="I102" i="26"/>
  <c r="H102" i="26"/>
  <c r="C102" i="26"/>
  <c r="O101" i="26"/>
  <c r="O102" i="26" s="1"/>
  <c r="G100" i="26"/>
  <c r="F99" i="26"/>
  <c r="F98" i="26"/>
  <c r="F97" i="26"/>
  <c r="G96" i="26"/>
  <c r="F96" i="26"/>
  <c r="F95" i="26"/>
  <c r="F94" i="26"/>
  <c r="F93" i="26"/>
  <c r="G92" i="26"/>
  <c r="F92" i="26"/>
  <c r="E91" i="26"/>
  <c r="D91" i="26"/>
  <c r="E90" i="26"/>
  <c r="E102" i="26" s="1"/>
  <c r="D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G15" i="26"/>
  <c r="F15" i="26"/>
  <c r="F14" i="26"/>
  <c r="F13" i="26"/>
  <c r="F12" i="26"/>
  <c r="F11" i="26"/>
  <c r="F10" i="26"/>
  <c r="F9" i="26"/>
  <c r="F8" i="26"/>
  <c r="F7" i="26"/>
  <c r="F6" i="26"/>
  <c r="F5" i="26"/>
  <c r="E80" i="25"/>
  <c r="D80" i="25"/>
  <c r="F79" i="25"/>
  <c r="F78" i="25"/>
  <c r="F77" i="25"/>
  <c r="F76" i="25"/>
  <c r="F75" i="25"/>
  <c r="F74" i="25"/>
  <c r="F73" i="25"/>
  <c r="C72" i="25"/>
  <c r="F72" i="25" s="1"/>
  <c r="C71" i="25"/>
  <c r="F71" i="25" s="1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C42" i="25"/>
  <c r="F42" i="25" s="1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C20" i="25"/>
  <c r="F20" i="25" s="1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G141" i="27"/>
  <c r="E141" i="27"/>
  <c r="C141" i="27" s="1"/>
  <c r="G140" i="27"/>
  <c r="E140" i="27"/>
  <c r="C140" i="27" s="1"/>
  <c r="C139" i="27"/>
  <c r="C138" i="27"/>
  <c r="C137" i="27"/>
  <c r="C136" i="27" s="1"/>
  <c r="M136" i="27"/>
  <c r="M142" i="27" s="1"/>
  <c r="L136" i="27"/>
  <c r="L142" i="27" s="1"/>
  <c r="K142" i="27"/>
  <c r="J136" i="27"/>
  <c r="J142" i="27" s="1"/>
  <c r="I136" i="27"/>
  <c r="I142" i="27" s="1"/>
  <c r="H136" i="27"/>
  <c r="H142" i="27" s="1"/>
  <c r="G136" i="27"/>
  <c r="F136" i="27"/>
  <c r="F142" i="27" s="1"/>
  <c r="E136" i="27"/>
  <c r="D136" i="27"/>
  <c r="D142" i="27" s="1"/>
  <c r="C135" i="27"/>
  <c r="C134" i="27"/>
  <c r="C133" i="27"/>
  <c r="C132" i="27"/>
  <c r="G131" i="27"/>
  <c r="E131" i="27"/>
  <c r="C131" i="27" s="1"/>
  <c r="C130" i="27"/>
  <c r="C129" i="27"/>
  <c r="C128" i="27"/>
  <c r="C127" i="27"/>
  <c r="C126" i="27"/>
  <c r="C125" i="27"/>
  <c r="C124" i="27"/>
  <c r="C123" i="27"/>
  <c r="A123" i="27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C122" i="27"/>
  <c r="C121" i="27"/>
  <c r="C120" i="27"/>
  <c r="C119" i="27"/>
  <c r="E118" i="27"/>
  <c r="C118" i="27" s="1"/>
  <c r="E117" i="27"/>
  <c r="C117" i="27" s="1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G90" i="27"/>
  <c r="E90" i="27"/>
  <c r="C90" i="27" s="1"/>
  <c r="C89" i="27"/>
  <c r="C88" i="27"/>
  <c r="C87" i="27"/>
  <c r="C86" i="27"/>
  <c r="G85" i="27"/>
  <c r="E85" i="27"/>
  <c r="C85" i="27"/>
  <c r="C84" i="27"/>
  <c r="C83" i="27"/>
  <c r="C82" i="27"/>
  <c r="C81" i="27"/>
  <c r="C80" i="27"/>
  <c r="C79" i="27"/>
  <c r="G78" i="27"/>
  <c r="E78" i="27"/>
  <c r="C78" i="27" s="1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F80" i="25" l="1"/>
  <c r="F90" i="26"/>
  <c r="AB81" i="32"/>
  <c r="Z81" i="32"/>
  <c r="D102" i="26"/>
  <c r="G102" i="26"/>
  <c r="F91" i="26"/>
  <c r="F102" i="26" s="1"/>
  <c r="C80" i="25"/>
  <c r="E142" i="27"/>
  <c r="G142" i="27"/>
  <c r="C142" i="27"/>
  <c r="C21" i="28"/>
  <c r="N23" i="28" l="1"/>
  <c r="L23" i="28" s="1"/>
  <c r="P22" i="28"/>
  <c r="P24" i="28" s="1"/>
  <c r="O22" i="28"/>
  <c r="O24" i="28" s="1"/>
  <c r="M22" i="28"/>
  <c r="M24" i="28" s="1"/>
  <c r="K22" i="28"/>
  <c r="K24" i="28" s="1"/>
  <c r="J22" i="28"/>
  <c r="J24" i="28" s="1"/>
  <c r="H22" i="28"/>
  <c r="H24" i="28" s="1"/>
  <c r="G22" i="28"/>
  <c r="G24" i="28" s="1"/>
  <c r="F22" i="28"/>
  <c r="F24" i="28" s="1"/>
  <c r="E22" i="28"/>
  <c r="E24" i="28" s="1"/>
  <c r="D22" i="28"/>
  <c r="D24" i="28" s="1"/>
  <c r="L20" i="28"/>
  <c r="I20" i="28"/>
  <c r="C20" i="28" s="1"/>
  <c r="L19" i="28"/>
  <c r="I19" i="28"/>
  <c r="C19" i="28" s="1"/>
  <c r="L18" i="28"/>
  <c r="I18" i="28"/>
  <c r="C18" i="28" s="1"/>
  <c r="L17" i="28"/>
  <c r="I17" i="28"/>
  <c r="C17" i="28" s="1"/>
  <c r="L16" i="28"/>
  <c r="I16" i="28"/>
  <c r="C16" i="28" s="1"/>
  <c r="L15" i="28"/>
  <c r="I15" i="28"/>
  <c r="C15" i="28" s="1"/>
  <c r="N14" i="28"/>
  <c r="L14" i="28" s="1"/>
  <c r="N13" i="28"/>
  <c r="L13" i="28" s="1"/>
  <c r="N12" i="28"/>
  <c r="L12" i="28" s="1"/>
  <c r="L11" i="28"/>
  <c r="I11" i="28"/>
  <c r="C11" i="28" s="1"/>
  <c r="N10" i="28"/>
  <c r="L10" i="28" s="1"/>
  <c r="L9" i="28"/>
  <c r="I9" i="28"/>
  <c r="C9" i="28" s="1"/>
  <c r="N8" i="28"/>
  <c r="N22" i="28" l="1"/>
  <c r="N24" i="28" s="1"/>
  <c r="L24" i="28" s="1"/>
  <c r="I13" i="28"/>
  <c r="C13" i="28" s="1"/>
  <c r="I10" i="28"/>
  <c r="C10" i="28" s="1"/>
  <c r="I12" i="28"/>
  <c r="C12" i="28" s="1"/>
  <c r="I8" i="28"/>
  <c r="C8" i="28" s="1"/>
  <c r="I14" i="28"/>
  <c r="C14" i="28" s="1"/>
  <c r="I23" i="28"/>
  <c r="C23" i="28" s="1"/>
  <c r="L8" i="28"/>
  <c r="L22" i="28" s="1"/>
  <c r="C22" i="28" l="1"/>
  <c r="C24" i="28" s="1"/>
  <c r="I22" i="28"/>
  <c r="I24" i="28" s="1"/>
  <c r="M30" i="30" l="1"/>
  <c r="L30" i="30"/>
  <c r="J30" i="30"/>
  <c r="H30" i="30"/>
  <c r="G30" i="30"/>
  <c r="F30" i="30"/>
  <c r="E30" i="30"/>
  <c r="D30" i="30"/>
  <c r="C30" i="30"/>
  <c r="P29" i="30"/>
  <c r="N29" i="30"/>
  <c r="I29" i="30"/>
  <c r="K29" i="30" s="1"/>
  <c r="Q28" i="30"/>
  <c r="I28" i="30"/>
  <c r="K28" i="30" s="1"/>
  <c r="P27" i="30"/>
  <c r="O27" i="30"/>
  <c r="I27" i="30"/>
  <c r="K27" i="30" s="1"/>
  <c r="Q26" i="30"/>
  <c r="I26" i="30"/>
  <c r="K26" i="30" s="1"/>
  <c r="Q25" i="30"/>
  <c r="I25" i="30"/>
  <c r="K25" i="30" s="1"/>
  <c r="Q24" i="30"/>
  <c r="I24" i="30"/>
  <c r="K24" i="30" s="1"/>
  <c r="P23" i="30"/>
  <c r="O23" i="30"/>
  <c r="N23" i="30"/>
  <c r="I23" i="30"/>
  <c r="K23" i="30" s="1"/>
  <c r="Q22" i="30"/>
  <c r="I22" i="30"/>
  <c r="K22" i="30" s="1"/>
  <c r="R22" i="30" s="1"/>
  <c r="Q21" i="30"/>
  <c r="I21" i="30"/>
  <c r="K21" i="30" s="1"/>
  <c r="R21" i="30" s="1"/>
  <c r="Q20" i="30"/>
  <c r="K20" i="30"/>
  <c r="R20" i="30" s="1"/>
  <c r="I20" i="30"/>
  <c r="P19" i="30"/>
  <c r="O19" i="30"/>
  <c r="K19" i="30"/>
  <c r="I19" i="30"/>
  <c r="P18" i="30"/>
  <c r="O18" i="30"/>
  <c r="N18" i="30"/>
  <c r="Q18" i="30" s="1"/>
  <c r="I18" i="30"/>
  <c r="K18" i="30" s="1"/>
  <c r="P17" i="30"/>
  <c r="O17" i="30"/>
  <c r="N17" i="30"/>
  <c r="I17" i="30"/>
  <c r="K17" i="30" s="1"/>
  <c r="P16" i="30"/>
  <c r="O16" i="30"/>
  <c r="N16" i="30"/>
  <c r="I16" i="30"/>
  <c r="K16" i="30" s="1"/>
  <c r="P15" i="30"/>
  <c r="O15" i="30"/>
  <c r="N15" i="30"/>
  <c r="I15" i="30"/>
  <c r="K15" i="30" s="1"/>
  <c r="P14" i="30"/>
  <c r="O14" i="30"/>
  <c r="I14" i="30"/>
  <c r="K14" i="30" s="1"/>
  <c r="P13" i="30"/>
  <c r="O13" i="30"/>
  <c r="N13" i="30"/>
  <c r="I13" i="30"/>
  <c r="K13" i="30" s="1"/>
  <c r="P12" i="30"/>
  <c r="O12" i="30"/>
  <c r="N12" i="30"/>
  <c r="I12" i="30"/>
  <c r="K12" i="30" s="1"/>
  <c r="P11" i="30"/>
  <c r="O11" i="30"/>
  <c r="N11" i="30"/>
  <c r="I11" i="30"/>
  <c r="K11" i="30" s="1"/>
  <c r="P10" i="30"/>
  <c r="O10" i="30"/>
  <c r="Q10" i="30" s="1"/>
  <c r="I10" i="30"/>
  <c r="K10" i="30" s="1"/>
  <c r="P9" i="30"/>
  <c r="O9" i="30"/>
  <c r="I9" i="30"/>
  <c r="K9" i="30" s="1"/>
  <c r="Q8" i="30"/>
  <c r="I8" i="30"/>
  <c r="K8" i="30" s="1"/>
  <c r="R8" i="30" s="1"/>
  <c r="P7" i="30"/>
  <c r="O7" i="30"/>
  <c r="Q7" i="30" s="1"/>
  <c r="N7" i="30"/>
  <c r="K7" i="30"/>
  <c r="R7" i="30" s="1"/>
  <c r="I7" i="30"/>
  <c r="P6" i="30"/>
  <c r="P30" i="30" s="1"/>
  <c r="O6" i="30"/>
  <c r="K6" i="30"/>
  <c r="I6" i="30"/>
  <c r="Q27" i="30" l="1"/>
  <c r="R27" i="30" s="1"/>
  <c r="R28" i="30"/>
  <c r="Q13" i="30"/>
  <c r="Q15" i="30"/>
  <c r="R15" i="30" s="1"/>
  <c r="K30" i="30"/>
  <c r="I30" i="30"/>
  <c r="Q6" i="30"/>
  <c r="R6" i="30" s="1"/>
  <c r="N30" i="30"/>
  <c r="Q9" i="30"/>
  <c r="R9" i="30" s="1"/>
  <c r="R10" i="30"/>
  <c r="Q11" i="30"/>
  <c r="R11" i="30" s="1"/>
  <c r="Q12" i="30"/>
  <c r="R12" i="30" s="1"/>
  <c r="R13" i="30"/>
  <c r="Q14" i="30"/>
  <c r="Q16" i="30"/>
  <c r="R16" i="30" s="1"/>
  <c r="Q17" i="30"/>
  <c r="R17" i="30" s="1"/>
  <c r="R18" i="30"/>
  <c r="Q19" i="30"/>
  <c r="Q23" i="30"/>
  <c r="R23" i="30" s="1"/>
  <c r="R24" i="30"/>
  <c r="R25" i="30"/>
  <c r="R26" i="30"/>
  <c r="Q29" i="30"/>
  <c r="R29" i="30" s="1"/>
  <c r="R14" i="30"/>
  <c r="R19" i="30"/>
  <c r="O30" i="30"/>
  <c r="Q30" i="30" l="1"/>
  <c r="R30" i="30"/>
  <c r="F47" i="29" l="1"/>
  <c r="K47" i="29" s="1"/>
  <c r="I46" i="29"/>
  <c r="H46" i="29"/>
  <c r="G46" i="29"/>
  <c r="D46" i="29"/>
  <c r="C46" i="29"/>
  <c r="J45" i="29"/>
  <c r="K45" i="29" s="1"/>
  <c r="F44" i="29"/>
  <c r="K44" i="29" s="1"/>
  <c r="J43" i="29"/>
  <c r="F43" i="29"/>
  <c r="K42" i="29"/>
  <c r="F42" i="29"/>
  <c r="J41" i="29"/>
  <c r="F41" i="29"/>
  <c r="J40" i="29"/>
  <c r="F40" i="29"/>
  <c r="J39" i="29"/>
  <c r="F39" i="29"/>
  <c r="J38" i="29"/>
  <c r="D38" i="29"/>
  <c r="C38" i="29"/>
  <c r="F38" i="29" s="1"/>
  <c r="K38" i="29" s="1"/>
  <c r="C37" i="29"/>
  <c r="F37" i="29" s="1"/>
  <c r="K37" i="29" s="1"/>
  <c r="F36" i="29"/>
  <c r="K36" i="29" s="1"/>
  <c r="F35" i="29"/>
  <c r="K35" i="29" s="1"/>
  <c r="F34" i="29"/>
  <c r="K34" i="29" s="1"/>
  <c r="F33" i="29"/>
  <c r="K33" i="29" s="1"/>
  <c r="F32" i="29"/>
  <c r="K32" i="29" s="1"/>
  <c r="E31" i="29"/>
  <c r="C31" i="29"/>
  <c r="F31" i="29" s="1"/>
  <c r="K31" i="29" s="1"/>
  <c r="J30" i="29"/>
  <c r="K30" i="29" s="1"/>
  <c r="J29" i="29"/>
  <c r="D29" i="29"/>
  <c r="C29" i="29"/>
  <c r="F29" i="29" s="1"/>
  <c r="K29" i="29" s="1"/>
  <c r="G28" i="29"/>
  <c r="J28" i="29" s="1"/>
  <c r="K28" i="29" s="1"/>
  <c r="J27" i="29"/>
  <c r="K27" i="29" s="1"/>
  <c r="F26" i="29"/>
  <c r="K26" i="29" s="1"/>
  <c r="I25" i="29"/>
  <c r="I48" i="29" s="1"/>
  <c r="H25" i="29"/>
  <c r="G25" i="29"/>
  <c r="F25" i="29"/>
  <c r="J24" i="29"/>
  <c r="F24" i="29"/>
  <c r="F23" i="29"/>
  <c r="K23" i="29" s="1"/>
  <c r="C22" i="29"/>
  <c r="F22" i="29" s="1"/>
  <c r="K22" i="29" s="1"/>
  <c r="F21" i="29"/>
  <c r="K21" i="29" s="1"/>
  <c r="C21" i="29"/>
  <c r="K20" i="29"/>
  <c r="F20" i="29"/>
  <c r="K19" i="29"/>
  <c r="F19" i="29"/>
  <c r="C18" i="29"/>
  <c r="F18" i="29" s="1"/>
  <c r="K18" i="29" s="1"/>
  <c r="F17" i="29"/>
  <c r="K17" i="29" s="1"/>
  <c r="F16" i="29"/>
  <c r="K16" i="29" s="1"/>
  <c r="C15" i="29"/>
  <c r="F15" i="29" s="1"/>
  <c r="K15" i="29" s="1"/>
  <c r="E14" i="29"/>
  <c r="E48" i="29" s="1"/>
  <c r="D14" i="29"/>
  <c r="F13" i="29"/>
  <c r="K13" i="29" s="1"/>
  <c r="J12" i="29"/>
  <c r="F12" i="29"/>
  <c r="K12" i="29" s="1"/>
  <c r="F11" i="29"/>
  <c r="K11" i="29" s="1"/>
  <c r="F10" i="29"/>
  <c r="K10" i="29" s="1"/>
  <c r="C9" i="29"/>
  <c r="F9" i="29" s="1"/>
  <c r="K9" i="29" s="1"/>
  <c r="F8" i="29"/>
  <c r="K8" i="29" s="1"/>
  <c r="J7" i="29"/>
  <c r="F7" i="29"/>
  <c r="K7" i="29" s="1"/>
  <c r="F6" i="29"/>
  <c r="K6" i="29" s="1"/>
  <c r="F5" i="29"/>
  <c r="D48" i="29" l="1"/>
  <c r="K24" i="29"/>
  <c r="H48" i="29"/>
  <c r="J46" i="29"/>
  <c r="K39" i="29"/>
  <c r="K40" i="29"/>
  <c r="K41" i="29"/>
  <c r="K43" i="29"/>
  <c r="F46" i="29"/>
  <c r="K46" i="29" s="1"/>
  <c r="J25" i="29"/>
  <c r="C48" i="29"/>
  <c r="G48" i="29"/>
  <c r="K5" i="29"/>
  <c r="F14" i="29"/>
  <c r="K14" i="29" s="1"/>
  <c r="J48" i="29" l="1"/>
  <c r="F48" i="29"/>
  <c r="K25" i="29"/>
  <c r="K48" i="29" s="1"/>
</calcChain>
</file>

<file path=xl/sharedStrings.xml><?xml version="1.0" encoding="utf-8"?>
<sst xmlns="http://schemas.openxmlformats.org/spreadsheetml/2006/main" count="1787" uniqueCount="738">
  <si>
    <t>№ п/п</t>
  </si>
  <si>
    <t>ГБУЗ РБ Аскаровская ЦРБ</t>
  </si>
  <si>
    <t>ГБУЗ РБ Раевская ЦРБ</t>
  </si>
  <si>
    <t>ГБУЗ РБ Архангельская ЦРБ</t>
  </si>
  <si>
    <t>ГБУЗ РБ Аскинская ЦРБ</t>
  </si>
  <si>
    <t>ГБУЗ РБ Толбазинская ЦРБ</t>
  </si>
  <si>
    <t>ГБУЗ РБ Баймакская ЦГБ</t>
  </si>
  <si>
    <t>ГБУЗ РБ Бакалинская ЦРБ</t>
  </si>
  <si>
    <t>ГБУЗ РБ Балтачевская ЦРБ</t>
  </si>
  <si>
    <t>ГБУЗ РБ Белебеевская ЦРБ</t>
  </si>
  <si>
    <t>ГБУЗ РБ Белокатайская ЦРБ</t>
  </si>
  <si>
    <t>ГБУЗ РБ Белорецкая ЦРКБ</t>
  </si>
  <si>
    <t>ГБУЗ РБ Бижбулякская ЦРБ</t>
  </si>
  <si>
    <t>ГБУЗ РБ Бирская ЦРБ</t>
  </si>
  <si>
    <t>ГБУЗ РБ Языковская ЦРБ</t>
  </si>
  <si>
    <t>ГБУЗ РБ Благовещенская ЦРБ</t>
  </si>
  <si>
    <t>ГБУЗ РБ Буздякская ЦРБ</t>
  </si>
  <si>
    <t>ГБУЗ РБ Бураевская ЦРБ</t>
  </si>
  <si>
    <t>ГБУЗ РБ Бурзянская ЦРБ</t>
  </si>
  <si>
    <t>ГБУЗ РБ Красноусольская ЦРБ</t>
  </si>
  <si>
    <t>ГБУЗ РБ Давлекановская ЦРБ</t>
  </si>
  <si>
    <t>ГБУЗ РБ Месягутовская ЦРБ</t>
  </si>
  <si>
    <t>ГБУЗ РБ Дюртюлинская ЦРБ</t>
  </si>
  <si>
    <t>ГАУЗ РБ СП Дюртюлинского района</t>
  </si>
  <si>
    <t>ГБУЗ РБ Ермекеевская ЦРБ</t>
  </si>
  <si>
    <t>ГБУЗ РБ Исянгуловская ЦРБ</t>
  </si>
  <si>
    <t>ГБУЗ РБ Зилаирская ЦРБ</t>
  </si>
  <si>
    <t>ГБУЗ РБ Иглинская ЦРБ</t>
  </si>
  <si>
    <t>ГБУЗ РБ Верхнеяркеевская ЦРБ</t>
  </si>
  <si>
    <t>ГБУЗ РБ Ишимбайская ЦРБ</t>
  </si>
  <si>
    <t>ГБУЗ РБ Калтасинская ЦРБ</t>
  </si>
  <si>
    <t>ГБУЗ РБ Караидельская ЦРБ</t>
  </si>
  <si>
    <t>ГБУЗ РБ Кармаскалинская ЦРБ</t>
  </si>
  <si>
    <t>ГБУЗ РБ Кигинская ЦРБ</t>
  </si>
  <si>
    <t>ГБУЗ РБ Краснокамская ЦРБ</t>
  </si>
  <si>
    <t>ГБУЗ РБ Мраковская ЦРБ</t>
  </si>
  <si>
    <t>ГБУЗ РБ Кушнаренковская ЦРБ</t>
  </si>
  <si>
    <t>ГБУЗ РБ ГБ г.Кумертау</t>
  </si>
  <si>
    <t>ГБУЗ РБ Мелеузовская ЦРБ</t>
  </si>
  <si>
    <t>ГБУЗ РБ Большеустьикинская ЦРБ</t>
  </si>
  <si>
    <t>ГБУЗ РБ Мишкинская ЦРБ</t>
  </si>
  <si>
    <t>ГБУЗ РБ Миякинская ЦРБ</t>
  </si>
  <si>
    <t>ГБУЗ РБ Нуримановская ЦРБ</t>
  </si>
  <si>
    <t>ГБУЗ РБ Малоязовская ЦРБ</t>
  </si>
  <si>
    <t>ГБУЗ РБ Стерлибашевская ЦРБ</t>
  </si>
  <si>
    <t>ГБУЗ РБ Верхне-Татышлинская ЦРБ</t>
  </si>
  <si>
    <t>ГБУЗ РБ Туймазинская ЦРБ</t>
  </si>
  <si>
    <t>ГАУЗ РБ Учалинская ЦГБ</t>
  </si>
  <si>
    <t>ГБУЗ РБ Федоровская ЦРБ</t>
  </si>
  <si>
    <t>ГБУЗ РБ Акъярская ЦРБ</t>
  </si>
  <si>
    <t>ГБУЗ РБ Чекмагушевская ЦРБ</t>
  </si>
  <si>
    <t>ГБУЗ РБ Чишминская ЦРБ</t>
  </si>
  <si>
    <t>ГБУЗ РБ Шаранская ЦРБ</t>
  </si>
  <si>
    <t>ГБУЗ РБ Янаульская ЦРБ</t>
  </si>
  <si>
    <t>ФГБУЗ МСЧ №142 ФМБА России</t>
  </si>
  <si>
    <t>ГБУЗ РБ ЦГБ г.Сибай</t>
  </si>
  <si>
    <t>ГАУЗ РБ Стоматологическая поликлиника г.Сибай</t>
  </si>
  <si>
    <t>ГБУЗ РБ ГБ г.Салават</t>
  </si>
  <si>
    <t>ГБУЗ РБ Стоматологическая поликлиника г.Салават</t>
  </si>
  <si>
    <t>ГБУЗ РБ Городская больница №2 г.Стерлитамак</t>
  </si>
  <si>
    <t>ГБУЗ РБ КБ №1 г.Стерлитамак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</si>
  <si>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</si>
  <si>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</si>
  <si>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</si>
  <si>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</si>
  <si>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</si>
  <si>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</si>
  <si>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</si>
  <si>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</si>
  <si>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</si>
  <si>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</si>
  <si>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</si>
  <si>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ГБ №9 г.Уфа</t>
  </si>
  <si>
    <t>ГБУЗ РБ ГКБ №8 г.Уфа</t>
  </si>
  <si>
    <t>ГБУЗ РБ ГКБ №10 г.Уфа</t>
  </si>
  <si>
    <t>ГБУЗ РБ ГБ №12 г.Уфа</t>
  </si>
  <si>
    <t>ГБУЗ РБ ГКБ №13 г.Уфа</t>
  </si>
  <si>
    <t>ГАУЗ РБ ГКБ №18 г.Уфа</t>
  </si>
  <si>
    <t>ГБУЗ РБ ГКБ №5 г.Уфа</t>
  </si>
  <si>
    <t>ГБУЗ РБ ГДКБ №17 г.Уфа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</si>
  <si>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</si>
  <si>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</si>
  <si>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</si>
  <si>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</si>
  <si>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</si>
  <si>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ГБУЗ РБ Детская стоматологическая поликлиника №7 г.Уфа</t>
  </si>
  <si>
    <t>ГБУЗ РБ Стоматологическая поликлиника №2 г.Уфа</t>
  </si>
  <si>
    <t>ФГБОУ ВО БГМУ Минздрава России</t>
  </si>
  <si>
    <t>ГБУЗ РДКБ</t>
  </si>
  <si>
    <t>ГБУЗ РБ БСМП г.Уфа</t>
  </si>
  <si>
    <t>ГБУЗ РБ ИКБ №4 г.Уфа</t>
  </si>
  <si>
    <t>Медицинская помощь за пределами РБ</t>
  </si>
  <si>
    <t>Итого</t>
  </si>
  <si>
    <t>Объемы на 2020 год</t>
  </si>
  <si>
    <t>Наименование медицинских организаций</t>
  </si>
  <si>
    <t>Всего</t>
  </si>
  <si>
    <t>в том числе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</si>
  <si>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</si>
  <si>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</si>
  <si>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</si>
  <si>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ГБУЗ РБ ГБ г. Нефтекамск</t>
  </si>
  <si>
    <t>Обособленное структурное подразделение ГБУЗ РБ ГБ г.Нефтекамск, ранее именуемое ГБУЗ РБ Агидельская ГБ</t>
  </si>
  <si>
    <t>ООО "Корона" (г.Нефтекамск)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</si>
  <si>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</si>
  <si>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</si>
  <si>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</si>
  <si>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</si>
  <si>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</si>
  <si>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</si>
  <si>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</si>
  <si>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ГАУЗ РБ КВД г.Салават</t>
  </si>
  <si>
    <t>Обособленное структурное подразделение ГБУЗ РБ ЦГБ города Кумертау, ранее именуемое ГБУЗ РБ Ермолаевская ЦРБ</t>
  </si>
  <si>
    <t>ООО "Медсервис" (г.Салават)</t>
  </si>
  <si>
    <t>ГБУЗ РБ ГБ №1 г. Октябрьский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</si>
  <si>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</si>
  <si>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</si>
  <si>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</si>
  <si>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"Медсервис" (с.Верхнеяркеево)</t>
  </si>
  <si>
    <t>ООО "Центр здоровья и красоты" (с.Киргиз-Мияки)</t>
  </si>
  <si>
    <t>ГАУЗ РБ Детская стоматологическая поликлиника №3 г.Уфа</t>
  </si>
  <si>
    <t>ГБУЗ РБ Стоматологическая поликлиника №1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</si>
  <si>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</si>
  <si>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</si>
  <si>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</si>
  <si>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</si>
  <si>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</si>
  <si>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</si>
  <si>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ГБУЗ РБ РД №3 г.Уфа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</si>
  <si>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</si>
  <si>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</si>
  <si>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</si>
  <si>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ООО "Центр здоровья и красоты" (с.Буздяк)</t>
  </si>
  <si>
    <t>ООО "Дантист" (г.Благовещенск)</t>
  </si>
  <si>
    <t>ООО "Евромед-Уфа" (г.Уфа)</t>
  </si>
  <si>
    <t>ООО "МЦ МЕГИ" (г.Уфа)</t>
  </si>
  <si>
    <t>ООО "Бомонд"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</si>
  <si>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</si>
  <si>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</si>
  <si>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</si>
  <si>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>ГБУЗ РКБ им. Г.Г. Куватова</t>
  </si>
  <si>
    <t>ГБУ "УфНИИ ГБ АН РБ"</t>
  </si>
  <si>
    <t>ГАУЗ РКВД №1</t>
  </si>
  <si>
    <t>ГБУЗ РКПЦ МЗ РБ</t>
  </si>
  <si>
    <t xml:space="preserve">ГБУЗ РБ ГКБ №21 г.Уфа </t>
  </si>
  <si>
    <t>Обособленное структурное подразделение ГБУЗ РБ ГКБ № 21 г. Уфа ранее именуемое ГБУЗ РБ Уфимская ЦРП</t>
  </si>
  <si>
    <t>АУЗ РСП</t>
  </si>
  <si>
    <t>ИТОГО</t>
  </si>
  <si>
    <t>ГБУЗ РБ Городская инфекционная больница г.Стерлитамак</t>
  </si>
  <si>
    <t>Обособленное структурное подразделение Родильный дом ГБУЗ РБ ГБ города Салават</t>
  </si>
  <si>
    <t>ЧУЗ «РЖД- Медицина» г.Стерлитамак</t>
  </si>
  <si>
    <t>ЧУЗ «КБ «РЖД- Медицина» г.Уфа</t>
  </si>
  <si>
    <t>ГАУЗ РКОД  МЗ РБ</t>
  </si>
  <si>
    <t>ГБУЗ РКЦ</t>
  </si>
  <si>
    <t>ГБУЗ РМГЦ</t>
  </si>
  <si>
    <t>ГАУЗ РВФД</t>
  </si>
  <si>
    <t>ГБУЗ РКГВВ</t>
  </si>
  <si>
    <t>ООО "Лаборатория гемодиализа"</t>
  </si>
  <si>
    <t>ООО "Экома"</t>
  </si>
  <si>
    <t>ООО "МЦ "Агидель"</t>
  </si>
  <si>
    <t>ООО "Сфера-Эстейт"</t>
  </si>
  <si>
    <t>ООО "ДиаЛайф"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</si>
  <si>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</si>
  <si>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</si>
  <si>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</si>
  <si>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</si>
  <si>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</si>
  <si>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</si>
  <si>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</si>
  <si>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</si>
  <si>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</si>
  <si>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</si>
  <si>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</si>
  <si>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</si>
  <si>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>первичный прием</t>
  </si>
  <si>
    <t>повторная консуль-тация</t>
  </si>
  <si>
    <t>Наименование медицинской организации</t>
  </si>
  <si>
    <t>Всего в рамках программы ОМС</t>
  </si>
  <si>
    <t xml:space="preserve">В рамках базовой программы ОМС </t>
  </si>
  <si>
    <t>ЧУЗ "КБ"РЖД - Медицина" г.Уфа"</t>
  </si>
  <si>
    <t>ГБУЗ РБ КБ № 1 г.Стерлитамак</t>
  </si>
  <si>
    <t>ООО "Медсервис"</t>
  </si>
  <si>
    <t>ГБУЗ РБ ГКБ № 13 г. Уфа</t>
  </si>
  <si>
    <t>ГБУЗ РБ ГКБ № 21 г. Уфа</t>
  </si>
  <si>
    <t xml:space="preserve">ГБУЗ РБ ГКБ № 21 г.Уфа </t>
  </si>
  <si>
    <t xml:space="preserve">ГБУЗ РБ ГБ г. Нефтекамск </t>
  </si>
  <si>
    <t>ГБУЗ РБ Большеустикинская ЦРБ</t>
  </si>
  <si>
    <t>ГБУЗ РБ ГБ № 1 г.Октябрьский</t>
  </si>
  <si>
    <t>ЧУЗ «КБ «РЖД - Медицина» г. Уфа»</t>
  </si>
  <si>
    <t>ГБУЗ РБ ГКБ Демского района г. Уфа</t>
  </si>
  <si>
    <t xml:space="preserve">ГБУЗ РБ ГДКБ №17 г.Уфа </t>
  </si>
  <si>
    <t>ГБУЗ РКБ им. Г.Г.Куватова</t>
  </si>
  <si>
    <t>ГАУЗ РКОД МЗ РБ</t>
  </si>
  <si>
    <t xml:space="preserve">Объемы отдельных диагностических исследований, оказываемых в амбулаторно-поликлинических условиях, на 2020 год.                </t>
  </si>
  <si>
    <t>УЗИ сердечно-сосудистой системы</t>
  </si>
  <si>
    <t>Эхо-кардиография</t>
  </si>
  <si>
    <t>УЗДС брахио-цефальных артерий</t>
  </si>
  <si>
    <t>УЗДС магистральных артерий и вен нижних конечностей</t>
  </si>
  <si>
    <t>ГБУЗ РБ Баймакская ЦРБ</t>
  </si>
  <si>
    <t>ГБУЗ РБ Белорецкая ЦРБ</t>
  </si>
  <si>
    <t>ГБУЗ РБ ГБ г. Салават</t>
  </si>
  <si>
    <t>ГБУЗ РБ КБ № 1 г. Стерлитамак</t>
  </si>
  <si>
    <t>ГБУЗ РБ ГБ № 2 г. Стерлитамак</t>
  </si>
  <si>
    <t>ГБУЗ РБ ГБ № 3 г. Стерлитамак</t>
  </si>
  <si>
    <t xml:space="preserve">ГБУЗ РБ ГБ № 4 г. Стерлитамак </t>
  </si>
  <si>
    <t>ГБУЗ РБ ГБ № 1 г. Октябрьский</t>
  </si>
  <si>
    <t>ГБУЗ РБ Детская больница 
г. Стерлитамак</t>
  </si>
  <si>
    <t>ГАУЗ РБ Учалинская ЦРБ</t>
  </si>
  <si>
    <t>ГБУЗ РБ ЦГБ г. Сибай</t>
  </si>
  <si>
    <t>ООО "Медсервис" г. Салават</t>
  </si>
  <si>
    <t>ФГБУЗ РБ "Поликлиника Уфимского НЦ РАН"</t>
  </si>
  <si>
    <t xml:space="preserve">ФГБУЗ МЧС №142 ФМБА </t>
  </si>
  <si>
    <t>ЧУЗ "РЖД- МЕДИЦИНА" г. Стерлитамак"</t>
  </si>
  <si>
    <t>ЧУЗ "КБ "РЖД-МЕДИЦИНА" г. Уфа"</t>
  </si>
  <si>
    <t xml:space="preserve">ГБУЗ РБ Детская поликлиника №2 г. Уфа </t>
  </si>
  <si>
    <t xml:space="preserve">ГБУЗ РБ Детская поликлиника №3 г. Уфа </t>
  </si>
  <si>
    <t xml:space="preserve">ГБУЗ РБ Детская поликлиника №4 г. Уфа </t>
  </si>
  <si>
    <t xml:space="preserve">ГБУЗ РБ Детская поликлиника №5 г. Уфа </t>
  </si>
  <si>
    <t xml:space="preserve">ГБУЗ РБ Детская поликлиника №6 г. Уфа </t>
  </si>
  <si>
    <t>ГБУЗ РБ Поликлиника № 1 г. Уфа</t>
  </si>
  <si>
    <t>ГБУЗ РБ Поликлиника № 2 г. Уфа</t>
  </si>
  <si>
    <t>ГБУЗ РБ Поликлиника № 32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</si>
  <si>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</si>
  <si>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</si>
  <si>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</si>
  <si>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</si>
  <si>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</si>
  <si>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</si>
  <si>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 xml:space="preserve">ГБУЗ РБ ГКБ Демского района г. Уфы  </t>
  </si>
  <si>
    <t xml:space="preserve">ГБУЗ РБ ГКБ № 5 г. Уфа </t>
  </si>
  <si>
    <t>ГБУЗ РБ ГКБ № 8 г. Уфа</t>
  </si>
  <si>
    <t>ГБУЗ РБ ГБ № 9 г. Уфа</t>
  </si>
  <si>
    <t>ГБУЗ РБ ГКБ № 10 г. Уфа</t>
  </si>
  <si>
    <t>ГБУЗ РБ ГКБ № 12 г. Уфа</t>
  </si>
  <si>
    <t>ГБУЗ РБ ГДКБ № 17 г. Уфа</t>
  </si>
  <si>
    <t>ГБУЗ РБ ГКБ № 18 г. Уфа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</si>
  <si>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</t>
  </si>
  <si>
    <t>Эндоскопические диагностические исследования</t>
  </si>
  <si>
    <t>Молекулярно-генетические исследования</t>
  </si>
  <si>
    <t>ГБУЗ РБ Детская больница г. Стерлитамак</t>
  </si>
  <si>
    <t>ФГБУЗ МСЧ № 142 ФМБА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</si>
  <si>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</si>
  <si>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</si>
  <si>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</si>
  <si>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</si>
  <si>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</si>
  <si>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38 г. Уфа</t>
  </si>
  <si>
    <t>ГБУЗ РБ Поликлиника № 48 г. Уфа</t>
  </si>
  <si>
    <t>ГБУЗ РКОД РБ</t>
  </si>
  <si>
    <t>Бронхоскопия</t>
  </si>
  <si>
    <t>Колоноскопия</t>
  </si>
  <si>
    <t>Гастроскопия</t>
  </si>
  <si>
    <t>Объемы медицинской помощи в амбулаторно-поликлинических условиях в неотложной форме (для медицинских организаций частной формы собственности, не имеющих прикрепленного населения и финансируемые по реестрам)</t>
  </si>
  <si>
    <t>в том числе по специальности:</t>
  </si>
  <si>
    <t>стоматология</t>
  </si>
  <si>
    <t>ООО "Дантист", г. Благовещенск</t>
  </si>
  <si>
    <t>ООО "Дентал стандарт", с. Бижбуляк</t>
  </si>
  <si>
    <t>ООО "Академия здоровья", с. Киргиз-Мияки</t>
  </si>
  <si>
    <t>ООО "Центр здоровья и красоты", с. Буздяк</t>
  </si>
  <si>
    <t>ООО "Радуга", с. Киргиз-Мияки</t>
  </si>
  <si>
    <t>ООО "Корона+", г. Нефтекамск</t>
  </si>
  <si>
    <t xml:space="preserve">ООО "Ваша стоматология", г. Нефтекамск </t>
  </si>
  <si>
    <t>ООО "ВИП", г. Нефтекамск</t>
  </si>
  <si>
    <t>ООО "Корона", г. Нефтекамск</t>
  </si>
  <si>
    <t>ООО "Дантист+", г. Нефтекамск</t>
  </si>
  <si>
    <t>ООО СтомЭл, г. Нефтекамск</t>
  </si>
  <si>
    <t>ООО "МЦ МЕГИ", г.Уфа</t>
  </si>
  <si>
    <t>ООО "Бомонд", г.Уфа</t>
  </si>
  <si>
    <t>ООО "Эмидент Люкс", г.Уфа, ул.Айская, 16</t>
  </si>
  <si>
    <t>ООО "Эмидент Люкс", г.Уфа, ул. Революционная, 99</t>
  </si>
  <si>
    <t>ООО "Эмидент Люкс", г.Уфа, ул. Революционная, 57</t>
  </si>
  <si>
    <t>Объемы обращений в связи с заболеваниями на 2020 год в рамках базовой Программы ОМС (для медицинских организаций частной формы собственности, не имеющих прикрепленного населения и финансируемых по реестрам)</t>
  </si>
  <si>
    <t xml:space="preserve">Объемы обращений в связи с заболеваниями, всего </t>
  </si>
  <si>
    <t>в том числе по специальностям</t>
  </si>
  <si>
    <t>акушерство и гинекология</t>
  </si>
  <si>
    <t>ревмато-логия</t>
  </si>
  <si>
    <t>гастроэнтерология</t>
  </si>
  <si>
    <t>дермато-логия</t>
  </si>
  <si>
    <t>колопроктология</t>
  </si>
  <si>
    <t>травматология и ортопедия</t>
  </si>
  <si>
    <t>аллергология и иммунология</t>
  </si>
  <si>
    <t>пульмано-логия</t>
  </si>
  <si>
    <t>сердечно-сосудистая хирургия</t>
  </si>
  <si>
    <t>ООО "Академия здоровья",  с. Киргиз-Мияки</t>
  </si>
  <si>
    <t>ООО "Медсервис", с. Верхнеяркеево</t>
  </si>
  <si>
    <t>ООО МЦ "СЕМЕЙНЫЙ ДОКТОР"</t>
  </si>
  <si>
    <t>ООО "Дента", г. Нефтекамск</t>
  </si>
  <si>
    <t>ООО "СтомЭл", г. Нефтекамск</t>
  </si>
  <si>
    <t>ООО "ЭнжеДент",  г. Нефтекамск</t>
  </si>
  <si>
    <t>ООО "Витадент Космо", г.Уфа</t>
  </si>
  <si>
    <t>ООО "Медицинский центр Семья", г.Уфа</t>
  </si>
  <si>
    <t>ООО "ЦМТ", г.Уфа</t>
  </si>
  <si>
    <t xml:space="preserve"> ООО "Медхелп", г.Уфа</t>
  </si>
  <si>
    <t>ООО "Клиника современной флебологии", г.Уфа</t>
  </si>
  <si>
    <t>ООО "Евромед-Уфа"</t>
  </si>
  <si>
    <t xml:space="preserve">ООО "Центр здоровья и красоты" , с.Киргиз-Мияки </t>
  </si>
  <si>
    <t>ООО "Экодент", г. Белебей</t>
  </si>
  <si>
    <t>Объемы посещений с профилактическими и иными целями на 2020 год</t>
  </si>
  <si>
    <t>(для медицинских организаций частной формы собственности, не имеющих прикрепленного населения и финансируемых по реестрам)</t>
  </si>
  <si>
    <t>Всего посещений</t>
  </si>
  <si>
    <t>ревматология</t>
  </si>
  <si>
    <t>физиотерапия</t>
  </si>
  <si>
    <t>дерматология</t>
  </si>
  <si>
    <t>пульманология</t>
  </si>
  <si>
    <t>ССХ</t>
  </si>
  <si>
    <t>гематология</t>
  </si>
  <si>
    <t>инфекционные болезни</t>
  </si>
  <si>
    <t>нефрология</t>
  </si>
  <si>
    <t>сурдология-оториноларингология</t>
  </si>
  <si>
    <t>нейрохирургия</t>
  </si>
  <si>
    <t>ООО Бомонд, г. Уфа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</si>
  <si>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</si>
  <si>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</si>
  <si>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</si>
  <si>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</si>
  <si>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Исследования с применением молекулярно-генетических методов in situ гибридизации FISH</t>
  </si>
  <si>
    <t>Объемы оказания медицинской помощи в условиях дневных стационаров на 2020 год.</t>
  </si>
  <si>
    <t>(случаи госпитализации)</t>
  </si>
  <si>
    <t>Наименование учреждения здравоохранения</t>
  </si>
  <si>
    <t>В том числе</t>
  </si>
  <si>
    <t>ВМП  профиль "онкология"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</si>
  <si>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</si>
  <si>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</si>
  <si>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</si>
  <si>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</si>
  <si>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</si>
  <si>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</si>
  <si>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</si>
  <si>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</si>
  <si>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</si>
  <si>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ГАУЗ РБ Санаторий для детей Нур</t>
  </si>
  <si>
    <t>ГБУЗ РБ ГБ г.Нефтекамск</t>
  </si>
  <si>
    <t>ГБУЗ РБ ГБ №2 г.Стерлитамак</t>
  </si>
  <si>
    <t>ГБУЗ РБ ГБ №3 г.Стерлитамак</t>
  </si>
  <si>
    <t>ГБУЗ РБ ГБ №4 г.Стерлитамак</t>
  </si>
  <si>
    <t>ГБУЗ РБ ГБ №1 г.Октябрьский</t>
  </si>
  <si>
    <t>ГБУЗ РБ ГИБ г.Стерлитамак</t>
  </si>
  <si>
    <t>ГБУЗ РБ ДБ г. Стерлитамак</t>
  </si>
  <si>
    <t>ОСП ГБУЗ РБ ГБ г.Нефтекамск, ранее именуемое ГБУЗ РБ Агидельская ГБ</t>
  </si>
  <si>
    <t>ОСП ГБУЗ РБ ЦГБ города Кумертау, ранее именуемое ГБУЗ РБ Ермолаевская ЦРБ</t>
  </si>
  <si>
    <t>ОСП ГБУЗ РБ ГБ города Салават, ранее именуемое ГБУЗ РБ Детская ГБ города Салават</t>
  </si>
  <si>
    <t>ОСП Родильный дом ГБУЗ РБ ГБ г.Салават</t>
  </si>
  <si>
    <t>ОСП ГБУЗ РБ ГБ №4 города Стерлитамак ранее именуемое ГБУЗ РБ Стерлитамакская ЦРП</t>
  </si>
  <si>
    <t>ОСП ГБУЗ РБ ГКБ №21 г.Уфа , ранее именуемое ГБУЗ РБ Уфимская ЦРП</t>
  </si>
  <si>
    <t>ООО «АНЭКО»</t>
  </si>
  <si>
    <t>ООО Еромед-Уфа</t>
  </si>
  <si>
    <t>ООО  "Клиника глазных болезней"</t>
  </si>
  <si>
    <t>ООО "Клиника современной флебологии"</t>
  </si>
  <si>
    <t xml:space="preserve">ООО "Лаборатория гемодиализа" </t>
  </si>
  <si>
    <t>ООО Медсервис (Верхнеяркеево)</t>
  </si>
  <si>
    <t xml:space="preserve">ООО "МД Проект 2010" </t>
  </si>
  <si>
    <t>ООО "ММЦ "Клиника аллергологии и педиатрии"</t>
  </si>
  <si>
    <t>ООО «МЦ МЕГИ»</t>
  </si>
  <si>
    <t xml:space="preserve">ООО МЦ "Семейный доктор" </t>
  </si>
  <si>
    <t>ООО РКСР Здоровье нации</t>
  </si>
  <si>
    <t>ООО «ЦМТ»</t>
  </si>
  <si>
    <t>ООО "Юхелф"</t>
  </si>
  <si>
    <t>Поликлиника УФИЦ РАН</t>
  </si>
  <si>
    <t>ФГБУЗ "Медико-санитарная часть № 142 Федерального медико-биологического агентства"</t>
  </si>
  <si>
    <t>ЧУЗ "РЖД-Медицина" г.Стерлитамак"</t>
  </si>
  <si>
    <t>ГБУЗ РБ ДП № 2 г.Уфа</t>
  </si>
  <si>
    <t>ГБУЗ РБ ДП № 3 г.Уфа</t>
  </si>
  <si>
    <t>ГБУЗ РБ Детская поликлиника № 4</t>
  </si>
  <si>
    <t>ГБУЗ РБ ДП № 5 г.Уфа</t>
  </si>
  <si>
    <t>ГБУЗ РБ ДП № 6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</si>
  <si>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</si>
  <si>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</si>
  <si>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</si>
  <si>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</si>
  <si>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</si>
  <si>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</si>
  <si>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</si>
  <si>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</si>
  <si>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</si>
  <si>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</si>
  <si>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</si>
  <si>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ГКБ Демского района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</si>
  <si>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</si>
  <si>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</si>
  <si>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</si>
  <si>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</si>
  <si>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ГБ № 12 г. Уфа</t>
  </si>
  <si>
    <t>ГБУЗ РБ ГДКБ № 17 г.Уфа</t>
  </si>
  <si>
    <t>ГБУЗ РБ ГКБ № 18 г.Уфа</t>
  </si>
  <si>
    <t>ГБУЗ РБ РД № 3 г.Уфа</t>
  </si>
  <si>
    <t>ГБУЗ РКОД МЗ РБ</t>
  </si>
  <si>
    <t>ГБУЗ РБ ИКБ № 4 г.Уфа</t>
  </si>
  <si>
    <t>ООО ПЭТ-Технолоджи,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</si>
  <si>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</si>
  <si>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</si>
  <si>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</si>
  <si>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ООО "ММЦ Медикал Он Груп-Уфа"</t>
  </si>
  <si>
    <t>Гистологи-ческие исследо-вания</t>
  </si>
  <si>
    <t>Молекулярно-генетические исследования мутаций в гене BRCA1/2 в биопсийном (операционном) материале</t>
  </si>
  <si>
    <t>Иные**( молекулярно-генетические исследования мутаций в гене MSI, IDH 1/ 2, TP53, MGMT (метил-е), MLH1 (метил-е), стандартные кариотипирование  костного мозга)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</si>
  <si>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</si>
  <si>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</si>
  <si>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</si>
  <si>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>без К</t>
  </si>
  <si>
    <t>с К</t>
  </si>
  <si>
    <t>с К  и исп. АИ</t>
  </si>
  <si>
    <t>ГБУЗ РБ ГБ № 3 г.Стерлитамак</t>
  </si>
  <si>
    <t>ООО "Клиника Эксперт Уфа"</t>
  </si>
  <si>
    <t xml:space="preserve">ООО  "ЛДЦ МИБС-Уфа"                                                                                           </t>
  </si>
  <si>
    <t>ООО "Медсервис" (г. Салават)</t>
  </si>
  <si>
    <t xml:space="preserve">ООО "МедТех"      </t>
  </si>
  <si>
    <t>ООО "МД Проект 2010""</t>
  </si>
  <si>
    <t>ООО МЦ МЕГИ</t>
  </si>
  <si>
    <t>ООО ММЦ Профилактическая медицина</t>
  </si>
  <si>
    <t>ГБУЗ РБ Поликлиника№32 г.Уфа</t>
  </si>
  <si>
    <t>ГБУЗ "РКПЦ" МЗ РБ</t>
  </si>
  <si>
    <t xml:space="preserve">Объемы лечебно-диагностических исследований, оказываемых в амбулаторно-поликлинических условиях на 2020 год.                                                                                                                                                 </t>
  </si>
  <si>
    <t xml:space="preserve">Радиоизотопная диагностика </t>
  </si>
  <si>
    <t xml:space="preserve">Лучевая терапия                          </t>
  </si>
  <si>
    <t>Компьютер-ная томография в центре ПЭТ</t>
  </si>
  <si>
    <t>Ультразвуковое скрининговое исследование</t>
  </si>
  <si>
    <t xml:space="preserve">Сцинтиграфия </t>
  </si>
  <si>
    <t xml:space="preserve">Рено-графия </t>
  </si>
  <si>
    <t>Ультра-звуковое скрининго-вое исследова-ние в сроке беремен-ности 18-21 неделя</t>
  </si>
  <si>
    <t>сцинти-графия в режиме "все тело"</t>
  </si>
  <si>
    <t>сцинти-графия планарная</t>
  </si>
  <si>
    <t>сцинти-графия дина-мическая</t>
  </si>
  <si>
    <t>Однофотон-ная эмиссион-ная компьютер-ная томография (ОФЭКТ)</t>
  </si>
  <si>
    <t>Однофотон-ная эмиссион-ная компьютер-ная томогра-фия, совмещенная с компьютер-ной томографией (ОФЭКТ/КТ)</t>
  </si>
  <si>
    <t>радио-метрия</t>
  </si>
  <si>
    <t>ГБУЗ РБ Родильный дом №3 г.Уфа</t>
  </si>
  <si>
    <t>ЧУЗ «КБ «РЖД - Медицина»                    г. Уфа»</t>
  </si>
  <si>
    <t>Ультра-звуковой этап комплексного скрининго-вого исследования в сроке беремен-ности 11-14 недель</t>
  </si>
  <si>
    <t>Ультра-звуковое скрининговое исследование в сроке беремен-ности 30-34 недели</t>
  </si>
  <si>
    <t>Наименование МО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</si>
  <si>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</si>
  <si>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</si>
  <si>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</si>
  <si>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</si>
  <si>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пациентов: </t>
  </si>
  <si>
    <t>Дневной стационар</t>
  </si>
  <si>
    <t>гемодиализ интермиттирующий высокопоточный (А18.05.002.001)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</si>
  <si>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</si>
  <si>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</si>
  <si>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интермиттирующий низкопоточный (А18.05.002,
А18.05.002.002)</t>
  </si>
  <si>
    <t>гемофильтрация крови продленная (А18.05.003.001)</t>
  </si>
  <si>
    <t>селективная гемосорбция липополисахаридов (А18.05.006.001)</t>
  </si>
  <si>
    <t>ООО "Лаборатория Гемодиализа"</t>
  </si>
  <si>
    <t>ООО "МЦ "Агидель""</t>
  </si>
  <si>
    <t>ООО "Сфера Эстейт"</t>
  </si>
  <si>
    <t xml:space="preserve">ООО "ДиаЛайф" </t>
  </si>
  <si>
    <t>Прирост регистра пациентов (на 10%)</t>
  </si>
  <si>
    <t>ИТОГО с учетом прироста регистра пациентов на 10%</t>
  </si>
  <si>
    <t>Объемы сеансов (услуг) заместительной почечной терапии методами гемодиализа и перитонеального диализа на 2020 год.</t>
  </si>
  <si>
    <t>Всего в  рамках программы ОМС</t>
  </si>
  <si>
    <t>гемодиа-фильтрация (А18.05.011)</t>
  </si>
  <si>
    <t>Обособленное структурное подразделение ГБУЗ РБ ГКБ №13 г.Уфа, ранее именуемое ГБУЗ РБ ГБ №12 г.Уфа</t>
  </si>
  <si>
    <t>Медицинская помощь, оказываемая в круглосуточных стационарах на 2020 год.</t>
  </si>
  <si>
    <t>Случаи госпитализации</t>
  </si>
  <si>
    <t>ВМП</t>
  </si>
  <si>
    <t xml:space="preserve">в том числе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</si>
  <si>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</si>
  <si>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</si>
  <si>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</si>
  <si>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>Обособленное структурное подразделение ГБУЗ РБ ГКБ №21 г.Уфа , ранее именуемое ГБУЗ РБ Уфимская ЦРП</t>
  </si>
  <si>
    <t>Обособленное структурное подразделение ГБУЗ РБ ГКБ №13 г.Уфа , ранее именуемое ГБУЗ РБ ГБ №12 г.Уфа</t>
  </si>
  <si>
    <t>ФГБУЗ "МСЧ №142 ФМБА"</t>
  </si>
  <si>
    <t>ГБУЗ РБ ГКБ Дёмского района г.Уфы</t>
  </si>
  <si>
    <t>Обособленное структурное подразделение Родильный дом Государственного бюджетного учреждения здравоохранения Республики Башкортостан ГБ г.Салават</t>
  </si>
  <si>
    <t>ООО "Клиника глазных болезней" (г.Уфа)</t>
  </si>
  <si>
    <t>ООО "ММЦ "Клиника аллергологии и педиатрии" (г.Уфа)</t>
  </si>
  <si>
    <t>ООО "ММЦ "Профилактическая медицина" (г.Уфа)</t>
  </si>
  <si>
    <t>ООО "Медицинский центр Семья" (г.Уфа)</t>
  </si>
  <si>
    <t>ООО РКСР "Здоровье нации" (г.Уфа)</t>
  </si>
  <si>
    <t>ООО "Санаторий "Зеленая роща" (г.Уфа)</t>
  </si>
  <si>
    <t xml:space="preserve">ООО санаторий "Юматово" </t>
  </si>
  <si>
    <t>ООО "ЦМТ" (г.Уфа)</t>
  </si>
  <si>
    <t>ФБУН "Уфимский НИИ медицины труда и экологии человека"</t>
  </si>
  <si>
    <t>ООО "МД Проект 2010" (г.Уфа)</t>
  </si>
  <si>
    <t>ФГБУ "ВЦГПХ" Минздрава России</t>
  </si>
  <si>
    <t>Объем, перечень видов ВМП, финансовое обеспечение которых осуществляется за счет средств ОМС, установленные Комиссией на 2020 год</t>
  </si>
  <si>
    <t>№ группы ВМП</t>
  </si>
  <si>
    <t>ГБУЗ РБ ГКБ №21 г. Уфа</t>
  </si>
  <si>
    <t>ГБУ  "УфНИИ ГБ АН РБ"</t>
  </si>
  <si>
    <t>ГБУЗ РБ ГБ №10 г. Уфа</t>
  </si>
  <si>
    <t>ГБУЗ РБ ГБ №13 г. Уфа</t>
  </si>
  <si>
    <t>ГАУЗ РБ ГКБ №18 г. Уфа</t>
  </si>
  <si>
    <t>ГБУЗ РБ РД №3 г. Уфа</t>
  </si>
  <si>
    <t>ГБУЗ ГБ г.Кумертау</t>
  </si>
  <si>
    <t>ГБУЗ РБ ГБ г.Нефтекакмск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</si>
  <si>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</si>
  <si>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</si>
  <si>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</si>
  <si>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</si>
  <si>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</si>
  <si>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ИТОГО без резерва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</si>
  <si>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</si>
  <si>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</si>
  <si>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</si>
  <si>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</si>
  <si>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</si>
  <si>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</si>
  <si>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</si>
  <si>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</si>
  <si>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</si>
  <si>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</si>
  <si>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</si>
  <si>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</si>
  <si>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</si>
  <si>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</si>
  <si>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</si>
  <si>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</si>
  <si>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</si>
  <si>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</si>
  <si>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</si>
  <si>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</si>
  <si>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</si>
  <si>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</si>
  <si>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Объемы обращений в связи с заболеваниями на 2020 год в рамках базовой Программы ОМС.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</si>
  <si>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</si>
  <si>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</si>
  <si>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</si>
  <si>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</si>
  <si>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</si>
  <si>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</si>
  <si>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</si>
  <si>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</si>
  <si>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ООО "Ваша стоматология" (г.Нефтекамск)</t>
  </si>
  <si>
    <t>ООО "ВИП" (г.Нефтекамск)</t>
  </si>
  <si>
    <t>ООО "Дента" (г.Нефтекамск)</t>
  </si>
  <si>
    <t>ООО "Корона+" (г.Нефтекамск)</t>
  </si>
  <si>
    <t>ООО "СтомЭл" (г.Нефтекамс)</t>
  </si>
  <si>
    <t>ООО "ЭнжеДент" (г.Нефтекамс)</t>
  </si>
  <si>
    <t>ООО "Дантист+" (г.Нефтекамск)</t>
  </si>
  <si>
    <t>ООО МЦ "СЕМЕЙНЫЙ ДОКТОР" (г.Бирск)</t>
  </si>
  <si>
    <t>Обособленное структурное подразделение Родильный дом ГБУЗ РБ ГБ г.Салават</t>
  </si>
  <si>
    <t>ЧУЗ "РЖД-МЕДИЦИНА" Г.СТЕРЛИТАМАК"</t>
  </si>
  <si>
    <t>ООО "Радуга" (с.Киргиз-Мияки)</t>
  </si>
  <si>
    <t>ООО "Экодент" (г.Белебей)</t>
  </si>
  <si>
    <t>ЧУЗ "КБ "РЖД-МЕДИЦИНА" Г.УФА"</t>
  </si>
  <si>
    <t>ООО "Витадент Космо" (г.Уфа)</t>
  </si>
  <si>
    <t>ООО "Лаборатория гемодиализа" (г.Уфа)</t>
  </si>
  <si>
    <t>ООО "Медхелп" (г.Уфа)</t>
  </si>
  <si>
    <t>ООО "Сфера-Эстейт" (г.Уфа)</t>
  </si>
  <si>
    <t>ООО "Клиника современной флебологии" (г. Уфа)</t>
  </si>
  <si>
    <t>ООО "Экома" (г.Уфа)</t>
  </si>
  <si>
    <t>Прирост регистра пациентов</t>
  </si>
  <si>
    <t>Объемы медицинской помощи в амбулаторно-поликлинических условиях
 в неотложной форме на 2020 год</t>
  </si>
  <si>
    <t>норматив</t>
  </si>
  <si>
    <t>Реестровый номер</t>
  </si>
  <si>
    <t>уровень</t>
  </si>
  <si>
    <t xml:space="preserve">в том числе  объемы на травмпункты                                       </t>
  </si>
  <si>
    <t>по профилю "травматология и ортопедия"</t>
  </si>
  <si>
    <t>по профилю
"офтальмология"</t>
  </si>
  <si>
    <t>3</t>
  </si>
  <si>
    <t>4</t>
  </si>
  <si>
    <t>5</t>
  </si>
  <si>
    <t>ЦРБ, ГБ</t>
  </si>
  <si>
    <t>024001</t>
  </si>
  <si>
    <t>1А</t>
  </si>
  <si>
    <t>021003</t>
  </si>
  <si>
    <t>022204</t>
  </si>
  <si>
    <t>025004</t>
  </si>
  <si>
    <t>021607</t>
  </si>
  <si>
    <t>022001</t>
  </si>
  <si>
    <t>028004</t>
  </si>
  <si>
    <t>022103</t>
  </si>
  <si>
    <t>023002</t>
  </si>
  <si>
    <t>2Б</t>
  </si>
  <si>
    <t>026005</t>
  </si>
  <si>
    <t>024005</t>
  </si>
  <si>
    <t>2А</t>
  </si>
  <si>
    <t>023005</t>
  </si>
  <si>
    <t>ООО "Академия здоровья" с. Киргиз-Мияки</t>
  </si>
  <si>
    <t xml:space="preserve">ООО "Дентал Стандарт " с. Бижбуляк </t>
  </si>
  <si>
    <t>025001</t>
  </si>
  <si>
    <t>025033</t>
  </si>
  <si>
    <t>ГБУЗ РБ Бирская СП</t>
  </si>
  <si>
    <t>022003</t>
  </si>
  <si>
    <t>022202</t>
  </si>
  <si>
    <t>022060</t>
  </si>
  <si>
    <t xml:space="preserve">ООО Дантист, г. Благовещенск    </t>
  </si>
  <si>
    <t>022002</t>
  </si>
  <si>
    <t>025005</t>
  </si>
  <si>
    <t>024002</t>
  </si>
  <si>
    <t>021605</t>
  </si>
  <si>
    <t>021002</t>
  </si>
  <si>
    <t>026001</t>
  </si>
  <si>
    <t>3А</t>
  </si>
  <si>
    <t>027001</t>
  </si>
  <si>
    <t>027003</t>
  </si>
  <si>
    <t>023006</t>
  </si>
  <si>
    <t>021105</t>
  </si>
  <si>
    <t>022012</t>
  </si>
  <si>
    <t>022201</t>
  </si>
  <si>
    <t>028002</t>
  </si>
  <si>
    <t>029001</t>
  </si>
  <si>
    <t>021206</t>
  </si>
  <si>
    <t>025003</t>
  </si>
  <si>
    <t>022205</t>
  </si>
  <si>
    <t>026004</t>
  </si>
  <si>
    <t>021205</t>
  </si>
  <si>
    <t>021102</t>
  </si>
  <si>
    <t>022208</t>
  </si>
  <si>
    <t>021111</t>
  </si>
  <si>
    <t>ГБУЗ РБ ГБ г.Кумертау - Ермолаевская ЦРБ</t>
  </si>
  <si>
    <t>021104</t>
  </si>
  <si>
    <t>026002</t>
  </si>
  <si>
    <t>025002</t>
  </si>
  <si>
    <t>021001</t>
  </si>
  <si>
    <t xml:space="preserve">ООО "Радуга"  с.Киргиз-Мияки                                             </t>
  </si>
  <si>
    <t>022203</t>
  </si>
  <si>
    <t>026003</t>
  </si>
  <si>
    <t>021606</t>
  </si>
  <si>
    <t>021603</t>
  </si>
  <si>
    <t>ГБУЗ РБ ГБ №4 г.Стерлитамак - Стерлитамакская ЦРП</t>
  </si>
  <si>
    <t>022102</t>
  </si>
  <si>
    <t>021701</t>
  </si>
  <si>
    <t>022720</t>
  </si>
  <si>
    <t>ГБУЗ РБ ГКБ №21 г.Уфа - Уфимская ЦРП</t>
  </si>
  <si>
    <t>021901</t>
  </si>
  <si>
    <t>021405</t>
  </si>
  <si>
    <t>021501</t>
  </si>
  <si>
    <t>027002</t>
  </si>
  <si>
    <t>022000</t>
  </si>
  <si>
    <t>021706</t>
  </si>
  <si>
    <t>022104</t>
  </si>
  <si>
    <t>024006</t>
  </si>
  <si>
    <t>1Б</t>
  </si>
  <si>
    <t>021201</t>
  </si>
  <si>
    <t>021254</t>
  </si>
  <si>
    <t>ООО Ваша стоматология, 
г. Нефтекамск</t>
  </si>
  <si>
    <t>021256</t>
  </si>
  <si>
    <t>ООО ВИП, г. Нефтекамск</t>
  </si>
  <si>
    <t>021266</t>
  </si>
  <si>
    <t>ООО СтомЭл г. Нефтекамск</t>
  </si>
  <si>
    <t>ООО Корона,  г. Нефтекамск</t>
  </si>
  <si>
    <t>021253</t>
  </si>
  <si>
    <t>ООО Корона+,  г. Нефтекамск</t>
  </si>
  <si>
    <t>ООО Дантист+,  г. Нефтекамск</t>
  </si>
  <si>
    <t>ГБУЗ РБ ГБ г.Нефтекамск - Агидельская ГБ</t>
  </si>
  <si>
    <t>021303</t>
  </si>
  <si>
    <t>021307</t>
  </si>
  <si>
    <t>ГБУЗ РБ Стоматологическая поликлиника г.Октябрьский</t>
  </si>
  <si>
    <t>021502</t>
  </si>
  <si>
    <t>021513</t>
  </si>
  <si>
    <t>021401</t>
  </si>
  <si>
    <t>ООО Медсервис, г. Салават</t>
  </si>
  <si>
    <t>021424</t>
  </si>
  <si>
    <t>021418</t>
  </si>
  <si>
    <t>ГБУЗ РБ ГБ г.Салават - ДБ г.Салават</t>
  </si>
  <si>
    <t>021602</t>
  </si>
  <si>
    <t>021608</t>
  </si>
  <si>
    <t>021601</t>
  </si>
  <si>
    <t>021616</t>
  </si>
  <si>
    <t>ГБУЗ РБ ДБ г.Стерлитамак</t>
  </si>
  <si>
    <t>021636</t>
  </si>
  <si>
    <t>ГБУЗ РБ СП г.Стерлитамак</t>
  </si>
  <si>
    <t>021604</t>
  </si>
  <si>
    <t>027100</t>
  </si>
  <si>
    <t>028300</t>
  </si>
  <si>
    <t>028400</t>
  </si>
  <si>
    <t>028800</t>
  </si>
  <si>
    <t>029100</t>
  </si>
  <si>
    <t>029200</t>
  </si>
  <si>
    <t>029300</t>
  </si>
  <si>
    <t>021210</t>
  </si>
  <si>
    <t>029500</t>
  </si>
  <si>
    <t>029700</t>
  </si>
  <si>
    <t>029800</t>
  </si>
  <si>
    <t>029900</t>
  </si>
  <si>
    <t>024200</t>
  </si>
  <si>
    <t>021800</t>
  </si>
  <si>
    <t>023000</t>
  </si>
  <si>
    <t>022200</t>
  </si>
  <si>
    <t>Обособленное структурное подразделение ГБУЗ РБ ГКБ №13 г.Уфа ранее именуемое ГБУЗ РБ ГБ №12 г.Уфа</t>
  </si>
  <si>
    <t>022300</t>
  </si>
  <si>
    <t>028000</t>
  </si>
  <si>
    <t>3Б</t>
  </si>
  <si>
    <t>023500</t>
  </si>
  <si>
    <t>021200</t>
  </si>
  <si>
    <t>021110</t>
  </si>
  <si>
    <t>021100</t>
  </si>
  <si>
    <t>027000</t>
  </si>
  <si>
    <t>021120</t>
  </si>
  <si>
    <t>021130</t>
  </si>
  <si>
    <t>021150</t>
  </si>
  <si>
    <t>021050</t>
  </si>
  <si>
    <t>020177</t>
  </si>
  <si>
    <t>ООО Центр здоровья и красоты, с. Буздяк</t>
  </si>
  <si>
    <t>020193</t>
  </si>
  <si>
    <t xml:space="preserve">ООО Эмидент Люкс г. Уфа, ул. Айская, 16 </t>
  </si>
  <si>
    <t>020202</t>
  </si>
  <si>
    <t xml:space="preserve">ООО Эмидент Люкс г. Уфа, ул. Революционная, 99 </t>
  </si>
  <si>
    <t>ООО Эмидент Люкс г. Уфа, ул. Революционная, 57</t>
  </si>
  <si>
    <t xml:space="preserve">ООО Бомонд </t>
  </si>
  <si>
    <t>020171</t>
  </si>
  <si>
    <t>022117</t>
  </si>
  <si>
    <t>022800</t>
  </si>
  <si>
    <t>3Г</t>
  </si>
  <si>
    <t>022109</t>
  </si>
  <si>
    <t>ГБУ УфНИИ ГБ АН РБ</t>
  </si>
  <si>
    <t>022113</t>
  </si>
  <si>
    <t>3В</t>
  </si>
  <si>
    <t>ГБУЗ РБ ГКБ №21 г.Уфа</t>
  </si>
  <si>
    <t>022400</t>
  </si>
  <si>
    <t>022710</t>
  </si>
  <si>
    <t>х</t>
  </si>
  <si>
    <t xml:space="preserve">Амбулаторно-поликлиническая помощь в части посещений с профилактическими и иными целями  в рамках базовой программы ОМС на 2020 год </t>
  </si>
  <si>
    <t xml:space="preserve">Итого 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</si>
  <si>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</si>
  <si>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</si>
  <si>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</si>
  <si>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Профилактический медосмотр взрослых, в том числе при первом посещении по поводу диспансерного наблюдения
</t>
  </si>
  <si>
    <t xml:space="preserve">Профилактический медосмотр несовершеннолетних </t>
  </si>
  <si>
    <t xml:space="preserve">Диспансеризация взрослого населения(1 этап)  </t>
  </si>
  <si>
    <t xml:space="preserve"> Диспансеризация детей- сирот</t>
  </si>
  <si>
    <t>Обособленное структурное подразделение ГБУЗ РБ ГКБ № 21 г. Уфа, ранее именуемое ГБУЗ РБ Уфимская ЦРП</t>
  </si>
  <si>
    <t>Обособленное структурное подразделение ГБУЗ РБ ГБ №4 города Стерлитамак, ранее именуемое ГБУЗ РБ Стерлитамакская ЦРП</t>
  </si>
  <si>
    <t>Обособленное структурное подразделение ГБУЗ РБ ГКБ № 21 г. Уфа,ранее именуемое ГБУЗ РБ Уфимская ЦРП</t>
  </si>
  <si>
    <t>Скорая медицинская помощь на 2020 год</t>
  </si>
  <si>
    <t>(вызов)</t>
  </si>
  <si>
    <t xml:space="preserve">Объемы скорой медицинской помощи в рамках базовой программы ОМС </t>
  </si>
  <si>
    <t>Протокол № 109 от 27.02.2020</t>
  </si>
  <si>
    <t>Объемы скорой медицинской помощи в рамках базовой программы ОМС по состоянию на 01.02.2020</t>
  </si>
  <si>
    <t>ВСЕГО</t>
  </si>
  <si>
    <t>Фельдшерские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</si>
  <si>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</si>
  <si>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</si>
  <si>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</si>
  <si>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ГБ № 1 города Октябрьский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</si>
  <si>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</si>
  <si>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</si>
  <si>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ГБ города Нефтекамск</t>
  </si>
  <si>
    <t>ГБУЗ РБ ГБ города Салават</t>
  </si>
  <si>
    <t>ГБУЗ РБ ССМП г.Стерлитамак</t>
  </si>
  <si>
    <t>ГБУЗ РБ ЦГБ города Сибай</t>
  </si>
  <si>
    <t>ГБУЗ РБ Чекмагушевкая ЦРБ</t>
  </si>
  <si>
    <t>ГБУЗ  РССМП и ЦМК</t>
  </si>
  <si>
    <t>ФГУЗ "МСЧ № 142 ФМБА" России</t>
  </si>
  <si>
    <t>Объемы медицинской помощи за пределами РБ</t>
  </si>
  <si>
    <t xml:space="preserve">ИТОГО </t>
  </si>
  <si>
    <t xml:space="preserve">ООО "ПЭТ-Технолоджи" </t>
  </si>
  <si>
    <t xml:space="preserve">ООО "Центр ПЭТ-Технолоджи"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</si>
</sst>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\ _₽_-;\-* #,##0\ _₽_-;_-* &quot;-&quot;\ _₽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  <numFmt numFmtId="169" formatCode="#,##0.000"/>
  </numFmts>
  <fonts count="10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3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9263">
    <xf numFmtId="0" fontId="0" fillId="0" borderId="0"/>
    <xf numFmtId="0" fontId="9" fillId="28" borderId="0" applyNumberFormat="0" applyBorder="0" applyAlignment="0" applyProtection="0"/>
    <xf numFmtId="0" fontId="9" fillId="29" borderId="0"/>
    <xf numFmtId="0" fontId="9" fillId="30" borderId="0" applyNumberFormat="0" applyBorder="0" applyAlignment="0" applyProtection="0"/>
    <xf numFmtId="0" fontId="9" fillId="31" borderId="0"/>
    <xf numFmtId="0" fontId="9" fillId="32" borderId="0" applyNumberFormat="0" applyBorder="0" applyAlignment="0" applyProtection="0"/>
    <xf numFmtId="0" fontId="9" fillId="33" borderId="0"/>
    <xf numFmtId="0" fontId="9" fillId="34" borderId="0" applyNumberFormat="0" applyBorder="0" applyAlignment="0" applyProtection="0"/>
    <xf numFmtId="0" fontId="9" fillId="35" borderId="0"/>
    <xf numFmtId="0" fontId="9" fillId="36" borderId="0" applyNumberFormat="0" applyBorder="0" applyAlignment="0" applyProtection="0"/>
    <xf numFmtId="0" fontId="9" fillId="37" borderId="0"/>
    <xf numFmtId="0" fontId="9" fillId="38" borderId="0" applyNumberFormat="0" applyBorder="0" applyAlignment="0" applyProtection="0"/>
    <xf numFmtId="0" fontId="9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34" borderId="0" applyNumberFormat="0" applyBorder="0" applyAlignment="0" applyProtection="0"/>
    <xf numFmtId="0" fontId="9" fillId="35" borderId="0"/>
    <xf numFmtId="0" fontId="9" fillId="42" borderId="0" applyNumberFormat="0" applyBorder="0" applyAlignment="0" applyProtection="0"/>
    <xf numFmtId="0" fontId="9" fillId="43" borderId="0"/>
    <xf numFmtId="0" fontId="9" fillId="48" borderId="0" applyNumberFormat="0" applyBorder="0" applyAlignment="0" applyProtection="0"/>
    <xf numFmtId="0" fontId="9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/>
    <xf numFmtId="0" fontId="10" fillId="44" borderId="0" applyNumberFormat="0" applyBorder="0" applyAlignment="0" applyProtection="0"/>
    <xf numFmtId="0" fontId="10" fillId="45" borderId="0"/>
    <xf numFmtId="0" fontId="10" fillId="46" borderId="0" applyNumberFormat="0" applyBorder="0" applyAlignment="0" applyProtection="0"/>
    <xf numFmtId="0" fontId="10" fillId="47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58" borderId="0" applyNumberFormat="0" applyBorder="0" applyAlignment="0" applyProtection="0"/>
    <xf numFmtId="0" fontId="10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/>
    <xf numFmtId="0" fontId="10" fillId="62" borderId="0" applyNumberFormat="0" applyBorder="0" applyAlignment="0" applyProtection="0"/>
    <xf numFmtId="0" fontId="10" fillId="63" borderId="0"/>
    <xf numFmtId="0" fontId="10" fillId="64" borderId="0" applyNumberFormat="0" applyBorder="0" applyAlignment="0" applyProtection="0"/>
    <xf numFmtId="0" fontId="10" fillId="65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66" borderId="0" applyNumberFormat="0" applyBorder="0" applyAlignment="0" applyProtection="0"/>
    <xf numFmtId="0" fontId="10" fillId="67" borderId="0"/>
    <xf numFmtId="0" fontId="11" fillId="30" borderId="0" applyNumberFormat="0" applyBorder="0" applyAlignment="0" applyProtection="0"/>
    <xf numFmtId="0" fontId="11" fillId="31" borderId="0"/>
    <xf numFmtId="0" fontId="12" fillId="50" borderId="13" applyNumberFormat="0" applyAlignment="0" applyProtection="0"/>
    <xf numFmtId="0" fontId="12" fillId="68" borderId="13"/>
    <xf numFmtId="0" fontId="13" fillId="69" borderId="14" applyNumberFormat="0" applyAlignment="0" applyProtection="0"/>
    <xf numFmtId="0" fontId="13" fillId="70" borderId="0"/>
    <xf numFmtId="165" fontId="14" fillId="0" borderId="0"/>
    <xf numFmtId="166" fontId="14" fillId="0" borderId="0" applyBorder="0" applyProtection="0"/>
    <xf numFmtId="165" fontId="14" fillId="0" borderId="0" applyBorder="0" applyProtection="0"/>
    <xf numFmtId="165" fontId="14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/>
    <xf numFmtId="0" fontId="18" fillId="0" borderId="0" applyNumberFormat="0" applyBorder="0" applyProtection="0">
      <alignment horizontal="center"/>
    </xf>
    <xf numFmtId="0" fontId="19" fillId="0" borderId="15" applyNumberFormat="0" applyFill="0" applyAlignment="0" applyProtection="0"/>
    <xf numFmtId="0" fontId="19" fillId="0" borderId="15"/>
    <xf numFmtId="0" fontId="20" fillId="0" borderId="16" applyNumberFormat="0" applyFill="0" applyAlignment="0" applyProtection="0"/>
    <xf numFmtId="0" fontId="20" fillId="0" borderId="16"/>
    <xf numFmtId="0" fontId="21" fillId="0" borderId="17" applyNumberFormat="0" applyFill="0" applyAlignment="0" applyProtection="0"/>
    <xf numFmtId="0" fontId="21" fillId="0" borderId="17"/>
    <xf numFmtId="0" fontId="21" fillId="0" borderId="0" applyNumberFormat="0" applyFill="0" applyBorder="0" applyAlignment="0" applyProtection="0"/>
    <xf numFmtId="0" fontId="21" fillId="0" borderId="0"/>
    <xf numFmtId="0" fontId="18" fillId="0" borderId="0" applyNumberFormat="0" applyBorder="0" applyProtection="0">
      <alignment horizontal="center" textRotation="90"/>
    </xf>
    <xf numFmtId="0" fontId="22" fillId="38" borderId="13" applyNumberFormat="0" applyAlignment="0" applyProtection="0"/>
    <xf numFmtId="0" fontId="22" fillId="39" borderId="13"/>
    <xf numFmtId="0" fontId="23" fillId="0" borderId="18" applyNumberFormat="0" applyFill="0" applyAlignment="0" applyProtection="0"/>
    <xf numFmtId="0" fontId="23" fillId="0" borderId="0"/>
    <xf numFmtId="0" fontId="24" fillId="51" borderId="0" applyNumberFormat="0" applyBorder="0" applyAlignment="0" applyProtection="0"/>
    <xf numFmtId="0" fontId="24" fillId="71" borderId="0"/>
    <xf numFmtId="0" fontId="25" fillId="0" borderId="0"/>
    <xf numFmtId="0" fontId="26" fillId="41" borderId="19" applyNumberFormat="0" applyFont="0" applyAlignment="0" applyProtection="0"/>
    <xf numFmtId="0" fontId="27" fillId="72" borderId="19"/>
    <xf numFmtId="0" fontId="28" fillId="50" borderId="20" applyNumberFormat="0" applyAlignment="0" applyProtection="0"/>
    <xf numFmtId="0" fontId="28" fillId="68" borderId="2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0" fillId="0" borderId="0"/>
    <xf numFmtId="0" fontId="31" fillId="0" borderId="21" applyNumberFormat="0" applyFill="0" applyAlignment="0" applyProtection="0"/>
    <xf numFmtId="0" fontId="31" fillId="0" borderId="22"/>
    <xf numFmtId="0" fontId="32" fillId="0" borderId="0" applyNumberFormat="0" applyFill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3" applyNumberFormat="0" applyAlignment="0" applyProtection="0"/>
    <xf numFmtId="0" fontId="22" fillId="38" borderId="13" applyNumberFormat="0" applyAlignment="0" applyProtection="0"/>
    <xf numFmtId="0" fontId="22" fillId="39" borderId="13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5" fillId="3" borderId="5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40" borderId="20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20" applyNumberFormat="0" applyAlignment="0" applyProtection="0"/>
    <xf numFmtId="0" fontId="28" fillId="50" borderId="20" applyNumberFormat="0" applyAlignment="0" applyProtection="0"/>
    <xf numFmtId="0" fontId="28" fillId="68" borderId="2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6" fillId="3" borderId="4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40" borderId="13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3" applyNumberFormat="0" applyAlignment="0" applyProtection="0"/>
    <xf numFmtId="0" fontId="12" fillId="50" borderId="13" applyNumberFormat="0" applyAlignment="0" applyProtection="0"/>
    <xf numFmtId="0" fontId="12" fillId="68" borderId="13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" fillId="0" borderId="1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5" fillId="0" borderId="2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5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3" fillId="0" borderId="2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1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6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17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24" applyNumberFormat="0" applyFill="0" applyAlignment="0" applyProtection="0"/>
    <xf numFmtId="0" fontId="21" fillId="0" borderId="17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21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1" fillId="0" borderId="25" applyNumberFormat="0" applyFill="0" applyAlignment="0" applyProtection="0"/>
    <xf numFmtId="0" fontId="31" fillId="0" borderId="22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3" fillId="69" borderId="14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3" fillId="69" borderId="14" applyNumberFormat="0" applyAlignment="0" applyProtection="0"/>
    <xf numFmtId="0" fontId="13" fillId="70" borderId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4" fillId="5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71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52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1" borderId="19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41" borderId="19" applyNumberFormat="0" applyFont="0" applyAlignment="0" applyProtection="0"/>
    <xf numFmtId="0" fontId="50" fillId="41" borderId="19" applyNumberFormat="0" applyFont="0" applyAlignment="0" applyProtection="0"/>
    <xf numFmtId="0" fontId="44" fillId="41" borderId="19" applyNumberFormat="0" applyFont="0" applyAlignment="0" applyProtection="0"/>
    <xf numFmtId="0" fontId="26" fillId="41" borderId="19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0" borderId="18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3" fillId="0" borderId="18" applyNumberFormat="0" applyFill="0" applyAlignment="0" applyProtection="0"/>
    <xf numFmtId="0" fontId="23" fillId="0" borderId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6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6" fontId="52" fillId="0" borderId="0"/>
    <xf numFmtId="168" fontId="59" fillId="0" borderId="0"/>
    <xf numFmtId="43" fontId="9" fillId="0" borderId="0" applyFont="0" applyFill="0" applyBorder="0" applyAlignment="0" applyProtection="0"/>
    <xf numFmtId="166" fontId="52" fillId="0" borderId="0"/>
    <xf numFmtId="166" fontId="52" fillId="0" borderId="0" applyFill="0" applyBorder="0" applyAlignment="0" applyProtection="0"/>
    <xf numFmtId="166" fontId="52" fillId="0" borderId="0"/>
    <xf numFmtId="41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9" fillId="0" borderId="0"/>
    <xf numFmtId="0" fontId="1" fillId="0" borderId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</cellStyleXfs>
  <cellXfs count="603">
    <xf numFmtId="0" fontId="0" fillId="0" borderId="0" xfId="0"/>
    <xf numFmtId="0" fontId="66" fillId="0" borderId="0" xfId="0" applyFont="1" applyFill="1"/>
    <xf numFmtId="0" fontId="66" fillId="0" borderId="0" xfId="0" applyFont="1" applyFill="1" applyAlignment="1">
      <alignment horizontal="justify" vertical="center"/>
    </xf>
    <xf numFmtId="3" fontId="61" fillId="0" borderId="0" xfId="0" applyNumberFormat="1" applyFont="1" applyFill="1" applyBorder="1" applyAlignment="1">
      <alignment horizontal="left" vertical="center"/>
    </xf>
    <xf numFmtId="0" fontId="64" fillId="0" borderId="10" xfId="0" applyFont="1" applyFill="1" applyBorder="1" applyAlignment="1">
      <alignment horizontal="center" vertical="center"/>
    </xf>
    <xf numFmtId="4" fontId="64" fillId="0" borderId="10" xfId="0" applyNumberFormat="1" applyFont="1" applyFill="1" applyBorder="1" applyAlignment="1">
      <alignment horizontal="left" vertical="center" wrapText="1"/>
    </xf>
    <xf numFmtId="3" fontId="68" fillId="0" borderId="10" xfId="57572" applyNumberFormat="1" applyFont="1" applyFill="1" applyBorder="1" applyAlignment="1">
      <alignment horizontal="center" vertical="center"/>
    </xf>
    <xf numFmtId="4" fontId="64" fillId="0" borderId="10" xfId="0" applyNumberFormat="1" applyFont="1" applyFill="1" applyBorder="1" applyAlignment="1">
      <alignment vertical="center" wrapText="1"/>
    </xf>
    <xf numFmtId="4" fontId="64" fillId="0" borderId="10" xfId="59249" applyNumberFormat="1" applyFont="1" applyFill="1" applyBorder="1" applyAlignment="1">
      <alignment vertical="center" wrapText="1"/>
    </xf>
    <xf numFmtId="4" fontId="64" fillId="0" borderId="10" xfId="59249" applyNumberFormat="1" applyFont="1" applyFill="1" applyBorder="1" applyAlignment="1">
      <alignment horizontal="left" vertical="center" wrapText="1"/>
    </xf>
    <xf numFmtId="0" fontId="68" fillId="0" borderId="10" xfId="0" applyFont="1" applyFill="1" applyBorder="1" applyAlignment="1">
      <alignment horizontal="left" vertical="center" wrapText="1"/>
    </xf>
    <xf numFmtId="3" fontId="64" fillId="0" borderId="10" xfId="0" applyNumberFormat="1" applyFont="1" applyFill="1" applyBorder="1" applyAlignment="1">
      <alignment vertical="center" wrapText="1"/>
    </xf>
    <xf numFmtId="0" fontId="68" fillId="0" borderId="0" xfId="0" applyFont="1" applyFill="1" applyAlignment="1">
      <alignment horizontal="left" vertical="center" wrapText="1"/>
    </xf>
    <xf numFmtId="3" fontId="7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10" xfId="0" applyNumberFormat="1" applyFont="1" applyFill="1" applyBorder="1" applyAlignment="1" applyProtection="1">
      <alignment horizontal="left" vertical="center"/>
      <protection locked="0"/>
    </xf>
    <xf numFmtId="4" fontId="70" fillId="0" borderId="31" xfId="59250" applyNumberFormat="1" applyFont="1" applyFill="1" applyBorder="1" applyAlignment="1">
      <alignment horizontal="left" vertical="center" wrapText="1"/>
    </xf>
    <xf numFmtId="0" fontId="71" fillId="0" borderId="10" xfId="0" applyFont="1" applyFill="1" applyBorder="1" applyAlignment="1">
      <alignment horizontal="center" vertical="center"/>
    </xf>
    <xf numFmtId="3" fontId="71" fillId="0" borderId="10" xfId="0" applyNumberFormat="1" applyFont="1" applyFill="1" applyBorder="1" applyAlignment="1">
      <alignment horizontal="left" vertical="center"/>
    </xf>
    <xf numFmtId="3" fontId="72" fillId="0" borderId="10" xfId="0" applyNumberFormat="1" applyFont="1" applyFill="1" applyBorder="1" applyAlignment="1">
      <alignment horizontal="center" vertical="center"/>
    </xf>
    <xf numFmtId="0" fontId="66" fillId="0" borderId="0" xfId="0" applyFont="1"/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/>
    </xf>
    <xf numFmtId="3" fontId="63" fillId="0" borderId="0" xfId="0" applyNumberFormat="1" applyFont="1" applyFill="1" applyAlignment="1">
      <alignment horizontal="center" vertical="center"/>
    </xf>
    <xf numFmtId="3" fontId="63" fillId="0" borderId="44" xfId="0" applyNumberFormat="1" applyFont="1" applyFill="1" applyBorder="1" applyAlignment="1">
      <alignment horizontal="center" vertical="center" wrapText="1"/>
    </xf>
    <xf numFmtId="3" fontId="63" fillId="0" borderId="45" xfId="0" applyNumberFormat="1" applyFont="1" applyFill="1" applyBorder="1" applyAlignment="1">
      <alignment horizontal="center" vertical="center" wrapText="1"/>
    </xf>
    <xf numFmtId="3" fontId="63" fillId="0" borderId="46" xfId="0" applyNumberFormat="1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/>
    </xf>
    <xf numFmtId="3" fontId="63" fillId="0" borderId="48" xfId="59252" applyNumberFormat="1" applyFont="1" applyFill="1" applyBorder="1" applyAlignment="1">
      <alignment horizontal="left" vertical="center" wrapText="1"/>
    </xf>
    <xf numFmtId="3" fontId="63" fillId="0" borderId="32" xfId="58105" applyNumberFormat="1" applyFont="1" applyFill="1" applyBorder="1" applyAlignment="1">
      <alignment horizontal="center" vertical="center" wrapText="1"/>
    </xf>
    <xf numFmtId="3" fontId="63" fillId="0" borderId="12" xfId="58105" applyNumberFormat="1" applyFont="1" applyFill="1" applyBorder="1" applyAlignment="1">
      <alignment horizontal="center" vertical="center" wrapText="1"/>
    </xf>
    <xf numFmtId="3" fontId="63" fillId="0" borderId="35" xfId="0" applyNumberFormat="1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3" fontId="63" fillId="0" borderId="50" xfId="59252" applyNumberFormat="1" applyFont="1" applyFill="1" applyBorder="1" applyAlignment="1">
      <alignment horizontal="left" vertical="center" wrapText="1"/>
    </xf>
    <xf numFmtId="3" fontId="63" fillId="0" borderId="29" xfId="58105" applyNumberFormat="1" applyFont="1" applyFill="1" applyBorder="1" applyAlignment="1">
      <alignment horizontal="center" vertical="center" wrapText="1"/>
    </xf>
    <xf numFmtId="3" fontId="63" fillId="0" borderId="10" xfId="58105" applyNumberFormat="1" applyFont="1" applyFill="1" applyBorder="1" applyAlignment="1">
      <alignment horizontal="center" vertical="center" wrapText="1"/>
    </xf>
    <xf numFmtId="3" fontId="63" fillId="0" borderId="27" xfId="0" applyNumberFormat="1" applyFont="1" applyFill="1" applyBorder="1" applyAlignment="1">
      <alignment horizontal="center" vertical="center"/>
    </xf>
    <xf numFmtId="0" fontId="63" fillId="0" borderId="50" xfId="0" applyFont="1" applyFill="1" applyBorder="1" applyAlignment="1">
      <alignment horizontal="left" vertical="center" wrapText="1"/>
    </xf>
    <xf numFmtId="3" fontId="63" fillId="0" borderId="29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 wrapText="1"/>
    </xf>
    <xf numFmtId="3" fontId="63" fillId="0" borderId="52" xfId="59252" applyNumberFormat="1" applyFont="1" applyFill="1" applyBorder="1" applyAlignment="1">
      <alignment horizontal="left" vertical="center" wrapText="1"/>
    </xf>
    <xf numFmtId="3" fontId="63" fillId="0" borderId="52" xfId="59253" applyNumberFormat="1" applyFont="1" applyFill="1" applyBorder="1" applyAlignment="1">
      <alignment horizontal="left" vertical="center" wrapText="1"/>
    </xf>
    <xf numFmtId="3" fontId="63" fillId="0" borderId="50" xfId="59253" applyNumberFormat="1" applyFont="1" applyFill="1" applyBorder="1" applyAlignment="1">
      <alignment horizontal="left" vertical="center" wrapText="1"/>
    </xf>
    <xf numFmtId="0" fontId="63" fillId="0" borderId="53" xfId="0" applyFont="1" applyFill="1" applyBorder="1" applyAlignment="1">
      <alignment horizontal="center" vertical="center"/>
    </xf>
    <xf numFmtId="0" fontId="63" fillId="0" borderId="52" xfId="0" applyFont="1" applyFill="1" applyBorder="1" applyAlignment="1">
      <alignment vertical="center"/>
    </xf>
    <xf numFmtId="3" fontId="63" fillId="0" borderId="52" xfId="0" applyNumberFormat="1" applyFont="1" applyFill="1" applyBorder="1" applyAlignment="1">
      <alignment vertical="center" wrapText="1"/>
    </xf>
    <xf numFmtId="0" fontId="63" fillId="0" borderId="54" xfId="0" applyFont="1" applyFill="1" applyBorder="1" applyAlignment="1">
      <alignment horizontal="center" vertical="center"/>
    </xf>
    <xf numFmtId="3" fontId="63" fillId="0" borderId="31" xfId="58105" applyNumberFormat="1" applyFont="1" applyFill="1" applyBorder="1" applyAlignment="1">
      <alignment horizontal="center" vertical="center" wrapText="1"/>
    </xf>
    <xf numFmtId="3" fontId="63" fillId="0" borderId="11" xfId="58105" applyNumberFormat="1" applyFont="1" applyFill="1" applyBorder="1" applyAlignment="1">
      <alignment horizontal="center" vertical="center" wrapText="1"/>
    </xf>
    <xf numFmtId="3" fontId="63" fillId="0" borderId="34" xfId="0" applyNumberFormat="1" applyFont="1" applyFill="1" applyBorder="1" applyAlignment="1">
      <alignment horizontal="center" vertical="center"/>
    </xf>
    <xf numFmtId="0" fontId="63" fillId="0" borderId="56" xfId="0" applyFont="1" applyFill="1" applyBorder="1" applyAlignment="1">
      <alignment horizontal="center" vertical="center"/>
    </xf>
    <xf numFmtId="0" fontId="74" fillId="0" borderId="57" xfId="0" applyFont="1" applyFill="1" applyBorder="1" applyAlignment="1">
      <alignment vertical="center"/>
    </xf>
    <xf numFmtId="3" fontId="74" fillId="0" borderId="58" xfId="0" applyNumberFormat="1" applyFont="1" applyFill="1" applyBorder="1" applyAlignment="1">
      <alignment horizontal="center" vertical="center"/>
    </xf>
    <xf numFmtId="3" fontId="74" fillId="0" borderId="59" xfId="0" applyNumberFormat="1" applyFont="1" applyFill="1" applyBorder="1" applyAlignment="1">
      <alignment horizontal="center" vertical="center"/>
    </xf>
    <xf numFmtId="3" fontId="74" fillId="0" borderId="60" xfId="0" applyNumberFormat="1" applyFont="1" applyFill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65" fillId="0" borderId="10" xfId="0" applyFont="1" applyBorder="1" applyAlignment="1">
      <alignment vertical="center" wrapText="1"/>
    </xf>
    <xf numFmtId="0" fontId="0" fillId="0" borderId="0" xfId="0" applyFill="1"/>
    <xf numFmtId="3" fontId="0" fillId="0" borderId="0" xfId="0" applyNumberFormat="1" applyFill="1"/>
    <xf numFmtId="0" fontId="63" fillId="0" borderId="10" xfId="0" applyFont="1" applyFill="1" applyBorder="1" applyAlignment="1">
      <alignment horizontal="center" vertical="center"/>
    </xf>
    <xf numFmtId="0" fontId="62" fillId="0" borderId="0" xfId="57788" applyFont="1" applyFill="1" applyAlignment="1">
      <alignment horizontal="center" vertical="center"/>
    </xf>
    <xf numFmtId="3" fontId="62" fillId="0" borderId="26" xfId="57788" applyNumberFormat="1" applyFont="1" applyFill="1" applyBorder="1" applyAlignment="1">
      <alignment horizontal="center" vertical="center" wrapText="1"/>
    </xf>
    <xf numFmtId="3" fontId="61" fillId="0" borderId="26" xfId="57788" applyNumberFormat="1" applyFont="1" applyFill="1" applyBorder="1" applyAlignment="1">
      <alignment horizontal="center" vertical="center" wrapText="1"/>
    </xf>
    <xf numFmtId="0" fontId="62" fillId="0" borderId="28" xfId="57788" applyFont="1" applyFill="1" applyBorder="1" applyAlignment="1">
      <alignment horizontal="center" vertical="center" wrapText="1"/>
    </xf>
    <xf numFmtId="0" fontId="62" fillId="0" borderId="10" xfId="57788" applyFont="1" applyFill="1" applyBorder="1" applyAlignment="1">
      <alignment horizontal="left" vertical="center" wrapText="1"/>
    </xf>
    <xf numFmtId="3" fontId="62" fillId="0" borderId="10" xfId="57788" applyNumberFormat="1" applyFont="1" applyFill="1" applyBorder="1" applyAlignment="1">
      <alignment horizontal="center" vertical="center" wrapText="1"/>
    </xf>
    <xf numFmtId="0" fontId="62" fillId="0" borderId="10" xfId="57788" applyFont="1" applyFill="1" applyBorder="1" applyAlignment="1">
      <alignment horizontal="center" vertical="center"/>
    </xf>
    <xf numFmtId="0" fontId="61" fillId="0" borderId="10" xfId="57788" applyFont="1" applyFill="1" applyBorder="1" applyAlignment="1">
      <alignment horizontal="center" vertical="center"/>
    </xf>
    <xf numFmtId="0" fontId="61" fillId="0" borderId="0" xfId="57788" applyFont="1" applyFill="1" applyAlignment="1">
      <alignment horizontal="center" vertical="center"/>
    </xf>
    <xf numFmtId="3" fontId="62" fillId="0" borderId="10" xfId="57788" applyNumberFormat="1" applyFont="1" applyFill="1" applyBorder="1" applyAlignment="1">
      <alignment horizontal="left" vertical="center" wrapText="1"/>
    </xf>
    <xf numFmtId="3" fontId="61" fillId="0" borderId="10" xfId="57788" applyNumberFormat="1" applyFont="1" applyFill="1" applyBorder="1" applyAlignment="1">
      <alignment horizontal="center" vertical="center" wrapText="1"/>
    </xf>
    <xf numFmtId="0" fontId="62" fillId="0" borderId="10" xfId="59251" applyFont="1" applyFill="1" applyBorder="1" applyAlignment="1">
      <alignment vertical="center" wrapText="1"/>
    </xf>
    <xf numFmtId="0" fontId="65" fillId="0" borderId="10" xfId="57788" applyFont="1" applyFill="1" applyBorder="1" applyAlignment="1">
      <alignment horizontal="center" vertical="center" wrapText="1"/>
    </xf>
    <xf numFmtId="0" fontId="61" fillId="0" borderId="10" xfId="57788" applyFont="1" applyFill="1" applyBorder="1" applyAlignment="1">
      <alignment horizontal="left" vertical="center" wrapText="1"/>
    </xf>
    <xf numFmtId="49" fontId="62" fillId="0" borderId="10" xfId="0" applyNumberFormat="1" applyFont="1" applyFill="1" applyBorder="1" applyAlignment="1">
      <alignment vertical="center" wrapText="1"/>
    </xf>
    <xf numFmtId="3" fontId="62" fillId="0" borderId="10" xfId="0" applyNumberFormat="1" applyFont="1" applyFill="1" applyBorder="1" applyAlignment="1">
      <alignment vertical="center" wrapText="1"/>
    </xf>
    <xf numFmtId="3" fontId="62" fillId="0" borderId="0" xfId="57788" applyNumberFormat="1" applyFont="1" applyFill="1" applyAlignment="1">
      <alignment horizontal="center" vertical="center"/>
    </xf>
    <xf numFmtId="0" fontId="62" fillId="0" borderId="0" xfId="57788" applyFont="1" applyFill="1" applyAlignment="1">
      <alignment horizontal="left" vertical="center"/>
    </xf>
    <xf numFmtId="0" fontId="66" fillId="0" borderId="10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vertical="center" wrapText="1"/>
    </xf>
    <xf numFmtId="0" fontId="62" fillId="0" borderId="0" xfId="59250" applyFont="1" applyFill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10" xfId="57788" applyFont="1" applyFill="1" applyBorder="1" applyAlignment="1">
      <alignment horizontal="center" vertical="center" wrapText="1"/>
    </xf>
    <xf numFmtId="3" fontId="62" fillId="0" borderId="0" xfId="57788" applyNumberFormat="1" applyFont="1" applyFill="1" applyAlignment="1">
      <alignment horizontal="right" vertical="center"/>
    </xf>
    <xf numFmtId="3" fontId="61" fillId="0" borderId="0" xfId="57788" applyNumberFormat="1" applyFont="1" applyFill="1" applyAlignment="1">
      <alignment horizontal="center" vertical="center"/>
    </xf>
    <xf numFmtId="3" fontId="62" fillId="0" borderId="0" xfId="0" applyNumberFormat="1" applyFont="1" applyFill="1" applyAlignment="1">
      <alignment horizontal="center" vertical="center"/>
    </xf>
    <xf numFmtId="3" fontId="62" fillId="0" borderId="0" xfId="0" applyNumberFormat="1" applyFont="1" applyFill="1" applyAlignment="1">
      <alignment horizontal="left" vertical="center"/>
    </xf>
    <xf numFmtId="3" fontId="62" fillId="0" borderId="66" xfId="0" applyNumberFormat="1" applyFont="1" applyFill="1" applyBorder="1" applyAlignment="1">
      <alignment horizontal="center" vertical="center" wrapText="1"/>
    </xf>
    <xf numFmtId="3" fontId="62" fillId="0" borderId="45" xfId="0" applyNumberFormat="1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horizontal="center" vertical="center"/>
    </xf>
    <xf numFmtId="3" fontId="62" fillId="0" borderId="26" xfId="0" applyNumberFormat="1" applyFont="1" applyFill="1" applyBorder="1" applyAlignment="1">
      <alignment horizontal="left" vertical="center"/>
    </xf>
    <xf numFmtId="3" fontId="62" fillId="0" borderId="37" xfId="0" applyNumberFormat="1" applyFont="1" applyFill="1" applyBorder="1" applyAlignment="1">
      <alignment horizontal="center" vertical="center"/>
    </xf>
    <xf numFmtId="3" fontId="62" fillId="0" borderId="12" xfId="0" applyNumberFormat="1" applyFont="1" applyFill="1" applyBorder="1" applyAlignment="1">
      <alignment horizontal="center" vertical="center"/>
    </xf>
    <xf numFmtId="3" fontId="62" fillId="0" borderId="68" xfId="0" applyNumberFormat="1" applyFont="1" applyFill="1" applyBorder="1" applyAlignment="1">
      <alignment horizontal="center" vertical="center"/>
    </xf>
    <xf numFmtId="0" fontId="62" fillId="0" borderId="51" xfId="0" applyFont="1" applyFill="1" applyBorder="1" applyAlignment="1">
      <alignment horizontal="center" vertical="center"/>
    </xf>
    <xf numFmtId="3" fontId="62" fillId="0" borderId="28" xfId="0" applyNumberFormat="1" applyFont="1" applyFill="1" applyBorder="1" applyAlignment="1">
      <alignment horizontal="left" vertical="center"/>
    </xf>
    <xf numFmtId="3" fontId="62" fillId="0" borderId="36" xfId="0" applyNumberFormat="1" applyFont="1" applyFill="1" applyBorder="1" applyAlignment="1">
      <alignment horizontal="center" vertical="center"/>
    </xf>
    <xf numFmtId="3" fontId="62" fillId="0" borderId="10" xfId="0" applyNumberFormat="1" applyFont="1" applyFill="1" applyBorder="1" applyAlignment="1">
      <alignment horizontal="center" vertical="center"/>
    </xf>
    <xf numFmtId="3" fontId="62" fillId="0" borderId="52" xfId="0" applyNumberFormat="1" applyFont="1" applyFill="1" applyBorder="1" applyAlignment="1">
      <alignment horizontal="center" vertical="center"/>
    </xf>
    <xf numFmtId="3" fontId="62" fillId="0" borderId="28" xfId="0" applyNumberFormat="1" applyFont="1" applyFill="1" applyBorder="1" applyAlignment="1">
      <alignment horizontal="left" vertical="center" wrapText="1"/>
    </xf>
    <xf numFmtId="3" fontId="62" fillId="0" borderId="28" xfId="57788" applyNumberFormat="1" applyFont="1" applyFill="1" applyBorder="1" applyAlignment="1">
      <alignment horizontal="left" vertical="center" wrapText="1"/>
    </xf>
    <xf numFmtId="0" fontId="62" fillId="0" borderId="55" xfId="0" applyFont="1" applyFill="1" applyBorder="1" applyAlignment="1">
      <alignment horizontal="center" vertical="center"/>
    </xf>
    <xf numFmtId="3" fontId="62" fillId="0" borderId="33" xfId="0" applyNumberFormat="1" applyFont="1" applyFill="1" applyBorder="1" applyAlignment="1">
      <alignment horizontal="left" vertical="center"/>
    </xf>
    <xf numFmtId="3" fontId="62" fillId="0" borderId="54" xfId="0" applyNumberFormat="1" applyFont="1" applyFill="1" applyBorder="1" applyAlignment="1">
      <alignment horizontal="center" vertical="center"/>
    </xf>
    <xf numFmtId="3" fontId="62" fillId="0" borderId="11" xfId="0" applyNumberFormat="1" applyFont="1" applyFill="1" applyBorder="1" applyAlignment="1">
      <alignment horizontal="center" vertical="center"/>
    </xf>
    <xf numFmtId="3" fontId="62" fillId="0" borderId="50" xfId="0" applyNumberFormat="1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3" fontId="61" fillId="0" borderId="69" xfId="0" applyNumberFormat="1" applyFont="1" applyFill="1" applyBorder="1" applyAlignment="1">
      <alignment horizontal="left" vertical="center" wrapText="1"/>
    </xf>
    <xf numFmtId="3" fontId="61" fillId="0" borderId="58" xfId="0" applyNumberFormat="1" applyFont="1" applyFill="1" applyBorder="1" applyAlignment="1">
      <alignment horizontal="center" vertical="center"/>
    </xf>
    <xf numFmtId="3" fontId="61" fillId="0" borderId="59" xfId="0" applyNumberFormat="1" applyFont="1" applyFill="1" applyBorder="1" applyAlignment="1">
      <alignment horizontal="center" vertical="center"/>
    </xf>
    <xf numFmtId="3" fontId="61" fillId="0" borderId="57" xfId="0" applyNumberFormat="1" applyFont="1" applyFill="1" applyBorder="1" applyAlignment="1">
      <alignment horizontal="center" vertical="center"/>
    </xf>
    <xf numFmtId="4" fontId="64" fillId="0" borderId="45" xfId="0" applyNumberFormat="1" applyFont="1" applyFill="1" applyBorder="1" applyAlignment="1">
      <alignment horizontal="center" vertical="center" wrapText="1"/>
    </xf>
    <xf numFmtId="3" fontId="63" fillId="0" borderId="67" xfId="0" applyNumberFormat="1" applyFont="1" applyFill="1" applyBorder="1" applyAlignment="1">
      <alignment horizontal="center" vertical="center" wrapText="1"/>
    </xf>
    <xf numFmtId="3" fontId="63" fillId="0" borderId="74" xfId="0" applyNumberFormat="1" applyFont="1" applyFill="1" applyBorder="1" applyAlignment="1">
      <alignment horizontal="center" vertical="center"/>
    </xf>
    <xf numFmtId="3" fontId="63" fillId="0" borderId="37" xfId="0" applyNumberFormat="1" applyFont="1" applyFill="1" applyBorder="1" applyAlignment="1">
      <alignment horizontal="center" vertical="center"/>
    </xf>
    <xf numFmtId="0" fontId="63" fillId="0" borderId="12" xfId="0" applyFont="1" applyFill="1" applyBorder="1" applyAlignment="1">
      <alignment horizontal="center" vertical="center"/>
    </xf>
    <xf numFmtId="0" fontId="63" fillId="0" borderId="68" xfId="0" applyFont="1" applyFill="1" applyBorder="1" applyAlignment="1">
      <alignment horizontal="center" vertical="center"/>
    </xf>
    <xf numFmtId="3" fontId="63" fillId="0" borderId="53" xfId="0" applyNumberFormat="1" applyFont="1" applyFill="1" applyBorder="1" applyAlignment="1">
      <alignment horizontal="center" vertical="center"/>
    </xf>
    <xf numFmtId="3" fontId="63" fillId="0" borderId="36" xfId="0" applyNumberFormat="1" applyFont="1" applyFill="1" applyBorder="1" applyAlignment="1">
      <alignment horizontal="center" vertical="center"/>
    </xf>
    <xf numFmtId="0" fontId="63" fillId="0" borderId="52" xfId="0" applyFont="1" applyFill="1" applyBorder="1" applyAlignment="1">
      <alignment horizontal="center" vertical="center"/>
    </xf>
    <xf numFmtId="3" fontId="63" fillId="0" borderId="75" xfId="0" applyNumberFormat="1" applyFont="1" applyFill="1" applyBorder="1" applyAlignment="1">
      <alignment horizontal="center" vertical="center"/>
    </xf>
    <xf numFmtId="3" fontId="63" fillId="0" borderId="54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3" fontId="63" fillId="0" borderId="50" xfId="0" applyNumberFormat="1" applyFont="1" applyFill="1" applyBorder="1" applyAlignment="1">
      <alignment horizontal="center" vertical="center"/>
    </xf>
    <xf numFmtId="3" fontId="74" fillId="0" borderId="76" xfId="0" applyNumberFormat="1" applyFont="1" applyFill="1" applyBorder="1" applyAlignment="1">
      <alignment horizontal="center" vertical="center"/>
    </xf>
    <xf numFmtId="3" fontId="74" fillId="0" borderId="56" xfId="0" applyNumberFormat="1" applyFont="1" applyFill="1" applyBorder="1" applyAlignment="1">
      <alignment horizontal="center" vertical="center"/>
    </xf>
    <xf numFmtId="3" fontId="74" fillId="0" borderId="57" xfId="0" applyNumberFormat="1" applyFont="1" applyFill="1" applyBorder="1" applyAlignment="1">
      <alignment horizontal="center" vertical="center"/>
    </xf>
    <xf numFmtId="4" fontId="64" fillId="0" borderId="66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/>
    </xf>
    <xf numFmtId="3" fontId="62" fillId="0" borderId="66" xfId="0" applyNumberFormat="1" applyFont="1" applyFill="1" applyBorder="1" applyAlignment="1">
      <alignment horizontal="center" vertical="center"/>
    </xf>
    <xf numFmtId="3" fontId="62" fillId="0" borderId="45" xfId="0" applyNumberFormat="1" applyFont="1" applyFill="1" applyBorder="1" applyAlignment="1">
      <alignment horizontal="center" vertical="center"/>
    </xf>
    <xf numFmtId="3" fontId="62" fillId="0" borderId="67" xfId="0" applyNumberFormat="1" applyFont="1" applyFill="1" applyBorder="1" applyAlignment="1">
      <alignment horizontal="center" vertical="center" wrapText="1"/>
    </xf>
    <xf numFmtId="3" fontId="62" fillId="0" borderId="44" xfId="0" applyNumberFormat="1" applyFont="1" applyFill="1" applyBorder="1" applyAlignment="1">
      <alignment horizontal="center" vertical="center"/>
    </xf>
    <xf numFmtId="3" fontId="62" fillId="0" borderId="46" xfId="0" applyNumberFormat="1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/>
    </xf>
    <xf numFmtId="3" fontId="62" fillId="0" borderId="35" xfId="59252" applyNumberFormat="1" applyFont="1" applyFill="1" applyBorder="1" applyAlignment="1">
      <alignment horizontal="left" vertical="center" wrapText="1"/>
    </xf>
    <xf numFmtId="3" fontId="62" fillId="0" borderId="37" xfId="58105" applyNumberFormat="1" applyFont="1" applyFill="1" applyBorder="1" applyAlignment="1">
      <alignment horizontal="center" vertical="center" wrapText="1"/>
    </xf>
    <xf numFmtId="3" fontId="62" fillId="0" borderId="12" xfId="58105" applyNumberFormat="1" applyFont="1" applyFill="1" applyBorder="1" applyAlignment="1">
      <alignment horizontal="center" vertical="center" wrapText="1"/>
    </xf>
    <xf numFmtId="3" fontId="62" fillId="0" borderId="32" xfId="0" applyNumberFormat="1" applyFont="1" applyFill="1" applyBorder="1" applyAlignment="1">
      <alignment horizontal="center" vertical="center"/>
    </xf>
    <xf numFmtId="3" fontId="62" fillId="0" borderId="35" xfId="0" applyNumberFormat="1" applyFont="1" applyFill="1" applyBorder="1" applyAlignment="1">
      <alignment horizontal="center" vertical="center"/>
    </xf>
    <xf numFmtId="3" fontId="62" fillId="0" borderId="49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62" fillId="0" borderId="36" xfId="0" applyFont="1" applyFill="1" applyBorder="1" applyAlignment="1">
      <alignment horizontal="center" vertical="center"/>
    </xf>
    <xf numFmtId="3" fontId="62" fillId="0" borderId="27" xfId="59252" applyNumberFormat="1" applyFont="1" applyFill="1" applyBorder="1" applyAlignment="1">
      <alignment horizontal="left" vertical="center" wrapText="1"/>
    </xf>
    <xf numFmtId="3" fontId="62" fillId="0" borderId="36" xfId="58105" applyNumberFormat="1" applyFont="1" applyFill="1" applyBorder="1" applyAlignment="1">
      <alignment horizontal="center" vertical="center" wrapText="1"/>
    </xf>
    <xf numFmtId="3" fontId="62" fillId="0" borderId="10" xfId="58105" applyNumberFormat="1" applyFont="1" applyFill="1" applyBorder="1" applyAlignment="1">
      <alignment horizontal="center" vertical="center" wrapText="1"/>
    </xf>
    <xf numFmtId="3" fontId="62" fillId="0" borderId="29" xfId="0" applyNumberFormat="1" applyFont="1" applyFill="1" applyBorder="1" applyAlignment="1">
      <alignment horizontal="center" vertical="center"/>
    </xf>
    <xf numFmtId="3" fontId="62" fillId="0" borderId="27" xfId="0" applyNumberFormat="1" applyFont="1" applyFill="1" applyBorder="1" applyAlignment="1">
      <alignment horizontal="center" vertical="center"/>
    </xf>
    <xf numFmtId="3" fontId="62" fillId="0" borderId="51" xfId="0" applyNumberFormat="1" applyFont="1" applyFill="1" applyBorder="1" applyAlignment="1">
      <alignment horizontal="center" vertical="center"/>
    </xf>
    <xf numFmtId="3" fontId="62" fillId="0" borderId="27" xfId="59253" applyNumberFormat="1" applyFont="1" applyFill="1" applyBorder="1" applyAlignment="1">
      <alignment horizontal="left" vertical="center" wrapText="1"/>
    </xf>
    <xf numFmtId="1" fontId="62" fillId="0" borderId="27" xfId="59252" applyNumberFormat="1" applyFont="1" applyFill="1" applyBorder="1" applyAlignment="1">
      <alignment horizontal="left" vertical="center" wrapText="1"/>
    </xf>
    <xf numFmtId="4" fontId="62" fillId="0" borderId="27" xfId="59252" applyNumberFormat="1" applyFont="1" applyFill="1" applyBorder="1" applyAlignment="1">
      <alignment horizontal="left" vertical="center" wrapText="1"/>
    </xf>
    <xf numFmtId="3" fontId="62" fillId="0" borderId="27" xfId="0" applyNumberFormat="1" applyFont="1" applyFill="1" applyBorder="1" applyAlignment="1">
      <alignment vertical="center" wrapText="1"/>
    </xf>
    <xf numFmtId="0" fontId="62" fillId="0" borderId="54" xfId="0" applyFont="1" applyFill="1" applyBorder="1" applyAlignment="1">
      <alignment horizontal="center" vertical="center"/>
    </xf>
    <xf numFmtId="3" fontId="62" fillId="0" borderId="34" xfId="59253" applyNumberFormat="1" applyFont="1" applyFill="1" applyBorder="1" applyAlignment="1">
      <alignment horizontal="left" vertical="center" wrapText="1"/>
    </xf>
    <xf numFmtId="3" fontId="62" fillId="0" borderId="54" xfId="58105" applyNumberFormat="1" applyFont="1" applyFill="1" applyBorder="1" applyAlignment="1">
      <alignment horizontal="center" vertical="center" wrapText="1"/>
    </xf>
    <xf numFmtId="3" fontId="62" fillId="0" borderId="11" xfId="58105" applyNumberFormat="1" applyFont="1" applyFill="1" applyBorder="1" applyAlignment="1">
      <alignment horizontal="center" vertical="center" wrapText="1"/>
    </xf>
    <xf numFmtId="3" fontId="62" fillId="0" borderId="31" xfId="0" applyNumberFormat="1" applyFont="1" applyFill="1" applyBorder="1" applyAlignment="1">
      <alignment horizontal="center" vertical="center"/>
    </xf>
    <xf numFmtId="3" fontId="62" fillId="0" borderId="34" xfId="0" applyNumberFormat="1" applyFont="1" applyFill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vertical="center"/>
    </xf>
    <xf numFmtId="3" fontId="61" fillId="0" borderId="56" xfId="0" applyNumberFormat="1" applyFont="1" applyFill="1" applyBorder="1" applyAlignment="1">
      <alignment horizontal="center" vertical="center"/>
    </xf>
    <xf numFmtId="3" fontId="61" fillId="0" borderId="60" xfId="0" applyNumberFormat="1" applyFont="1" applyFill="1" applyBorder="1" applyAlignment="1">
      <alignment horizontal="center" vertical="center"/>
    </xf>
    <xf numFmtId="3" fontId="61" fillId="0" borderId="61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3" fontId="62" fillId="0" borderId="0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3" fontId="61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horizontal="center" vertical="center"/>
    </xf>
    <xf numFmtId="3" fontId="64" fillId="0" borderId="0" xfId="0" applyNumberFormat="1" applyFont="1" applyFill="1" applyAlignment="1">
      <alignment horizontal="center" vertical="center"/>
    </xf>
    <xf numFmtId="3" fontId="64" fillId="0" borderId="66" xfId="0" applyNumberFormat="1" applyFont="1" applyFill="1" applyBorder="1" applyAlignment="1">
      <alignment horizontal="center" vertical="center" wrapText="1" shrinkToFit="1"/>
    </xf>
    <xf numFmtId="3" fontId="64" fillId="0" borderId="45" xfId="0" applyNumberFormat="1" applyFont="1" applyFill="1" applyBorder="1" applyAlignment="1">
      <alignment horizontal="center" vertical="center" wrapText="1" shrinkToFit="1"/>
    </xf>
    <xf numFmtId="3" fontId="64" fillId="0" borderId="68" xfId="59252" applyNumberFormat="1" applyFont="1" applyFill="1" applyBorder="1" applyAlignment="1">
      <alignment horizontal="left" vertical="center" wrapText="1"/>
    </xf>
    <xf numFmtId="3" fontId="64" fillId="0" borderId="37" xfId="0" applyNumberFormat="1" applyFont="1" applyFill="1" applyBorder="1" applyAlignment="1">
      <alignment horizontal="center" vertical="center"/>
    </xf>
    <xf numFmtId="3" fontId="64" fillId="0" borderId="32" xfId="0" applyNumberFormat="1" applyFont="1" applyFill="1" applyBorder="1" applyAlignment="1">
      <alignment horizontal="center" vertical="center"/>
    </xf>
    <xf numFmtId="3" fontId="64" fillId="0" borderId="12" xfId="0" applyNumberFormat="1" applyFont="1" applyFill="1" applyBorder="1" applyAlignment="1">
      <alignment horizontal="center" vertical="center"/>
    </xf>
    <xf numFmtId="3" fontId="64" fillId="0" borderId="35" xfId="0" applyNumberFormat="1" applyFont="1" applyFill="1" applyBorder="1" applyAlignment="1">
      <alignment horizontal="center" vertical="center"/>
    </xf>
    <xf numFmtId="3" fontId="64" fillId="0" borderId="74" xfId="0" applyNumberFormat="1" applyFont="1" applyFill="1" applyBorder="1" applyAlignment="1">
      <alignment horizontal="center" vertical="center"/>
    </xf>
    <xf numFmtId="3" fontId="64" fillId="0" borderId="68" xfId="0" applyNumberFormat="1" applyFont="1" applyFill="1" applyBorder="1" applyAlignment="1">
      <alignment horizontal="center" vertical="center"/>
    </xf>
    <xf numFmtId="3" fontId="64" fillId="0" borderId="88" xfId="0" applyNumberFormat="1" applyFont="1" applyFill="1" applyBorder="1" applyAlignment="1">
      <alignment horizontal="center" vertical="center"/>
    </xf>
    <xf numFmtId="3" fontId="64" fillId="0" borderId="52" xfId="59252" applyNumberFormat="1" applyFont="1" applyFill="1" applyBorder="1" applyAlignment="1">
      <alignment horizontal="left" vertical="center" wrapText="1"/>
    </xf>
    <xf numFmtId="3" fontId="64" fillId="0" borderId="36" xfId="0" applyNumberFormat="1" applyFont="1" applyFill="1" applyBorder="1" applyAlignment="1">
      <alignment horizontal="center" vertical="center"/>
    </xf>
    <xf numFmtId="3" fontId="64" fillId="0" borderId="29" xfId="0" applyNumberFormat="1" applyFont="1" applyFill="1" applyBorder="1" applyAlignment="1">
      <alignment horizontal="center" vertical="center"/>
    </xf>
    <xf numFmtId="3" fontId="64" fillId="0" borderId="10" xfId="0" applyNumberFormat="1" applyFont="1" applyFill="1" applyBorder="1" applyAlignment="1">
      <alignment horizontal="center" vertical="center"/>
    </xf>
    <xf numFmtId="3" fontId="64" fillId="0" borderId="53" xfId="0" applyNumberFormat="1" applyFont="1" applyFill="1" applyBorder="1" applyAlignment="1">
      <alignment horizontal="center" vertical="center"/>
    </xf>
    <xf numFmtId="3" fontId="64" fillId="0" borderId="52" xfId="0" applyNumberFormat="1" applyFont="1" applyFill="1" applyBorder="1" applyAlignment="1">
      <alignment horizontal="center" vertical="center"/>
    </xf>
    <xf numFmtId="3" fontId="64" fillId="0" borderId="52" xfId="59253" applyNumberFormat="1" applyFont="1" applyFill="1" applyBorder="1" applyAlignment="1">
      <alignment horizontal="left" vertical="center" wrapText="1"/>
    </xf>
    <xf numFmtId="1" fontId="64" fillId="0" borderId="52" xfId="59252" applyNumberFormat="1" applyFont="1" applyFill="1" applyBorder="1" applyAlignment="1">
      <alignment horizontal="left" vertical="center" wrapText="1"/>
    </xf>
    <xf numFmtId="0" fontId="64" fillId="0" borderId="36" xfId="0" applyFont="1" applyFill="1" applyBorder="1" applyAlignment="1">
      <alignment horizontal="center" vertical="center"/>
    </xf>
    <xf numFmtId="3" fontId="64" fillId="0" borderId="52" xfId="0" applyNumberFormat="1" applyFont="1" applyFill="1" applyBorder="1" applyAlignment="1">
      <alignment vertical="center" wrapText="1"/>
    </xf>
    <xf numFmtId="4" fontId="64" fillId="0" borderId="52" xfId="59252" applyNumberFormat="1" applyFont="1" applyFill="1" applyBorder="1" applyAlignment="1">
      <alignment horizontal="left" vertical="center" wrapText="1"/>
    </xf>
    <xf numFmtId="0" fontId="64" fillId="0" borderId="54" xfId="0" applyFont="1" applyFill="1" applyBorder="1" applyAlignment="1">
      <alignment horizontal="center" vertical="center"/>
    </xf>
    <xf numFmtId="3" fontId="64" fillId="0" borderId="54" xfId="0" applyNumberFormat="1" applyFont="1" applyFill="1" applyBorder="1" applyAlignment="1">
      <alignment horizontal="center" vertical="center"/>
    </xf>
    <xf numFmtId="3" fontId="64" fillId="0" borderId="31" xfId="0" applyNumberFormat="1" applyFont="1" applyFill="1" applyBorder="1" applyAlignment="1">
      <alignment horizontal="center" vertical="center"/>
    </xf>
    <xf numFmtId="3" fontId="64" fillId="0" borderId="11" xfId="0" applyNumberFormat="1" applyFont="1" applyFill="1" applyBorder="1" applyAlignment="1">
      <alignment horizontal="center" vertical="center"/>
    </xf>
    <xf numFmtId="3" fontId="64" fillId="0" borderId="75" xfId="0" applyNumberFormat="1" applyFont="1" applyFill="1" applyBorder="1" applyAlignment="1">
      <alignment horizontal="center" vertical="center"/>
    </xf>
    <xf numFmtId="3" fontId="64" fillId="0" borderId="50" xfId="0" applyNumberFormat="1" applyFont="1" applyFill="1" applyBorder="1" applyAlignment="1">
      <alignment horizontal="center" vertical="center"/>
    </xf>
    <xf numFmtId="0" fontId="64" fillId="0" borderId="56" xfId="0" applyFont="1" applyFill="1" applyBorder="1" applyAlignment="1">
      <alignment horizontal="center" vertical="center"/>
    </xf>
    <xf numFmtId="0" fontId="71" fillId="0" borderId="60" xfId="0" applyFont="1" applyFill="1" applyBorder="1" applyAlignment="1">
      <alignment vertical="center"/>
    </xf>
    <xf numFmtId="3" fontId="71" fillId="0" borderId="56" xfId="0" applyNumberFormat="1" applyFont="1" applyFill="1" applyBorder="1" applyAlignment="1">
      <alignment horizontal="center" vertical="center"/>
    </xf>
    <xf numFmtId="3" fontId="71" fillId="0" borderId="59" xfId="0" applyNumberFormat="1" applyFont="1" applyFill="1" applyBorder="1" applyAlignment="1">
      <alignment horizontal="center" vertical="center"/>
    </xf>
    <xf numFmtId="3" fontId="71" fillId="0" borderId="60" xfId="0" applyNumberFormat="1" applyFont="1" applyFill="1" applyBorder="1" applyAlignment="1">
      <alignment horizontal="center" vertical="center"/>
    </xf>
    <xf numFmtId="3" fontId="71" fillId="0" borderId="76" xfId="0" applyNumberFormat="1" applyFont="1" applyFill="1" applyBorder="1" applyAlignment="1">
      <alignment horizontal="center" vertical="center"/>
    </xf>
    <xf numFmtId="3" fontId="71" fillId="0" borderId="57" xfId="0" applyNumberFormat="1" applyFont="1" applyFill="1" applyBorder="1" applyAlignment="1">
      <alignment horizontal="center" vertical="center"/>
    </xf>
    <xf numFmtId="3" fontId="71" fillId="0" borderId="69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3" fontId="71" fillId="0" borderId="0" xfId="0" applyNumberFormat="1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3" fontId="64" fillId="0" borderId="50" xfId="0" applyNumberFormat="1" applyFont="1" applyFill="1" applyBorder="1" applyAlignment="1">
      <alignment vertical="center" wrapText="1"/>
    </xf>
    <xf numFmtId="0" fontId="84" fillId="0" borderId="0" xfId="0" applyFont="1"/>
    <xf numFmtId="3" fontId="69" fillId="0" borderId="0" xfId="0" applyNumberFormat="1" applyFont="1" applyAlignment="1">
      <alignment horizontal="center" vertical="center"/>
    </xf>
    <xf numFmtId="0" fontId="66" fillId="0" borderId="10" xfId="0" applyFont="1" applyBorder="1" applyAlignment="1" applyProtection="1">
      <alignment horizontal="center" vertical="center"/>
      <protection locked="0"/>
    </xf>
    <xf numFmtId="0" fontId="66" fillId="0" borderId="10" xfId="0" applyFont="1" applyBorder="1" applyAlignment="1" applyProtection="1">
      <alignment horizontal="left" vertical="center" wrapText="1"/>
      <protection locked="0"/>
    </xf>
    <xf numFmtId="3" fontId="69" fillId="0" borderId="10" xfId="0" applyNumberFormat="1" applyFont="1" applyBorder="1" applyAlignment="1" applyProtection="1">
      <alignment horizontal="center" vertical="center" wrapText="1"/>
      <protection locked="0"/>
    </xf>
    <xf numFmtId="3" fontId="66" fillId="0" borderId="10" xfId="0" applyNumberFormat="1" applyFont="1" applyBorder="1" applyAlignment="1">
      <alignment horizontal="center" vertical="center"/>
    </xf>
    <xf numFmtId="3" fontId="66" fillId="0" borderId="10" xfId="0" applyNumberFormat="1" applyFont="1" applyFill="1" applyBorder="1" applyAlignment="1">
      <alignment horizontal="center" vertical="center"/>
    </xf>
    <xf numFmtId="3" fontId="66" fillId="0" borderId="10" xfId="0" applyNumberFormat="1" applyFont="1" applyBorder="1" applyAlignment="1" applyProtection="1">
      <alignment horizontal="center" vertical="center" wrapText="1"/>
      <protection locked="0"/>
    </xf>
    <xf numFmtId="164" fontId="66" fillId="0" borderId="0" xfId="0" applyNumberFormat="1" applyFont="1"/>
    <xf numFmtId="0" fontId="66" fillId="0" borderId="10" xfId="0" applyFont="1" applyBorder="1" applyAlignment="1" applyProtection="1">
      <alignment horizontal="left" vertical="center"/>
      <protection locked="0"/>
    </xf>
    <xf numFmtId="0" fontId="85" fillId="0" borderId="0" xfId="0" applyFont="1"/>
    <xf numFmtId="0" fontId="85" fillId="0" borderId="0" xfId="0" applyFont="1" applyAlignment="1">
      <alignment horizontal="right"/>
    </xf>
    <xf numFmtId="3" fontId="85" fillId="0" borderId="0" xfId="0" applyNumberFormat="1" applyFont="1" applyAlignment="1">
      <alignment horizontal="center"/>
    </xf>
    <xf numFmtId="0" fontId="66" fillId="0" borderId="0" xfId="0" applyFont="1" applyAlignment="1">
      <alignment horizontal="right"/>
    </xf>
    <xf numFmtId="3" fontId="66" fillId="0" borderId="0" xfId="0" applyNumberFormat="1" applyFont="1" applyAlignment="1">
      <alignment horizont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/>
    </xf>
    <xf numFmtId="3" fontId="70" fillId="0" borderId="10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3" fontId="70" fillId="0" borderId="10" xfId="0" applyNumberFormat="1" applyFont="1" applyBorder="1" applyAlignment="1" applyProtection="1">
      <alignment horizontal="center" vertical="center" wrapText="1"/>
      <protection locked="0"/>
    </xf>
    <xf numFmtId="3" fontId="62" fillId="0" borderId="52" xfId="0" applyNumberFormat="1" applyFont="1" applyFill="1" applyBorder="1" applyAlignment="1">
      <alignment horizontal="left" vertical="center" wrapText="1"/>
    </xf>
    <xf numFmtId="0" fontId="62" fillId="75" borderId="0" xfId="0" applyFont="1" applyFill="1"/>
    <xf numFmtId="0" fontId="61" fillId="75" borderId="0" xfId="0" applyFont="1" applyFill="1" applyAlignment="1">
      <alignment horizontal="center" vertical="center"/>
    </xf>
    <xf numFmtId="3" fontId="62" fillId="75" borderId="0" xfId="0" applyNumberFormat="1" applyFont="1" applyFill="1"/>
    <xf numFmtId="3" fontId="62" fillId="75" borderId="0" xfId="0" applyNumberFormat="1" applyFont="1" applyFill="1" applyBorder="1" applyAlignment="1">
      <alignment horizontal="right" vertical="center"/>
    </xf>
    <xf numFmtId="0" fontId="64" fillId="75" borderId="0" xfId="0" applyFont="1" applyFill="1"/>
    <xf numFmtId="3" fontId="64" fillId="75" borderId="10" xfId="0" applyNumberFormat="1" applyFont="1" applyFill="1" applyBorder="1" applyAlignment="1">
      <alignment horizontal="center" vertical="center" wrapText="1"/>
    </xf>
    <xf numFmtId="0" fontId="64" fillId="75" borderId="0" xfId="0" applyFont="1" applyFill="1" applyAlignment="1">
      <alignment horizontal="center" vertical="center"/>
    </xf>
    <xf numFmtId="0" fontId="62" fillId="75" borderId="10" xfId="0" applyFont="1" applyFill="1" applyBorder="1" applyAlignment="1">
      <alignment horizontal="center" vertical="center" wrapText="1"/>
    </xf>
    <xf numFmtId="0" fontId="63" fillId="75" borderId="10" xfId="0" applyFont="1" applyFill="1" applyBorder="1" applyAlignment="1">
      <alignment horizontal="center" vertical="center"/>
    </xf>
    <xf numFmtId="0" fontId="63" fillId="75" borderId="10" xfId="0" applyFont="1" applyFill="1" applyBorder="1" applyAlignment="1">
      <alignment wrapText="1"/>
    </xf>
    <xf numFmtId="3" fontId="62" fillId="75" borderId="10" xfId="0" applyNumberFormat="1" applyFont="1" applyFill="1" applyBorder="1" applyAlignment="1">
      <alignment horizontal="center" vertical="center"/>
    </xf>
    <xf numFmtId="0" fontId="63" fillId="75" borderId="10" xfId="0" applyFont="1" applyFill="1" applyBorder="1" applyAlignment="1">
      <alignment vertical="center" wrapText="1"/>
    </xf>
    <xf numFmtId="3" fontId="62" fillId="75" borderId="10" xfId="0" applyNumberFormat="1" applyFont="1" applyFill="1" applyBorder="1" applyAlignment="1">
      <alignment horizontal="center"/>
    </xf>
    <xf numFmtId="3" fontId="62" fillId="75" borderId="10" xfId="0" applyNumberFormat="1" applyFont="1" applyFill="1" applyBorder="1"/>
    <xf numFmtId="0" fontId="62" fillId="75" borderId="0" xfId="0" applyFont="1" applyFill="1" applyAlignment="1">
      <alignment vertical="center"/>
    </xf>
    <xf numFmtId="0" fontId="66" fillId="75" borderId="0" xfId="57846" applyFont="1" applyFill="1"/>
    <xf numFmtId="0" fontId="86" fillId="75" borderId="11" xfId="57846" applyFont="1" applyFill="1" applyBorder="1" applyAlignment="1" applyProtection="1">
      <alignment horizontal="center" vertical="center" wrapText="1"/>
      <protection locked="0"/>
    </xf>
    <xf numFmtId="0" fontId="86" fillId="75" borderId="10" xfId="57846" applyFont="1" applyFill="1" applyBorder="1" applyAlignment="1" applyProtection="1">
      <alignment horizontal="center" vertical="center" textRotation="90" wrapText="1"/>
      <protection locked="0"/>
    </xf>
    <xf numFmtId="0" fontId="87" fillId="75" borderId="0" xfId="57846" applyFont="1" applyFill="1" applyProtection="1">
      <protection locked="0"/>
    </xf>
    <xf numFmtId="0" fontId="86" fillId="75" borderId="10" xfId="57846" applyFont="1" applyFill="1" applyBorder="1" applyAlignment="1" applyProtection="1">
      <alignment horizontal="center" vertical="center" wrapText="1"/>
      <protection locked="0"/>
    </xf>
    <xf numFmtId="0" fontId="86" fillId="75" borderId="12" xfId="57846" applyFont="1" applyFill="1" applyBorder="1" applyAlignment="1" applyProtection="1">
      <alignment horizontal="center" vertical="center" wrapText="1"/>
      <protection locked="0"/>
    </xf>
    <xf numFmtId="0" fontId="88" fillId="75" borderId="27" xfId="57846" applyFont="1" applyFill="1" applyBorder="1" applyAlignment="1" applyProtection="1">
      <alignment horizontal="center" vertical="center" wrapText="1"/>
      <protection locked="0"/>
    </xf>
    <xf numFmtId="3" fontId="89" fillId="75" borderId="10" xfId="57846" applyNumberFormat="1" applyFont="1" applyFill="1" applyBorder="1" applyAlignment="1" applyProtection="1">
      <alignment horizontal="center" vertical="center"/>
      <protection locked="0"/>
    </xf>
    <xf numFmtId="0" fontId="89" fillId="75" borderId="0" xfId="57846" applyFont="1" applyFill="1" applyProtection="1">
      <protection locked="0"/>
    </xf>
    <xf numFmtId="0" fontId="90" fillId="75" borderId="11" xfId="57846" applyFont="1" applyFill="1" applyBorder="1" applyAlignment="1" applyProtection="1">
      <alignment vertical="center" wrapText="1"/>
      <protection locked="0"/>
    </xf>
    <xf numFmtId="3" fontId="87" fillId="75" borderId="11" xfId="57846" applyNumberFormat="1" applyFont="1" applyFill="1" applyBorder="1" applyAlignment="1" applyProtection="1">
      <alignment horizontal="center" vertical="center"/>
      <protection locked="0"/>
    </xf>
    <xf numFmtId="3" fontId="91" fillId="75" borderId="11" xfId="57846" applyNumberFormat="1" applyFont="1" applyFill="1" applyBorder="1" applyAlignment="1" applyProtection="1">
      <alignment horizontal="center" vertical="center"/>
      <protection locked="0"/>
    </xf>
    <xf numFmtId="3" fontId="87" fillId="75" borderId="10" xfId="57846" applyNumberFormat="1" applyFont="1" applyFill="1" applyBorder="1" applyAlignment="1" applyProtection="1">
      <alignment horizontal="center" vertical="center"/>
      <protection locked="0"/>
    </xf>
    <xf numFmtId="3" fontId="91" fillId="75" borderId="10" xfId="57846" applyNumberFormat="1" applyFont="1" applyFill="1" applyBorder="1" applyAlignment="1" applyProtection="1">
      <alignment horizontal="center" vertical="center"/>
      <protection locked="0"/>
    </xf>
    <xf numFmtId="0" fontId="87" fillId="75" borderId="10" xfId="57846" applyFont="1" applyFill="1" applyBorder="1" applyProtection="1">
      <protection locked="0"/>
    </xf>
    <xf numFmtId="0" fontId="90" fillId="75" borderId="10" xfId="57846" applyFont="1" applyFill="1" applyBorder="1" applyAlignment="1" applyProtection="1">
      <alignment vertical="center" wrapText="1"/>
      <protection locked="0"/>
    </xf>
    <xf numFmtId="3" fontId="87" fillId="75" borderId="10" xfId="57846" applyNumberFormat="1" applyFont="1" applyFill="1" applyBorder="1" applyAlignment="1" applyProtection="1">
      <alignment horizontal="center"/>
      <protection locked="0"/>
    </xf>
    <xf numFmtId="3" fontId="87" fillId="75" borderId="10" xfId="57846" applyNumberFormat="1" applyFont="1" applyFill="1" applyBorder="1" applyAlignment="1" applyProtection="1">
      <alignment vertical="center"/>
      <protection locked="0"/>
    </xf>
    <xf numFmtId="3" fontId="91" fillId="75" borderId="10" xfId="57846" applyNumberFormat="1" applyFont="1" applyFill="1" applyBorder="1" applyAlignment="1" applyProtection="1">
      <alignment vertical="center"/>
      <protection locked="0"/>
    </xf>
    <xf numFmtId="3" fontId="87" fillId="75" borderId="30" xfId="57846" applyNumberFormat="1" applyFont="1" applyFill="1" applyBorder="1" applyAlignment="1" applyProtection="1">
      <alignment horizontal="center" vertical="center"/>
      <protection locked="0"/>
    </xf>
    <xf numFmtId="3" fontId="91" fillId="75" borderId="30" xfId="57846" applyNumberFormat="1" applyFont="1" applyFill="1" applyBorder="1" applyAlignment="1" applyProtection="1">
      <alignment horizontal="center" vertical="center"/>
      <protection locked="0"/>
    </xf>
    <xf numFmtId="3" fontId="87" fillId="75" borderId="30" xfId="57846" applyNumberFormat="1" applyFont="1" applyFill="1" applyBorder="1" applyAlignment="1" applyProtection="1">
      <alignment vertical="center"/>
      <protection locked="0"/>
    </xf>
    <xf numFmtId="3" fontId="87" fillId="75" borderId="11" xfId="57846" applyNumberFormat="1" applyFont="1" applyFill="1" applyBorder="1" applyAlignment="1" applyProtection="1">
      <alignment vertical="center"/>
      <protection locked="0"/>
    </xf>
    <xf numFmtId="0" fontId="88" fillId="75" borderId="10" xfId="57846" applyFont="1" applyFill="1" applyBorder="1" applyAlignment="1" applyProtection="1">
      <alignment horizontal="center" vertical="center" wrapText="1"/>
      <protection locked="0"/>
    </xf>
    <xf numFmtId="0" fontId="90" fillId="75" borderId="12" xfId="57846" applyFont="1" applyFill="1" applyBorder="1" applyAlignment="1" applyProtection="1">
      <alignment vertical="center" wrapText="1"/>
      <protection locked="0"/>
    </xf>
    <xf numFmtId="3" fontId="87" fillId="75" borderId="12" xfId="57846" applyNumberFormat="1" applyFont="1" applyFill="1" applyBorder="1" applyAlignment="1" applyProtection="1">
      <alignment horizontal="center" vertical="center"/>
      <protection locked="0"/>
    </xf>
    <xf numFmtId="3" fontId="87" fillId="75" borderId="12" xfId="57846" applyNumberFormat="1" applyFont="1" applyFill="1" applyBorder="1" applyAlignment="1" applyProtection="1">
      <alignment vertical="center"/>
      <protection locked="0"/>
    </xf>
    <xf numFmtId="0" fontId="87" fillId="75" borderId="10" xfId="57846" applyFont="1" applyFill="1" applyBorder="1" applyAlignment="1" applyProtection="1">
      <alignment horizontal="center"/>
      <protection locked="0"/>
    </xf>
    <xf numFmtId="0" fontId="69" fillId="75" borderId="0" xfId="57846" applyFont="1" applyFill="1"/>
    <xf numFmtId="0" fontId="66" fillId="75" borderId="0" xfId="57846" applyFont="1" applyFill="1" applyAlignment="1">
      <alignment horizontal="center"/>
    </xf>
    <xf numFmtId="3" fontId="66" fillId="75" borderId="0" xfId="57846" applyNumberFormat="1" applyFont="1" applyFill="1"/>
    <xf numFmtId="0" fontId="62" fillId="75" borderId="0" xfId="59247" applyFont="1" applyFill="1"/>
    <xf numFmtId="0" fontId="61" fillId="75" borderId="26" xfId="59247" applyFont="1" applyFill="1" applyBorder="1" applyAlignment="1">
      <alignment horizontal="center" vertical="center" wrapText="1"/>
    </xf>
    <xf numFmtId="0" fontId="62" fillId="75" borderId="26" xfId="59247" applyFont="1" applyFill="1" applyBorder="1" applyAlignment="1">
      <alignment wrapText="1"/>
    </xf>
    <xf numFmtId="0" fontId="64" fillId="75" borderId="0" xfId="59247" applyFont="1" applyFill="1"/>
    <xf numFmtId="3" fontId="63" fillId="75" borderId="10" xfId="59248" applyNumberFormat="1" applyFont="1" applyFill="1" applyBorder="1" applyAlignment="1">
      <alignment horizontal="center" vertical="center" wrapText="1"/>
    </xf>
    <xf numFmtId="0" fontId="62" fillId="75" borderId="10" xfId="59247" applyFont="1" applyFill="1" applyBorder="1" applyAlignment="1">
      <alignment horizontal="center" vertical="center"/>
    </xf>
    <xf numFmtId="4" fontId="62" fillId="75" borderId="29" xfId="59247" applyNumberFormat="1" applyFont="1" applyFill="1" applyBorder="1" applyAlignment="1">
      <alignment horizontal="left" vertical="center" wrapText="1"/>
    </xf>
    <xf numFmtId="3" fontId="62" fillId="75" borderId="10" xfId="59247" applyNumberFormat="1" applyFont="1" applyFill="1" applyBorder="1" applyAlignment="1">
      <alignment horizontal="center" vertical="center" wrapText="1"/>
    </xf>
    <xf numFmtId="4" fontId="62" fillId="75" borderId="29" xfId="59247" applyNumberFormat="1" applyFont="1" applyFill="1" applyBorder="1" applyAlignment="1">
      <alignment vertical="center" wrapText="1"/>
    </xf>
    <xf numFmtId="4" fontId="62" fillId="75" borderId="29" xfId="59249" applyNumberFormat="1" applyFont="1" applyFill="1" applyBorder="1" applyAlignment="1">
      <alignment vertical="center" wrapText="1"/>
    </xf>
    <xf numFmtId="4" fontId="92" fillId="75" borderId="10" xfId="59249" applyNumberFormat="1" applyFont="1" applyFill="1" applyBorder="1" applyAlignment="1">
      <alignment horizontal="left" vertical="center" wrapText="1"/>
    </xf>
    <xf numFmtId="3" fontId="92" fillId="75" borderId="10" xfId="59247" applyNumberFormat="1" applyFont="1" applyFill="1" applyBorder="1" applyAlignment="1">
      <alignment horizontal="center" vertical="center" wrapText="1"/>
    </xf>
    <xf numFmtId="0" fontId="92" fillId="75" borderId="0" xfId="59247" applyFont="1" applyFill="1" applyAlignment="1">
      <alignment vertical="center"/>
    </xf>
    <xf numFmtId="4" fontId="62" fillId="75" borderId="29" xfId="59249" applyNumberFormat="1" applyFont="1" applyFill="1" applyBorder="1" applyAlignment="1">
      <alignment horizontal="left" vertical="center" wrapText="1"/>
    </xf>
    <xf numFmtId="4" fontId="92" fillId="75" borderId="29" xfId="59249" applyNumberFormat="1" applyFont="1" applyFill="1" applyBorder="1" applyAlignment="1">
      <alignment horizontal="left" vertical="center" wrapText="1"/>
    </xf>
    <xf numFmtId="0" fontId="92" fillId="75" borderId="0" xfId="59247" applyFont="1" applyFill="1"/>
    <xf numFmtId="4" fontId="62" fillId="75" borderId="29" xfId="57748" applyNumberFormat="1" applyFont="1" applyFill="1" applyBorder="1" applyAlignment="1">
      <alignment horizontal="left" vertical="center" wrapText="1"/>
    </xf>
    <xf numFmtId="4" fontId="62" fillId="75" borderId="10" xfId="59247" applyNumberFormat="1" applyFont="1" applyFill="1" applyBorder="1" applyAlignment="1">
      <alignment vertical="center" wrapText="1"/>
    </xf>
    <xf numFmtId="3" fontId="62" fillId="75" borderId="29" xfId="59247" applyNumberFormat="1" applyFont="1" applyFill="1" applyBorder="1" applyAlignment="1">
      <alignment vertical="center" wrapText="1"/>
    </xf>
    <xf numFmtId="3" fontId="62" fillId="75" borderId="0" xfId="59247" applyNumberFormat="1" applyFont="1" applyFill="1"/>
    <xf numFmtId="3" fontId="92" fillId="75" borderId="29" xfId="59247" applyNumberFormat="1" applyFont="1" applyFill="1" applyBorder="1" applyAlignment="1">
      <alignment vertical="center" wrapText="1"/>
    </xf>
    <xf numFmtId="4" fontId="62" fillId="75" borderId="31" xfId="59247" applyNumberFormat="1" applyFont="1" applyFill="1" applyBorder="1" applyAlignment="1">
      <alignment vertical="center" wrapText="1"/>
    </xf>
    <xf numFmtId="3" fontId="65" fillId="75" borderId="10" xfId="59247" applyNumberFormat="1" applyFont="1" applyFill="1" applyBorder="1" applyAlignment="1">
      <alignment horizontal="center" vertical="center" wrapText="1"/>
    </xf>
    <xf numFmtId="0" fontId="66" fillId="75" borderId="0" xfId="59247" applyFont="1" applyFill="1"/>
    <xf numFmtId="0" fontId="61" fillId="75" borderId="0" xfId="59247" applyFont="1" applyFill="1" applyAlignment="1">
      <alignment horizontal="center"/>
    </xf>
    <xf numFmtId="0" fontId="66" fillId="75" borderId="0" xfId="59247" applyFont="1" applyFill="1" applyAlignment="1">
      <alignment vertical="center"/>
    </xf>
    <xf numFmtId="3" fontId="92" fillId="75" borderId="0" xfId="59247" applyNumberFormat="1" applyFont="1" applyFill="1" applyAlignment="1">
      <alignment vertical="center" wrapText="1"/>
    </xf>
    <xf numFmtId="3" fontId="92" fillId="75" borderId="0" xfId="59247" applyNumberFormat="1" applyFont="1" applyFill="1" applyAlignment="1">
      <alignment vertical="center"/>
    </xf>
    <xf numFmtId="4" fontId="62" fillId="75" borderId="10" xfId="59248" applyNumberFormat="1" applyFont="1" applyFill="1" applyBorder="1" applyAlignment="1">
      <alignment vertical="center" wrapText="1"/>
    </xf>
    <xf numFmtId="3" fontId="61" fillId="75" borderId="10" xfId="59247" applyNumberFormat="1" applyFont="1" applyFill="1" applyBorder="1" applyAlignment="1">
      <alignment horizontal="left" vertical="center"/>
    </xf>
    <xf numFmtId="3" fontId="61" fillId="75" borderId="10" xfId="59247" applyNumberFormat="1" applyFont="1" applyFill="1" applyBorder="1" applyAlignment="1">
      <alignment horizontal="center" vertical="center"/>
    </xf>
    <xf numFmtId="3" fontId="62" fillId="75" borderId="0" xfId="59247" applyNumberFormat="1" applyFont="1" applyFill="1" applyAlignment="1">
      <alignment horizontal="center"/>
    </xf>
    <xf numFmtId="2" fontId="62" fillId="75" borderId="0" xfId="59247" applyNumberFormat="1" applyFont="1" applyFill="1"/>
    <xf numFmtId="3" fontId="93" fillId="75" borderId="0" xfId="0" applyNumberFormat="1" applyFont="1" applyFill="1" applyAlignment="1">
      <alignment horizontal="center" vertical="center" wrapText="1"/>
    </xf>
    <xf numFmtId="3" fontId="8" fillId="75" borderId="0" xfId="0" applyNumberFormat="1" applyFont="1" applyFill="1" applyAlignment="1">
      <alignment horizontal="left" vertical="center" wrapText="1"/>
    </xf>
    <xf numFmtId="3" fontId="94" fillId="75" borderId="0" xfId="0" applyNumberFormat="1" applyFont="1" applyFill="1" applyAlignment="1">
      <alignment horizontal="center" vertical="center" wrapText="1"/>
    </xf>
    <xf numFmtId="3" fontId="93" fillId="75" borderId="0" xfId="0" applyNumberFormat="1" applyFont="1" applyFill="1" applyAlignment="1">
      <alignment horizontal="center" vertical="center"/>
    </xf>
    <xf numFmtId="3" fontId="96" fillId="75" borderId="0" xfId="0" applyNumberFormat="1" applyFont="1" applyFill="1" applyAlignment="1">
      <alignment horizontal="center" vertical="center"/>
    </xf>
    <xf numFmtId="3" fontId="96" fillId="75" borderId="0" xfId="0" applyNumberFormat="1" applyFont="1" applyFill="1" applyAlignment="1">
      <alignment horizontal="center" vertical="center" wrapText="1"/>
    </xf>
    <xf numFmtId="3" fontId="97" fillId="75" borderId="0" xfId="0" applyNumberFormat="1" applyFont="1" applyFill="1" applyAlignment="1">
      <alignment horizontal="right" vertical="center" wrapText="1"/>
    </xf>
    <xf numFmtId="4" fontId="93" fillId="75" borderId="0" xfId="0" applyNumberFormat="1" applyFont="1" applyFill="1" applyAlignment="1">
      <alignment horizontal="center" vertical="center" wrapText="1"/>
    </xf>
    <xf numFmtId="3" fontId="98" fillId="75" borderId="10" xfId="0" applyNumberFormat="1" applyFont="1" applyFill="1" applyBorder="1" applyAlignment="1">
      <alignment horizontal="center" vertical="center" wrapText="1"/>
    </xf>
    <xf numFmtId="49" fontId="98" fillId="75" borderId="10" xfId="0" applyNumberFormat="1" applyFont="1" applyFill="1" applyBorder="1" applyAlignment="1">
      <alignment horizontal="center" vertical="center" wrapText="1"/>
    </xf>
    <xf numFmtId="169" fontId="98" fillId="75" borderId="10" xfId="0" applyNumberFormat="1" applyFont="1" applyFill="1" applyBorder="1" applyAlignment="1">
      <alignment horizontal="center" vertical="center" wrapText="1"/>
    </xf>
    <xf numFmtId="3" fontId="98" fillId="75" borderId="10" xfId="0" applyNumberFormat="1" applyFont="1" applyFill="1" applyBorder="1" applyAlignment="1">
      <alignment horizontal="left" vertical="center" wrapText="1"/>
    </xf>
    <xf numFmtId="4" fontId="96" fillId="75" borderId="0" xfId="0" applyNumberFormat="1" applyFont="1" applyFill="1" applyAlignment="1">
      <alignment horizontal="center" vertical="center"/>
    </xf>
    <xf numFmtId="3" fontId="8" fillId="75" borderId="0" xfId="0" applyNumberFormat="1" applyFont="1" applyFill="1" applyAlignment="1">
      <alignment horizontal="center" vertical="center"/>
    </xf>
    <xf numFmtId="3" fontId="99" fillId="75" borderId="10" xfId="0" applyNumberFormat="1" applyFont="1" applyFill="1" applyBorder="1" applyAlignment="1">
      <alignment horizontal="center" vertical="center" wrapText="1"/>
    </xf>
    <xf numFmtId="3" fontId="100" fillId="75" borderId="10" xfId="0" applyNumberFormat="1" applyFont="1" applyFill="1" applyBorder="1" applyAlignment="1">
      <alignment horizontal="left" vertical="center" wrapText="1"/>
    </xf>
    <xf numFmtId="3" fontId="101" fillId="75" borderId="0" xfId="0" applyNumberFormat="1" applyFont="1" applyFill="1" applyAlignment="1">
      <alignment horizontal="center" vertical="center"/>
    </xf>
    <xf numFmtId="3" fontId="8" fillId="75" borderId="0" xfId="0" applyNumberFormat="1" applyFont="1" applyFill="1" applyAlignment="1">
      <alignment horizontal="left" vertical="center"/>
    </xf>
    <xf numFmtId="0" fontId="68" fillId="0" borderId="12" xfId="57572" applyFont="1" applyFill="1" applyBorder="1" applyAlignment="1">
      <alignment horizontal="center" vertical="center" wrapText="1"/>
    </xf>
    <xf numFmtId="0" fontId="68" fillId="0" borderId="10" xfId="57572" applyFont="1" applyFill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/>
    </xf>
    <xf numFmtId="0" fontId="66" fillId="0" borderId="0" xfId="0" applyFont="1" applyBorder="1"/>
    <xf numFmtId="0" fontId="45" fillId="75" borderId="0" xfId="57580" applyFill="1"/>
    <xf numFmtId="0" fontId="79" fillId="75" borderId="0" xfId="57580" applyFont="1" applyFill="1" applyBorder="1" applyAlignment="1">
      <alignment horizontal="center" vertical="center" wrapText="1"/>
    </xf>
    <xf numFmtId="0" fontId="65" fillId="75" borderId="10" xfId="57580" applyFont="1" applyFill="1" applyBorder="1" applyAlignment="1">
      <alignment horizontal="center" vertical="center" wrapText="1"/>
    </xf>
    <xf numFmtId="0" fontId="65" fillId="75" borderId="10" xfId="57580" applyFont="1" applyFill="1" applyBorder="1" applyAlignment="1">
      <alignment horizontal="center" vertical="center"/>
    </xf>
    <xf numFmtId="0" fontId="65" fillId="75" borderId="10" xfId="57580" applyFont="1" applyFill="1" applyBorder="1" applyAlignment="1">
      <alignment vertical="center" wrapText="1"/>
    </xf>
    <xf numFmtId="0" fontId="79" fillId="75" borderId="10" xfId="57580" applyFont="1" applyFill="1" applyBorder="1" applyAlignment="1">
      <alignment horizontal="center" vertical="center"/>
    </xf>
    <xf numFmtId="0" fontId="80" fillId="75" borderId="10" xfId="57580" applyFont="1" applyFill="1" applyBorder="1" applyAlignment="1">
      <alignment horizontal="center" vertical="center"/>
    </xf>
    <xf numFmtId="0" fontId="80" fillId="75" borderId="10" xfId="57580" applyFont="1" applyFill="1" applyBorder="1" applyAlignment="1">
      <alignment vertical="center" wrapText="1"/>
    </xf>
    <xf numFmtId="0" fontId="66" fillId="75" borderId="0" xfId="57580" applyFont="1" applyFill="1"/>
    <xf numFmtId="0" fontId="79" fillId="75" borderId="10" xfId="57580" applyFont="1" applyFill="1" applyBorder="1" applyAlignment="1">
      <alignment vertical="center"/>
    </xf>
    <xf numFmtId="0" fontId="79" fillId="75" borderId="10" xfId="57580" applyFont="1" applyFill="1" applyBorder="1" applyAlignment="1">
      <alignment vertical="center" wrapText="1"/>
    </xf>
    <xf numFmtId="0" fontId="80" fillId="75" borderId="10" xfId="57580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0" fontId="66" fillId="0" borderId="0" xfId="0" applyFont="1" applyFill="1" applyBorder="1" applyAlignment="1">
      <alignment horizontal="center"/>
    </xf>
    <xf numFmtId="0" fontId="102" fillId="0" borderId="0" xfId="57572" applyFont="1" applyFill="1" applyBorder="1" applyAlignment="1">
      <alignment horizontal="center" vertical="center" wrapText="1"/>
    </xf>
    <xf numFmtId="0" fontId="66" fillId="0" borderId="0" xfId="57572" applyFont="1" applyFill="1"/>
    <xf numFmtId="0" fontId="65" fillId="0" borderId="0" xfId="57572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left" vertical="center" wrapText="1"/>
    </xf>
    <xf numFmtId="3" fontId="65" fillId="0" borderId="10" xfId="57572" applyNumberFormat="1" applyFont="1" applyFill="1" applyBorder="1" applyAlignment="1">
      <alignment horizontal="center" vertical="center"/>
    </xf>
    <xf numFmtId="3" fontId="65" fillId="0" borderId="29" xfId="57572" applyNumberFormat="1" applyFont="1" applyFill="1" applyBorder="1" applyAlignment="1">
      <alignment horizontal="center" vertical="center"/>
    </xf>
    <xf numFmtId="3" fontId="65" fillId="0" borderId="0" xfId="57572" applyNumberFormat="1" applyFont="1" applyFill="1" applyBorder="1" applyAlignment="1">
      <alignment horizontal="center" vertical="center"/>
    </xf>
    <xf numFmtId="3" fontId="66" fillId="0" borderId="0" xfId="0" applyNumberFormat="1" applyFont="1" applyFill="1"/>
    <xf numFmtId="4" fontId="62" fillId="0" borderId="10" xfId="0" applyNumberFormat="1" applyFont="1" applyFill="1" applyBorder="1" applyAlignment="1">
      <alignment vertical="center" wrapText="1"/>
    </xf>
    <xf numFmtId="4" fontId="62" fillId="0" borderId="10" xfId="59249" applyNumberFormat="1" applyFont="1" applyFill="1" applyBorder="1" applyAlignment="1">
      <alignment vertical="center" wrapText="1"/>
    </xf>
    <xf numFmtId="3" fontId="65" fillId="0" borderId="0" xfId="57572" applyNumberFormat="1" applyFont="1" applyFill="1" applyBorder="1" applyAlignment="1">
      <alignment horizontal="center"/>
    </xf>
    <xf numFmtId="4" fontId="62" fillId="0" borderId="10" xfId="59249" applyNumberFormat="1" applyFont="1" applyFill="1" applyBorder="1" applyAlignment="1">
      <alignment horizontal="left" vertical="center" wrapText="1"/>
    </xf>
    <xf numFmtId="3" fontId="92" fillId="0" borderId="0" xfId="0" applyNumberFormat="1" applyFont="1" applyFill="1"/>
    <xf numFmtId="0" fontId="65" fillId="0" borderId="10" xfId="0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 wrapText="1"/>
    </xf>
    <xf numFmtId="3" fontId="69" fillId="0" borderId="0" xfId="0" applyNumberFormat="1" applyFont="1" applyFill="1"/>
    <xf numFmtId="3" fontId="8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87" fillId="0" borderId="10" xfId="0" applyNumberFormat="1" applyFont="1" applyFill="1" applyBorder="1" applyAlignment="1" applyProtection="1">
      <alignment horizontal="left" vertical="center"/>
      <protection locked="0"/>
    </xf>
    <xf numFmtId="4" fontId="87" fillId="0" borderId="31" xfId="59250" applyNumberFormat="1" applyFont="1" applyFill="1" applyBorder="1" applyAlignment="1">
      <alignment horizontal="left" vertical="center" wrapText="1"/>
    </xf>
    <xf numFmtId="0" fontId="61" fillId="0" borderId="10" xfId="0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>
      <alignment horizontal="left" vertical="center"/>
    </xf>
    <xf numFmtId="3" fontId="69" fillId="0" borderId="10" xfId="0" applyNumberFormat="1" applyFont="1" applyFill="1" applyBorder="1" applyAlignment="1">
      <alignment horizontal="center" vertical="center"/>
    </xf>
    <xf numFmtId="3" fontId="102" fillId="0" borderId="10" xfId="57572" applyNumberFormat="1" applyFont="1" applyFill="1" applyBorder="1" applyAlignment="1">
      <alignment horizontal="center" vertical="center"/>
    </xf>
    <xf numFmtId="3" fontId="69" fillId="0" borderId="12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vertical="center"/>
    </xf>
    <xf numFmtId="3" fontId="69" fillId="0" borderId="0" xfId="0" applyNumberFormat="1" applyFont="1" applyFill="1" applyBorder="1" applyAlignment="1">
      <alignment horizontal="center" vertical="center"/>
    </xf>
    <xf numFmtId="3" fontId="69" fillId="0" borderId="33" xfId="0" applyNumberFormat="1" applyFont="1" applyFill="1" applyBorder="1" applyAlignment="1">
      <alignment horizontal="center" vertical="center"/>
    </xf>
    <xf numFmtId="0" fontId="102" fillId="74" borderId="10" xfId="0" applyFont="1" applyFill="1" applyBorder="1" applyAlignment="1">
      <alignment vertical="center" wrapText="1"/>
    </xf>
    <xf numFmtId="0" fontId="102" fillId="74" borderId="10" xfId="0" applyFont="1" applyFill="1" applyBorder="1" applyAlignment="1">
      <alignment horizontal="center" vertical="center" wrapText="1"/>
    </xf>
    <xf numFmtId="3" fontId="62" fillId="0" borderId="29" xfId="59247" applyNumberFormat="1" applyFont="1" applyFill="1" applyBorder="1" applyAlignment="1">
      <alignment vertical="center" wrapText="1"/>
    </xf>
    <xf numFmtId="3" fontId="65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wrapText="1"/>
    </xf>
    <xf numFmtId="3" fontId="64" fillId="0" borderId="29" xfId="59247" applyNumberFormat="1" applyFont="1" applyFill="1" applyBorder="1" applyAlignment="1">
      <alignment vertical="center" wrapText="1"/>
    </xf>
    <xf numFmtId="0" fontId="62" fillId="0" borderId="10" xfId="0" applyFont="1" applyFill="1" applyBorder="1" applyAlignment="1">
      <alignment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vertical="center"/>
    </xf>
    <xf numFmtId="0" fontId="66" fillId="0" borderId="10" xfId="0" applyFont="1" applyFill="1" applyBorder="1" applyAlignment="1">
      <alignment vertical="center"/>
    </xf>
    <xf numFmtId="3" fontId="69" fillId="0" borderId="10" xfId="0" applyNumberFormat="1" applyFont="1" applyFill="1" applyBorder="1" applyAlignment="1">
      <alignment vertical="center"/>
    </xf>
    <xf numFmtId="0" fontId="66" fillId="0" borderId="0" xfId="0" applyFont="1" applyFill="1" applyAlignment="1">
      <alignment horizontal="center" vertical="center"/>
    </xf>
    <xf numFmtId="0" fontId="65" fillId="0" borderId="26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7" fillId="0" borderId="0" xfId="0" applyFont="1" applyFill="1" applyAlignment="1">
      <alignment vertical="center"/>
    </xf>
    <xf numFmtId="0" fontId="65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vertical="center"/>
    </xf>
    <xf numFmtId="3" fontId="65" fillId="0" borderId="12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vertical="center" wrapText="1"/>
    </xf>
    <xf numFmtId="0" fontId="103" fillId="0" borderId="10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vertical="center" wrapText="1"/>
    </xf>
    <xf numFmtId="3" fontId="65" fillId="0" borderId="0" xfId="0" applyNumberFormat="1" applyFont="1" applyFill="1" applyBorder="1" applyAlignment="1">
      <alignment horizontal="center" vertical="center"/>
    </xf>
    <xf numFmtId="0" fontId="102" fillId="0" borderId="10" xfId="0" applyFont="1" applyFill="1" applyBorder="1" applyAlignment="1">
      <alignment horizontal="center" vertical="center" wrapText="1"/>
    </xf>
    <xf numFmtId="0" fontId="102" fillId="0" borderId="10" xfId="0" applyFont="1" applyFill="1" applyBorder="1" applyAlignment="1">
      <alignment vertical="center" wrapText="1"/>
    </xf>
    <xf numFmtId="3" fontId="102" fillId="0" borderId="10" xfId="0" applyNumberFormat="1" applyFont="1" applyFill="1" applyBorder="1" applyAlignment="1">
      <alignment horizontal="center" vertical="center"/>
    </xf>
    <xf numFmtId="3" fontId="6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3" fontId="66" fillId="0" borderId="0" xfId="0" applyNumberFormat="1" applyFont="1" applyFill="1" applyAlignment="1">
      <alignment vertical="center"/>
    </xf>
    <xf numFmtId="0" fontId="69" fillId="0" borderId="10" xfId="0" applyFont="1" applyFill="1" applyBorder="1" applyAlignment="1" applyProtection="1">
      <alignment horizontal="center" vertical="center"/>
      <protection locked="0"/>
    </xf>
    <xf numFmtId="0" fontId="69" fillId="0" borderId="10" xfId="0" applyFont="1" applyFill="1" applyBorder="1" applyAlignment="1" applyProtection="1">
      <alignment horizontal="left" vertical="center"/>
      <protection locked="0"/>
    </xf>
    <xf numFmtId="3" fontId="69" fillId="0" borderId="10" xfId="0" applyNumberFormat="1" applyFont="1" applyFill="1" applyBorder="1" applyAlignment="1" applyProtection="1">
      <alignment horizontal="center" vertical="center"/>
      <protection locked="0"/>
    </xf>
    <xf numFmtId="164" fontId="66" fillId="0" borderId="0" xfId="0" applyNumberFormat="1" applyFont="1" applyFill="1"/>
    <xf numFmtId="0" fontId="66" fillId="0" borderId="10" xfId="0" applyFont="1" applyFill="1" applyBorder="1" applyAlignment="1" applyProtection="1">
      <alignment horizontal="center" vertical="center"/>
      <protection locked="0"/>
    </xf>
    <xf numFmtId="0" fontId="66" fillId="0" borderId="10" xfId="0" applyFont="1" applyFill="1" applyBorder="1" applyAlignment="1" applyProtection="1">
      <alignment horizontal="left" vertical="center" wrapText="1"/>
      <protection locked="0"/>
    </xf>
    <xf numFmtId="3" fontId="6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10" xfId="0" applyFont="1" applyFill="1" applyBorder="1" applyAlignment="1" applyProtection="1">
      <alignment horizontal="left" vertical="center" wrapText="1"/>
      <protection locked="0"/>
    </xf>
    <xf numFmtId="0" fontId="62" fillId="75" borderId="10" xfId="0" applyFont="1" applyFill="1" applyBorder="1" applyAlignment="1">
      <alignment vertical="center"/>
    </xf>
    <xf numFmtId="0" fontId="62" fillId="75" borderId="10" xfId="0" applyFont="1" applyFill="1" applyBorder="1" applyAlignment="1">
      <alignment horizontal="center"/>
    </xf>
    <xf numFmtId="0" fontId="88" fillId="75" borderId="10" xfId="57846" applyFont="1" applyFill="1" applyBorder="1" applyAlignment="1" applyProtection="1">
      <alignment horizontal="right" vertical="center" wrapText="1"/>
      <protection locked="0"/>
    </xf>
    <xf numFmtId="0" fontId="61" fillId="75" borderId="10" xfId="0" applyFont="1" applyFill="1" applyBorder="1" applyAlignment="1">
      <alignment vertical="center"/>
    </xf>
    <xf numFmtId="3" fontId="61" fillId="75" borderId="10" xfId="0" applyNumberFormat="1" applyFont="1" applyFill="1" applyBorder="1" applyAlignment="1">
      <alignment horizontal="center"/>
    </xf>
    <xf numFmtId="0" fontId="61" fillId="75" borderId="0" xfId="0" applyFont="1" applyFill="1"/>
    <xf numFmtId="3" fontId="64" fillId="75" borderId="52" xfId="59252" applyNumberFormat="1" applyFont="1" applyFill="1" applyBorder="1" applyAlignment="1">
      <alignment horizontal="left" vertical="center" wrapText="1"/>
    </xf>
    <xf numFmtId="2" fontId="73" fillId="75" borderId="0" xfId="0" applyNumberFormat="1" applyFont="1" applyFill="1" applyAlignment="1">
      <alignment horizontal="center" vertical="center" wrapText="1"/>
    </xf>
    <xf numFmtId="0" fontId="8" fillId="75" borderId="0" xfId="0" applyFont="1" applyFill="1" applyAlignment="1">
      <alignment horizontal="center" vertical="center" wrapText="1"/>
    </xf>
    <xf numFmtId="0" fontId="64" fillId="75" borderId="10" xfId="0" applyFont="1" applyFill="1" applyBorder="1" applyAlignment="1">
      <alignment horizontal="center" vertical="center" wrapText="1"/>
    </xf>
    <xf numFmtId="0" fontId="64" fillId="75" borderId="10" xfId="0" applyFont="1" applyFill="1" applyBorder="1" applyAlignment="1">
      <alignment horizontal="center"/>
    </xf>
    <xf numFmtId="3" fontId="64" fillId="75" borderId="10" xfId="0" applyNumberFormat="1" applyFont="1" applyFill="1" applyBorder="1" applyAlignment="1">
      <alignment horizontal="center" vertical="center" wrapText="1"/>
    </xf>
    <xf numFmtId="0" fontId="83" fillId="75" borderId="10" xfId="0" applyFont="1" applyFill="1" applyBorder="1" applyAlignment="1">
      <alignment horizontal="center" vertical="center"/>
    </xf>
    <xf numFmtId="0" fontId="83" fillId="75" borderId="10" xfId="0" applyFont="1" applyFill="1" applyBorder="1" applyAlignment="1">
      <alignment horizontal="center" vertical="center" wrapText="1"/>
    </xf>
    <xf numFmtId="0" fontId="69" fillId="75" borderId="26" xfId="57846" applyFont="1" applyFill="1" applyBorder="1" applyAlignment="1">
      <alignment horizontal="center" vertical="center" wrapText="1"/>
    </xf>
    <xf numFmtId="0" fontId="62" fillId="0" borderId="10" xfId="57788" applyFont="1" applyFill="1" applyBorder="1" applyAlignment="1">
      <alignment horizontal="center" vertical="center" wrapText="1"/>
    </xf>
    <xf numFmtId="3" fontId="73" fillId="0" borderId="0" xfId="57788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62" fillId="0" borderId="26" xfId="57788" applyNumberFormat="1" applyFont="1" applyFill="1" applyBorder="1" applyAlignment="1">
      <alignment horizontal="right" vertical="center" wrapText="1"/>
    </xf>
    <xf numFmtId="0" fontId="62" fillId="0" borderId="26" xfId="0" applyFont="1" applyFill="1" applyBorder="1" applyAlignment="1">
      <alignment horizontal="right" vertical="center" wrapText="1"/>
    </xf>
    <xf numFmtId="0" fontId="66" fillId="0" borderId="28" xfId="0" applyFont="1" applyFill="1" applyBorder="1" applyAlignment="1">
      <alignment horizontal="center" vertical="center" wrapText="1"/>
    </xf>
    <xf numFmtId="0" fontId="66" fillId="0" borderId="29" xfId="0" applyFont="1" applyFill="1" applyBorder="1" applyAlignment="1">
      <alignment horizontal="center" vertical="center" wrapText="1"/>
    </xf>
    <xf numFmtId="3" fontId="62" fillId="0" borderId="11" xfId="0" applyNumberFormat="1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62" fillId="0" borderId="11" xfId="57788" applyFont="1" applyFill="1" applyBorder="1" applyAlignment="1">
      <alignment horizontal="center" vertical="center" wrapText="1"/>
    </xf>
    <xf numFmtId="3" fontId="73" fillId="0" borderId="0" xfId="0" applyNumberFormat="1" applyFont="1" applyFill="1" applyAlignment="1">
      <alignment horizontal="center" vertical="center" wrapText="1"/>
    </xf>
    <xf numFmtId="0" fontId="75" fillId="0" borderId="0" xfId="0" applyFont="1" applyFill="1" applyAlignment="1">
      <alignment horizontal="center" vertical="center" wrapText="1"/>
    </xf>
    <xf numFmtId="3" fontId="62" fillId="0" borderId="41" xfId="0" applyNumberFormat="1" applyFont="1" applyFill="1" applyBorder="1" applyAlignment="1">
      <alignment horizontal="center" vertical="center" wrapText="1"/>
    </xf>
    <xf numFmtId="0" fontId="76" fillId="0" borderId="47" xfId="0" applyFont="1" applyFill="1" applyBorder="1" applyAlignment="1">
      <alignment horizontal="center" vertical="center" wrapText="1"/>
    </xf>
    <xf numFmtId="3" fontId="62" fillId="0" borderId="40" xfId="59254" applyNumberFormat="1" applyFont="1" applyFill="1" applyBorder="1" applyAlignment="1">
      <alignment horizontal="center" vertical="center" wrapText="1"/>
    </xf>
    <xf numFmtId="3" fontId="62" fillId="0" borderId="65" xfId="59254" applyNumberFormat="1" applyFont="1" applyFill="1" applyBorder="1" applyAlignment="1">
      <alignment horizontal="center" vertical="center" wrapText="1"/>
    </xf>
    <xf numFmtId="3" fontId="62" fillId="0" borderId="62" xfId="0" applyNumberFormat="1" applyFont="1" applyFill="1" applyBorder="1" applyAlignment="1">
      <alignment horizontal="center" vertical="center"/>
    </xf>
    <xf numFmtId="3" fontId="62" fillId="0" borderId="63" xfId="0" applyNumberFormat="1" applyFont="1" applyFill="1" applyBorder="1" applyAlignment="1">
      <alignment horizontal="center" vertical="center"/>
    </xf>
    <xf numFmtId="3" fontId="62" fillId="0" borderId="64" xfId="0" applyNumberFormat="1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 wrapText="1"/>
    </xf>
    <xf numFmtId="0" fontId="78" fillId="0" borderId="42" xfId="0" applyFont="1" applyFill="1" applyBorder="1" applyAlignment="1">
      <alignment horizontal="center" vertical="center" wrapText="1"/>
    </xf>
    <xf numFmtId="0" fontId="63" fillId="0" borderId="39" xfId="0" applyFont="1" applyFill="1" applyBorder="1" applyAlignment="1">
      <alignment horizontal="center" vertical="center" wrapText="1"/>
    </xf>
    <xf numFmtId="0" fontId="78" fillId="0" borderId="43" xfId="0" applyFont="1" applyFill="1" applyBorder="1" applyAlignment="1">
      <alignment horizontal="center" vertical="center" wrapText="1"/>
    </xf>
    <xf numFmtId="3" fontId="63" fillId="0" borderId="40" xfId="0" applyNumberFormat="1" applyFont="1" applyFill="1" applyBorder="1" applyAlignment="1">
      <alignment horizontal="center" vertical="center" wrapText="1"/>
    </xf>
    <xf numFmtId="0" fontId="78" fillId="0" borderId="40" xfId="0" applyFont="1" applyFill="1" applyBorder="1" applyAlignment="1">
      <alignment horizontal="center" vertical="center" wrapText="1"/>
    </xf>
    <xf numFmtId="3" fontId="63" fillId="0" borderId="70" xfId="0" applyNumberFormat="1" applyFont="1" applyFill="1" applyBorder="1" applyAlignment="1">
      <alignment horizontal="center" vertical="center" wrapText="1"/>
    </xf>
    <xf numFmtId="3" fontId="78" fillId="0" borderId="73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0" fontId="7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63" fillId="0" borderId="71" xfId="0" applyNumberFormat="1" applyFont="1" applyFill="1" applyBorder="1" applyAlignment="1">
      <alignment horizontal="center" vertical="center" wrapText="1"/>
    </xf>
    <xf numFmtId="4" fontId="82" fillId="0" borderId="40" xfId="0" applyNumberFormat="1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62" fillId="0" borderId="62" xfId="0" applyFont="1" applyFill="1" applyBorder="1" applyAlignment="1">
      <alignment horizontal="center" vertical="center" wrapText="1"/>
    </xf>
    <xf numFmtId="0" fontId="62" fillId="0" borderId="66" xfId="0" applyFont="1" applyFill="1" applyBorder="1" applyAlignment="1">
      <alignment horizontal="center" vertical="center" wrapText="1"/>
    </xf>
    <xf numFmtId="0" fontId="62" fillId="0" borderId="7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3" fontId="62" fillId="0" borderId="62" xfId="0" applyNumberFormat="1" applyFont="1" applyFill="1" applyBorder="1" applyAlignment="1">
      <alignment horizontal="center" vertical="center" wrapText="1"/>
    </xf>
    <xf numFmtId="3" fontId="62" fillId="0" borderId="63" xfId="0" applyNumberFormat="1" applyFont="1" applyFill="1" applyBorder="1" applyAlignment="1">
      <alignment horizontal="center" vertical="center" wrapText="1"/>
    </xf>
    <xf numFmtId="3" fontId="62" fillId="0" borderId="64" xfId="0" applyNumberFormat="1" applyFont="1" applyFill="1" applyBorder="1" applyAlignment="1">
      <alignment horizontal="center" vertical="center" wrapText="1"/>
    </xf>
    <xf numFmtId="3" fontId="62" fillId="0" borderId="78" xfId="0" applyNumberFormat="1" applyFont="1" applyFill="1" applyBorder="1" applyAlignment="1">
      <alignment horizontal="center" vertical="center" wrapText="1"/>
    </xf>
    <xf numFmtId="3" fontId="62" fillId="0" borderId="77" xfId="0" applyNumberFormat="1" applyFont="1" applyFill="1" applyBorder="1" applyAlignment="1">
      <alignment horizontal="center" vertical="center" wrapText="1"/>
    </xf>
    <xf numFmtId="3" fontId="62" fillId="0" borderId="79" xfId="0" applyNumberFormat="1" applyFont="1" applyFill="1" applyBorder="1" applyAlignment="1">
      <alignment horizontal="center" vertical="center" wrapText="1"/>
    </xf>
    <xf numFmtId="3" fontId="62" fillId="0" borderId="80" xfId="0" applyNumberFormat="1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8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64" fillId="0" borderId="77" xfId="0" applyFont="1" applyFill="1" applyBorder="1" applyAlignment="1">
      <alignment horizontal="center" vertical="center" wrapText="1"/>
    </xf>
    <xf numFmtId="0" fontId="64" fillId="0" borderId="82" xfId="0" applyFont="1" applyFill="1" applyBorder="1" applyAlignment="1">
      <alignment horizontal="center" vertical="center" wrapText="1"/>
    </xf>
    <xf numFmtId="0" fontId="64" fillId="0" borderId="46" xfId="0" applyFont="1" applyFill="1" applyBorder="1" applyAlignment="1">
      <alignment horizontal="center" vertical="center" wrapText="1"/>
    </xf>
    <xf numFmtId="3" fontId="64" fillId="0" borderId="62" xfId="0" applyNumberFormat="1" applyFont="1" applyFill="1" applyBorder="1" applyAlignment="1">
      <alignment horizontal="center" vertical="center" wrapText="1"/>
    </xf>
    <xf numFmtId="3" fontId="64" fillId="0" borderId="78" xfId="0" applyNumberFormat="1" applyFont="1" applyFill="1" applyBorder="1" applyAlignment="1">
      <alignment horizontal="center" vertical="center" wrapText="1"/>
    </xf>
    <xf numFmtId="3" fontId="64" fillId="0" borderId="63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71" xfId="0" applyNumberFormat="1" applyFont="1" applyFill="1" applyBorder="1" applyAlignment="1">
      <alignment horizontal="center" vertical="center" wrapText="1"/>
    </xf>
    <xf numFmtId="3" fontId="64" fillId="0" borderId="83" xfId="0" applyNumberFormat="1" applyFont="1" applyFill="1" applyBorder="1" applyAlignment="1">
      <alignment horizontal="center" vertical="center" wrapText="1"/>
    </xf>
    <xf numFmtId="3" fontId="64" fillId="0" borderId="86" xfId="0" applyNumberFormat="1" applyFont="1" applyFill="1" applyBorder="1" applyAlignment="1">
      <alignment horizontal="center" vertical="center"/>
    </xf>
    <xf numFmtId="0" fontId="83" fillId="0" borderId="63" xfId="0" applyFont="1" applyFill="1" applyBorder="1" applyAlignment="1">
      <alignment horizontal="center" vertical="center" wrapText="1"/>
    </xf>
    <xf numFmtId="0" fontId="83" fillId="0" borderId="64" xfId="0" applyFont="1" applyFill="1" applyBorder="1" applyAlignment="1">
      <alignment horizontal="center" vertical="center" wrapText="1"/>
    </xf>
    <xf numFmtId="3" fontId="64" fillId="0" borderId="72" xfId="0" applyNumberFormat="1" applyFont="1" applyFill="1" applyBorder="1" applyAlignment="1">
      <alignment horizontal="center" vertical="center" wrapText="1"/>
    </xf>
    <xf numFmtId="3" fontId="64" fillId="0" borderId="84" xfId="0" applyNumberFormat="1" applyFont="1" applyFill="1" applyBorder="1" applyAlignment="1">
      <alignment horizontal="center" vertical="center" wrapText="1"/>
    </xf>
    <xf numFmtId="3" fontId="64" fillId="0" borderId="87" xfId="0" applyNumberFormat="1" applyFont="1" applyFill="1" applyBorder="1" applyAlignment="1">
      <alignment horizontal="center" vertical="center" wrapText="1"/>
    </xf>
    <xf numFmtId="3" fontId="64" fillId="0" borderId="53" xfId="0" applyNumberFormat="1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83" fillId="0" borderId="29" xfId="0" applyFont="1" applyFill="1" applyBorder="1" applyAlignment="1">
      <alignment horizontal="center" vertical="center" wrapText="1"/>
    </xf>
    <xf numFmtId="3" fontId="64" fillId="0" borderId="11" xfId="0" applyNumberFormat="1" applyFont="1" applyFill="1" applyBorder="1" applyAlignment="1">
      <alignment horizontal="center" vertical="center" wrapText="1"/>
    </xf>
    <xf numFmtId="0" fontId="83" fillId="0" borderId="85" xfId="0" applyFont="1" applyFill="1" applyBorder="1" applyAlignment="1">
      <alignment horizontal="center" vertical="center" wrapText="1"/>
    </xf>
    <xf numFmtId="3" fontId="64" fillId="0" borderId="50" xfId="0" applyNumberFormat="1" applyFont="1" applyFill="1" applyBorder="1" applyAlignment="1">
      <alignment horizontal="center" vertical="center" wrapText="1"/>
    </xf>
    <xf numFmtId="0" fontId="83" fillId="0" borderId="43" xfId="0" applyFont="1" applyFill="1" applyBorder="1" applyAlignment="1">
      <alignment horizontal="center" vertical="center" wrapText="1"/>
    </xf>
    <xf numFmtId="3" fontId="64" fillId="0" borderId="36" xfId="0" applyNumberFormat="1" applyFont="1" applyFill="1" applyBorder="1" applyAlignment="1">
      <alignment horizontal="center" vertical="center" wrapText="1"/>
    </xf>
    <xf numFmtId="0" fontId="83" fillId="0" borderId="66" xfId="0" applyFont="1" applyFill="1" applyBorder="1" applyAlignment="1">
      <alignment horizontal="center" vertical="center" wrapText="1"/>
    </xf>
    <xf numFmtId="3" fontId="64" fillId="0" borderId="10" xfId="0" applyNumberFormat="1" applyFont="1" applyFill="1" applyBorder="1" applyAlignment="1">
      <alignment horizontal="center" vertical="center" wrapText="1"/>
    </xf>
    <xf numFmtId="0" fontId="83" fillId="0" borderId="45" xfId="0" applyFont="1" applyFill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83" fillId="0" borderId="67" xfId="0" applyFont="1" applyFill="1" applyBorder="1" applyAlignment="1">
      <alignment horizontal="center" vertical="center" wrapText="1"/>
    </xf>
    <xf numFmtId="3" fontId="70" fillId="0" borderId="10" xfId="0" applyNumberFormat="1" applyFont="1" applyBorder="1" applyAlignment="1">
      <alignment horizontal="center" vertical="center"/>
    </xf>
    <xf numFmtId="3" fontId="70" fillId="0" borderId="10" xfId="0" applyNumberFormat="1" applyFont="1" applyBorder="1" applyAlignment="1">
      <alignment horizontal="center" vertical="center" wrapText="1"/>
    </xf>
    <xf numFmtId="3" fontId="70" fillId="0" borderId="10" xfId="0" applyNumberFormat="1" applyFont="1" applyBorder="1" applyAlignment="1" applyProtection="1">
      <alignment horizontal="center" vertical="center" wrapText="1"/>
      <protection locked="0"/>
    </xf>
    <xf numFmtId="3" fontId="70" fillId="0" borderId="10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 wrapText="1"/>
      <protection locked="0"/>
    </xf>
    <xf numFmtId="0" fontId="70" fillId="0" borderId="11" xfId="0" applyFont="1" applyBorder="1" applyAlignment="1" applyProtection="1">
      <alignment horizontal="center" vertical="center"/>
      <protection locked="0"/>
    </xf>
    <xf numFmtId="0" fontId="70" fillId="0" borderId="30" xfId="0" applyFont="1" applyBorder="1" applyAlignment="1" applyProtection="1">
      <alignment horizontal="center" vertical="center"/>
      <protection locked="0"/>
    </xf>
    <xf numFmtId="0" fontId="70" fillId="0" borderId="12" xfId="0" applyFont="1" applyBorder="1" applyAlignment="1" applyProtection="1">
      <alignment horizontal="center" vertical="center"/>
      <protection locked="0"/>
    </xf>
    <xf numFmtId="3" fontId="72" fillId="0" borderId="27" xfId="0" applyNumberFormat="1" applyFont="1" applyBorder="1" applyAlignment="1" applyProtection="1">
      <alignment horizontal="center" vertical="center"/>
      <protection locked="0"/>
    </xf>
    <xf numFmtId="3" fontId="72" fillId="0" borderId="28" xfId="0" applyNumberFormat="1" applyFont="1" applyBorder="1" applyAlignment="1" applyProtection="1">
      <alignment horizontal="center" vertical="center"/>
      <protection locked="0"/>
    </xf>
    <xf numFmtId="3" fontId="72" fillId="0" borderId="29" xfId="0" applyNumberFormat="1" applyFont="1" applyBorder="1" applyAlignment="1" applyProtection="1">
      <alignment horizontal="center" vertical="center"/>
      <protection locked="0"/>
    </xf>
    <xf numFmtId="3" fontId="72" fillId="0" borderId="10" xfId="0" applyNumberFormat="1" applyFont="1" applyBorder="1" applyAlignment="1">
      <alignment horizontal="center" vertical="center"/>
    </xf>
    <xf numFmtId="3" fontId="70" fillId="0" borderId="11" xfId="0" applyNumberFormat="1" applyFont="1" applyBorder="1" applyAlignment="1" applyProtection="1">
      <alignment horizontal="center" vertical="center" wrapText="1"/>
      <protection locked="0"/>
    </xf>
    <xf numFmtId="3" fontId="70" fillId="0" borderId="12" xfId="0" applyNumberFormat="1" applyFont="1" applyBorder="1" applyAlignment="1" applyProtection="1">
      <alignment horizontal="center" vertical="center" wrapText="1"/>
      <protection locked="0"/>
    </xf>
    <xf numFmtId="3" fontId="70" fillId="0" borderId="11" xfId="0" applyNumberFormat="1" applyFont="1" applyBorder="1" applyAlignment="1">
      <alignment horizontal="center" vertical="center"/>
    </xf>
    <xf numFmtId="3" fontId="70" fillId="0" borderId="30" xfId="0" applyNumberFormat="1" applyFont="1" applyBorder="1" applyAlignment="1">
      <alignment horizontal="center" vertical="center"/>
    </xf>
    <xf numFmtId="3" fontId="70" fillId="0" borderId="12" xfId="0" applyNumberFormat="1" applyFont="1" applyBorder="1" applyAlignment="1">
      <alignment horizontal="center" vertical="center"/>
    </xf>
    <xf numFmtId="3" fontId="70" fillId="0" borderId="27" xfId="0" applyNumberFormat="1" applyFont="1" applyBorder="1" applyAlignment="1">
      <alignment horizontal="center" vertical="center" wrapText="1"/>
    </xf>
    <xf numFmtId="3" fontId="70" fillId="0" borderId="29" xfId="0" applyNumberFormat="1" applyFont="1" applyBorder="1" applyAlignment="1">
      <alignment horizontal="center" vertical="center" wrapText="1"/>
    </xf>
    <xf numFmtId="3" fontId="70" fillId="0" borderId="34" xfId="0" applyNumberFormat="1" applyFont="1" applyBorder="1" applyAlignment="1">
      <alignment horizontal="center" vertical="center" wrapText="1"/>
    </xf>
    <xf numFmtId="3" fontId="70" fillId="0" borderId="33" xfId="0" applyNumberFormat="1" applyFont="1" applyBorder="1" applyAlignment="1">
      <alignment horizontal="center" vertical="center" wrapText="1"/>
    </xf>
    <xf numFmtId="3" fontId="70" fillId="0" borderId="31" xfId="0" applyNumberFormat="1" applyFont="1" applyBorder="1" applyAlignment="1">
      <alignment horizontal="center" vertical="center" wrapText="1"/>
    </xf>
    <xf numFmtId="3" fontId="70" fillId="0" borderId="35" xfId="0" applyNumberFormat="1" applyFont="1" applyBorder="1" applyAlignment="1">
      <alignment horizontal="center" vertical="center" wrapText="1"/>
    </xf>
    <xf numFmtId="3" fontId="70" fillId="0" borderId="26" xfId="0" applyNumberFormat="1" applyFont="1" applyBorder="1" applyAlignment="1">
      <alignment horizontal="center" vertical="center" wrapText="1"/>
    </xf>
    <xf numFmtId="3" fontId="70" fillId="0" borderId="32" xfId="0" applyNumberFormat="1" applyFont="1" applyBorder="1" applyAlignment="1">
      <alignment horizontal="center" vertical="center" wrapText="1"/>
    </xf>
    <xf numFmtId="3" fontId="71" fillId="0" borderId="11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63" fillId="75" borderId="10" xfId="59248" applyNumberFormat="1" applyFont="1" applyFill="1" applyBorder="1" applyAlignment="1">
      <alignment horizontal="center" vertical="center" wrapText="1"/>
    </xf>
    <xf numFmtId="0" fontId="61" fillId="75" borderId="0" xfId="59247" applyFont="1" applyFill="1" applyAlignment="1">
      <alignment horizontal="center" vertical="center" wrapText="1"/>
    </xf>
    <xf numFmtId="0" fontId="62" fillId="75" borderId="0" xfId="59247" applyFont="1" applyFill="1" applyAlignment="1">
      <alignment wrapText="1"/>
    </xf>
    <xf numFmtId="0" fontId="63" fillId="75" borderId="11" xfId="59247" applyFont="1" applyFill="1" applyBorder="1" applyAlignment="1">
      <alignment horizontal="center" vertical="center" wrapText="1"/>
    </xf>
    <xf numFmtId="0" fontId="63" fillId="75" borderId="30" xfId="59247" applyFont="1" applyFill="1" applyBorder="1" applyAlignment="1">
      <alignment horizontal="center" vertical="center" wrapText="1"/>
    </xf>
    <xf numFmtId="0" fontId="63" fillId="75" borderId="12" xfId="59247" applyFont="1" applyFill="1" applyBorder="1" applyAlignment="1">
      <alignment horizontal="center" vertical="center" wrapText="1"/>
    </xf>
    <xf numFmtId="3" fontId="63" fillId="75" borderId="27" xfId="59248" applyNumberFormat="1" applyFont="1" applyFill="1" applyBorder="1" applyAlignment="1">
      <alignment horizontal="center" vertical="center" wrapText="1"/>
    </xf>
    <xf numFmtId="3" fontId="63" fillId="75" borderId="28" xfId="59248" applyNumberFormat="1" applyFont="1" applyFill="1" applyBorder="1" applyAlignment="1">
      <alignment horizontal="center" vertical="center" wrapText="1"/>
    </xf>
    <xf numFmtId="3" fontId="63" fillId="75" borderId="29" xfId="59248" applyNumberFormat="1" applyFont="1" applyFill="1" applyBorder="1" applyAlignment="1">
      <alignment horizontal="center" vertical="center" wrapText="1"/>
    </xf>
    <xf numFmtId="3" fontId="63" fillId="75" borderId="11" xfId="59248" applyNumberFormat="1" applyFont="1" applyFill="1" applyBorder="1" applyAlignment="1">
      <alignment horizontal="center" vertical="center" wrapText="1"/>
    </xf>
    <xf numFmtId="3" fontId="63" fillId="75" borderId="30" xfId="59248" applyNumberFormat="1" applyFont="1" applyFill="1" applyBorder="1" applyAlignment="1">
      <alignment horizontal="center" vertical="center" wrapText="1"/>
    </xf>
    <xf numFmtId="3" fontId="63" fillId="75" borderId="12" xfId="59248" applyNumberFormat="1" applyFont="1" applyFill="1" applyBorder="1" applyAlignment="1">
      <alignment horizontal="center" vertical="center" wrapText="1"/>
    </xf>
    <xf numFmtId="0" fontId="62" fillId="75" borderId="11" xfId="59247" applyFont="1" applyFill="1" applyBorder="1" applyAlignment="1">
      <alignment horizontal="center" vertical="center"/>
    </xf>
    <xf numFmtId="0" fontId="62" fillId="75" borderId="12" xfId="59247" applyFont="1" applyFill="1" applyBorder="1" applyAlignment="1">
      <alignment horizontal="center" vertical="center"/>
    </xf>
    <xf numFmtId="0" fontId="62" fillId="75" borderId="30" xfId="59247" applyFont="1" applyFill="1" applyBorder="1" applyAlignment="1">
      <alignment horizontal="center" vertical="center"/>
    </xf>
    <xf numFmtId="3" fontId="98" fillId="75" borderId="11" xfId="0" applyNumberFormat="1" applyFont="1" applyFill="1" applyBorder="1" applyAlignment="1">
      <alignment horizontal="center" vertical="center" wrapText="1"/>
    </xf>
    <xf numFmtId="3" fontId="98" fillId="75" borderId="12" xfId="0" applyNumberFormat="1" applyFont="1" applyFill="1" applyBorder="1" applyAlignment="1">
      <alignment horizontal="center" vertical="center" wrapText="1"/>
    </xf>
    <xf numFmtId="3" fontId="95" fillId="75" borderId="0" xfId="0" applyNumberFormat="1" applyFont="1" applyFill="1" applyAlignment="1">
      <alignment horizontal="center" vertical="center" wrapText="1"/>
    </xf>
    <xf numFmtId="3" fontId="98" fillId="75" borderId="10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65" fillId="0" borderId="10" xfId="57572" applyFont="1" applyFill="1" applyBorder="1" applyAlignment="1">
      <alignment horizontal="center" vertical="center" wrapText="1"/>
    </xf>
    <xf numFmtId="0" fontId="65" fillId="0" borderId="11" xfId="57572" applyFont="1" applyFill="1" applyBorder="1" applyAlignment="1">
      <alignment horizontal="center" vertical="center" wrapText="1"/>
    </xf>
    <xf numFmtId="0" fontId="65" fillId="0" borderId="30" xfId="57572" applyFont="1" applyFill="1" applyBorder="1" applyAlignment="1">
      <alignment horizontal="center" vertical="center" wrapText="1"/>
    </xf>
    <xf numFmtId="0" fontId="65" fillId="0" borderId="12" xfId="57572" applyFont="1" applyFill="1" applyBorder="1" applyAlignment="1">
      <alignment horizontal="center" vertical="center" wrapText="1"/>
    </xf>
    <xf numFmtId="0" fontId="65" fillId="0" borderId="31" xfId="57572" applyFont="1" applyFill="1" applyBorder="1" applyAlignment="1">
      <alignment horizontal="center" vertical="center" wrapText="1"/>
    </xf>
    <xf numFmtId="0" fontId="65" fillId="0" borderId="89" xfId="57572" applyFont="1" applyFill="1" applyBorder="1" applyAlignment="1">
      <alignment horizontal="center" vertical="center" wrapText="1"/>
    </xf>
    <xf numFmtId="0" fontId="65" fillId="0" borderId="32" xfId="57572" applyFont="1" applyFill="1" applyBorder="1" applyAlignment="1">
      <alignment horizontal="center" vertical="center" wrapText="1"/>
    </xf>
    <xf numFmtId="0" fontId="65" fillId="0" borderId="27" xfId="57572" applyFont="1" applyFill="1" applyBorder="1" applyAlignment="1">
      <alignment horizontal="center" vertical="center" wrapText="1"/>
    </xf>
    <xf numFmtId="0" fontId="65" fillId="0" borderId="29" xfId="57572" applyFont="1" applyFill="1" applyBorder="1" applyAlignment="1">
      <alignment horizontal="center" vertical="center" wrapText="1"/>
    </xf>
    <xf numFmtId="0" fontId="62" fillId="0" borderId="11" xfId="57572" applyFont="1" applyFill="1" applyBorder="1" applyAlignment="1">
      <alignment horizontal="center" vertical="center" wrapText="1"/>
    </xf>
    <xf numFmtId="0" fontId="62" fillId="0" borderId="30" xfId="57572" applyFont="1" applyFill="1" applyBorder="1" applyAlignment="1">
      <alignment horizontal="center" vertical="center" wrapText="1"/>
    </xf>
    <xf numFmtId="0" fontId="62" fillId="0" borderId="12" xfId="57572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12" xfId="0" applyFont="1" applyFill="1" applyBorder="1" applyAlignment="1">
      <alignment horizontal="center" vertical="center"/>
    </xf>
    <xf numFmtId="0" fontId="68" fillId="0" borderId="34" xfId="57572" applyFont="1" applyFill="1" applyBorder="1" applyAlignment="1">
      <alignment horizontal="center" vertical="center" wrapText="1"/>
    </xf>
    <xf numFmtId="0" fontId="68" fillId="0" borderId="82" xfId="57572" applyFont="1" applyFill="1" applyBorder="1" applyAlignment="1">
      <alignment horizontal="center" vertical="center" wrapText="1"/>
    </xf>
    <xf numFmtId="0" fontId="68" fillId="0" borderId="35" xfId="57572" applyFont="1" applyFill="1" applyBorder="1" applyAlignment="1">
      <alignment horizontal="center" vertical="center" wrapText="1"/>
    </xf>
    <xf numFmtId="0" fontId="68" fillId="0" borderId="11" xfId="57572" applyFont="1" applyFill="1" applyBorder="1" applyAlignment="1">
      <alignment horizontal="center" vertical="center" wrapText="1"/>
    </xf>
    <xf numFmtId="0" fontId="68" fillId="0" borderId="30" xfId="57572" applyFont="1" applyFill="1" applyBorder="1" applyAlignment="1">
      <alignment horizontal="center" vertical="center" wrapText="1"/>
    </xf>
    <xf numFmtId="0" fontId="68" fillId="0" borderId="12" xfId="57572" applyFont="1" applyFill="1" applyBorder="1" applyAlignment="1">
      <alignment horizontal="center" vertical="center" wrapText="1"/>
    </xf>
    <xf numFmtId="0" fontId="68" fillId="0" borderId="10" xfId="57572" applyFont="1" applyFill="1" applyBorder="1" applyAlignment="1">
      <alignment horizontal="center" vertical="center" wrapText="1"/>
    </xf>
    <xf numFmtId="0" fontId="68" fillId="0" borderId="33" xfId="57572" applyFont="1" applyFill="1" applyBorder="1" applyAlignment="1">
      <alignment horizontal="center" vertical="center" wrapText="1"/>
    </xf>
    <xf numFmtId="0" fontId="68" fillId="0" borderId="31" xfId="57572" applyFont="1" applyFill="1" applyBorder="1" applyAlignment="1">
      <alignment horizontal="center" vertical="center" wrapText="1"/>
    </xf>
    <xf numFmtId="0" fontId="68" fillId="0" borderId="26" xfId="57572" applyFont="1" applyFill="1" applyBorder="1" applyAlignment="1">
      <alignment horizontal="center" vertical="center" wrapText="1"/>
    </xf>
    <xf numFmtId="0" fontId="68" fillId="0" borderId="32" xfId="57572" applyFont="1" applyFill="1" applyBorder="1" applyAlignment="1">
      <alignment horizontal="center" vertical="center" wrapText="1"/>
    </xf>
    <xf numFmtId="0" fontId="68" fillId="0" borderId="27" xfId="57572" applyFont="1" applyFill="1" applyBorder="1" applyAlignment="1">
      <alignment horizontal="center" vertical="center" wrapText="1"/>
    </xf>
    <xf numFmtId="0" fontId="68" fillId="0" borderId="29" xfId="57572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8" fillId="0" borderId="28" xfId="57572" applyFont="1" applyFill="1" applyBorder="1" applyAlignment="1">
      <alignment horizontal="center" vertical="center" wrapText="1"/>
    </xf>
    <xf numFmtId="0" fontId="79" fillId="75" borderId="11" xfId="57580" applyFont="1" applyFill="1" applyBorder="1" applyAlignment="1">
      <alignment horizontal="center" vertical="center" wrapText="1"/>
    </xf>
    <xf numFmtId="0" fontId="65" fillId="75" borderId="10" xfId="57580" applyFont="1" applyFill="1" applyBorder="1" applyAlignment="1">
      <alignment horizontal="center" vertical="center" wrapText="1"/>
    </xf>
    <xf numFmtId="0" fontId="79" fillId="75" borderId="0" xfId="57580" applyFont="1" applyFill="1" applyAlignment="1">
      <alignment horizontal="center" vertical="center" wrapText="1"/>
    </xf>
    <xf numFmtId="0" fontId="65" fillId="0" borderId="10" xfId="0" applyFont="1" applyBorder="1" applyAlignment="1">
      <alignment horizontal="center" vertical="center"/>
    </xf>
    <xf numFmtId="0" fontId="102" fillId="74" borderId="10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66" fillId="0" borderId="0" xfId="0" applyFont="1" applyBorder="1"/>
    <xf numFmtId="0" fontId="65" fillId="0" borderId="10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6" fillId="0" borderId="11" xfId="0" applyFont="1" applyFill="1" applyBorder="1" applyAlignment="1">
      <alignment horizontal="center" vertical="center" wrapText="1"/>
    </xf>
    <xf numFmtId="0" fontId="86" fillId="0" borderId="12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4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5"/>
    <cellStyle name="Обычный 2 2 2 3" xfId="59250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3"/>
    <cellStyle name="Обычный 2 3 3" xfId="59256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7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1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8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9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52"/>
    <cellStyle name="Обычный_Ежемесячный отчет 2004 г." xfId="59249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60"/>
    <cellStyle name="Процентный 3" xfId="58696"/>
    <cellStyle name="Процентный 4" xfId="58697"/>
    <cellStyle name="Процентный 5" xfId="59261"/>
    <cellStyle name="Процентный 6" xfId="59262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57;&#1074;&#1086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изменения об. и ФО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130493</v>
          </cell>
        </row>
        <row r="11">
          <cell r="C11">
            <v>6000</v>
          </cell>
        </row>
        <row r="12">
          <cell r="C12">
            <v>129645</v>
          </cell>
        </row>
        <row r="13">
          <cell r="C13">
            <v>5340</v>
          </cell>
        </row>
        <row r="14">
          <cell r="C14">
            <v>310413</v>
          </cell>
        </row>
        <row r="15">
          <cell r="C15">
            <v>38529</v>
          </cell>
        </row>
        <row r="16">
          <cell r="C16">
            <v>92593</v>
          </cell>
        </row>
        <row r="17">
          <cell r="C17">
            <v>39401</v>
          </cell>
        </row>
        <row r="18">
          <cell r="C18">
            <v>41440</v>
          </cell>
        </row>
        <row r="19">
          <cell r="C19">
            <v>44809</v>
          </cell>
        </row>
        <row r="20">
          <cell r="C20">
            <v>47907</v>
          </cell>
        </row>
        <row r="21">
          <cell r="C21">
            <v>49809</v>
          </cell>
        </row>
        <row r="22">
          <cell r="C22">
            <v>47077</v>
          </cell>
        </row>
        <row r="23">
          <cell r="C23">
            <v>55916</v>
          </cell>
        </row>
        <row r="24">
          <cell r="C24">
            <v>44905</v>
          </cell>
        </row>
        <row r="25">
          <cell r="C25">
            <v>25</v>
          </cell>
        </row>
        <row r="26">
          <cell r="C26">
            <v>134077</v>
          </cell>
        </row>
        <row r="27">
          <cell r="C27">
            <v>9821</v>
          </cell>
        </row>
        <row r="28">
          <cell r="C28">
            <v>112204</v>
          </cell>
        </row>
        <row r="29">
          <cell r="C29">
            <v>234395</v>
          </cell>
        </row>
        <row r="30">
          <cell r="C30">
            <v>147079</v>
          </cell>
        </row>
        <row r="31">
          <cell r="C31">
            <v>33828</v>
          </cell>
        </row>
        <row r="32">
          <cell r="C32">
            <v>60328</v>
          </cell>
        </row>
        <row r="33">
          <cell r="C33">
            <v>82044</v>
          </cell>
        </row>
        <row r="34">
          <cell r="C34">
            <v>33731</v>
          </cell>
        </row>
        <row r="35">
          <cell r="C35">
            <v>28399</v>
          </cell>
        </row>
        <row r="36">
          <cell r="C36">
            <v>67946</v>
          </cell>
        </row>
        <row r="37">
          <cell r="C37">
            <v>107473</v>
          </cell>
        </row>
        <row r="38">
          <cell r="C38">
            <v>109323</v>
          </cell>
        </row>
        <row r="39">
          <cell r="C39">
            <v>64599</v>
          </cell>
        </row>
        <row r="40">
          <cell r="C40">
            <v>98365</v>
          </cell>
        </row>
        <row r="41">
          <cell r="C41">
            <v>1921</v>
          </cell>
        </row>
        <row r="42">
          <cell r="C42">
            <v>249442</v>
          </cell>
        </row>
        <row r="43">
          <cell r="C43">
            <v>12000</v>
          </cell>
        </row>
        <row r="44">
          <cell r="C44">
            <v>10266</v>
          </cell>
        </row>
        <row r="45">
          <cell r="C45">
            <v>126999</v>
          </cell>
        </row>
        <row r="46">
          <cell r="C46">
            <v>116491</v>
          </cell>
        </row>
        <row r="47">
          <cell r="C47">
            <v>22000</v>
          </cell>
        </row>
        <row r="48">
          <cell r="C48">
            <v>16800</v>
          </cell>
        </row>
        <row r="49">
          <cell r="C49">
            <v>11900</v>
          </cell>
        </row>
        <row r="50">
          <cell r="C50">
            <v>139980</v>
          </cell>
        </row>
        <row r="51">
          <cell r="C51">
            <v>49197</v>
          </cell>
        </row>
        <row r="52">
          <cell r="C52">
            <v>180936</v>
          </cell>
        </row>
        <row r="53">
          <cell r="C53">
            <v>167140</v>
          </cell>
        </row>
        <row r="54">
          <cell r="C54">
            <v>51671</v>
          </cell>
        </row>
        <row r="55">
          <cell r="C55">
            <v>63877</v>
          </cell>
        </row>
        <row r="56">
          <cell r="C56">
            <v>59889</v>
          </cell>
        </row>
        <row r="57">
          <cell r="C57">
            <v>38826</v>
          </cell>
        </row>
        <row r="58">
          <cell r="C58">
            <v>67166</v>
          </cell>
        </row>
        <row r="59">
          <cell r="C59">
            <v>31867</v>
          </cell>
        </row>
        <row r="60">
          <cell r="C60">
            <v>9084</v>
          </cell>
        </row>
        <row r="61">
          <cell r="C61">
            <v>18092</v>
          </cell>
        </row>
        <row r="62">
          <cell r="C62">
            <v>273231</v>
          </cell>
        </row>
        <row r="63">
          <cell r="C63">
            <v>188880</v>
          </cell>
        </row>
        <row r="64">
          <cell r="C64">
            <v>246575</v>
          </cell>
        </row>
        <row r="65">
          <cell r="C65">
            <v>11200</v>
          </cell>
        </row>
        <row r="66">
          <cell r="C66">
            <v>76759</v>
          </cell>
        </row>
        <row r="67">
          <cell r="C67">
            <v>55307</v>
          </cell>
        </row>
        <row r="68">
          <cell r="C68">
            <v>42390</v>
          </cell>
        </row>
        <row r="69">
          <cell r="C69">
            <v>64347</v>
          </cell>
        </row>
        <row r="70">
          <cell r="C70">
            <v>50</v>
          </cell>
        </row>
        <row r="71">
          <cell r="C71">
            <v>27174</v>
          </cell>
        </row>
        <row r="72">
          <cell r="C72">
            <v>54069</v>
          </cell>
        </row>
        <row r="73">
          <cell r="C73">
            <v>79067</v>
          </cell>
        </row>
        <row r="74">
          <cell r="C74">
            <v>43028</v>
          </cell>
        </row>
        <row r="75">
          <cell r="C75">
            <v>157</v>
          </cell>
        </row>
        <row r="76">
          <cell r="C76">
            <v>100</v>
          </cell>
        </row>
        <row r="77">
          <cell r="C77">
            <v>25</v>
          </cell>
        </row>
        <row r="78">
          <cell r="C78">
            <v>195871</v>
          </cell>
        </row>
        <row r="79">
          <cell r="C79">
            <v>169216</v>
          </cell>
        </row>
        <row r="80">
          <cell r="C80">
            <v>233874</v>
          </cell>
        </row>
        <row r="81">
          <cell r="C81">
            <v>299669</v>
          </cell>
        </row>
        <row r="82">
          <cell r="C82">
            <v>105540</v>
          </cell>
        </row>
        <row r="83">
          <cell r="C83">
            <v>29413</v>
          </cell>
        </row>
        <row r="84">
          <cell r="C84">
            <v>31369</v>
          </cell>
        </row>
        <row r="85">
          <cell r="C85">
            <v>70628</v>
          </cell>
        </row>
        <row r="86">
          <cell r="C86">
            <v>59637</v>
          </cell>
        </row>
        <row r="87">
          <cell r="C87">
            <v>40734</v>
          </cell>
        </row>
        <row r="88">
          <cell r="C88">
            <v>57259</v>
          </cell>
        </row>
        <row r="89">
          <cell r="C89">
            <v>105006</v>
          </cell>
        </row>
        <row r="90">
          <cell r="C90">
            <v>53345</v>
          </cell>
        </row>
        <row r="91">
          <cell r="C91">
            <v>64267</v>
          </cell>
        </row>
        <row r="92">
          <cell r="C92">
            <v>26031</v>
          </cell>
        </row>
        <row r="93">
          <cell r="C93">
            <v>107570</v>
          </cell>
        </row>
        <row r="94">
          <cell r="C94">
            <v>34619</v>
          </cell>
        </row>
        <row r="95">
          <cell r="C95">
            <v>33951</v>
          </cell>
        </row>
        <row r="96">
          <cell r="C96">
            <v>3111</v>
          </cell>
        </row>
        <row r="97">
          <cell r="C97">
            <v>3578</v>
          </cell>
        </row>
        <row r="98">
          <cell r="C98">
            <v>4126</v>
          </cell>
        </row>
        <row r="99">
          <cell r="C99">
            <v>3480</v>
          </cell>
        </row>
        <row r="100">
          <cell r="C100">
            <v>13472</v>
          </cell>
        </row>
        <row r="101">
          <cell r="C101">
            <v>3172</v>
          </cell>
        </row>
        <row r="102">
          <cell r="C102">
            <v>2676</v>
          </cell>
        </row>
        <row r="103">
          <cell r="C103">
            <v>179088</v>
          </cell>
        </row>
        <row r="104">
          <cell r="C104">
            <v>71113</v>
          </cell>
        </row>
        <row r="105">
          <cell r="C105">
            <v>54614</v>
          </cell>
        </row>
        <row r="106">
          <cell r="C106">
            <v>29767</v>
          </cell>
        </row>
        <row r="107">
          <cell r="C107">
            <v>28113</v>
          </cell>
        </row>
        <row r="108">
          <cell r="C108">
            <v>4084</v>
          </cell>
        </row>
        <row r="109">
          <cell r="C109">
            <v>20418</v>
          </cell>
        </row>
        <row r="110">
          <cell r="C110">
            <v>170336</v>
          </cell>
        </row>
        <row r="111">
          <cell r="C111">
            <v>179238</v>
          </cell>
        </row>
        <row r="112">
          <cell r="C112">
            <v>78761</v>
          </cell>
        </row>
        <row r="113">
          <cell r="C113">
            <v>45026</v>
          </cell>
        </row>
        <row r="114">
          <cell r="C114">
            <v>21167</v>
          </cell>
        </row>
        <row r="115">
          <cell r="C115">
            <v>3600</v>
          </cell>
        </row>
        <row r="116">
          <cell r="C116">
            <v>8400</v>
          </cell>
        </row>
        <row r="117">
          <cell r="C117">
            <v>5799</v>
          </cell>
        </row>
        <row r="118">
          <cell r="C118">
            <v>35440</v>
          </cell>
        </row>
        <row r="119">
          <cell r="C119">
            <v>36623</v>
          </cell>
        </row>
        <row r="120">
          <cell r="C120">
            <v>98709</v>
          </cell>
        </row>
        <row r="121">
          <cell r="C121">
            <v>44558</v>
          </cell>
        </row>
        <row r="122">
          <cell r="C122">
            <v>56224</v>
          </cell>
        </row>
        <row r="123">
          <cell r="C123">
            <v>50</v>
          </cell>
        </row>
        <row r="124">
          <cell r="C124">
            <v>104876</v>
          </cell>
        </row>
        <row r="125">
          <cell r="C125">
            <v>95743</v>
          </cell>
        </row>
        <row r="126">
          <cell r="C126">
            <v>33037</v>
          </cell>
        </row>
        <row r="127">
          <cell r="C127">
            <v>52401</v>
          </cell>
        </row>
        <row r="128">
          <cell r="C128">
            <v>50542</v>
          </cell>
        </row>
        <row r="129">
          <cell r="C129">
            <v>70086</v>
          </cell>
        </row>
        <row r="130">
          <cell r="C130">
            <v>38132</v>
          </cell>
        </row>
        <row r="131">
          <cell r="C131">
            <v>57795</v>
          </cell>
        </row>
        <row r="132">
          <cell r="C132">
            <v>96968</v>
          </cell>
        </row>
        <row r="133">
          <cell r="C133">
            <v>45620</v>
          </cell>
        </row>
        <row r="134">
          <cell r="C134">
            <v>35151</v>
          </cell>
        </row>
        <row r="135">
          <cell r="C135">
            <v>0</v>
          </cell>
        </row>
        <row r="136">
          <cell r="C136">
            <v>100</v>
          </cell>
        </row>
        <row r="137">
          <cell r="C137">
            <v>75</v>
          </cell>
        </row>
        <row r="138">
          <cell r="C138">
            <v>265</v>
          </cell>
        </row>
        <row r="139">
          <cell r="C139">
            <v>32</v>
          </cell>
        </row>
        <row r="140">
          <cell r="C140">
            <v>32</v>
          </cell>
        </row>
        <row r="141">
          <cell r="C141">
            <v>32</v>
          </cell>
        </row>
        <row r="142">
          <cell r="C142">
            <v>217195</v>
          </cell>
        </row>
        <row r="143">
          <cell r="C143">
            <v>130000</v>
          </cell>
        </row>
        <row r="144">
          <cell r="C144">
            <v>85000</v>
          </cell>
        </row>
        <row r="145">
          <cell r="C145">
            <v>113400</v>
          </cell>
        </row>
        <row r="146">
          <cell r="C146">
            <v>8000</v>
          </cell>
        </row>
        <row r="147">
          <cell r="C147">
            <v>65356</v>
          </cell>
        </row>
        <row r="148">
          <cell r="C148">
            <v>57642</v>
          </cell>
        </row>
        <row r="149">
          <cell r="C149">
            <v>128000</v>
          </cell>
        </row>
        <row r="150">
          <cell r="C150">
            <v>20188</v>
          </cell>
        </row>
        <row r="151">
          <cell r="C151">
            <v>57392</v>
          </cell>
        </row>
        <row r="152">
          <cell r="C152">
            <v>1009</v>
          </cell>
        </row>
        <row r="153">
          <cell r="C153">
            <v>70792</v>
          </cell>
        </row>
        <row r="154">
          <cell r="C154">
            <v>148668</v>
          </cell>
        </row>
        <row r="155">
          <cell r="C155">
            <v>3000</v>
          </cell>
        </row>
        <row r="156">
          <cell r="C156">
            <v>9830</v>
          </cell>
        </row>
        <row r="157">
          <cell r="C157">
            <v>26480</v>
          </cell>
        </row>
        <row r="158">
          <cell r="C158">
            <v>10080</v>
          </cell>
        </row>
        <row r="159">
          <cell r="C159">
            <v>5480</v>
          </cell>
        </row>
        <row r="160">
          <cell r="C160">
            <v>2600</v>
          </cell>
        </row>
        <row r="161">
          <cell r="C161">
            <v>640</v>
          </cell>
        </row>
        <row r="162">
          <cell r="C162">
            <v>271120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90" zoomScaleNormal="90" workbookViewId="0">
      <pane xSplit="2" ySplit="5" topLeftCell="C82" activePane="bottomRight" state="frozen"/>
      <selection pane="topRight" activeCell="C1" sqref="C1"/>
      <selection pane="bottomLeft" activeCell="A5" sqref="A5"/>
      <selection pane="bottomRight" activeCell="A51" sqref="A51:A115"/>
    </sheetView>
  </sheetViews>
  <sheetFormatPr defaultRowHeight="12.75" x14ac:dyDescent="0.2"/>
  <cols>
    <col min="1" max="1" width="4.42578125" style="252" customWidth="1"/>
    <col min="2" max="2" width="32.28515625" style="238" customWidth="1"/>
    <col min="3" max="3" width="10.42578125" style="238" customWidth="1"/>
    <col min="4" max="4" width="7.28515625" style="240" customWidth="1"/>
    <col min="5" max="5" width="11.140625" style="240" customWidth="1"/>
    <col min="6" max="6" width="10.28515625" style="240" customWidth="1"/>
    <col min="7" max="7" width="12.85546875" style="240" customWidth="1"/>
    <col min="8" max="8" width="12.42578125" style="240" customWidth="1"/>
    <col min="9" max="9" width="10.85546875" style="240" customWidth="1"/>
    <col min="10" max="16384" width="9.140625" style="238"/>
  </cols>
  <sheetData>
    <row r="1" spans="1:9" ht="24.75" customHeight="1" x14ac:dyDescent="0.2">
      <c r="A1" s="426" t="s">
        <v>451</v>
      </c>
      <c r="B1" s="427"/>
      <c r="C1" s="427"/>
      <c r="D1" s="427"/>
      <c r="E1" s="427"/>
      <c r="F1" s="427"/>
      <c r="G1" s="427"/>
      <c r="H1" s="427"/>
      <c r="I1" s="427"/>
    </row>
    <row r="2" spans="1:9" ht="9.75" customHeight="1" x14ac:dyDescent="0.2">
      <c r="A2" s="239"/>
      <c r="F2" s="241"/>
      <c r="G2" s="241"/>
      <c r="H2" s="241"/>
      <c r="I2" s="241"/>
    </row>
    <row r="3" spans="1:9" s="242" customFormat="1" ht="9" customHeight="1" x14ac:dyDescent="0.2">
      <c r="A3" s="428" t="s">
        <v>0</v>
      </c>
      <c r="B3" s="428" t="s">
        <v>175</v>
      </c>
      <c r="C3" s="429" t="s">
        <v>452</v>
      </c>
      <c r="D3" s="429"/>
      <c r="E3" s="429"/>
      <c r="F3" s="429"/>
      <c r="G3" s="429"/>
      <c r="H3" s="429"/>
      <c r="I3" s="429"/>
    </row>
    <row r="4" spans="1:9" s="242" customFormat="1" ht="15" customHeight="1" x14ac:dyDescent="0.2">
      <c r="A4" s="428"/>
      <c r="B4" s="428"/>
      <c r="C4" s="428" t="s">
        <v>176</v>
      </c>
      <c r="D4" s="430" t="s">
        <v>453</v>
      </c>
      <c r="E4" s="243" t="s">
        <v>454</v>
      </c>
      <c r="F4" s="430" t="s">
        <v>177</v>
      </c>
      <c r="G4" s="430" t="s">
        <v>454</v>
      </c>
      <c r="H4" s="432"/>
      <c r="I4" s="430" t="s">
        <v>455</v>
      </c>
    </row>
    <row r="5" spans="1:9" s="244" customFormat="1" ht="40.5" customHeight="1" x14ac:dyDescent="0.25">
      <c r="A5" s="428"/>
      <c r="B5" s="428"/>
      <c r="C5" s="428"/>
      <c r="D5" s="431"/>
      <c r="E5" s="243" t="s">
        <v>456</v>
      </c>
      <c r="F5" s="432"/>
      <c r="G5" s="243" t="s">
        <v>457</v>
      </c>
      <c r="H5" s="243" t="s">
        <v>456</v>
      </c>
      <c r="I5" s="432"/>
    </row>
    <row r="6" spans="1:9" x14ac:dyDescent="0.2">
      <c r="A6" s="245">
        <v>1</v>
      </c>
      <c r="B6" s="245">
        <v>2</v>
      </c>
      <c r="C6" s="245">
        <v>3</v>
      </c>
      <c r="D6" s="245">
        <v>4</v>
      </c>
      <c r="E6" s="245">
        <v>5</v>
      </c>
      <c r="F6" s="245">
        <v>6</v>
      </c>
      <c r="G6" s="245">
        <v>7</v>
      </c>
      <c r="H6" s="245">
        <v>8</v>
      </c>
      <c r="I6" s="245">
        <v>9</v>
      </c>
    </row>
    <row r="7" spans="1:9" x14ac:dyDescent="0.2">
      <c r="A7" s="246">
        <v>1</v>
      </c>
      <c r="B7" s="247" t="s">
        <v>110</v>
      </c>
      <c r="C7" s="248">
        <f>D7+F7+I7</f>
        <v>755</v>
      </c>
      <c r="D7" s="248"/>
      <c r="E7" s="248"/>
      <c r="F7" s="248">
        <v>755</v>
      </c>
      <c r="G7" s="248"/>
      <c r="H7" s="248"/>
      <c r="I7" s="248"/>
    </row>
    <row r="8" spans="1:9" x14ac:dyDescent="0.2">
      <c r="A8" s="246">
        <v>2</v>
      </c>
      <c r="B8" s="247" t="s">
        <v>108</v>
      </c>
      <c r="C8" s="248">
        <f>D8+F8+I8</f>
        <v>729</v>
      </c>
      <c r="D8" s="248"/>
      <c r="E8" s="248"/>
      <c r="F8" s="248">
        <v>729</v>
      </c>
      <c r="G8" s="248"/>
      <c r="H8" s="248"/>
      <c r="I8" s="248"/>
    </row>
    <row r="9" spans="1:9" x14ac:dyDescent="0.2">
      <c r="A9" s="246">
        <v>3</v>
      </c>
      <c r="B9" s="247" t="s">
        <v>49</v>
      </c>
      <c r="C9" s="248">
        <f t="shared" ref="C9:C72" si="0">D9+F9+I9</f>
        <v>3219</v>
      </c>
      <c r="D9" s="248"/>
      <c r="E9" s="248"/>
      <c r="F9" s="248">
        <v>3219</v>
      </c>
      <c r="G9" s="248"/>
      <c r="H9" s="248"/>
      <c r="I9" s="248"/>
    </row>
    <row r="10" spans="1:9" x14ac:dyDescent="0.2">
      <c r="A10" s="246">
        <v>4</v>
      </c>
      <c r="B10" s="247" t="s">
        <v>3</v>
      </c>
      <c r="C10" s="248">
        <f t="shared" si="0"/>
        <v>1945</v>
      </c>
      <c r="D10" s="248"/>
      <c r="E10" s="248"/>
      <c r="F10" s="248">
        <v>1945</v>
      </c>
      <c r="G10" s="248"/>
      <c r="H10" s="248"/>
      <c r="I10" s="248"/>
    </row>
    <row r="11" spans="1:9" ht="12.75" customHeight="1" x14ac:dyDescent="0.2">
      <c r="A11" s="246">
        <v>5</v>
      </c>
      <c r="B11" s="247" t="s">
        <v>1</v>
      </c>
      <c r="C11" s="248">
        <f t="shared" si="0"/>
        <v>4277</v>
      </c>
      <c r="D11" s="248"/>
      <c r="E11" s="248"/>
      <c r="F11" s="248">
        <v>4277</v>
      </c>
      <c r="G11" s="248"/>
      <c r="H11" s="248"/>
      <c r="I11" s="248"/>
    </row>
    <row r="12" spans="1:9" x14ac:dyDescent="0.2">
      <c r="A12" s="246">
        <v>6</v>
      </c>
      <c r="B12" s="247" t="s">
        <v>4</v>
      </c>
      <c r="C12" s="248">
        <f t="shared" si="0"/>
        <v>2357</v>
      </c>
      <c r="D12" s="248"/>
      <c r="E12" s="248"/>
      <c r="F12" s="248">
        <v>2357</v>
      </c>
      <c r="G12" s="248"/>
      <c r="H12" s="248"/>
      <c r="I12" s="248"/>
    </row>
    <row r="13" spans="1:9" x14ac:dyDescent="0.2">
      <c r="A13" s="246">
        <v>7</v>
      </c>
      <c r="B13" s="247" t="s">
        <v>6</v>
      </c>
      <c r="C13" s="248">
        <f t="shared" si="0"/>
        <v>6602</v>
      </c>
      <c r="D13" s="248"/>
      <c r="E13" s="248"/>
      <c r="F13" s="248">
        <v>6602</v>
      </c>
      <c r="G13" s="248"/>
      <c r="H13" s="248">
        <f>5-5</f>
        <v>0</v>
      </c>
      <c r="I13" s="248"/>
    </row>
    <row r="14" spans="1:9" x14ac:dyDescent="0.2">
      <c r="A14" s="246">
        <v>8</v>
      </c>
      <c r="B14" s="247" t="s">
        <v>7</v>
      </c>
      <c r="C14" s="248">
        <f t="shared" si="0"/>
        <v>3102</v>
      </c>
      <c r="D14" s="248"/>
      <c r="E14" s="248"/>
      <c r="F14" s="248">
        <v>3102</v>
      </c>
      <c r="G14" s="248"/>
      <c r="H14" s="248">
        <f>4-4</f>
        <v>0</v>
      </c>
      <c r="I14" s="248"/>
    </row>
    <row r="15" spans="1:9" x14ac:dyDescent="0.2">
      <c r="A15" s="246">
        <v>9</v>
      </c>
      <c r="B15" s="247" t="s">
        <v>8</v>
      </c>
      <c r="C15" s="248">
        <f t="shared" si="0"/>
        <v>1898</v>
      </c>
      <c r="D15" s="248"/>
      <c r="E15" s="248"/>
      <c r="F15" s="248">
        <v>1898</v>
      </c>
      <c r="G15" s="248"/>
      <c r="H15" s="248">
        <v>3</v>
      </c>
      <c r="I15" s="248"/>
    </row>
    <row r="16" spans="1:9" x14ac:dyDescent="0.2">
      <c r="A16" s="246">
        <v>10</v>
      </c>
      <c r="B16" s="247" t="s">
        <v>10</v>
      </c>
      <c r="C16" s="248">
        <f t="shared" si="0"/>
        <v>2218</v>
      </c>
      <c r="D16" s="248"/>
      <c r="E16" s="248"/>
      <c r="F16" s="248">
        <v>2218</v>
      </c>
      <c r="G16" s="248"/>
      <c r="H16" s="248">
        <f>3-3</f>
        <v>0</v>
      </c>
      <c r="I16" s="248"/>
    </row>
    <row r="17" spans="1:9" x14ac:dyDescent="0.2">
      <c r="A17" s="246">
        <v>11</v>
      </c>
      <c r="B17" s="247" t="s">
        <v>12</v>
      </c>
      <c r="C17" s="248">
        <f t="shared" si="0"/>
        <v>2399</v>
      </c>
      <c r="D17" s="248"/>
      <c r="E17" s="248"/>
      <c r="F17" s="248">
        <v>2399</v>
      </c>
      <c r="G17" s="248"/>
      <c r="H17" s="248">
        <f>3-3</f>
        <v>0</v>
      </c>
      <c r="I17" s="248"/>
    </row>
    <row r="18" spans="1:9" x14ac:dyDescent="0.2">
      <c r="A18" s="246">
        <v>12</v>
      </c>
      <c r="B18" s="247" t="s">
        <v>15</v>
      </c>
      <c r="C18" s="248">
        <f t="shared" si="0"/>
        <v>5371</v>
      </c>
      <c r="D18" s="248"/>
      <c r="E18" s="248"/>
      <c r="F18" s="248">
        <v>5371</v>
      </c>
      <c r="G18" s="248"/>
      <c r="H18" s="248"/>
      <c r="I18" s="248"/>
    </row>
    <row r="19" spans="1:9" x14ac:dyDescent="0.2">
      <c r="A19" s="246">
        <v>13</v>
      </c>
      <c r="B19" s="247" t="s">
        <v>39</v>
      </c>
      <c r="C19" s="248">
        <f t="shared" si="0"/>
        <v>2705</v>
      </c>
      <c r="D19" s="248"/>
      <c r="E19" s="248"/>
      <c r="F19" s="248">
        <v>2705</v>
      </c>
      <c r="G19" s="248"/>
      <c r="H19" s="248">
        <f>2-2</f>
        <v>0</v>
      </c>
      <c r="I19" s="248"/>
    </row>
    <row r="20" spans="1:9" x14ac:dyDescent="0.2">
      <c r="A20" s="246">
        <v>14</v>
      </c>
      <c r="B20" s="247" t="s">
        <v>16</v>
      </c>
      <c r="C20" s="248">
        <f t="shared" si="0"/>
        <v>3674</v>
      </c>
      <c r="D20" s="248"/>
      <c r="E20" s="248"/>
      <c r="F20" s="248">
        <v>3674</v>
      </c>
      <c r="G20" s="248"/>
      <c r="H20" s="248">
        <v>12</v>
      </c>
      <c r="I20" s="248"/>
    </row>
    <row r="21" spans="1:9" x14ac:dyDescent="0.2">
      <c r="A21" s="246">
        <v>15</v>
      </c>
      <c r="B21" s="247" t="s">
        <v>17</v>
      </c>
      <c r="C21" s="248">
        <f t="shared" si="0"/>
        <v>2099</v>
      </c>
      <c r="D21" s="248"/>
      <c r="E21" s="248"/>
      <c r="F21" s="248">
        <v>2099</v>
      </c>
      <c r="G21" s="248"/>
      <c r="H21" s="248">
        <v>5</v>
      </c>
      <c r="I21" s="248"/>
    </row>
    <row r="22" spans="1:9" x14ac:dyDescent="0.2">
      <c r="A22" s="246">
        <v>16</v>
      </c>
      <c r="B22" s="247" t="s">
        <v>18</v>
      </c>
      <c r="C22" s="248">
        <f t="shared" si="0"/>
        <v>1734</v>
      </c>
      <c r="D22" s="248"/>
      <c r="E22" s="248"/>
      <c r="F22" s="248">
        <v>1734</v>
      </c>
      <c r="G22" s="248"/>
      <c r="H22" s="248"/>
      <c r="I22" s="248"/>
    </row>
    <row r="23" spans="1:9" ht="13.5" customHeight="1" x14ac:dyDescent="0.2">
      <c r="A23" s="246">
        <v>17</v>
      </c>
      <c r="B23" s="247" t="s">
        <v>45</v>
      </c>
      <c r="C23" s="248">
        <f t="shared" si="0"/>
        <v>2530</v>
      </c>
      <c r="D23" s="248"/>
      <c r="E23" s="248"/>
      <c r="F23" s="248">
        <v>2530</v>
      </c>
      <c r="G23" s="248"/>
      <c r="H23" s="248"/>
      <c r="I23" s="248"/>
    </row>
    <row r="24" spans="1:9" x14ac:dyDescent="0.2">
      <c r="A24" s="246">
        <v>18</v>
      </c>
      <c r="B24" s="247" t="s">
        <v>28</v>
      </c>
      <c r="C24" s="248">
        <f t="shared" si="0"/>
        <v>3643</v>
      </c>
      <c r="D24" s="248"/>
      <c r="E24" s="248"/>
      <c r="F24" s="248">
        <v>3643</v>
      </c>
      <c r="G24" s="248"/>
      <c r="H24" s="248"/>
      <c r="I24" s="248"/>
    </row>
    <row r="25" spans="1:9" x14ac:dyDescent="0.2">
      <c r="A25" s="246">
        <v>19</v>
      </c>
      <c r="B25" s="247" t="s">
        <v>20</v>
      </c>
      <c r="C25" s="248">
        <f t="shared" si="0"/>
        <v>4448</v>
      </c>
      <c r="D25" s="248"/>
      <c r="E25" s="248"/>
      <c r="F25" s="248">
        <v>4448</v>
      </c>
      <c r="G25" s="248"/>
      <c r="H25" s="248"/>
      <c r="I25" s="248"/>
    </row>
    <row r="26" spans="1:9" x14ac:dyDescent="0.2">
      <c r="A26" s="246">
        <v>20</v>
      </c>
      <c r="B26" s="247" t="s">
        <v>24</v>
      </c>
      <c r="C26" s="248">
        <f t="shared" si="0"/>
        <v>1644</v>
      </c>
      <c r="D26" s="248"/>
      <c r="E26" s="248"/>
      <c r="F26" s="248">
        <v>1644</v>
      </c>
      <c r="G26" s="248"/>
      <c r="H26" s="248"/>
      <c r="I26" s="248"/>
    </row>
    <row r="27" spans="1:9" x14ac:dyDescent="0.2">
      <c r="A27" s="246">
        <v>21</v>
      </c>
      <c r="B27" s="247" t="s">
        <v>26</v>
      </c>
      <c r="C27" s="248">
        <f t="shared" si="0"/>
        <v>1669</v>
      </c>
      <c r="D27" s="248"/>
      <c r="E27" s="248"/>
      <c r="F27" s="248">
        <v>1669</v>
      </c>
      <c r="G27" s="248"/>
      <c r="H27" s="248"/>
      <c r="I27" s="248"/>
    </row>
    <row r="28" spans="1:9" x14ac:dyDescent="0.2">
      <c r="A28" s="246">
        <v>22</v>
      </c>
      <c r="B28" s="247" t="s">
        <v>27</v>
      </c>
      <c r="C28" s="248">
        <f t="shared" si="0"/>
        <v>3566</v>
      </c>
      <c r="D28" s="248"/>
      <c r="E28" s="248"/>
      <c r="F28" s="248">
        <v>3566</v>
      </c>
      <c r="G28" s="248"/>
      <c r="H28" s="248"/>
      <c r="I28" s="248"/>
    </row>
    <row r="29" spans="1:9" x14ac:dyDescent="0.2">
      <c r="A29" s="246">
        <v>23</v>
      </c>
      <c r="B29" s="247" t="s">
        <v>25</v>
      </c>
      <c r="C29" s="248">
        <f t="shared" si="0"/>
        <v>3030</v>
      </c>
      <c r="D29" s="248"/>
      <c r="E29" s="248"/>
      <c r="F29" s="248">
        <v>3030</v>
      </c>
      <c r="G29" s="248"/>
      <c r="H29" s="248"/>
      <c r="I29" s="248"/>
    </row>
    <row r="30" spans="1:9" x14ac:dyDescent="0.2">
      <c r="A30" s="246">
        <v>24</v>
      </c>
      <c r="B30" s="247" t="s">
        <v>30</v>
      </c>
      <c r="C30" s="248">
        <f t="shared" si="0"/>
        <v>2068</v>
      </c>
      <c r="D30" s="248"/>
      <c r="E30" s="248"/>
      <c r="F30" s="248">
        <v>2068</v>
      </c>
      <c r="G30" s="248"/>
      <c r="H30" s="248"/>
      <c r="I30" s="248"/>
    </row>
    <row r="31" spans="1:9" x14ac:dyDescent="0.2">
      <c r="A31" s="246">
        <v>25</v>
      </c>
      <c r="B31" s="247" t="s">
        <v>31</v>
      </c>
      <c r="C31" s="248">
        <f t="shared" si="0"/>
        <v>3046</v>
      </c>
      <c r="D31" s="248"/>
      <c r="E31" s="248"/>
      <c r="F31" s="248">
        <v>3046</v>
      </c>
      <c r="G31" s="248"/>
      <c r="H31" s="248"/>
      <c r="I31" s="248"/>
    </row>
    <row r="32" spans="1:9" ht="14.25" customHeight="1" x14ac:dyDescent="0.2">
      <c r="A32" s="246">
        <v>26</v>
      </c>
      <c r="B32" s="247" t="s">
        <v>32</v>
      </c>
      <c r="C32" s="248">
        <f t="shared" si="0"/>
        <v>4716</v>
      </c>
      <c r="D32" s="248"/>
      <c r="E32" s="248"/>
      <c r="F32" s="248">
        <v>4716</v>
      </c>
      <c r="G32" s="248"/>
      <c r="H32" s="248"/>
      <c r="I32" s="248"/>
    </row>
    <row r="33" spans="1:9" ht="14.25" customHeight="1" x14ac:dyDescent="0.2">
      <c r="A33" s="246">
        <v>27</v>
      </c>
      <c r="B33" s="247" t="s">
        <v>33</v>
      </c>
      <c r="C33" s="248">
        <f t="shared" si="0"/>
        <v>1736</v>
      </c>
      <c r="D33" s="248"/>
      <c r="E33" s="248"/>
      <c r="F33" s="248">
        <v>1736</v>
      </c>
      <c r="G33" s="248"/>
      <c r="H33" s="248"/>
      <c r="I33" s="248"/>
    </row>
    <row r="34" spans="1:9" x14ac:dyDescent="0.2">
      <c r="A34" s="246">
        <v>28</v>
      </c>
      <c r="B34" s="247" t="s">
        <v>34</v>
      </c>
      <c r="C34" s="248">
        <f t="shared" si="0"/>
        <v>2201</v>
      </c>
      <c r="D34" s="248"/>
      <c r="E34" s="248"/>
      <c r="F34" s="248">
        <v>2201</v>
      </c>
      <c r="G34" s="248"/>
      <c r="H34" s="248"/>
      <c r="I34" s="248"/>
    </row>
    <row r="35" spans="1:9" x14ac:dyDescent="0.2">
      <c r="A35" s="246">
        <v>29</v>
      </c>
      <c r="B35" s="247" t="s">
        <v>19</v>
      </c>
      <c r="C35" s="248">
        <f t="shared" si="0"/>
        <v>3384</v>
      </c>
      <c r="D35" s="248"/>
      <c r="E35" s="248"/>
      <c r="F35" s="248">
        <v>3384</v>
      </c>
      <c r="G35" s="248"/>
      <c r="H35" s="248"/>
      <c r="I35" s="248"/>
    </row>
    <row r="36" spans="1:9" x14ac:dyDescent="0.2">
      <c r="A36" s="246">
        <v>30</v>
      </c>
      <c r="B36" s="247" t="s">
        <v>36</v>
      </c>
      <c r="C36" s="248">
        <f t="shared" si="0"/>
        <v>2535</v>
      </c>
      <c r="D36" s="248"/>
      <c r="E36" s="248"/>
      <c r="F36" s="248">
        <v>2535</v>
      </c>
      <c r="G36" s="248"/>
      <c r="H36" s="248"/>
      <c r="I36" s="248"/>
    </row>
    <row r="37" spans="1:9" x14ac:dyDescent="0.2">
      <c r="A37" s="246">
        <v>31</v>
      </c>
      <c r="B37" s="247" t="s">
        <v>43</v>
      </c>
      <c r="C37" s="248">
        <f t="shared" si="0"/>
        <v>3564</v>
      </c>
      <c r="D37" s="248"/>
      <c r="E37" s="248"/>
      <c r="F37" s="248">
        <v>3564</v>
      </c>
      <c r="G37" s="248"/>
      <c r="H37" s="248">
        <v>100</v>
      </c>
      <c r="I37" s="248"/>
    </row>
    <row r="38" spans="1:9" x14ac:dyDescent="0.2">
      <c r="A38" s="246">
        <v>32</v>
      </c>
      <c r="B38" s="247" t="s">
        <v>40</v>
      </c>
      <c r="C38" s="248">
        <f t="shared" si="0"/>
        <v>2763</v>
      </c>
      <c r="D38" s="248"/>
      <c r="E38" s="248"/>
      <c r="F38" s="248">
        <v>2763</v>
      </c>
      <c r="G38" s="248"/>
      <c r="H38" s="248">
        <v>2</v>
      </c>
      <c r="I38" s="248"/>
    </row>
    <row r="39" spans="1:9" x14ac:dyDescent="0.2">
      <c r="A39" s="246">
        <v>33</v>
      </c>
      <c r="B39" s="247" t="s">
        <v>41</v>
      </c>
      <c r="C39" s="248">
        <f t="shared" si="0"/>
        <v>3192</v>
      </c>
      <c r="D39" s="248"/>
      <c r="E39" s="248"/>
      <c r="F39" s="248">
        <v>3192</v>
      </c>
      <c r="G39" s="248"/>
      <c r="H39" s="248"/>
      <c r="I39" s="248"/>
    </row>
    <row r="40" spans="1:9" x14ac:dyDescent="0.2">
      <c r="A40" s="246">
        <v>34</v>
      </c>
      <c r="B40" s="247" t="s">
        <v>35</v>
      </c>
      <c r="C40" s="248">
        <f t="shared" si="0"/>
        <v>3471</v>
      </c>
      <c r="D40" s="248"/>
      <c r="E40" s="248"/>
      <c r="F40" s="248">
        <v>3471</v>
      </c>
      <c r="G40" s="248"/>
      <c r="H40" s="248"/>
      <c r="I40" s="248"/>
    </row>
    <row r="41" spans="1:9" x14ac:dyDescent="0.2">
      <c r="A41" s="246">
        <v>35</v>
      </c>
      <c r="B41" s="247" t="s">
        <v>42</v>
      </c>
      <c r="C41" s="248">
        <f t="shared" si="0"/>
        <v>2049</v>
      </c>
      <c r="D41" s="248"/>
      <c r="E41" s="248"/>
      <c r="F41" s="248">
        <v>2049</v>
      </c>
      <c r="G41" s="248"/>
      <c r="H41" s="248">
        <v>2</v>
      </c>
      <c r="I41" s="248"/>
    </row>
    <row r="42" spans="1:9" x14ac:dyDescent="0.2">
      <c r="A42" s="246">
        <v>36</v>
      </c>
      <c r="B42" s="247" t="s">
        <v>2</v>
      </c>
      <c r="C42" s="248">
        <f t="shared" si="0"/>
        <v>4456</v>
      </c>
      <c r="D42" s="248"/>
      <c r="E42" s="248"/>
      <c r="F42" s="248">
        <v>4456</v>
      </c>
      <c r="G42" s="248"/>
      <c r="H42" s="248">
        <f>2-2</f>
        <v>0</v>
      </c>
      <c r="I42" s="248"/>
    </row>
    <row r="43" spans="1:9" x14ac:dyDescent="0.2">
      <c r="A43" s="246">
        <v>37</v>
      </c>
      <c r="B43" s="247" t="s">
        <v>44</v>
      </c>
      <c r="C43" s="248">
        <f t="shared" si="0"/>
        <v>2109</v>
      </c>
      <c r="D43" s="248"/>
      <c r="E43" s="248"/>
      <c r="F43" s="248">
        <v>2109</v>
      </c>
      <c r="G43" s="248"/>
      <c r="H43" s="248"/>
      <c r="I43" s="248"/>
    </row>
    <row r="44" spans="1:9" x14ac:dyDescent="0.2">
      <c r="A44" s="246">
        <v>38</v>
      </c>
      <c r="B44" s="247" t="s">
        <v>5</v>
      </c>
      <c r="C44" s="248">
        <f t="shared" si="0"/>
        <v>2906</v>
      </c>
      <c r="D44" s="248"/>
      <c r="E44" s="248"/>
      <c r="F44" s="248">
        <v>2906</v>
      </c>
      <c r="G44" s="248"/>
      <c r="H44" s="248">
        <f>4-4</f>
        <v>0</v>
      </c>
      <c r="I44" s="248"/>
    </row>
    <row r="45" spans="1:9" x14ac:dyDescent="0.2">
      <c r="A45" s="246">
        <v>39</v>
      </c>
      <c r="B45" s="247" t="s">
        <v>48</v>
      </c>
      <c r="C45" s="248">
        <f t="shared" si="0"/>
        <v>1634</v>
      </c>
      <c r="D45" s="248"/>
      <c r="E45" s="248"/>
      <c r="F45" s="248">
        <v>1634</v>
      </c>
      <c r="G45" s="248"/>
      <c r="H45" s="248"/>
      <c r="I45" s="248"/>
    </row>
    <row r="46" spans="1:9" x14ac:dyDescent="0.2">
      <c r="A46" s="246">
        <v>40</v>
      </c>
      <c r="B46" s="247" t="s">
        <v>50</v>
      </c>
      <c r="C46" s="248">
        <f t="shared" si="0"/>
        <v>2981</v>
      </c>
      <c r="D46" s="248"/>
      <c r="E46" s="248"/>
      <c r="F46" s="248">
        <v>2981</v>
      </c>
      <c r="G46" s="248"/>
      <c r="H46" s="248"/>
      <c r="I46" s="248"/>
    </row>
    <row r="47" spans="1:9" x14ac:dyDescent="0.2">
      <c r="A47" s="246">
        <v>41</v>
      </c>
      <c r="B47" s="247" t="s">
        <v>51</v>
      </c>
      <c r="C47" s="248">
        <f t="shared" si="0"/>
        <v>4381</v>
      </c>
      <c r="D47" s="248"/>
      <c r="E47" s="248"/>
      <c r="F47" s="248">
        <v>4381</v>
      </c>
      <c r="G47" s="248"/>
      <c r="H47" s="248">
        <v>3</v>
      </c>
      <c r="I47" s="248"/>
    </row>
    <row r="48" spans="1:9" x14ac:dyDescent="0.2">
      <c r="A48" s="246">
        <v>42</v>
      </c>
      <c r="B48" s="247" t="s">
        <v>52</v>
      </c>
      <c r="C48" s="248">
        <f t="shared" si="0"/>
        <v>2649</v>
      </c>
      <c r="D48" s="248"/>
      <c r="E48" s="248"/>
      <c r="F48" s="248">
        <v>2649</v>
      </c>
      <c r="G48" s="248"/>
      <c r="H48" s="248">
        <v>17</v>
      </c>
      <c r="I48" s="248"/>
    </row>
    <row r="49" spans="1:9" x14ac:dyDescent="0.2">
      <c r="A49" s="246">
        <v>43</v>
      </c>
      <c r="B49" s="247" t="s">
        <v>14</v>
      </c>
      <c r="C49" s="248">
        <f t="shared" si="0"/>
        <v>2196</v>
      </c>
      <c r="D49" s="248"/>
      <c r="E49" s="248"/>
      <c r="F49" s="248">
        <v>2196</v>
      </c>
      <c r="G49" s="248"/>
      <c r="H49" s="248"/>
      <c r="I49" s="248"/>
    </row>
    <row r="50" spans="1:9" x14ac:dyDescent="0.2">
      <c r="A50" s="246">
        <v>44</v>
      </c>
      <c r="B50" s="247" t="s">
        <v>53</v>
      </c>
      <c r="C50" s="248">
        <f t="shared" si="0"/>
        <v>5424</v>
      </c>
      <c r="D50" s="248"/>
      <c r="E50" s="248"/>
      <c r="F50" s="248">
        <v>5424</v>
      </c>
      <c r="G50" s="248"/>
      <c r="H50" s="248">
        <v>3</v>
      </c>
      <c r="I50" s="248"/>
    </row>
    <row r="51" spans="1:9" x14ac:dyDescent="0.2">
      <c r="A51" s="246">
        <v>45</v>
      </c>
      <c r="B51" s="247" t="s">
        <v>72</v>
      </c>
      <c r="C51" s="248">
        <f t="shared" si="0"/>
        <v>927</v>
      </c>
      <c r="D51" s="248"/>
      <c r="E51" s="248"/>
      <c r="F51" s="248">
        <v>927</v>
      </c>
      <c r="G51" s="248"/>
      <c r="H51" s="248"/>
      <c r="I51" s="248"/>
    </row>
    <row r="52" spans="1:9" x14ac:dyDescent="0.2">
      <c r="A52" s="246">
        <v>46</v>
      </c>
      <c r="B52" s="247" t="s">
        <v>75</v>
      </c>
      <c r="C52" s="248">
        <f t="shared" si="0"/>
        <v>154</v>
      </c>
      <c r="D52" s="248"/>
      <c r="E52" s="248"/>
      <c r="F52" s="248">
        <f>927-773</f>
        <v>154</v>
      </c>
      <c r="G52" s="248"/>
      <c r="H52" s="248"/>
      <c r="I52" s="248"/>
    </row>
    <row r="53" spans="1:9" ht="35.25" customHeight="1" x14ac:dyDescent="0.2">
      <c r="A53" s="246">
        <v>47</v>
      </c>
      <c r="B53" s="247" t="s">
        <v>101</v>
      </c>
      <c r="C53" s="248">
        <f t="shared" si="0"/>
        <v>1454</v>
      </c>
      <c r="D53" s="248"/>
      <c r="E53" s="248"/>
      <c r="F53" s="248">
        <v>1454</v>
      </c>
      <c r="G53" s="248"/>
      <c r="H53" s="248"/>
      <c r="I53" s="248"/>
    </row>
    <row r="54" spans="1:9" ht="35.25" customHeight="1" x14ac:dyDescent="0.2">
      <c r="A54" s="246">
        <v>48</v>
      </c>
      <c r="B54" s="247" t="s">
        <v>111</v>
      </c>
      <c r="C54" s="248">
        <f t="shared" si="0"/>
        <v>1183</v>
      </c>
      <c r="D54" s="248"/>
      <c r="E54" s="248"/>
      <c r="F54" s="248">
        <v>1183</v>
      </c>
      <c r="G54" s="248"/>
      <c r="H54" s="248"/>
      <c r="I54" s="248"/>
    </row>
    <row r="55" spans="1:9" ht="35.25" customHeight="1" x14ac:dyDescent="0.2">
      <c r="A55" s="246">
        <v>49</v>
      </c>
      <c r="B55" s="247" t="s">
        <v>105</v>
      </c>
      <c r="C55" s="248">
        <f t="shared" si="0"/>
        <v>795</v>
      </c>
      <c r="D55" s="248"/>
      <c r="E55" s="248"/>
      <c r="F55" s="248">
        <v>795</v>
      </c>
      <c r="G55" s="248"/>
      <c r="H55" s="248"/>
      <c r="I55" s="248"/>
    </row>
    <row r="56" spans="1:9" ht="35.25" customHeight="1" x14ac:dyDescent="0.2">
      <c r="A56" s="246">
        <v>50</v>
      </c>
      <c r="B56" s="247" t="s">
        <v>458</v>
      </c>
      <c r="C56" s="248">
        <f t="shared" si="0"/>
        <v>2258</v>
      </c>
      <c r="D56" s="248"/>
      <c r="E56" s="248"/>
      <c r="F56" s="248">
        <v>2258</v>
      </c>
      <c r="G56" s="248"/>
      <c r="H56" s="248"/>
      <c r="I56" s="248"/>
    </row>
    <row r="57" spans="1:9" ht="35.25" customHeight="1" x14ac:dyDescent="0.2">
      <c r="A57" s="246">
        <v>51</v>
      </c>
      <c r="B57" s="247" t="s">
        <v>459</v>
      </c>
      <c r="C57" s="248">
        <f t="shared" si="0"/>
        <v>773</v>
      </c>
      <c r="D57" s="248"/>
      <c r="E57" s="248"/>
      <c r="F57" s="248">
        <v>773</v>
      </c>
      <c r="G57" s="248"/>
      <c r="H57" s="248"/>
      <c r="I57" s="248"/>
    </row>
    <row r="58" spans="1:9" ht="24" x14ac:dyDescent="0.2">
      <c r="A58" s="246">
        <v>52</v>
      </c>
      <c r="B58" s="247" t="s">
        <v>129</v>
      </c>
      <c r="C58" s="248">
        <f t="shared" si="0"/>
        <v>2800</v>
      </c>
      <c r="D58" s="248"/>
      <c r="E58" s="248"/>
      <c r="F58" s="248">
        <v>2800</v>
      </c>
      <c r="G58" s="248"/>
      <c r="H58" s="248"/>
      <c r="I58" s="248"/>
    </row>
    <row r="59" spans="1:9" x14ac:dyDescent="0.2">
      <c r="A59" s="246">
        <v>53</v>
      </c>
      <c r="B59" s="247" t="s">
        <v>460</v>
      </c>
      <c r="C59" s="248">
        <f t="shared" si="0"/>
        <v>2395</v>
      </c>
      <c r="D59" s="248"/>
      <c r="E59" s="248"/>
      <c r="F59" s="248">
        <v>2395</v>
      </c>
      <c r="G59" s="248"/>
      <c r="H59" s="248"/>
      <c r="I59" s="248"/>
    </row>
    <row r="60" spans="1:9" x14ac:dyDescent="0.2">
      <c r="A60" s="246">
        <v>54</v>
      </c>
      <c r="B60" s="247" t="s">
        <v>11</v>
      </c>
      <c r="C60" s="248">
        <f t="shared" si="0"/>
        <v>19268</v>
      </c>
      <c r="D60" s="248"/>
      <c r="E60" s="248"/>
      <c r="F60" s="248">
        <v>19268</v>
      </c>
      <c r="G60" s="248">
        <v>422</v>
      </c>
      <c r="H60" s="248">
        <v>549</v>
      </c>
      <c r="I60" s="248"/>
    </row>
    <row r="61" spans="1:9" x14ac:dyDescent="0.2">
      <c r="A61" s="246">
        <v>55</v>
      </c>
      <c r="B61" s="247" t="s">
        <v>13</v>
      </c>
      <c r="C61" s="248">
        <f t="shared" si="0"/>
        <v>9220</v>
      </c>
      <c r="D61" s="248"/>
      <c r="E61" s="248"/>
      <c r="F61" s="248">
        <v>9220</v>
      </c>
      <c r="G61" s="248"/>
      <c r="H61" s="248">
        <v>2</v>
      </c>
      <c r="I61" s="248"/>
    </row>
    <row r="62" spans="1:9" x14ac:dyDescent="0.2">
      <c r="A62" s="246">
        <v>56</v>
      </c>
      <c r="B62" s="247" t="s">
        <v>461</v>
      </c>
      <c r="C62" s="248">
        <f t="shared" si="0"/>
        <v>9669</v>
      </c>
      <c r="D62" s="248"/>
      <c r="E62" s="248"/>
      <c r="F62" s="248">
        <v>9669</v>
      </c>
      <c r="G62" s="248"/>
      <c r="H62" s="248">
        <v>55</v>
      </c>
      <c r="I62" s="248"/>
    </row>
    <row r="63" spans="1:9" x14ac:dyDescent="0.2">
      <c r="A63" s="246">
        <v>57</v>
      </c>
      <c r="B63" s="247" t="s">
        <v>22</v>
      </c>
      <c r="C63" s="248">
        <f t="shared" si="0"/>
        <v>8206</v>
      </c>
      <c r="D63" s="248"/>
      <c r="E63" s="248"/>
      <c r="F63" s="248">
        <v>8206</v>
      </c>
      <c r="G63" s="248"/>
      <c r="H63" s="248">
        <v>13</v>
      </c>
      <c r="I63" s="248"/>
    </row>
    <row r="64" spans="1:9" x14ac:dyDescent="0.2">
      <c r="A64" s="246">
        <v>58</v>
      </c>
      <c r="B64" s="247" t="s">
        <v>113</v>
      </c>
      <c r="C64" s="248">
        <f t="shared" si="0"/>
        <v>18102</v>
      </c>
      <c r="D64" s="248"/>
      <c r="E64" s="248"/>
      <c r="F64" s="248">
        <v>18102</v>
      </c>
      <c r="G64" s="248">
        <v>707</v>
      </c>
      <c r="H64" s="248">
        <v>1496</v>
      </c>
      <c r="I64" s="248"/>
    </row>
    <row r="65" spans="1:9" x14ac:dyDescent="0.2">
      <c r="A65" s="246">
        <v>59</v>
      </c>
      <c r="B65" s="247" t="s">
        <v>55</v>
      </c>
      <c r="C65" s="248">
        <f t="shared" si="0"/>
        <v>9919</v>
      </c>
      <c r="D65" s="248"/>
      <c r="E65" s="248"/>
      <c r="F65" s="248">
        <v>9919</v>
      </c>
      <c r="G65" s="248">
        <v>213</v>
      </c>
      <c r="H65" s="248">
        <v>116</v>
      </c>
      <c r="I65" s="248"/>
    </row>
    <row r="66" spans="1:9" ht="24" x14ac:dyDescent="0.2">
      <c r="A66" s="246">
        <v>60</v>
      </c>
      <c r="B66" s="247" t="s">
        <v>103</v>
      </c>
      <c r="C66" s="248">
        <f t="shared" si="0"/>
        <v>12303</v>
      </c>
      <c r="D66" s="248"/>
      <c r="E66" s="248"/>
      <c r="F66" s="248">
        <v>12303</v>
      </c>
      <c r="G66" s="248"/>
      <c r="H66" s="248">
        <f>45-45</f>
        <v>0</v>
      </c>
      <c r="I66" s="248"/>
    </row>
    <row r="67" spans="1:9" ht="24" x14ac:dyDescent="0.2">
      <c r="A67" s="246">
        <v>61</v>
      </c>
      <c r="B67" s="247" t="s">
        <v>104</v>
      </c>
      <c r="C67" s="248">
        <f t="shared" si="0"/>
        <v>2727</v>
      </c>
      <c r="D67" s="248"/>
      <c r="E67" s="248"/>
      <c r="F67" s="248">
        <v>2727</v>
      </c>
      <c r="G67" s="248"/>
      <c r="H67" s="248">
        <v>207</v>
      </c>
      <c r="I67" s="248"/>
    </row>
    <row r="68" spans="1:9" x14ac:dyDescent="0.2">
      <c r="A68" s="246">
        <v>62</v>
      </c>
      <c r="B68" s="247" t="s">
        <v>46</v>
      </c>
      <c r="C68" s="248">
        <f t="shared" si="0"/>
        <v>16062</v>
      </c>
      <c r="D68" s="248"/>
      <c r="E68" s="248"/>
      <c r="F68" s="248">
        <v>16062</v>
      </c>
      <c r="G68" s="248"/>
      <c r="H68" s="248">
        <v>440</v>
      </c>
      <c r="I68" s="248"/>
    </row>
    <row r="69" spans="1:9" x14ac:dyDescent="0.2">
      <c r="A69" s="246">
        <v>63</v>
      </c>
      <c r="B69" s="247" t="s">
        <v>47</v>
      </c>
      <c r="C69" s="248">
        <f t="shared" si="0"/>
        <v>9867</v>
      </c>
      <c r="D69" s="248"/>
      <c r="E69" s="248"/>
      <c r="F69" s="248">
        <v>9867</v>
      </c>
      <c r="G69" s="248">
        <v>335</v>
      </c>
      <c r="H69" s="248">
        <v>40</v>
      </c>
      <c r="I69" s="248"/>
    </row>
    <row r="70" spans="1:9" ht="14.25" customHeight="1" x14ac:dyDescent="0.2">
      <c r="A70" s="246">
        <v>64</v>
      </c>
      <c r="B70" s="247" t="s">
        <v>9</v>
      </c>
      <c r="C70" s="248">
        <f t="shared" si="0"/>
        <v>14311</v>
      </c>
      <c r="D70" s="248"/>
      <c r="E70" s="248"/>
      <c r="F70" s="248">
        <v>14311</v>
      </c>
      <c r="G70" s="248"/>
      <c r="H70" s="248">
        <v>601</v>
      </c>
      <c r="I70" s="248"/>
    </row>
    <row r="71" spans="1:9" x14ac:dyDescent="0.2">
      <c r="A71" s="246">
        <v>65</v>
      </c>
      <c r="B71" s="247" t="s">
        <v>29</v>
      </c>
      <c r="C71" s="248">
        <f t="shared" si="0"/>
        <v>11096</v>
      </c>
      <c r="D71" s="248"/>
      <c r="E71" s="248"/>
      <c r="F71" s="248">
        <v>11096</v>
      </c>
      <c r="G71" s="248"/>
      <c r="H71" s="248">
        <v>25</v>
      </c>
      <c r="I71" s="248"/>
    </row>
    <row r="72" spans="1:9" x14ac:dyDescent="0.2">
      <c r="A72" s="246">
        <v>66</v>
      </c>
      <c r="B72" s="247" t="s">
        <v>38</v>
      </c>
      <c r="C72" s="248">
        <f t="shared" si="0"/>
        <v>10906</v>
      </c>
      <c r="D72" s="248"/>
      <c r="E72" s="248"/>
      <c r="F72" s="248">
        <v>10906</v>
      </c>
      <c r="G72" s="248"/>
      <c r="H72" s="248">
        <v>575</v>
      </c>
      <c r="I72" s="248"/>
    </row>
    <row r="73" spans="1:9" ht="24" x14ac:dyDescent="0.2">
      <c r="A73" s="246">
        <v>67</v>
      </c>
      <c r="B73" s="247" t="s">
        <v>59</v>
      </c>
      <c r="C73" s="248">
        <f t="shared" ref="C73:C115" si="1">D73+F73+I73</f>
        <v>3508</v>
      </c>
      <c r="D73" s="248"/>
      <c r="E73" s="248"/>
      <c r="F73" s="248">
        <v>3508</v>
      </c>
      <c r="G73" s="248">
        <v>805</v>
      </c>
      <c r="H73" s="248"/>
      <c r="I73" s="248"/>
    </row>
    <row r="74" spans="1:9" ht="24" x14ac:dyDescent="0.2">
      <c r="A74" s="246">
        <v>68</v>
      </c>
      <c r="B74" s="247" t="s">
        <v>147</v>
      </c>
      <c r="C74" s="248">
        <f t="shared" si="1"/>
        <v>3868</v>
      </c>
      <c r="D74" s="248"/>
      <c r="E74" s="248"/>
      <c r="F74" s="248">
        <v>3868</v>
      </c>
      <c r="G74" s="248"/>
      <c r="H74" s="248"/>
      <c r="I74" s="248"/>
    </row>
    <row r="75" spans="1:9" ht="24" x14ac:dyDescent="0.2">
      <c r="A75" s="246">
        <v>69</v>
      </c>
      <c r="B75" s="247" t="s">
        <v>106</v>
      </c>
      <c r="C75" s="248">
        <f t="shared" si="1"/>
        <v>5763</v>
      </c>
      <c r="D75" s="248"/>
      <c r="E75" s="248"/>
      <c r="F75" s="248">
        <v>5763</v>
      </c>
      <c r="G75" s="248"/>
      <c r="H75" s="248"/>
      <c r="I75" s="248"/>
    </row>
    <row r="76" spans="1:9" x14ac:dyDescent="0.2">
      <c r="A76" s="246">
        <v>70</v>
      </c>
      <c r="B76" s="247" t="s">
        <v>78</v>
      </c>
      <c r="C76" s="248">
        <f t="shared" si="1"/>
        <v>3819</v>
      </c>
      <c r="D76" s="248"/>
      <c r="E76" s="248"/>
      <c r="F76" s="248">
        <v>3819</v>
      </c>
      <c r="G76" s="248">
        <v>850</v>
      </c>
      <c r="H76" s="248"/>
      <c r="I76" s="248"/>
    </row>
    <row r="77" spans="1:9" x14ac:dyDescent="0.2">
      <c r="A77" s="246">
        <v>71</v>
      </c>
      <c r="B77" s="247" t="s">
        <v>73</v>
      </c>
      <c r="C77" s="248">
        <f t="shared" si="1"/>
        <v>17555</v>
      </c>
      <c r="D77" s="248"/>
      <c r="E77" s="248"/>
      <c r="F77" s="248">
        <v>17555</v>
      </c>
      <c r="G77" s="248"/>
      <c r="H77" s="248">
        <f>12-12</f>
        <v>0</v>
      </c>
      <c r="I77" s="248"/>
    </row>
    <row r="78" spans="1:9" ht="48" x14ac:dyDescent="0.2">
      <c r="A78" s="246">
        <v>72</v>
      </c>
      <c r="B78" s="247" t="s">
        <v>109</v>
      </c>
      <c r="C78" s="248">
        <f t="shared" si="1"/>
        <v>3226</v>
      </c>
      <c r="D78" s="248"/>
      <c r="E78" s="248"/>
      <c r="F78" s="248">
        <v>3226</v>
      </c>
      <c r="G78" s="248"/>
      <c r="H78" s="248"/>
      <c r="I78" s="248"/>
    </row>
    <row r="79" spans="1:9" ht="65.25" customHeight="1" x14ac:dyDescent="0.2">
      <c r="A79" s="246">
        <v>73</v>
      </c>
      <c r="B79" s="247" t="s">
        <v>462</v>
      </c>
      <c r="C79" s="248">
        <f t="shared" si="1"/>
        <v>5762</v>
      </c>
      <c r="D79" s="248"/>
      <c r="E79" s="248"/>
      <c r="F79" s="248">
        <v>5762</v>
      </c>
      <c r="G79" s="248"/>
      <c r="H79" s="248"/>
      <c r="I79" s="248"/>
    </row>
    <row r="80" spans="1:9" ht="24" x14ac:dyDescent="0.2">
      <c r="A80" s="246">
        <v>74</v>
      </c>
      <c r="B80" s="247" t="s">
        <v>463</v>
      </c>
      <c r="C80" s="248">
        <f t="shared" si="1"/>
        <v>17</v>
      </c>
      <c r="D80" s="248"/>
      <c r="E80" s="248"/>
      <c r="F80" s="248">
        <v>17</v>
      </c>
      <c r="G80" s="248"/>
      <c r="H80" s="248"/>
      <c r="I80" s="248"/>
    </row>
    <row r="81" spans="1:9" ht="24" x14ac:dyDescent="0.2">
      <c r="A81" s="246">
        <v>75</v>
      </c>
      <c r="B81" s="247" t="s">
        <v>464</v>
      </c>
      <c r="C81" s="248">
        <f t="shared" si="1"/>
        <v>17</v>
      </c>
      <c r="D81" s="248"/>
      <c r="E81" s="248"/>
      <c r="F81" s="248">
        <v>17</v>
      </c>
      <c r="G81" s="248"/>
      <c r="H81" s="248"/>
      <c r="I81" s="248"/>
    </row>
    <row r="82" spans="1:9" ht="24" x14ac:dyDescent="0.2">
      <c r="A82" s="246">
        <v>76</v>
      </c>
      <c r="B82" s="247" t="s">
        <v>465</v>
      </c>
      <c r="C82" s="248">
        <f t="shared" si="1"/>
        <v>60</v>
      </c>
      <c r="D82" s="248"/>
      <c r="E82" s="248"/>
      <c r="F82" s="248">
        <v>60</v>
      </c>
      <c r="G82" s="248"/>
      <c r="H82" s="248">
        <v>60</v>
      </c>
      <c r="I82" s="248"/>
    </row>
    <row r="83" spans="1:9" x14ac:dyDescent="0.2">
      <c r="A83" s="246">
        <v>77</v>
      </c>
      <c r="B83" s="247" t="s">
        <v>134</v>
      </c>
      <c r="C83" s="248">
        <f t="shared" si="1"/>
        <v>17</v>
      </c>
      <c r="D83" s="248"/>
      <c r="E83" s="248"/>
      <c r="F83" s="248">
        <v>17</v>
      </c>
      <c r="G83" s="248"/>
      <c r="H83" s="248"/>
      <c r="I83" s="248"/>
    </row>
    <row r="84" spans="1:9" ht="12" customHeight="1" x14ac:dyDescent="0.2">
      <c r="A84" s="246">
        <v>78</v>
      </c>
      <c r="B84" s="247" t="s">
        <v>466</v>
      </c>
      <c r="C84" s="248">
        <f t="shared" si="1"/>
        <v>17</v>
      </c>
      <c r="D84" s="248"/>
      <c r="E84" s="248"/>
      <c r="F84" s="248">
        <v>17</v>
      </c>
      <c r="G84" s="248"/>
      <c r="H84" s="248"/>
      <c r="I84" s="248"/>
    </row>
    <row r="85" spans="1:9" x14ac:dyDescent="0.2">
      <c r="A85" s="246">
        <v>79</v>
      </c>
      <c r="B85" s="247" t="s">
        <v>467</v>
      </c>
      <c r="C85" s="248">
        <f t="shared" si="1"/>
        <v>17</v>
      </c>
      <c r="D85" s="248"/>
      <c r="E85" s="248"/>
      <c r="F85" s="248">
        <v>17</v>
      </c>
      <c r="G85" s="248"/>
      <c r="H85" s="248"/>
      <c r="I85" s="248"/>
    </row>
    <row r="86" spans="1:9" x14ac:dyDescent="0.2">
      <c r="A86" s="246">
        <v>80</v>
      </c>
      <c r="B86" s="249" t="s">
        <v>468</v>
      </c>
      <c r="C86" s="248">
        <f t="shared" si="1"/>
        <v>3543</v>
      </c>
      <c r="D86" s="248"/>
      <c r="E86" s="248"/>
      <c r="F86" s="248">
        <v>0</v>
      </c>
      <c r="G86" s="248"/>
      <c r="H86" s="248"/>
      <c r="I86" s="248">
        <v>3543</v>
      </c>
    </row>
    <row r="87" spans="1:9" x14ac:dyDescent="0.2">
      <c r="A87" s="246">
        <v>81</v>
      </c>
      <c r="B87" s="249" t="s">
        <v>469</v>
      </c>
      <c r="C87" s="248">
        <f t="shared" si="1"/>
        <v>2092</v>
      </c>
      <c r="D87" s="248"/>
      <c r="E87" s="248"/>
      <c r="F87" s="248">
        <v>0</v>
      </c>
      <c r="G87" s="248"/>
      <c r="H87" s="248"/>
      <c r="I87" s="248">
        <v>2092</v>
      </c>
    </row>
    <row r="88" spans="1:9" x14ac:dyDescent="0.2">
      <c r="A88" s="246">
        <v>82</v>
      </c>
      <c r="B88" s="247" t="s">
        <v>470</v>
      </c>
      <c r="C88" s="248">
        <f t="shared" si="1"/>
        <v>17</v>
      </c>
      <c r="D88" s="248"/>
      <c r="E88" s="248"/>
      <c r="F88" s="248">
        <v>17</v>
      </c>
      <c r="G88" s="248"/>
      <c r="H88" s="248"/>
      <c r="I88" s="248"/>
    </row>
    <row r="89" spans="1:9" ht="24" x14ac:dyDescent="0.2">
      <c r="A89" s="246">
        <v>83</v>
      </c>
      <c r="B89" s="247" t="s">
        <v>471</v>
      </c>
      <c r="C89" s="248">
        <f t="shared" si="1"/>
        <v>792</v>
      </c>
      <c r="D89" s="248"/>
      <c r="E89" s="248"/>
      <c r="F89" s="248">
        <v>792</v>
      </c>
      <c r="G89" s="248"/>
      <c r="H89" s="248"/>
      <c r="I89" s="248"/>
    </row>
    <row r="90" spans="1:9" ht="12.75" customHeight="1" x14ac:dyDescent="0.2">
      <c r="A90" s="246">
        <v>84</v>
      </c>
      <c r="B90" s="247" t="s">
        <v>178</v>
      </c>
      <c r="C90" s="248">
        <f t="shared" si="1"/>
        <v>7165</v>
      </c>
      <c r="D90" s="248"/>
      <c r="E90" s="248"/>
      <c r="F90" s="248">
        <f>7160+5</f>
        <v>7165</v>
      </c>
      <c r="G90" s="248">
        <v>571</v>
      </c>
      <c r="H90" s="248">
        <v>14</v>
      </c>
      <c r="I90" s="248"/>
    </row>
    <row r="91" spans="1:9" x14ac:dyDescent="0.2">
      <c r="A91" s="246">
        <v>85</v>
      </c>
      <c r="B91" s="247" t="s">
        <v>37</v>
      </c>
      <c r="C91" s="248">
        <f t="shared" si="1"/>
        <v>11435</v>
      </c>
      <c r="D91" s="248">
        <v>59</v>
      </c>
      <c r="E91" s="248"/>
      <c r="F91" s="248">
        <v>11376</v>
      </c>
      <c r="G91" s="248">
        <v>348</v>
      </c>
      <c r="H91" s="248">
        <v>1138</v>
      </c>
      <c r="I91" s="248"/>
    </row>
    <row r="92" spans="1:9" x14ac:dyDescent="0.2">
      <c r="A92" s="246">
        <v>86</v>
      </c>
      <c r="B92" s="247" t="s">
        <v>21</v>
      </c>
      <c r="C92" s="248">
        <f t="shared" si="1"/>
        <v>5628</v>
      </c>
      <c r="D92" s="248">
        <f>243-1</f>
        <v>242</v>
      </c>
      <c r="E92" s="248"/>
      <c r="F92" s="248">
        <v>5386</v>
      </c>
      <c r="G92" s="248">
        <v>374</v>
      </c>
      <c r="H92" s="248">
        <v>420</v>
      </c>
      <c r="I92" s="248"/>
    </row>
    <row r="93" spans="1:9" ht="11.25" customHeight="1" x14ac:dyDescent="0.2">
      <c r="A93" s="246">
        <v>87</v>
      </c>
      <c r="B93" s="247" t="s">
        <v>100</v>
      </c>
      <c r="C93" s="248">
        <f t="shared" si="1"/>
        <v>23550</v>
      </c>
      <c r="D93" s="248">
        <v>133</v>
      </c>
      <c r="E93" s="248"/>
      <c r="F93" s="248">
        <v>23417</v>
      </c>
      <c r="G93" s="248">
        <v>722</v>
      </c>
      <c r="H93" s="248">
        <v>2047</v>
      </c>
      <c r="I93" s="248"/>
    </row>
    <row r="94" spans="1:9" x14ac:dyDescent="0.2">
      <c r="A94" s="246">
        <v>88</v>
      </c>
      <c r="B94" s="247" t="s">
        <v>57</v>
      </c>
      <c r="C94" s="248">
        <f t="shared" si="1"/>
        <v>11213</v>
      </c>
      <c r="D94" s="248">
        <v>20</v>
      </c>
      <c r="E94" s="248"/>
      <c r="F94" s="248">
        <v>11193</v>
      </c>
      <c r="G94" s="248"/>
      <c r="H94" s="248">
        <v>1105</v>
      </c>
      <c r="I94" s="248"/>
    </row>
    <row r="95" spans="1:9" x14ac:dyDescent="0.2">
      <c r="A95" s="246">
        <v>89</v>
      </c>
      <c r="B95" s="247" t="s">
        <v>60</v>
      </c>
      <c r="C95" s="248">
        <f t="shared" si="1"/>
        <v>24782</v>
      </c>
      <c r="D95" s="248">
        <f>863-18</f>
        <v>845</v>
      </c>
      <c r="E95" s="248">
        <f>77+12</f>
        <v>89</v>
      </c>
      <c r="F95" s="248">
        <v>23937</v>
      </c>
      <c r="G95" s="248"/>
      <c r="H95" s="248">
        <f>767+61</f>
        <v>828</v>
      </c>
      <c r="I95" s="248"/>
    </row>
    <row r="96" spans="1:9" x14ac:dyDescent="0.2">
      <c r="A96" s="246">
        <v>90</v>
      </c>
      <c r="B96" s="247" t="s">
        <v>74</v>
      </c>
      <c r="C96" s="248">
        <f t="shared" si="1"/>
        <v>7177</v>
      </c>
      <c r="D96" s="248">
        <v>200</v>
      </c>
      <c r="E96" s="248"/>
      <c r="F96" s="248">
        <v>6977</v>
      </c>
      <c r="G96" s="248">
        <v>1066</v>
      </c>
      <c r="H96" s="248"/>
      <c r="I96" s="248"/>
    </row>
    <row r="97" spans="1:9" x14ac:dyDescent="0.2">
      <c r="A97" s="246">
        <v>91</v>
      </c>
      <c r="B97" s="247" t="s">
        <v>76</v>
      </c>
      <c r="C97" s="248">
        <f t="shared" si="1"/>
        <v>12414</v>
      </c>
      <c r="D97" s="248">
        <v>301</v>
      </c>
      <c r="E97" s="248"/>
      <c r="F97" s="248">
        <v>12113</v>
      </c>
      <c r="G97" s="248">
        <v>701</v>
      </c>
      <c r="H97" s="248">
        <v>858</v>
      </c>
      <c r="I97" s="248"/>
    </row>
    <row r="98" spans="1:9" x14ac:dyDescent="0.2">
      <c r="A98" s="246">
        <v>92</v>
      </c>
      <c r="B98" s="247" t="s">
        <v>127</v>
      </c>
      <c r="C98" s="248">
        <f t="shared" si="1"/>
        <v>9302</v>
      </c>
      <c r="D98" s="248">
        <v>40</v>
      </c>
      <c r="E98" s="248"/>
      <c r="F98" s="248">
        <v>9262</v>
      </c>
      <c r="G98" s="248"/>
      <c r="H98" s="248"/>
      <c r="I98" s="248"/>
    </row>
    <row r="99" spans="1:9" x14ac:dyDescent="0.2">
      <c r="A99" s="246">
        <v>93</v>
      </c>
      <c r="B99" s="247" t="s">
        <v>112</v>
      </c>
      <c r="C99" s="248">
        <f t="shared" si="1"/>
        <v>915</v>
      </c>
      <c r="D99" s="248">
        <f>222+20</f>
        <v>242</v>
      </c>
      <c r="E99" s="248">
        <v>5</v>
      </c>
      <c r="F99" s="248">
        <f>663+10</f>
        <v>673</v>
      </c>
      <c r="G99" s="248"/>
      <c r="H99" s="248">
        <v>77</v>
      </c>
      <c r="I99" s="248"/>
    </row>
    <row r="100" spans="1:9" x14ac:dyDescent="0.2">
      <c r="A100" s="246">
        <v>94</v>
      </c>
      <c r="B100" s="247" t="s">
        <v>141</v>
      </c>
      <c r="C100" s="248">
        <f t="shared" si="1"/>
        <v>5366</v>
      </c>
      <c r="D100" s="248">
        <v>52</v>
      </c>
      <c r="E100" s="248"/>
      <c r="F100" s="248">
        <v>5314</v>
      </c>
      <c r="G100" s="248"/>
      <c r="H100" s="248"/>
      <c r="I100" s="248"/>
    </row>
    <row r="101" spans="1:9" x14ac:dyDescent="0.2">
      <c r="A101" s="246">
        <v>95</v>
      </c>
      <c r="B101" s="247" t="s">
        <v>151</v>
      </c>
      <c r="C101" s="248">
        <f t="shared" si="1"/>
        <v>22674</v>
      </c>
      <c r="D101" s="248">
        <v>1450</v>
      </c>
      <c r="E101" s="248">
        <v>1450</v>
      </c>
      <c r="F101" s="248">
        <f>21285-61</f>
        <v>21224</v>
      </c>
      <c r="G101" s="248"/>
      <c r="H101" s="248">
        <f>19149-61</f>
        <v>19088</v>
      </c>
      <c r="I101" s="248"/>
    </row>
    <row r="102" spans="1:9" x14ac:dyDescent="0.2">
      <c r="A102" s="246">
        <v>96</v>
      </c>
      <c r="B102" s="247" t="s">
        <v>152</v>
      </c>
      <c r="C102" s="248">
        <f t="shared" si="1"/>
        <v>11942</v>
      </c>
      <c r="D102" s="248">
        <v>3435</v>
      </c>
      <c r="E102" s="248"/>
      <c r="F102" s="248">
        <v>8507</v>
      </c>
      <c r="G102" s="248">
        <v>750</v>
      </c>
      <c r="H102" s="248"/>
      <c r="I102" s="248"/>
    </row>
    <row r="103" spans="1:9" x14ac:dyDescent="0.2">
      <c r="A103" s="246">
        <v>97</v>
      </c>
      <c r="B103" s="247" t="s">
        <v>90</v>
      </c>
      <c r="C103" s="248">
        <f t="shared" si="1"/>
        <v>15841</v>
      </c>
      <c r="D103" s="248"/>
      <c r="E103" s="248"/>
      <c r="F103" s="248">
        <v>15841</v>
      </c>
      <c r="G103" s="248"/>
      <c r="H103" s="248"/>
      <c r="I103" s="248"/>
    </row>
    <row r="104" spans="1:9" x14ac:dyDescent="0.2">
      <c r="A104" s="246">
        <v>98</v>
      </c>
      <c r="B104" s="247" t="s">
        <v>142</v>
      </c>
      <c r="C104" s="248">
        <f t="shared" si="1"/>
        <v>22914</v>
      </c>
      <c r="D104" s="248">
        <v>648</v>
      </c>
      <c r="E104" s="248"/>
      <c r="F104" s="248">
        <v>22266</v>
      </c>
      <c r="G104" s="248"/>
      <c r="H104" s="248"/>
      <c r="I104" s="248"/>
    </row>
    <row r="105" spans="1:9" x14ac:dyDescent="0.2">
      <c r="A105" s="246">
        <v>99</v>
      </c>
      <c r="B105" s="247" t="s">
        <v>140</v>
      </c>
      <c r="C105" s="248">
        <f t="shared" si="1"/>
        <v>11851</v>
      </c>
      <c r="D105" s="248">
        <v>2400</v>
      </c>
      <c r="E105" s="248"/>
      <c r="F105" s="248">
        <f>9651-200</f>
        <v>9451</v>
      </c>
      <c r="G105" s="248"/>
      <c r="H105" s="248"/>
      <c r="I105" s="248"/>
    </row>
    <row r="106" spans="1:9" x14ac:dyDescent="0.2">
      <c r="A106" s="246">
        <v>100</v>
      </c>
      <c r="B106" s="247" t="s">
        <v>89</v>
      </c>
      <c r="C106" s="248">
        <f t="shared" si="1"/>
        <v>24843</v>
      </c>
      <c r="D106" s="248">
        <v>1082</v>
      </c>
      <c r="E106" s="248"/>
      <c r="F106" s="248">
        <v>23761</v>
      </c>
      <c r="G106" s="248">
        <v>1483</v>
      </c>
      <c r="H106" s="248">
        <v>45</v>
      </c>
      <c r="I106" s="248"/>
    </row>
    <row r="107" spans="1:9" ht="14.25" customHeight="1" x14ac:dyDescent="0.2">
      <c r="A107" s="246">
        <v>101</v>
      </c>
      <c r="B107" s="247" t="s">
        <v>79</v>
      </c>
      <c r="C107" s="248">
        <f t="shared" si="1"/>
        <v>15292</v>
      </c>
      <c r="D107" s="248">
        <v>407</v>
      </c>
      <c r="E107" s="248"/>
      <c r="F107" s="248">
        <v>14885</v>
      </c>
      <c r="G107" s="248">
        <v>3000</v>
      </c>
      <c r="H107" s="248"/>
      <c r="I107" s="248"/>
    </row>
    <row r="108" spans="1:9" x14ac:dyDescent="0.2">
      <c r="A108" s="246">
        <v>102</v>
      </c>
      <c r="B108" s="247" t="s">
        <v>77</v>
      </c>
      <c r="C108" s="248">
        <f t="shared" si="1"/>
        <v>13920</v>
      </c>
      <c r="D108" s="248">
        <v>754</v>
      </c>
      <c r="E108" s="248"/>
      <c r="F108" s="248">
        <v>13166</v>
      </c>
      <c r="G108" s="248">
        <v>1528</v>
      </c>
      <c r="H108" s="248">
        <v>311</v>
      </c>
      <c r="I108" s="248"/>
    </row>
    <row r="109" spans="1:9" x14ac:dyDescent="0.2">
      <c r="A109" s="246">
        <v>103</v>
      </c>
      <c r="B109" s="247" t="s">
        <v>143</v>
      </c>
      <c r="C109" s="248">
        <f t="shared" si="1"/>
        <v>22654</v>
      </c>
      <c r="D109" s="248">
        <v>1249</v>
      </c>
      <c r="E109" s="250"/>
      <c r="F109" s="250">
        <v>21405</v>
      </c>
      <c r="G109" s="250">
        <v>961</v>
      </c>
      <c r="H109" s="248">
        <v>1062</v>
      </c>
      <c r="I109" s="248"/>
    </row>
    <row r="110" spans="1:9" x14ac:dyDescent="0.2">
      <c r="A110" s="246">
        <v>104</v>
      </c>
      <c r="B110" s="247" t="s">
        <v>88</v>
      </c>
      <c r="C110" s="250">
        <f t="shared" si="1"/>
        <v>18444</v>
      </c>
      <c r="D110" s="250">
        <v>904</v>
      </c>
      <c r="E110" s="250">
        <v>100</v>
      </c>
      <c r="F110" s="250">
        <v>17540</v>
      </c>
      <c r="G110" s="250">
        <v>296</v>
      </c>
      <c r="H110" s="250">
        <v>686</v>
      </c>
      <c r="I110" s="251"/>
    </row>
    <row r="111" spans="1:9" x14ac:dyDescent="0.2">
      <c r="A111" s="246">
        <v>105</v>
      </c>
      <c r="B111" s="247" t="s">
        <v>139</v>
      </c>
      <c r="C111" s="250">
        <f t="shared" si="1"/>
        <v>27489</v>
      </c>
      <c r="D111" s="250">
        <v>2395</v>
      </c>
      <c r="E111" s="250">
        <v>130</v>
      </c>
      <c r="F111" s="250">
        <v>25094</v>
      </c>
      <c r="G111" s="250">
        <v>997</v>
      </c>
      <c r="H111" s="250">
        <v>810</v>
      </c>
      <c r="I111" s="251"/>
    </row>
    <row r="112" spans="1:9" x14ac:dyDescent="0.2">
      <c r="A112" s="246">
        <v>106</v>
      </c>
      <c r="B112" s="247" t="s">
        <v>472</v>
      </c>
      <c r="C112" s="250">
        <f t="shared" si="1"/>
        <v>339</v>
      </c>
      <c r="D112" s="250">
        <v>250</v>
      </c>
      <c r="E112" s="250"/>
      <c r="F112" s="250">
        <v>89</v>
      </c>
      <c r="G112" s="250"/>
      <c r="H112" s="250"/>
      <c r="I112" s="251"/>
    </row>
    <row r="113" spans="1:9" ht="14.25" customHeight="1" x14ac:dyDescent="0.2">
      <c r="A113" s="246">
        <v>107</v>
      </c>
      <c r="B113" s="247" t="s">
        <v>87</v>
      </c>
      <c r="C113" s="250">
        <f>D113+F113+I113</f>
        <v>21520</v>
      </c>
      <c r="D113" s="250">
        <v>1568</v>
      </c>
      <c r="E113" s="250">
        <v>150</v>
      </c>
      <c r="F113" s="250">
        <v>19952</v>
      </c>
      <c r="G113" s="250">
        <v>796</v>
      </c>
      <c r="H113" s="250">
        <v>2268</v>
      </c>
      <c r="I113" s="251"/>
    </row>
    <row r="114" spans="1:9" x14ac:dyDescent="0.2">
      <c r="A114" s="246">
        <v>108</v>
      </c>
      <c r="B114" s="247" t="s">
        <v>473</v>
      </c>
      <c r="C114" s="250">
        <f>D114+F114+I114</f>
        <v>1210</v>
      </c>
      <c r="D114" s="250">
        <v>200</v>
      </c>
      <c r="E114" s="250"/>
      <c r="F114" s="250">
        <f>810+200</f>
        <v>1010</v>
      </c>
      <c r="G114" s="250"/>
      <c r="H114" s="250"/>
      <c r="I114" s="251"/>
    </row>
    <row r="115" spans="1:9" x14ac:dyDescent="0.2">
      <c r="A115" s="246">
        <v>109</v>
      </c>
      <c r="B115" s="247" t="s">
        <v>155</v>
      </c>
      <c r="C115" s="248">
        <f t="shared" si="1"/>
        <v>5799</v>
      </c>
      <c r="D115" s="248">
        <v>210</v>
      </c>
      <c r="E115" s="248"/>
      <c r="F115" s="248">
        <v>5589</v>
      </c>
      <c r="G115" s="248">
        <v>1575</v>
      </c>
      <c r="H115" s="250"/>
      <c r="I115" s="251"/>
    </row>
    <row r="116" spans="1:9" ht="15.75" customHeight="1" x14ac:dyDescent="0.2">
      <c r="A116" s="419"/>
      <c r="B116" s="64" t="s">
        <v>91</v>
      </c>
      <c r="C116" s="420">
        <v>18144</v>
      </c>
      <c r="D116" s="250">
        <v>50</v>
      </c>
      <c r="E116" s="250">
        <v>0</v>
      </c>
      <c r="F116" s="250">
        <v>18094</v>
      </c>
      <c r="G116" s="250">
        <v>0</v>
      </c>
      <c r="H116" s="250">
        <v>0</v>
      </c>
      <c r="I116" s="250">
        <v>0</v>
      </c>
    </row>
    <row r="117" spans="1:9" s="424" customFormat="1" x14ac:dyDescent="0.2">
      <c r="A117" s="422"/>
      <c r="B117" s="421" t="s">
        <v>95</v>
      </c>
      <c r="C117" s="423">
        <f>SUM(C7:C116)</f>
        <v>717383</v>
      </c>
      <c r="D117" s="423">
        <f t="shared" ref="D117:I117" si="2">SUM(D7:D116)</f>
        <v>19136</v>
      </c>
      <c r="E117" s="423">
        <f t="shared" si="2"/>
        <v>1924</v>
      </c>
      <c r="F117" s="423">
        <f t="shared" si="2"/>
        <v>692612</v>
      </c>
      <c r="G117" s="423">
        <f t="shared" si="2"/>
        <v>18500</v>
      </c>
      <c r="H117" s="423">
        <f t="shared" si="2"/>
        <v>35083</v>
      </c>
      <c r="I117" s="423">
        <f t="shared" si="2"/>
        <v>5635</v>
      </c>
    </row>
  </sheetData>
  <mergeCells count="9">
    <mergeCell ref="A1:I1"/>
    <mergeCell ref="A3:A5"/>
    <mergeCell ref="B3:B5"/>
    <mergeCell ref="C3:I3"/>
    <mergeCell ref="C4:C5"/>
    <mergeCell ref="D4:D5"/>
    <mergeCell ref="F4:F5"/>
    <mergeCell ref="G4:H4"/>
    <mergeCell ref="I4:I5"/>
  </mergeCells>
  <pageMargins left="0.39370078740157483" right="0" top="0.59055118110236227" bottom="0.59055118110236227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37"/>
  <sheetViews>
    <sheetView zoomScale="80" zoomScaleNormal="80" zoomScaleSheetLayoutView="77" workbookViewId="0">
      <pane xSplit="4" ySplit="5" topLeftCell="E126" activePane="bottomRight" state="frozen"/>
      <selection activeCell="U73" sqref="U73"/>
      <selection pane="topRight" activeCell="U73" sqref="U73"/>
      <selection pane="bottomLeft" activeCell="U73" sqref="U73"/>
      <selection pane="bottomRight" activeCell="F124" sqref="F124"/>
    </sheetView>
  </sheetViews>
  <sheetFormatPr defaultRowHeight="18.75" outlineLevelCol="1" x14ac:dyDescent="0.25"/>
  <cols>
    <col min="1" max="1" width="7.42578125" style="321" customWidth="1"/>
    <col min="2" max="2" width="12.42578125" style="321" hidden="1" customWidth="1"/>
    <col min="3" max="3" width="11.140625" style="321" hidden="1" customWidth="1"/>
    <col min="4" max="4" width="54" style="334" customWidth="1"/>
    <col min="5" max="5" width="25.42578125" style="321" customWidth="1"/>
    <col min="6" max="6" width="21.5703125" style="321" customWidth="1" outlineLevel="1"/>
    <col min="7" max="7" width="25" style="321" customWidth="1" outlineLevel="1"/>
    <col min="8" max="16384" width="9.140625" style="321"/>
  </cols>
  <sheetData>
    <row r="1" spans="1:7" s="320" customFormat="1" x14ac:dyDescent="0.25">
      <c r="A1" s="317"/>
      <c r="B1" s="317"/>
      <c r="C1" s="317"/>
      <c r="D1" s="318"/>
      <c r="E1" s="317"/>
      <c r="F1" s="317"/>
      <c r="G1" s="319"/>
    </row>
    <row r="2" spans="1:7" ht="60" customHeight="1" x14ac:dyDescent="0.25">
      <c r="A2" s="555" t="s">
        <v>541</v>
      </c>
      <c r="B2" s="555"/>
      <c r="C2" s="555"/>
      <c r="D2" s="555"/>
      <c r="E2" s="555"/>
      <c r="F2" s="555"/>
      <c r="G2" s="555"/>
    </row>
    <row r="3" spans="1:7" x14ac:dyDescent="0.25">
      <c r="A3" s="322"/>
      <c r="B3" s="322"/>
      <c r="C3" s="322"/>
      <c r="D3" s="323" t="s">
        <v>542</v>
      </c>
      <c r="E3" s="324">
        <v>0.54</v>
      </c>
      <c r="F3" s="322"/>
      <c r="G3" s="322"/>
    </row>
    <row r="4" spans="1:7" ht="58.5" customHeight="1" x14ac:dyDescent="0.25">
      <c r="A4" s="556" t="s">
        <v>0</v>
      </c>
      <c r="B4" s="556" t="s">
        <v>543</v>
      </c>
      <c r="C4" s="556" t="s">
        <v>544</v>
      </c>
      <c r="D4" s="556" t="s">
        <v>317</v>
      </c>
      <c r="E4" s="553" t="s">
        <v>93</v>
      </c>
      <c r="F4" s="556" t="s">
        <v>545</v>
      </c>
      <c r="G4" s="556"/>
    </row>
    <row r="5" spans="1:7" ht="51" customHeight="1" x14ac:dyDescent="0.25">
      <c r="A5" s="556"/>
      <c r="B5" s="556"/>
      <c r="C5" s="556"/>
      <c r="D5" s="556"/>
      <c r="E5" s="554"/>
      <c r="F5" s="325" t="s">
        <v>546</v>
      </c>
      <c r="G5" s="325" t="s">
        <v>547</v>
      </c>
    </row>
    <row r="6" spans="1:7" x14ac:dyDescent="0.25">
      <c r="A6" s="325">
        <v>1</v>
      </c>
      <c r="B6" s="325">
        <v>2</v>
      </c>
      <c r="C6" s="325">
        <v>5</v>
      </c>
      <c r="D6" s="325">
        <v>2</v>
      </c>
      <c r="E6" s="326" t="s">
        <v>548</v>
      </c>
      <c r="F6" s="326" t="s">
        <v>549</v>
      </c>
      <c r="G6" s="326" t="s">
        <v>550</v>
      </c>
    </row>
    <row r="7" spans="1:7" ht="36.950000000000003" hidden="1" customHeight="1" x14ac:dyDescent="0.25">
      <c r="A7" s="327"/>
      <c r="B7" s="327"/>
      <c r="C7" s="327"/>
      <c r="D7" s="325" t="s">
        <v>551</v>
      </c>
      <c r="E7" s="325">
        <v>1261668</v>
      </c>
      <c r="F7" s="325">
        <v>0</v>
      </c>
      <c r="G7" s="325">
        <v>0</v>
      </c>
    </row>
    <row r="8" spans="1:7" ht="27" customHeight="1" x14ac:dyDescent="0.25">
      <c r="A8" s="325">
        <v>1</v>
      </c>
      <c r="B8" s="325" t="s">
        <v>552</v>
      </c>
      <c r="C8" s="325" t="s">
        <v>553</v>
      </c>
      <c r="D8" s="328" t="s">
        <v>1</v>
      </c>
      <c r="E8" s="325">
        <v>21515</v>
      </c>
      <c r="F8" s="325"/>
      <c r="G8" s="325"/>
    </row>
    <row r="9" spans="1:7" ht="27" customHeight="1" x14ac:dyDescent="0.25">
      <c r="A9" s="325">
        <v>2</v>
      </c>
      <c r="B9" s="325" t="s">
        <v>554</v>
      </c>
      <c r="C9" s="325" t="s">
        <v>553</v>
      </c>
      <c r="D9" s="328" t="s">
        <v>2</v>
      </c>
      <c r="E9" s="325">
        <v>20292</v>
      </c>
      <c r="F9" s="325"/>
      <c r="G9" s="325"/>
    </row>
    <row r="10" spans="1:7" ht="27" customHeight="1" x14ac:dyDescent="0.25">
      <c r="A10" s="325">
        <v>3</v>
      </c>
      <c r="B10" s="325" t="s">
        <v>555</v>
      </c>
      <c r="C10" s="325" t="s">
        <v>553</v>
      </c>
      <c r="D10" s="328" t="s">
        <v>3</v>
      </c>
      <c r="E10" s="325">
        <v>9126</v>
      </c>
      <c r="F10" s="325"/>
      <c r="G10" s="325"/>
    </row>
    <row r="11" spans="1:7" ht="27" customHeight="1" x14ac:dyDescent="0.25">
      <c r="A11" s="325">
        <v>4</v>
      </c>
      <c r="B11" s="325" t="s">
        <v>556</v>
      </c>
      <c r="C11" s="325" t="s">
        <v>553</v>
      </c>
      <c r="D11" s="328" t="s">
        <v>4</v>
      </c>
      <c r="E11" s="325">
        <v>10315</v>
      </c>
      <c r="F11" s="325"/>
      <c r="G11" s="325"/>
    </row>
    <row r="12" spans="1:7" ht="27" customHeight="1" x14ac:dyDescent="0.25">
      <c r="A12" s="325">
        <v>5</v>
      </c>
      <c r="B12" s="325" t="s">
        <v>557</v>
      </c>
      <c r="C12" s="325" t="s">
        <v>553</v>
      </c>
      <c r="D12" s="328" t="s">
        <v>5</v>
      </c>
      <c r="E12" s="325">
        <v>17262</v>
      </c>
      <c r="F12" s="325"/>
      <c r="G12" s="325"/>
    </row>
    <row r="13" spans="1:7" ht="27" customHeight="1" x14ac:dyDescent="0.25">
      <c r="A13" s="325">
        <v>6</v>
      </c>
      <c r="B13" s="325" t="s">
        <v>558</v>
      </c>
      <c r="C13" s="325" t="s">
        <v>553</v>
      </c>
      <c r="D13" s="328" t="s">
        <v>6</v>
      </c>
      <c r="E13" s="325">
        <v>29089</v>
      </c>
      <c r="F13" s="325"/>
      <c r="G13" s="325"/>
    </row>
    <row r="14" spans="1:7" ht="27" customHeight="1" x14ac:dyDescent="0.25">
      <c r="A14" s="325">
        <v>7</v>
      </c>
      <c r="B14" s="325" t="s">
        <v>559</v>
      </c>
      <c r="C14" s="325" t="s">
        <v>553</v>
      </c>
      <c r="D14" s="328" t="s">
        <v>7</v>
      </c>
      <c r="E14" s="325">
        <v>14157</v>
      </c>
      <c r="F14" s="325"/>
      <c r="G14" s="325"/>
    </row>
    <row r="15" spans="1:7" ht="27" customHeight="1" x14ac:dyDescent="0.25">
      <c r="A15" s="325">
        <v>8</v>
      </c>
      <c r="B15" s="325" t="s">
        <v>560</v>
      </c>
      <c r="C15" s="325" t="s">
        <v>553</v>
      </c>
      <c r="D15" s="328" t="s">
        <v>8</v>
      </c>
      <c r="E15" s="325">
        <v>10342</v>
      </c>
      <c r="F15" s="325"/>
      <c r="G15" s="325"/>
    </row>
    <row r="16" spans="1:7" ht="27" customHeight="1" x14ac:dyDescent="0.25">
      <c r="A16" s="325">
        <v>9</v>
      </c>
      <c r="B16" s="325" t="s">
        <v>561</v>
      </c>
      <c r="C16" s="325" t="s">
        <v>562</v>
      </c>
      <c r="D16" s="328" t="s">
        <v>9</v>
      </c>
      <c r="E16" s="325">
        <v>48134</v>
      </c>
      <c r="F16" s="325"/>
      <c r="G16" s="325"/>
    </row>
    <row r="17" spans="1:7" ht="27" customHeight="1" x14ac:dyDescent="0.25">
      <c r="A17" s="325">
        <v>10</v>
      </c>
      <c r="B17" s="325" t="s">
        <v>563</v>
      </c>
      <c r="C17" s="325" t="s">
        <v>553</v>
      </c>
      <c r="D17" s="328" t="s">
        <v>10</v>
      </c>
      <c r="E17" s="325">
        <v>9562</v>
      </c>
      <c r="F17" s="325"/>
      <c r="G17" s="325"/>
    </row>
    <row r="18" spans="1:7" ht="27" customHeight="1" x14ac:dyDescent="0.25">
      <c r="A18" s="325">
        <v>11</v>
      </c>
      <c r="B18" s="325" t="s">
        <v>564</v>
      </c>
      <c r="C18" s="325" t="s">
        <v>565</v>
      </c>
      <c r="D18" s="328" t="s">
        <v>11</v>
      </c>
      <c r="E18" s="325">
        <v>53592</v>
      </c>
      <c r="F18" s="325"/>
      <c r="G18" s="325"/>
    </row>
    <row r="19" spans="1:7" ht="27" customHeight="1" x14ac:dyDescent="0.25">
      <c r="A19" s="325">
        <v>12</v>
      </c>
      <c r="B19" s="325" t="s">
        <v>566</v>
      </c>
      <c r="C19" s="325" t="s">
        <v>553</v>
      </c>
      <c r="D19" s="328" t="s">
        <v>12</v>
      </c>
      <c r="E19" s="325">
        <v>10527</v>
      </c>
      <c r="F19" s="325"/>
      <c r="G19" s="325"/>
    </row>
    <row r="20" spans="1:7" ht="27" customHeight="1" x14ac:dyDescent="0.25">
      <c r="A20" s="325">
        <v>13</v>
      </c>
      <c r="B20" s="325" t="s">
        <v>566</v>
      </c>
      <c r="C20" s="325" t="s">
        <v>553</v>
      </c>
      <c r="D20" s="328" t="s">
        <v>567</v>
      </c>
      <c r="E20" s="325">
        <v>225</v>
      </c>
      <c r="F20" s="325"/>
      <c r="G20" s="325"/>
    </row>
    <row r="21" spans="1:7" ht="27" customHeight="1" x14ac:dyDescent="0.25">
      <c r="A21" s="325">
        <v>14</v>
      </c>
      <c r="B21" s="325" t="s">
        <v>566</v>
      </c>
      <c r="C21" s="325" t="s">
        <v>553</v>
      </c>
      <c r="D21" s="328" t="s">
        <v>568</v>
      </c>
      <c r="E21" s="325">
        <v>207</v>
      </c>
      <c r="F21" s="325"/>
      <c r="G21" s="325"/>
    </row>
    <row r="22" spans="1:7" ht="27" customHeight="1" x14ac:dyDescent="0.25">
      <c r="A22" s="325">
        <v>15</v>
      </c>
      <c r="B22" s="325" t="s">
        <v>569</v>
      </c>
      <c r="C22" s="325" t="s">
        <v>565</v>
      </c>
      <c r="D22" s="328" t="s">
        <v>13</v>
      </c>
      <c r="E22" s="325">
        <v>29854</v>
      </c>
      <c r="F22" s="325"/>
      <c r="G22" s="325"/>
    </row>
    <row r="23" spans="1:7" ht="27" customHeight="1" x14ac:dyDescent="0.25">
      <c r="A23" s="325">
        <v>16</v>
      </c>
      <c r="B23" s="325" t="s">
        <v>570</v>
      </c>
      <c r="C23" s="325" t="s">
        <v>553</v>
      </c>
      <c r="D23" s="328" t="s">
        <v>571</v>
      </c>
      <c r="E23" s="325">
        <v>1100</v>
      </c>
      <c r="F23" s="325"/>
      <c r="G23" s="325"/>
    </row>
    <row r="24" spans="1:7" ht="27" customHeight="1" x14ac:dyDescent="0.25">
      <c r="A24" s="325">
        <v>17</v>
      </c>
      <c r="B24" s="325" t="s">
        <v>572</v>
      </c>
      <c r="C24" s="325" t="s">
        <v>553</v>
      </c>
      <c r="D24" s="328" t="s">
        <v>14</v>
      </c>
      <c r="E24" s="325">
        <v>11732</v>
      </c>
      <c r="F24" s="325"/>
      <c r="G24" s="325"/>
    </row>
    <row r="25" spans="1:7" ht="27" customHeight="1" x14ac:dyDescent="0.25">
      <c r="A25" s="325">
        <v>18</v>
      </c>
      <c r="B25" s="325" t="s">
        <v>573</v>
      </c>
      <c r="C25" s="325" t="s">
        <v>553</v>
      </c>
      <c r="D25" s="328" t="s">
        <v>15</v>
      </c>
      <c r="E25" s="325">
        <v>25241</v>
      </c>
      <c r="F25" s="325"/>
      <c r="G25" s="325"/>
    </row>
    <row r="26" spans="1:7" ht="27" customHeight="1" x14ac:dyDescent="0.25">
      <c r="A26" s="325">
        <v>19</v>
      </c>
      <c r="B26" s="325" t="s">
        <v>574</v>
      </c>
      <c r="C26" s="325" t="s">
        <v>553</v>
      </c>
      <c r="D26" s="328" t="s">
        <v>575</v>
      </c>
      <c r="E26" s="325">
        <v>250</v>
      </c>
      <c r="F26" s="325"/>
      <c r="G26" s="325"/>
    </row>
    <row r="27" spans="1:7" ht="27" customHeight="1" x14ac:dyDescent="0.25">
      <c r="A27" s="325">
        <v>20</v>
      </c>
      <c r="B27" s="325" t="s">
        <v>576</v>
      </c>
      <c r="C27" s="325" t="s">
        <v>553</v>
      </c>
      <c r="D27" s="328" t="s">
        <v>16</v>
      </c>
      <c r="E27" s="325">
        <v>14063</v>
      </c>
      <c r="F27" s="325"/>
      <c r="G27" s="325"/>
    </row>
    <row r="28" spans="1:7" ht="27" customHeight="1" x14ac:dyDescent="0.25">
      <c r="A28" s="325">
        <v>21</v>
      </c>
      <c r="B28" s="325" t="s">
        <v>577</v>
      </c>
      <c r="C28" s="325" t="s">
        <v>553</v>
      </c>
      <c r="D28" s="328" t="s">
        <v>17</v>
      </c>
      <c r="E28" s="325">
        <v>11498</v>
      </c>
      <c r="F28" s="325"/>
      <c r="G28" s="325"/>
    </row>
    <row r="29" spans="1:7" ht="27" customHeight="1" x14ac:dyDescent="0.25">
      <c r="A29" s="325">
        <v>22</v>
      </c>
      <c r="B29" s="325" t="s">
        <v>578</v>
      </c>
      <c r="C29" s="325" t="s">
        <v>553</v>
      </c>
      <c r="D29" s="328" t="s">
        <v>18</v>
      </c>
      <c r="E29" s="325">
        <v>8916</v>
      </c>
      <c r="F29" s="325"/>
      <c r="G29" s="325"/>
    </row>
    <row r="30" spans="1:7" ht="27" customHeight="1" x14ac:dyDescent="0.25">
      <c r="A30" s="325">
        <v>23</v>
      </c>
      <c r="B30" s="325" t="s">
        <v>579</v>
      </c>
      <c r="C30" s="325" t="s">
        <v>553</v>
      </c>
      <c r="D30" s="328" t="s">
        <v>19</v>
      </c>
      <c r="E30" s="325">
        <v>16731</v>
      </c>
      <c r="F30" s="325"/>
      <c r="G30" s="325"/>
    </row>
    <row r="31" spans="1:7" ht="27" customHeight="1" x14ac:dyDescent="0.25">
      <c r="A31" s="325">
        <v>24</v>
      </c>
      <c r="B31" s="325" t="s">
        <v>580</v>
      </c>
      <c r="C31" s="325" t="s">
        <v>553</v>
      </c>
      <c r="D31" s="328" t="s">
        <v>20</v>
      </c>
      <c r="E31" s="325">
        <v>19583</v>
      </c>
      <c r="F31" s="325"/>
      <c r="G31" s="325"/>
    </row>
    <row r="32" spans="1:7" ht="27" customHeight="1" x14ac:dyDescent="0.25">
      <c r="A32" s="325">
        <v>25</v>
      </c>
      <c r="B32" s="325" t="s">
        <v>581</v>
      </c>
      <c r="C32" s="325" t="s">
        <v>582</v>
      </c>
      <c r="D32" s="328" t="s">
        <v>21</v>
      </c>
      <c r="E32" s="325">
        <v>15052</v>
      </c>
      <c r="F32" s="325"/>
      <c r="G32" s="325"/>
    </row>
    <row r="33" spans="1:7" ht="27" customHeight="1" x14ac:dyDescent="0.25">
      <c r="A33" s="325">
        <v>26</v>
      </c>
      <c r="B33" s="325" t="s">
        <v>583</v>
      </c>
      <c r="C33" s="325" t="s">
        <v>565</v>
      </c>
      <c r="D33" s="328" t="s">
        <v>22</v>
      </c>
      <c r="E33" s="325">
        <v>28769</v>
      </c>
      <c r="F33" s="325"/>
      <c r="G33" s="325"/>
    </row>
    <row r="34" spans="1:7" ht="27" customHeight="1" x14ac:dyDescent="0.25">
      <c r="A34" s="325">
        <v>27</v>
      </c>
      <c r="B34" s="325" t="s">
        <v>584</v>
      </c>
      <c r="C34" s="325" t="s">
        <v>553</v>
      </c>
      <c r="D34" s="328" t="s">
        <v>23</v>
      </c>
      <c r="E34" s="325">
        <v>1800</v>
      </c>
      <c r="F34" s="325"/>
      <c r="G34" s="325"/>
    </row>
    <row r="35" spans="1:7" ht="27" customHeight="1" x14ac:dyDescent="0.25">
      <c r="A35" s="325">
        <v>28</v>
      </c>
      <c r="B35" s="325" t="s">
        <v>585</v>
      </c>
      <c r="C35" s="325" t="s">
        <v>553</v>
      </c>
      <c r="D35" s="328" t="s">
        <v>24</v>
      </c>
      <c r="E35" s="325">
        <v>6922</v>
      </c>
      <c r="F35" s="325"/>
      <c r="G35" s="325"/>
    </row>
    <row r="36" spans="1:7" ht="27" customHeight="1" x14ac:dyDescent="0.25">
      <c r="A36" s="325">
        <v>29</v>
      </c>
      <c r="B36" s="325" t="s">
        <v>586</v>
      </c>
      <c r="C36" s="325" t="s">
        <v>553</v>
      </c>
      <c r="D36" s="328" t="s">
        <v>25</v>
      </c>
      <c r="E36" s="325">
        <v>13405</v>
      </c>
      <c r="F36" s="325"/>
      <c r="G36" s="325"/>
    </row>
    <row r="37" spans="1:7" ht="27" customHeight="1" x14ac:dyDescent="0.25">
      <c r="A37" s="325">
        <v>30</v>
      </c>
      <c r="B37" s="325" t="s">
        <v>587</v>
      </c>
      <c r="C37" s="325" t="s">
        <v>553</v>
      </c>
      <c r="D37" s="328" t="s">
        <v>26</v>
      </c>
      <c r="E37" s="325">
        <v>7388</v>
      </c>
      <c r="F37" s="325"/>
      <c r="G37" s="325"/>
    </row>
    <row r="38" spans="1:7" ht="27" customHeight="1" x14ac:dyDescent="0.25">
      <c r="A38" s="325">
        <v>31</v>
      </c>
      <c r="B38" s="325" t="s">
        <v>588</v>
      </c>
      <c r="C38" s="325" t="s">
        <v>553</v>
      </c>
      <c r="D38" s="328" t="s">
        <v>27</v>
      </c>
      <c r="E38" s="325">
        <v>27518</v>
      </c>
      <c r="F38" s="325"/>
      <c r="G38" s="325"/>
    </row>
    <row r="39" spans="1:7" ht="27" customHeight="1" x14ac:dyDescent="0.25">
      <c r="A39" s="325">
        <v>32</v>
      </c>
      <c r="B39" s="325" t="s">
        <v>589</v>
      </c>
      <c r="C39" s="325" t="s">
        <v>553</v>
      </c>
      <c r="D39" s="328" t="s">
        <v>28</v>
      </c>
      <c r="E39" s="325">
        <v>16636</v>
      </c>
      <c r="F39" s="325"/>
      <c r="G39" s="325"/>
    </row>
    <row r="40" spans="1:7" ht="27" customHeight="1" x14ac:dyDescent="0.25">
      <c r="A40" s="325">
        <v>33</v>
      </c>
      <c r="B40" s="325" t="s">
        <v>590</v>
      </c>
      <c r="C40" s="325" t="s">
        <v>562</v>
      </c>
      <c r="D40" s="328" t="s">
        <v>29</v>
      </c>
      <c r="E40" s="325">
        <v>44220</v>
      </c>
      <c r="F40" s="325"/>
      <c r="G40" s="325"/>
    </row>
    <row r="41" spans="1:7" ht="27" customHeight="1" x14ac:dyDescent="0.25">
      <c r="A41" s="325">
        <v>34</v>
      </c>
      <c r="B41" s="325" t="s">
        <v>591</v>
      </c>
      <c r="C41" s="325" t="s">
        <v>553</v>
      </c>
      <c r="D41" s="328" t="s">
        <v>30</v>
      </c>
      <c r="E41" s="325">
        <v>12892</v>
      </c>
      <c r="F41" s="325"/>
      <c r="G41" s="325"/>
    </row>
    <row r="42" spans="1:7" ht="27" customHeight="1" x14ac:dyDescent="0.25">
      <c r="A42" s="325">
        <v>35</v>
      </c>
      <c r="B42" s="325" t="s">
        <v>592</v>
      </c>
      <c r="C42" s="325" t="s">
        <v>553</v>
      </c>
      <c r="D42" s="328" t="s">
        <v>31</v>
      </c>
      <c r="E42" s="325">
        <v>11818</v>
      </c>
      <c r="F42" s="325"/>
      <c r="G42" s="325"/>
    </row>
    <row r="43" spans="1:7" ht="27" customHeight="1" x14ac:dyDescent="0.25">
      <c r="A43" s="325">
        <v>36</v>
      </c>
      <c r="B43" s="325" t="s">
        <v>593</v>
      </c>
      <c r="C43" s="325" t="s">
        <v>553</v>
      </c>
      <c r="D43" s="328" t="s">
        <v>32</v>
      </c>
      <c r="E43" s="325">
        <v>24139</v>
      </c>
      <c r="F43" s="325"/>
      <c r="G43" s="325"/>
    </row>
    <row r="44" spans="1:7" ht="27" customHeight="1" x14ac:dyDescent="0.25">
      <c r="A44" s="325">
        <v>37</v>
      </c>
      <c r="B44" s="325" t="s">
        <v>594</v>
      </c>
      <c r="C44" s="325" t="s">
        <v>553</v>
      </c>
      <c r="D44" s="328" t="s">
        <v>33</v>
      </c>
      <c r="E44" s="325">
        <v>8605</v>
      </c>
      <c r="F44" s="325"/>
      <c r="G44" s="325"/>
    </row>
    <row r="45" spans="1:7" ht="27" customHeight="1" x14ac:dyDescent="0.25">
      <c r="A45" s="325">
        <v>38</v>
      </c>
      <c r="B45" s="325" t="s">
        <v>595</v>
      </c>
      <c r="C45" s="325" t="s">
        <v>553</v>
      </c>
      <c r="D45" s="328" t="s">
        <v>34</v>
      </c>
      <c r="E45" s="325">
        <v>14234</v>
      </c>
      <c r="F45" s="325"/>
      <c r="G45" s="325"/>
    </row>
    <row r="46" spans="1:7" ht="27" customHeight="1" x14ac:dyDescent="0.25">
      <c r="A46" s="325">
        <v>39</v>
      </c>
      <c r="B46" s="325" t="s">
        <v>596</v>
      </c>
      <c r="C46" s="325" t="s">
        <v>553</v>
      </c>
      <c r="D46" s="328" t="s">
        <v>35</v>
      </c>
      <c r="E46" s="325">
        <v>15459</v>
      </c>
      <c r="F46" s="325"/>
      <c r="G46" s="325"/>
    </row>
    <row r="47" spans="1:7" ht="27" customHeight="1" x14ac:dyDescent="0.25">
      <c r="A47" s="325">
        <v>40</v>
      </c>
      <c r="B47" s="325" t="s">
        <v>597</v>
      </c>
      <c r="C47" s="325" t="s">
        <v>553</v>
      </c>
      <c r="D47" s="328" t="s">
        <v>36</v>
      </c>
      <c r="E47" s="325">
        <v>13413</v>
      </c>
      <c r="F47" s="325"/>
      <c r="G47" s="325"/>
    </row>
    <row r="48" spans="1:7" ht="27" customHeight="1" x14ac:dyDescent="0.25">
      <c r="A48" s="325">
        <v>41</v>
      </c>
      <c r="B48" s="325" t="s">
        <v>598</v>
      </c>
      <c r="C48" s="325" t="s">
        <v>553</v>
      </c>
      <c r="D48" s="328" t="s">
        <v>599</v>
      </c>
      <c r="E48" s="325">
        <v>12544</v>
      </c>
      <c r="F48" s="325"/>
      <c r="G48" s="325"/>
    </row>
    <row r="49" spans="1:7" ht="27" customHeight="1" x14ac:dyDescent="0.25">
      <c r="A49" s="325">
        <v>42</v>
      </c>
      <c r="B49" s="325" t="s">
        <v>598</v>
      </c>
      <c r="C49" s="325" t="s">
        <v>565</v>
      </c>
      <c r="D49" s="328" t="s">
        <v>37</v>
      </c>
      <c r="E49" s="325">
        <v>32127</v>
      </c>
      <c r="F49" s="325"/>
      <c r="G49" s="325"/>
    </row>
    <row r="50" spans="1:7" ht="27" customHeight="1" x14ac:dyDescent="0.25">
      <c r="A50" s="325">
        <v>43</v>
      </c>
      <c r="B50" s="325" t="s">
        <v>600</v>
      </c>
      <c r="C50" s="325" t="s">
        <v>562</v>
      </c>
      <c r="D50" s="328" t="s">
        <v>38</v>
      </c>
      <c r="E50" s="325">
        <v>42744</v>
      </c>
      <c r="F50" s="325"/>
      <c r="G50" s="325"/>
    </row>
    <row r="51" spans="1:7" ht="27" customHeight="1" x14ac:dyDescent="0.25">
      <c r="A51" s="325">
        <v>44</v>
      </c>
      <c r="B51" s="325" t="s">
        <v>601</v>
      </c>
      <c r="C51" s="325" t="s">
        <v>553</v>
      </c>
      <c r="D51" s="328" t="s">
        <v>39</v>
      </c>
      <c r="E51" s="325">
        <v>11485</v>
      </c>
      <c r="F51" s="325"/>
      <c r="G51" s="325"/>
    </row>
    <row r="52" spans="1:7" ht="27" customHeight="1" x14ac:dyDescent="0.25">
      <c r="A52" s="325">
        <v>45</v>
      </c>
      <c r="B52" s="325" t="s">
        <v>602</v>
      </c>
      <c r="C52" s="325" t="s">
        <v>553</v>
      </c>
      <c r="D52" s="328" t="s">
        <v>40</v>
      </c>
      <c r="E52" s="325">
        <v>11722</v>
      </c>
      <c r="F52" s="325"/>
      <c r="G52" s="325"/>
    </row>
    <row r="53" spans="1:7" ht="27" customHeight="1" x14ac:dyDescent="0.25">
      <c r="A53" s="325">
        <v>46</v>
      </c>
      <c r="B53" s="325" t="s">
        <v>603</v>
      </c>
      <c r="C53" s="325" t="s">
        <v>553</v>
      </c>
      <c r="D53" s="328" t="s">
        <v>41</v>
      </c>
      <c r="E53" s="325">
        <v>13541</v>
      </c>
      <c r="F53" s="325"/>
      <c r="G53" s="325"/>
    </row>
    <row r="54" spans="1:7" ht="27" customHeight="1" x14ac:dyDescent="0.25">
      <c r="A54" s="325">
        <v>47</v>
      </c>
      <c r="B54" s="325" t="s">
        <v>603</v>
      </c>
      <c r="C54" s="325" t="s">
        <v>553</v>
      </c>
      <c r="D54" s="328" t="s">
        <v>604</v>
      </c>
      <c r="E54" s="325">
        <v>115</v>
      </c>
      <c r="F54" s="325"/>
      <c r="G54" s="325"/>
    </row>
    <row r="55" spans="1:7" ht="27" customHeight="1" x14ac:dyDescent="0.25">
      <c r="A55" s="325">
        <v>48</v>
      </c>
      <c r="B55" s="325" t="s">
        <v>605</v>
      </c>
      <c r="C55" s="325" t="s">
        <v>553</v>
      </c>
      <c r="D55" s="328" t="s">
        <v>42</v>
      </c>
      <c r="E55" s="325">
        <v>9893</v>
      </c>
      <c r="F55" s="325"/>
      <c r="G55" s="325"/>
    </row>
    <row r="56" spans="1:7" ht="27" customHeight="1" x14ac:dyDescent="0.25">
      <c r="A56" s="325">
        <v>49</v>
      </c>
      <c r="B56" s="325" t="s">
        <v>606</v>
      </c>
      <c r="C56" s="325" t="s">
        <v>553</v>
      </c>
      <c r="D56" s="328" t="s">
        <v>43</v>
      </c>
      <c r="E56" s="325">
        <v>13017</v>
      </c>
      <c r="F56" s="325"/>
      <c r="G56" s="325"/>
    </row>
    <row r="57" spans="1:7" ht="27" customHeight="1" x14ac:dyDescent="0.25">
      <c r="A57" s="325">
        <v>50</v>
      </c>
      <c r="B57" s="325" t="s">
        <v>607</v>
      </c>
      <c r="C57" s="325" t="s">
        <v>553</v>
      </c>
      <c r="D57" s="328" t="s">
        <v>44</v>
      </c>
      <c r="E57" s="325">
        <v>9937</v>
      </c>
      <c r="F57" s="325"/>
      <c r="G57" s="325"/>
    </row>
    <row r="58" spans="1:7" ht="27" customHeight="1" x14ac:dyDescent="0.25">
      <c r="A58" s="325">
        <v>51</v>
      </c>
      <c r="B58" s="325" t="s">
        <v>608</v>
      </c>
      <c r="C58" s="325" t="s">
        <v>553</v>
      </c>
      <c r="D58" s="328" t="s">
        <v>609</v>
      </c>
      <c r="E58" s="325">
        <v>20615</v>
      </c>
      <c r="F58" s="325"/>
      <c r="G58" s="325"/>
    </row>
    <row r="59" spans="1:7" ht="27" customHeight="1" x14ac:dyDescent="0.25">
      <c r="A59" s="325">
        <v>52</v>
      </c>
      <c r="B59" s="325" t="s">
        <v>610</v>
      </c>
      <c r="C59" s="325" t="s">
        <v>553</v>
      </c>
      <c r="D59" s="328" t="s">
        <v>45</v>
      </c>
      <c r="E59" s="325">
        <v>12330</v>
      </c>
      <c r="F59" s="325"/>
      <c r="G59" s="325"/>
    </row>
    <row r="60" spans="1:7" ht="27" customHeight="1" x14ac:dyDescent="0.25">
      <c r="A60" s="325">
        <v>53</v>
      </c>
      <c r="B60" s="325" t="s">
        <v>611</v>
      </c>
      <c r="C60" s="325" t="s">
        <v>565</v>
      </c>
      <c r="D60" s="328" t="s">
        <v>46</v>
      </c>
      <c r="E60" s="325">
        <v>68685</v>
      </c>
      <c r="F60" s="325"/>
      <c r="G60" s="325"/>
    </row>
    <row r="61" spans="1:7" ht="27" customHeight="1" x14ac:dyDescent="0.25">
      <c r="A61" s="325">
        <v>54</v>
      </c>
      <c r="B61" s="325" t="s">
        <v>612</v>
      </c>
      <c r="C61" s="325" t="s">
        <v>553</v>
      </c>
      <c r="D61" s="328" t="s">
        <v>613</v>
      </c>
      <c r="E61" s="325">
        <v>33546</v>
      </c>
      <c r="F61" s="325"/>
      <c r="G61" s="325"/>
    </row>
    <row r="62" spans="1:7" ht="27" customHeight="1" x14ac:dyDescent="0.25">
      <c r="A62" s="325">
        <v>55</v>
      </c>
      <c r="B62" s="325" t="s">
        <v>614</v>
      </c>
      <c r="C62" s="325" t="s">
        <v>562</v>
      </c>
      <c r="D62" s="328" t="s">
        <v>47</v>
      </c>
      <c r="E62" s="325">
        <v>37664</v>
      </c>
      <c r="F62" s="325"/>
      <c r="G62" s="325"/>
    </row>
    <row r="63" spans="1:7" ht="27" customHeight="1" x14ac:dyDescent="0.25">
      <c r="A63" s="325">
        <v>56</v>
      </c>
      <c r="B63" s="325" t="s">
        <v>615</v>
      </c>
      <c r="C63" s="325" t="s">
        <v>553</v>
      </c>
      <c r="D63" s="328" t="s">
        <v>48</v>
      </c>
      <c r="E63" s="325">
        <v>8055</v>
      </c>
      <c r="F63" s="325"/>
      <c r="G63" s="325"/>
    </row>
    <row r="64" spans="1:7" ht="27" customHeight="1" x14ac:dyDescent="0.25">
      <c r="A64" s="325">
        <v>57</v>
      </c>
      <c r="B64" s="325" t="s">
        <v>616</v>
      </c>
      <c r="C64" s="325" t="s">
        <v>553</v>
      </c>
      <c r="D64" s="328" t="s">
        <v>49</v>
      </c>
      <c r="E64" s="325">
        <v>15509</v>
      </c>
      <c r="F64" s="325"/>
      <c r="G64" s="325"/>
    </row>
    <row r="65" spans="1:7" ht="27" customHeight="1" x14ac:dyDescent="0.25">
      <c r="A65" s="325">
        <v>58</v>
      </c>
      <c r="B65" s="325" t="s">
        <v>617</v>
      </c>
      <c r="C65" s="325" t="s">
        <v>553</v>
      </c>
      <c r="D65" s="328" t="s">
        <v>50</v>
      </c>
      <c r="E65" s="325">
        <v>14771</v>
      </c>
      <c r="F65" s="325"/>
      <c r="G65" s="325"/>
    </row>
    <row r="66" spans="1:7" ht="27" customHeight="1" x14ac:dyDescent="0.25">
      <c r="A66" s="325">
        <v>59</v>
      </c>
      <c r="B66" s="325" t="s">
        <v>618</v>
      </c>
      <c r="C66" s="325" t="s">
        <v>553</v>
      </c>
      <c r="D66" s="328" t="s">
        <v>51</v>
      </c>
      <c r="E66" s="325">
        <v>24858</v>
      </c>
      <c r="F66" s="325"/>
      <c r="G66" s="325"/>
    </row>
    <row r="67" spans="1:7" ht="27" customHeight="1" x14ac:dyDescent="0.25">
      <c r="A67" s="325">
        <v>60</v>
      </c>
      <c r="B67" s="325" t="s">
        <v>619</v>
      </c>
      <c r="C67" s="325" t="s">
        <v>553</v>
      </c>
      <c r="D67" s="328" t="s">
        <v>52</v>
      </c>
      <c r="E67" s="325">
        <v>11087</v>
      </c>
      <c r="F67" s="325"/>
      <c r="G67" s="325"/>
    </row>
    <row r="68" spans="1:7" ht="27" customHeight="1" x14ac:dyDescent="0.25">
      <c r="A68" s="325">
        <v>61</v>
      </c>
      <c r="B68" s="325" t="s">
        <v>620</v>
      </c>
      <c r="C68" s="325" t="s">
        <v>553</v>
      </c>
      <c r="D68" s="328" t="s">
        <v>53</v>
      </c>
      <c r="E68" s="325">
        <v>23384</v>
      </c>
      <c r="F68" s="325"/>
      <c r="G68" s="325"/>
    </row>
    <row r="69" spans="1:7" ht="27" customHeight="1" x14ac:dyDescent="0.25">
      <c r="A69" s="325">
        <v>62</v>
      </c>
      <c r="B69" s="325" t="s">
        <v>621</v>
      </c>
      <c r="C69" s="325" t="s">
        <v>622</v>
      </c>
      <c r="D69" s="328" t="s">
        <v>54</v>
      </c>
      <c r="E69" s="325">
        <v>7319</v>
      </c>
      <c r="F69" s="325"/>
      <c r="G69" s="325"/>
    </row>
    <row r="70" spans="1:7" ht="27" customHeight="1" x14ac:dyDescent="0.25">
      <c r="A70" s="325">
        <v>63</v>
      </c>
      <c r="B70" s="325" t="s">
        <v>623</v>
      </c>
      <c r="C70" s="325" t="s">
        <v>582</v>
      </c>
      <c r="D70" s="328" t="s">
        <v>330</v>
      </c>
      <c r="E70" s="325">
        <v>72573</v>
      </c>
      <c r="F70" s="325"/>
      <c r="G70" s="325"/>
    </row>
    <row r="71" spans="1:7" ht="27" customHeight="1" x14ac:dyDescent="0.25">
      <c r="A71" s="325">
        <v>64</v>
      </c>
      <c r="B71" s="325" t="s">
        <v>624</v>
      </c>
      <c r="C71" s="325" t="s">
        <v>553</v>
      </c>
      <c r="D71" s="328" t="s">
        <v>625</v>
      </c>
      <c r="E71" s="325">
        <v>80</v>
      </c>
      <c r="F71" s="325"/>
      <c r="G71" s="325"/>
    </row>
    <row r="72" spans="1:7" ht="27" customHeight="1" x14ac:dyDescent="0.25">
      <c r="A72" s="325">
        <v>65</v>
      </c>
      <c r="B72" s="325" t="s">
        <v>626</v>
      </c>
      <c r="C72" s="325" t="s">
        <v>553</v>
      </c>
      <c r="D72" s="328" t="s">
        <v>627</v>
      </c>
      <c r="E72" s="325">
        <v>43</v>
      </c>
      <c r="F72" s="325"/>
      <c r="G72" s="325"/>
    </row>
    <row r="73" spans="1:7" ht="27" customHeight="1" x14ac:dyDescent="0.25">
      <c r="A73" s="325">
        <v>66</v>
      </c>
      <c r="B73" s="326" t="s">
        <v>628</v>
      </c>
      <c r="C73" s="325" t="s">
        <v>553</v>
      </c>
      <c r="D73" s="328" t="s">
        <v>629</v>
      </c>
      <c r="E73" s="325">
        <v>80</v>
      </c>
      <c r="F73" s="325"/>
      <c r="G73" s="325"/>
    </row>
    <row r="74" spans="1:7" ht="27" customHeight="1" x14ac:dyDescent="0.25">
      <c r="A74" s="325">
        <v>67</v>
      </c>
      <c r="B74" s="326" t="s">
        <v>628</v>
      </c>
      <c r="C74" s="325" t="s">
        <v>553</v>
      </c>
      <c r="D74" s="328" t="s">
        <v>630</v>
      </c>
      <c r="E74" s="325">
        <v>80</v>
      </c>
      <c r="F74" s="325"/>
      <c r="G74" s="325"/>
    </row>
    <row r="75" spans="1:7" ht="27" customHeight="1" x14ac:dyDescent="0.25">
      <c r="A75" s="325">
        <v>68</v>
      </c>
      <c r="B75" s="325" t="s">
        <v>631</v>
      </c>
      <c r="C75" s="325" t="s">
        <v>553</v>
      </c>
      <c r="D75" s="328" t="s">
        <v>632</v>
      </c>
      <c r="E75" s="325">
        <v>80</v>
      </c>
      <c r="F75" s="325"/>
      <c r="G75" s="325"/>
    </row>
    <row r="76" spans="1:7" ht="27" customHeight="1" x14ac:dyDescent="0.25">
      <c r="A76" s="325">
        <v>69</v>
      </c>
      <c r="B76" s="325"/>
      <c r="C76" s="325"/>
      <c r="D76" s="328" t="s">
        <v>633</v>
      </c>
      <c r="E76" s="325">
        <v>80</v>
      </c>
      <c r="F76" s="325"/>
      <c r="G76" s="325"/>
    </row>
    <row r="77" spans="1:7" ht="27" customHeight="1" x14ac:dyDescent="0.25">
      <c r="A77" s="325">
        <v>70</v>
      </c>
      <c r="B77" s="325" t="s">
        <v>623</v>
      </c>
      <c r="C77" s="325" t="s">
        <v>553</v>
      </c>
      <c r="D77" s="328" t="s">
        <v>634</v>
      </c>
      <c r="E77" s="325">
        <v>9431</v>
      </c>
      <c r="F77" s="325"/>
      <c r="G77" s="325"/>
    </row>
    <row r="78" spans="1:7" ht="27" customHeight="1" x14ac:dyDescent="0.25">
      <c r="A78" s="325">
        <v>71</v>
      </c>
      <c r="B78" s="325" t="s">
        <v>635</v>
      </c>
      <c r="C78" s="325" t="s">
        <v>565</v>
      </c>
      <c r="D78" s="328" t="s">
        <v>334</v>
      </c>
      <c r="E78" s="325">
        <v>52908</v>
      </c>
      <c r="F78" s="325"/>
      <c r="G78" s="325"/>
    </row>
    <row r="79" spans="1:7" ht="27" customHeight="1" x14ac:dyDescent="0.25">
      <c r="A79" s="325">
        <v>72</v>
      </c>
      <c r="B79" s="325" t="s">
        <v>636</v>
      </c>
      <c r="C79" s="325" t="s">
        <v>553</v>
      </c>
      <c r="D79" s="328" t="s">
        <v>637</v>
      </c>
      <c r="E79" s="325">
        <v>3000</v>
      </c>
      <c r="F79" s="325"/>
      <c r="G79" s="325"/>
    </row>
    <row r="80" spans="1:7" ht="27" customHeight="1" x14ac:dyDescent="0.25">
      <c r="A80" s="325">
        <v>73</v>
      </c>
      <c r="B80" s="325" t="s">
        <v>638</v>
      </c>
      <c r="C80" s="325" t="s">
        <v>565</v>
      </c>
      <c r="D80" s="328" t="s">
        <v>55</v>
      </c>
      <c r="E80" s="325">
        <v>30982</v>
      </c>
      <c r="F80" s="325"/>
      <c r="G80" s="325"/>
    </row>
    <row r="81" spans="1:7" ht="27" customHeight="1" x14ac:dyDescent="0.25">
      <c r="A81" s="325">
        <v>74</v>
      </c>
      <c r="B81" s="325" t="s">
        <v>639</v>
      </c>
      <c r="C81" s="325" t="s">
        <v>553</v>
      </c>
      <c r="D81" s="328" t="s">
        <v>56</v>
      </c>
      <c r="E81" s="325">
        <v>1800</v>
      </c>
      <c r="F81" s="325"/>
      <c r="G81" s="325"/>
    </row>
    <row r="82" spans="1:7" ht="27" customHeight="1" x14ac:dyDescent="0.25">
      <c r="A82" s="325">
        <v>75</v>
      </c>
      <c r="B82" s="325" t="s">
        <v>640</v>
      </c>
      <c r="C82" s="325" t="s">
        <v>562</v>
      </c>
      <c r="D82" s="328" t="s">
        <v>641</v>
      </c>
      <c r="E82" s="325">
        <v>7616</v>
      </c>
      <c r="F82" s="325"/>
      <c r="G82" s="325"/>
    </row>
    <row r="83" spans="1:7" ht="27" customHeight="1" x14ac:dyDescent="0.25">
      <c r="A83" s="325">
        <v>76</v>
      </c>
      <c r="B83" s="325" t="s">
        <v>642</v>
      </c>
      <c r="C83" s="325" t="s">
        <v>582</v>
      </c>
      <c r="D83" s="328" t="s">
        <v>57</v>
      </c>
      <c r="E83" s="325">
        <v>44878</v>
      </c>
      <c r="F83" s="325"/>
      <c r="G83" s="325"/>
    </row>
    <row r="84" spans="1:7" ht="27" customHeight="1" x14ac:dyDescent="0.25">
      <c r="A84" s="325">
        <v>77</v>
      </c>
      <c r="B84" s="325" t="s">
        <v>643</v>
      </c>
      <c r="C84" s="325" t="s">
        <v>553</v>
      </c>
      <c r="D84" s="328" t="s">
        <v>58</v>
      </c>
      <c r="E84" s="325">
        <v>5710</v>
      </c>
      <c r="F84" s="325"/>
      <c r="G84" s="325"/>
    </row>
    <row r="85" spans="1:7" ht="27" customHeight="1" x14ac:dyDescent="0.25">
      <c r="A85" s="325">
        <v>78</v>
      </c>
      <c r="B85" s="325" t="s">
        <v>642</v>
      </c>
      <c r="C85" s="325" t="s">
        <v>562</v>
      </c>
      <c r="D85" s="328" t="s">
        <v>644</v>
      </c>
      <c r="E85" s="325">
        <v>13930</v>
      </c>
      <c r="F85" s="325"/>
      <c r="G85" s="325"/>
    </row>
    <row r="86" spans="1:7" ht="33.75" customHeight="1" x14ac:dyDescent="0.25">
      <c r="A86" s="325">
        <v>79</v>
      </c>
      <c r="B86" s="325"/>
      <c r="C86" s="325" t="s">
        <v>562</v>
      </c>
      <c r="D86" s="328" t="s">
        <v>529</v>
      </c>
      <c r="E86" s="325">
        <v>1093</v>
      </c>
      <c r="F86" s="325"/>
      <c r="G86" s="325"/>
    </row>
    <row r="87" spans="1:7" ht="27" customHeight="1" x14ac:dyDescent="0.25">
      <c r="A87" s="325">
        <v>80</v>
      </c>
      <c r="B87" s="325" t="s">
        <v>645</v>
      </c>
      <c r="C87" s="325" t="s">
        <v>565</v>
      </c>
      <c r="D87" s="328" t="s">
        <v>332</v>
      </c>
      <c r="E87" s="325">
        <v>33217</v>
      </c>
      <c r="F87" s="325"/>
      <c r="G87" s="325"/>
    </row>
    <row r="88" spans="1:7" ht="27" customHeight="1" x14ac:dyDescent="0.25">
      <c r="A88" s="325">
        <v>81</v>
      </c>
      <c r="B88" s="325" t="s">
        <v>608</v>
      </c>
      <c r="C88" s="325" t="s">
        <v>565</v>
      </c>
      <c r="D88" s="328" t="s">
        <v>333</v>
      </c>
      <c r="E88" s="325">
        <v>16406</v>
      </c>
      <c r="F88" s="327"/>
      <c r="G88" s="327"/>
    </row>
    <row r="89" spans="1:7" ht="27" customHeight="1" x14ac:dyDescent="0.25">
      <c r="A89" s="325">
        <v>82</v>
      </c>
      <c r="B89" s="325" t="s">
        <v>646</v>
      </c>
      <c r="C89" s="325" t="s">
        <v>553</v>
      </c>
      <c r="D89" s="328" t="s">
        <v>59</v>
      </c>
      <c r="E89" s="325">
        <v>32441</v>
      </c>
      <c r="F89" s="327"/>
      <c r="G89" s="327"/>
    </row>
    <row r="90" spans="1:7" ht="27" customHeight="1" x14ac:dyDescent="0.25">
      <c r="A90" s="325">
        <v>83</v>
      </c>
      <c r="B90" s="325" t="s">
        <v>647</v>
      </c>
      <c r="C90" s="325" t="s">
        <v>582</v>
      </c>
      <c r="D90" s="328" t="s">
        <v>60</v>
      </c>
      <c r="E90" s="325">
        <v>32781</v>
      </c>
      <c r="F90" s="325">
        <v>6544</v>
      </c>
      <c r="G90" s="327"/>
    </row>
    <row r="91" spans="1:7" ht="27" customHeight="1" x14ac:dyDescent="0.25">
      <c r="A91" s="325">
        <v>84</v>
      </c>
      <c r="B91" s="325" t="s">
        <v>648</v>
      </c>
      <c r="C91" s="325" t="s">
        <v>562</v>
      </c>
      <c r="D91" s="328" t="s">
        <v>649</v>
      </c>
      <c r="E91" s="325">
        <v>22040</v>
      </c>
      <c r="F91" s="327"/>
      <c r="G91" s="327"/>
    </row>
    <row r="92" spans="1:7" ht="27" customHeight="1" x14ac:dyDescent="0.25">
      <c r="A92" s="325">
        <v>85</v>
      </c>
      <c r="B92" s="325" t="s">
        <v>650</v>
      </c>
      <c r="C92" s="325" t="s">
        <v>553</v>
      </c>
      <c r="D92" s="328" t="s">
        <v>651</v>
      </c>
      <c r="E92" s="325">
        <v>11000</v>
      </c>
      <c r="F92" s="327"/>
      <c r="G92" s="327"/>
    </row>
    <row r="93" spans="1:7" ht="27" customHeight="1" x14ac:dyDescent="0.25">
      <c r="A93" s="325">
        <v>86</v>
      </c>
      <c r="B93" s="325" t="s">
        <v>652</v>
      </c>
      <c r="C93" s="325" t="s">
        <v>553</v>
      </c>
      <c r="D93" s="328" t="s">
        <v>530</v>
      </c>
      <c r="E93" s="325">
        <v>3838</v>
      </c>
      <c r="F93" s="327"/>
      <c r="G93" s="327"/>
    </row>
    <row r="94" spans="1:7" ht="27" customHeight="1" x14ac:dyDescent="0.25">
      <c r="A94" s="325">
        <v>87</v>
      </c>
      <c r="B94" s="325" t="s">
        <v>653</v>
      </c>
      <c r="C94" s="325" t="s">
        <v>553</v>
      </c>
      <c r="D94" s="328" t="s">
        <v>61</v>
      </c>
      <c r="E94" s="325">
        <v>25220</v>
      </c>
      <c r="F94" s="325"/>
      <c r="G94" s="325"/>
    </row>
    <row r="95" spans="1:7" ht="27" customHeight="1" x14ac:dyDescent="0.25">
      <c r="A95" s="325">
        <v>88</v>
      </c>
      <c r="B95" s="325" t="s">
        <v>654</v>
      </c>
      <c r="C95" s="325" t="s">
        <v>553</v>
      </c>
      <c r="D95" s="328" t="s">
        <v>62</v>
      </c>
      <c r="E95" s="325">
        <v>15142</v>
      </c>
      <c r="F95" s="325"/>
      <c r="G95" s="325"/>
    </row>
    <row r="96" spans="1:7" ht="27" customHeight="1" x14ac:dyDescent="0.25">
      <c r="A96" s="325">
        <v>89</v>
      </c>
      <c r="B96" s="325" t="s">
        <v>655</v>
      </c>
      <c r="C96" s="325" t="s">
        <v>553</v>
      </c>
      <c r="D96" s="328" t="s">
        <v>63</v>
      </c>
      <c r="E96" s="325">
        <v>14590</v>
      </c>
      <c r="F96" s="325"/>
      <c r="G96" s="325"/>
    </row>
    <row r="97" spans="1:8" ht="27" customHeight="1" x14ac:dyDescent="0.25">
      <c r="A97" s="325">
        <v>90</v>
      </c>
      <c r="B97" s="325" t="s">
        <v>656</v>
      </c>
      <c r="C97" s="325" t="s">
        <v>553</v>
      </c>
      <c r="D97" s="328" t="s">
        <v>64</v>
      </c>
      <c r="E97" s="325">
        <v>11014</v>
      </c>
      <c r="F97" s="325"/>
      <c r="G97" s="325"/>
    </row>
    <row r="98" spans="1:8" ht="27" customHeight="1" x14ac:dyDescent="0.25">
      <c r="A98" s="325">
        <v>91</v>
      </c>
      <c r="B98" s="325" t="s">
        <v>657</v>
      </c>
      <c r="C98" s="325" t="s">
        <v>553</v>
      </c>
      <c r="D98" s="328" t="s">
        <v>65</v>
      </c>
      <c r="E98" s="325">
        <v>28684</v>
      </c>
      <c r="F98" s="325"/>
      <c r="G98" s="325"/>
    </row>
    <row r="99" spans="1:8" ht="27" customHeight="1" x14ac:dyDescent="0.25">
      <c r="A99" s="325">
        <v>92</v>
      </c>
      <c r="B99" s="325" t="s">
        <v>658</v>
      </c>
      <c r="C99" s="325" t="s">
        <v>553</v>
      </c>
      <c r="D99" s="328" t="s">
        <v>66</v>
      </c>
      <c r="E99" s="325">
        <v>14621</v>
      </c>
      <c r="F99" s="325"/>
      <c r="G99" s="325"/>
    </row>
    <row r="100" spans="1:8" ht="27" customHeight="1" x14ac:dyDescent="0.25">
      <c r="A100" s="325">
        <v>93</v>
      </c>
      <c r="B100" s="325" t="s">
        <v>659</v>
      </c>
      <c r="C100" s="325" t="s">
        <v>553</v>
      </c>
      <c r="D100" s="328" t="s">
        <v>67</v>
      </c>
      <c r="E100" s="325">
        <v>16531</v>
      </c>
      <c r="F100" s="325"/>
      <c r="G100" s="325"/>
    </row>
    <row r="101" spans="1:8" ht="27" customHeight="1" x14ac:dyDescent="0.25">
      <c r="A101" s="325">
        <v>94</v>
      </c>
      <c r="B101" s="325" t="s">
        <v>660</v>
      </c>
      <c r="C101" s="325" t="s">
        <v>565</v>
      </c>
      <c r="D101" s="328" t="s">
        <v>375</v>
      </c>
      <c r="E101" s="325">
        <v>37331</v>
      </c>
      <c r="F101" s="325">
        <v>9241</v>
      </c>
      <c r="G101" s="325"/>
    </row>
    <row r="102" spans="1:8" ht="27" customHeight="1" x14ac:dyDescent="0.25">
      <c r="A102" s="325">
        <v>95</v>
      </c>
      <c r="B102" s="325" t="s">
        <v>661</v>
      </c>
      <c r="C102" s="325" t="s">
        <v>553</v>
      </c>
      <c r="D102" s="328" t="s">
        <v>68</v>
      </c>
      <c r="E102" s="325">
        <v>9837</v>
      </c>
      <c r="F102" s="325"/>
      <c r="G102" s="325"/>
    </row>
    <row r="103" spans="1:8" ht="27" customHeight="1" x14ac:dyDescent="0.25">
      <c r="A103" s="325">
        <v>96</v>
      </c>
      <c r="B103" s="325" t="s">
        <v>662</v>
      </c>
      <c r="C103" s="325" t="s">
        <v>553</v>
      </c>
      <c r="D103" s="328" t="s">
        <v>69</v>
      </c>
      <c r="E103" s="325">
        <v>28000</v>
      </c>
      <c r="F103" s="325"/>
      <c r="G103" s="325"/>
    </row>
    <row r="104" spans="1:8" ht="27" customHeight="1" x14ac:dyDescent="0.25">
      <c r="A104" s="325">
        <v>97</v>
      </c>
      <c r="B104" s="325" t="s">
        <v>663</v>
      </c>
      <c r="C104" s="325" t="s">
        <v>553</v>
      </c>
      <c r="D104" s="328" t="s">
        <v>70</v>
      </c>
      <c r="E104" s="325">
        <v>12904</v>
      </c>
      <c r="F104" s="325"/>
      <c r="G104" s="325"/>
    </row>
    <row r="105" spans="1:8" ht="27" customHeight="1" x14ac:dyDescent="0.25">
      <c r="A105" s="325">
        <v>98</v>
      </c>
      <c r="B105" s="325" t="s">
        <v>664</v>
      </c>
      <c r="C105" s="325" t="s">
        <v>553</v>
      </c>
      <c r="D105" s="328" t="s">
        <v>71</v>
      </c>
      <c r="E105" s="325">
        <v>12543</v>
      </c>
      <c r="F105" s="325"/>
      <c r="G105" s="325"/>
    </row>
    <row r="106" spans="1:8" ht="27" customHeight="1" x14ac:dyDescent="0.25">
      <c r="A106" s="325">
        <v>99</v>
      </c>
      <c r="B106" s="325" t="s">
        <v>665</v>
      </c>
      <c r="C106" s="325" t="s">
        <v>553</v>
      </c>
      <c r="D106" s="328" t="s">
        <v>72</v>
      </c>
      <c r="E106" s="325">
        <v>8052</v>
      </c>
      <c r="F106" s="325"/>
      <c r="G106" s="325"/>
    </row>
    <row r="107" spans="1:8" ht="27" customHeight="1" x14ac:dyDescent="0.25">
      <c r="A107" s="325">
        <v>100</v>
      </c>
      <c r="B107" s="325" t="s">
        <v>666</v>
      </c>
      <c r="C107" s="325" t="s">
        <v>562</v>
      </c>
      <c r="D107" s="328" t="s">
        <v>73</v>
      </c>
      <c r="E107" s="325">
        <v>14053</v>
      </c>
      <c r="F107" s="325"/>
      <c r="G107" s="325"/>
    </row>
    <row r="108" spans="1:8" ht="27" customHeight="1" x14ac:dyDescent="0.25">
      <c r="A108" s="325">
        <v>101</v>
      </c>
      <c r="B108" s="325" t="s">
        <v>667</v>
      </c>
      <c r="C108" s="325" t="s">
        <v>582</v>
      </c>
      <c r="D108" s="328" t="s">
        <v>74</v>
      </c>
      <c r="E108" s="325">
        <v>45477</v>
      </c>
      <c r="F108" s="325">
        <v>27314</v>
      </c>
      <c r="G108" s="325">
        <v>14432</v>
      </c>
    </row>
    <row r="109" spans="1:8" ht="27" customHeight="1" x14ac:dyDescent="0.25">
      <c r="A109" s="325">
        <v>102</v>
      </c>
      <c r="B109" s="325" t="s">
        <v>668</v>
      </c>
      <c r="C109" s="325" t="s">
        <v>553</v>
      </c>
      <c r="D109" s="328" t="s">
        <v>75</v>
      </c>
      <c r="E109" s="325">
        <f>6730-5608</f>
        <v>1122</v>
      </c>
      <c r="F109" s="325"/>
      <c r="G109" s="325"/>
      <c r="H109" s="329"/>
    </row>
    <row r="110" spans="1:8" ht="35.25" customHeight="1" x14ac:dyDescent="0.25">
      <c r="A110" s="553">
        <v>103</v>
      </c>
      <c r="B110" s="325"/>
      <c r="C110" s="325"/>
      <c r="D110" s="328" t="s">
        <v>669</v>
      </c>
      <c r="E110" s="325">
        <v>5608</v>
      </c>
      <c r="F110" s="325"/>
      <c r="G110" s="325"/>
    </row>
    <row r="111" spans="1:8" ht="27" customHeight="1" x14ac:dyDescent="0.25">
      <c r="A111" s="554"/>
      <c r="B111" s="325" t="s">
        <v>670</v>
      </c>
      <c r="C111" s="325" t="s">
        <v>582</v>
      </c>
      <c r="D111" s="328" t="s">
        <v>76</v>
      </c>
      <c r="E111" s="325">
        <v>42574</v>
      </c>
      <c r="F111" s="325"/>
      <c r="G111" s="325"/>
    </row>
    <row r="112" spans="1:8" ht="27" customHeight="1" x14ac:dyDescent="0.25">
      <c r="A112" s="325">
        <v>104</v>
      </c>
      <c r="B112" s="325" t="s">
        <v>671</v>
      </c>
      <c r="C112" s="325" t="s">
        <v>672</v>
      </c>
      <c r="D112" s="328" t="s">
        <v>77</v>
      </c>
      <c r="E112" s="325">
        <v>15932</v>
      </c>
      <c r="F112" s="325"/>
      <c r="G112" s="325"/>
    </row>
    <row r="113" spans="1:7" ht="27" customHeight="1" x14ac:dyDescent="0.25">
      <c r="A113" s="325">
        <v>105</v>
      </c>
      <c r="B113" s="325" t="s">
        <v>673</v>
      </c>
      <c r="C113" s="325" t="s">
        <v>562</v>
      </c>
      <c r="D113" s="328" t="s">
        <v>78</v>
      </c>
      <c r="E113" s="325">
        <v>41449</v>
      </c>
      <c r="F113" s="325">
        <v>25272</v>
      </c>
      <c r="G113" s="325"/>
    </row>
    <row r="114" spans="1:7" ht="27" customHeight="1" x14ac:dyDescent="0.25">
      <c r="A114" s="325">
        <v>106</v>
      </c>
      <c r="B114" s="325" t="s">
        <v>674</v>
      </c>
      <c r="C114" s="325" t="s">
        <v>672</v>
      </c>
      <c r="D114" s="328" t="s">
        <v>79</v>
      </c>
      <c r="E114" s="325">
        <v>30005</v>
      </c>
      <c r="F114" s="325"/>
      <c r="G114" s="325"/>
    </row>
    <row r="115" spans="1:7" ht="27" customHeight="1" x14ac:dyDescent="0.25">
      <c r="A115" s="325">
        <v>107</v>
      </c>
      <c r="B115" s="325" t="s">
        <v>675</v>
      </c>
      <c r="C115" s="325" t="s">
        <v>553</v>
      </c>
      <c r="D115" s="328" t="s">
        <v>80</v>
      </c>
      <c r="E115" s="325">
        <v>11163</v>
      </c>
      <c r="F115" s="325"/>
      <c r="G115" s="325"/>
    </row>
    <row r="116" spans="1:7" ht="27" customHeight="1" x14ac:dyDescent="0.25">
      <c r="A116" s="325">
        <v>108</v>
      </c>
      <c r="B116" s="325" t="s">
        <v>676</v>
      </c>
      <c r="C116" s="325" t="s">
        <v>553</v>
      </c>
      <c r="D116" s="328" t="s">
        <v>81</v>
      </c>
      <c r="E116" s="325">
        <v>9539</v>
      </c>
      <c r="F116" s="325"/>
      <c r="G116" s="325"/>
    </row>
    <row r="117" spans="1:7" ht="27" customHeight="1" x14ac:dyDescent="0.25">
      <c r="A117" s="325">
        <v>109</v>
      </c>
      <c r="B117" s="325" t="s">
        <v>677</v>
      </c>
      <c r="C117" s="325" t="s">
        <v>553</v>
      </c>
      <c r="D117" s="328" t="s">
        <v>82</v>
      </c>
      <c r="E117" s="325">
        <v>26459</v>
      </c>
      <c r="F117" s="325">
        <v>13311</v>
      </c>
      <c r="G117" s="325"/>
    </row>
    <row r="118" spans="1:7" ht="27" customHeight="1" x14ac:dyDescent="0.25">
      <c r="A118" s="325">
        <v>110</v>
      </c>
      <c r="B118" s="325" t="s">
        <v>678</v>
      </c>
      <c r="C118" s="325" t="s">
        <v>553</v>
      </c>
      <c r="D118" s="328" t="s">
        <v>83</v>
      </c>
      <c r="E118" s="325">
        <v>28531</v>
      </c>
      <c r="F118" s="325">
        <v>12511</v>
      </c>
      <c r="G118" s="325"/>
    </row>
    <row r="119" spans="1:7" ht="27" customHeight="1" x14ac:dyDescent="0.25">
      <c r="A119" s="325">
        <v>111</v>
      </c>
      <c r="B119" s="325" t="s">
        <v>679</v>
      </c>
      <c r="C119" s="325" t="s">
        <v>553</v>
      </c>
      <c r="D119" s="328" t="s">
        <v>84</v>
      </c>
      <c r="E119" s="325">
        <v>5997</v>
      </c>
      <c r="F119" s="325"/>
      <c r="G119" s="325"/>
    </row>
    <row r="120" spans="1:7" ht="27" customHeight="1" x14ac:dyDescent="0.25">
      <c r="A120" s="325">
        <v>112</v>
      </c>
      <c r="B120" s="325" t="s">
        <v>680</v>
      </c>
      <c r="C120" s="325" t="s">
        <v>553</v>
      </c>
      <c r="D120" s="328" t="s">
        <v>85</v>
      </c>
      <c r="E120" s="325">
        <v>9725</v>
      </c>
      <c r="F120" s="325"/>
      <c r="G120" s="325"/>
    </row>
    <row r="121" spans="1:7" ht="27" customHeight="1" x14ac:dyDescent="0.25">
      <c r="A121" s="325">
        <v>113</v>
      </c>
      <c r="B121" s="325" t="s">
        <v>681</v>
      </c>
      <c r="C121" s="325" t="s">
        <v>553</v>
      </c>
      <c r="D121" s="328" t="s">
        <v>86</v>
      </c>
      <c r="E121" s="325">
        <v>23001</v>
      </c>
      <c r="F121" s="325"/>
      <c r="G121" s="325"/>
    </row>
    <row r="122" spans="1:7" ht="27" customHeight="1" x14ac:dyDescent="0.25">
      <c r="A122" s="325">
        <v>114</v>
      </c>
      <c r="B122" s="325" t="s">
        <v>682</v>
      </c>
      <c r="C122" s="325" t="s">
        <v>553</v>
      </c>
      <c r="D122" s="328" t="s">
        <v>683</v>
      </c>
      <c r="E122" s="325">
        <v>50</v>
      </c>
      <c r="F122" s="325"/>
      <c r="G122" s="325"/>
    </row>
    <row r="123" spans="1:7" ht="27" customHeight="1" x14ac:dyDescent="0.25">
      <c r="A123" s="325">
        <v>115</v>
      </c>
      <c r="B123" s="326" t="s">
        <v>684</v>
      </c>
      <c r="C123" s="325" t="s">
        <v>553</v>
      </c>
      <c r="D123" s="328" t="s">
        <v>685</v>
      </c>
      <c r="E123" s="325">
        <v>25</v>
      </c>
      <c r="F123" s="325"/>
      <c r="G123" s="325"/>
    </row>
    <row r="124" spans="1:7" ht="27" customHeight="1" x14ac:dyDescent="0.25">
      <c r="A124" s="325">
        <v>116</v>
      </c>
      <c r="B124" s="326" t="s">
        <v>686</v>
      </c>
      <c r="C124" s="325" t="s">
        <v>553</v>
      </c>
      <c r="D124" s="328" t="s">
        <v>687</v>
      </c>
      <c r="E124" s="325">
        <v>25</v>
      </c>
      <c r="F124" s="325"/>
      <c r="G124" s="325"/>
    </row>
    <row r="125" spans="1:7" ht="27" customHeight="1" x14ac:dyDescent="0.25">
      <c r="A125" s="325">
        <v>117</v>
      </c>
      <c r="B125" s="326"/>
      <c r="C125" s="325" t="s">
        <v>553</v>
      </c>
      <c r="D125" s="328" t="s">
        <v>688</v>
      </c>
      <c r="E125" s="325">
        <v>25</v>
      </c>
      <c r="F125" s="325"/>
      <c r="G125" s="325"/>
    </row>
    <row r="126" spans="1:7" ht="27" customHeight="1" x14ac:dyDescent="0.25">
      <c r="A126" s="325">
        <v>118</v>
      </c>
      <c r="B126" s="326"/>
      <c r="C126" s="325" t="s">
        <v>553</v>
      </c>
      <c r="D126" s="328" t="s">
        <v>406</v>
      </c>
      <c r="E126" s="325">
        <v>24</v>
      </c>
      <c r="F126" s="325"/>
      <c r="G126" s="325"/>
    </row>
    <row r="127" spans="1:7" ht="27" customHeight="1" x14ac:dyDescent="0.25">
      <c r="A127" s="325">
        <v>119</v>
      </c>
      <c r="B127" s="326"/>
      <c r="C127" s="325"/>
      <c r="D127" s="328" t="s">
        <v>689</v>
      </c>
      <c r="E127" s="325">
        <f>25-25</f>
        <v>0</v>
      </c>
      <c r="F127" s="325"/>
      <c r="G127" s="325"/>
    </row>
    <row r="128" spans="1:7" ht="27" customHeight="1" x14ac:dyDescent="0.25">
      <c r="A128" s="325">
        <v>120</v>
      </c>
      <c r="B128" s="325" t="s">
        <v>690</v>
      </c>
      <c r="C128" s="325" t="s">
        <v>553</v>
      </c>
      <c r="D128" s="328" t="s">
        <v>356</v>
      </c>
      <c r="E128" s="325">
        <v>2245</v>
      </c>
      <c r="F128" s="325"/>
      <c r="G128" s="325"/>
    </row>
    <row r="129" spans="1:7" ht="27" customHeight="1" x14ac:dyDescent="0.25">
      <c r="A129" s="325">
        <v>121</v>
      </c>
      <c r="B129" s="325" t="s">
        <v>691</v>
      </c>
      <c r="C129" s="325" t="s">
        <v>562</v>
      </c>
      <c r="D129" s="328" t="s">
        <v>533</v>
      </c>
      <c r="E129" s="325">
        <v>7270</v>
      </c>
      <c r="F129" s="325"/>
      <c r="G129" s="325"/>
    </row>
    <row r="130" spans="1:7" ht="27" customHeight="1" x14ac:dyDescent="0.25">
      <c r="A130" s="325">
        <v>122</v>
      </c>
      <c r="B130" s="325" t="s">
        <v>692</v>
      </c>
      <c r="C130" s="325" t="s">
        <v>693</v>
      </c>
      <c r="D130" s="328" t="s">
        <v>87</v>
      </c>
      <c r="E130" s="325">
        <v>4028</v>
      </c>
      <c r="F130" s="325"/>
      <c r="G130" s="325"/>
    </row>
    <row r="131" spans="1:7" ht="27" customHeight="1" x14ac:dyDescent="0.25">
      <c r="A131" s="325">
        <v>123</v>
      </c>
      <c r="B131" s="325" t="s">
        <v>694</v>
      </c>
      <c r="C131" s="325" t="s">
        <v>672</v>
      </c>
      <c r="D131" s="328" t="s">
        <v>695</v>
      </c>
      <c r="E131" s="325">
        <v>12716</v>
      </c>
      <c r="F131" s="325"/>
      <c r="G131" s="325">
        <v>12716</v>
      </c>
    </row>
    <row r="132" spans="1:7" s="330" customFormat="1" ht="27" customHeight="1" x14ac:dyDescent="0.25">
      <c r="A132" s="325">
        <v>124</v>
      </c>
      <c r="B132" s="325" t="s">
        <v>696</v>
      </c>
      <c r="C132" s="325" t="s">
        <v>697</v>
      </c>
      <c r="D132" s="328" t="s">
        <v>88</v>
      </c>
      <c r="E132" s="325">
        <v>23850</v>
      </c>
      <c r="F132" s="325">
        <v>19974</v>
      </c>
      <c r="G132" s="325"/>
    </row>
    <row r="133" spans="1:7" ht="27" customHeight="1" x14ac:dyDescent="0.25">
      <c r="A133" s="325">
        <v>125</v>
      </c>
      <c r="B133" s="325" t="s">
        <v>612</v>
      </c>
      <c r="C133" s="325" t="s">
        <v>672</v>
      </c>
      <c r="D133" s="328" t="s">
        <v>698</v>
      </c>
      <c r="E133" s="325">
        <v>49841</v>
      </c>
      <c r="F133" s="325">
        <v>36789</v>
      </c>
      <c r="G133" s="325"/>
    </row>
    <row r="134" spans="1:7" ht="27" customHeight="1" x14ac:dyDescent="0.25">
      <c r="A134" s="325">
        <v>126</v>
      </c>
      <c r="B134" s="325" t="s">
        <v>699</v>
      </c>
      <c r="C134" s="325" t="s">
        <v>672</v>
      </c>
      <c r="D134" s="328" t="s">
        <v>89</v>
      </c>
      <c r="E134" s="325">
        <v>30000</v>
      </c>
      <c r="F134" s="325"/>
      <c r="G134" s="325"/>
    </row>
    <row r="135" spans="1:7" ht="27" customHeight="1" x14ac:dyDescent="0.25">
      <c r="A135" s="325">
        <v>127</v>
      </c>
      <c r="B135" s="325" t="s">
        <v>700</v>
      </c>
      <c r="C135" s="325" t="s">
        <v>672</v>
      </c>
      <c r="D135" s="328" t="s">
        <v>90</v>
      </c>
      <c r="E135" s="325">
        <v>4000</v>
      </c>
      <c r="F135" s="325"/>
      <c r="G135" s="325"/>
    </row>
    <row r="136" spans="1:7" ht="27" customHeight="1" x14ac:dyDescent="0.25">
      <c r="A136" s="325"/>
      <c r="B136" s="325" t="s">
        <v>701</v>
      </c>
      <c r="C136" s="325" t="s">
        <v>701</v>
      </c>
      <c r="D136" s="328" t="s">
        <v>91</v>
      </c>
      <c r="E136" s="325">
        <f>9154+25</f>
        <v>9179</v>
      </c>
      <c r="F136" s="325"/>
      <c r="G136" s="325"/>
    </row>
    <row r="137" spans="1:7" s="333" customFormat="1" ht="26.25" customHeight="1" x14ac:dyDescent="0.25">
      <c r="A137" s="331"/>
      <c r="B137" s="331"/>
      <c r="C137" s="331"/>
      <c r="D137" s="332" t="s">
        <v>146</v>
      </c>
      <c r="E137" s="331">
        <f>SUM(E8:E136)</f>
        <v>2175000</v>
      </c>
      <c r="F137" s="331">
        <f t="shared" ref="F137:G137" si="0">SUM(F8:F136)</f>
        <v>150956</v>
      </c>
      <c r="G137" s="331">
        <f t="shared" si="0"/>
        <v>27148</v>
      </c>
    </row>
  </sheetData>
  <mergeCells count="8">
    <mergeCell ref="A110:A111"/>
    <mergeCell ref="A2:G2"/>
    <mergeCell ref="A4:A5"/>
    <mergeCell ref="B4:B5"/>
    <mergeCell ref="C4:C5"/>
    <mergeCell ref="D4:D5"/>
    <mergeCell ref="E4:E5"/>
    <mergeCell ref="F4:G4"/>
  </mergeCells>
  <conditionalFormatting sqref="D1 D3:D4 D6:D7 E6:G6 D163:D1048576 D137:D161">
    <cfRule type="containsText" dxfId="0" priority="1" operator="containsText" text="агид">
      <formula>NOT(ISERROR(SEARCH("агид",D1)))</formula>
    </cfRule>
  </conditionalFormatting>
  <pageMargins left="0.78740157480314965" right="0" top="0" bottom="0" header="0.31496062992125984" footer="0.31496062992125984"/>
  <pageSetup paperSize="9" scale="69" fitToHeight="5" orientation="portrait" r:id="rId1"/>
  <rowBreaks count="1" manualBreakCount="1">
    <brk id="50" max="3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workbookViewId="0">
      <pane xSplit="2" ySplit="9" topLeftCell="C100" activePane="bottomRight" state="frozen"/>
      <selection pane="topRight" activeCell="C1" sqref="C1"/>
      <selection pane="bottomLeft" activeCell="A10" sqref="A10"/>
      <selection pane="bottomRight" activeCell="D165" sqref="D165"/>
    </sheetView>
  </sheetViews>
  <sheetFormatPr defaultRowHeight="12.75" x14ac:dyDescent="0.2"/>
  <cols>
    <col min="1" max="1" width="4.28515625" style="1" customWidth="1"/>
    <col min="2" max="2" width="34.28515625" style="1" customWidth="1"/>
    <col min="3" max="3" width="10.42578125" style="1" customWidth="1"/>
    <col min="4" max="4" width="10.5703125" style="1" customWidth="1"/>
    <col min="5" max="5" width="23.140625" style="1" customWidth="1"/>
    <col min="6" max="6" width="17.85546875" style="1" customWidth="1"/>
    <col min="7" max="7" width="12" style="1" customWidth="1"/>
    <col min="8" max="8" width="14.7109375" style="1" customWidth="1"/>
    <col min="9" max="9" width="16.140625" style="1" customWidth="1"/>
    <col min="10" max="10" width="14" style="1" customWidth="1"/>
    <col min="11" max="11" width="4.85546875" style="1" customWidth="1"/>
    <col min="12" max="16384" width="9.140625" style="1"/>
  </cols>
  <sheetData>
    <row r="1" spans="1:12" ht="33.75" customHeight="1" x14ac:dyDescent="0.2">
      <c r="A1" s="557" t="s">
        <v>702</v>
      </c>
      <c r="B1" s="557"/>
      <c r="C1" s="557"/>
      <c r="D1" s="557"/>
      <c r="E1" s="557"/>
      <c r="F1" s="557"/>
      <c r="G1" s="557"/>
      <c r="H1" s="557"/>
      <c r="I1" s="557"/>
      <c r="J1" s="557"/>
      <c r="K1" s="352"/>
    </row>
    <row r="2" spans="1:12" x14ac:dyDescent="0.2">
      <c r="A2" s="2"/>
      <c r="K2" s="353"/>
    </row>
    <row r="3" spans="1:12" s="355" customFormat="1" ht="15.75" customHeight="1" x14ac:dyDescent="0.2">
      <c r="A3" s="558" t="s">
        <v>0</v>
      </c>
      <c r="B3" s="558" t="s">
        <v>94</v>
      </c>
      <c r="C3" s="559" t="s">
        <v>703</v>
      </c>
      <c r="D3" s="558" t="s">
        <v>96</v>
      </c>
      <c r="E3" s="558"/>
      <c r="F3" s="558"/>
      <c r="G3" s="558"/>
      <c r="H3" s="558"/>
      <c r="I3" s="558"/>
      <c r="J3" s="558"/>
      <c r="K3" s="354"/>
    </row>
    <row r="4" spans="1:12" s="355" customFormat="1" ht="36" customHeight="1" x14ac:dyDescent="0.2">
      <c r="A4" s="558"/>
      <c r="B4" s="558"/>
      <c r="C4" s="560"/>
      <c r="D4" s="558" t="s">
        <v>704</v>
      </c>
      <c r="E4" s="558"/>
      <c r="F4" s="558"/>
      <c r="G4" s="558" t="s">
        <v>705</v>
      </c>
      <c r="H4" s="558"/>
      <c r="I4" s="558"/>
      <c r="J4" s="562" t="s">
        <v>706</v>
      </c>
      <c r="K4" s="356"/>
    </row>
    <row r="5" spans="1:12" s="355" customFormat="1" x14ac:dyDescent="0.2">
      <c r="A5" s="558"/>
      <c r="B5" s="558"/>
      <c r="C5" s="560"/>
      <c r="D5" s="559" t="s">
        <v>95</v>
      </c>
      <c r="E5" s="565" t="s">
        <v>96</v>
      </c>
      <c r="F5" s="566"/>
      <c r="G5" s="559" t="s">
        <v>95</v>
      </c>
      <c r="H5" s="558" t="s">
        <v>454</v>
      </c>
      <c r="I5" s="558"/>
      <c r="J5" s="563"/>
      <c r="K5" s="356"/>
    </row>
    <row r="6" spans="1:12" s="355" customFormat="1" ht="12.75" customHeight="1" x14ac:dyDescent="0.2">
      <c r="A6" s="558"/>
      <c r="B6" s="558"/>
      <c r="C6" s="560"/>
      <c r="D6" s="560"/>
      <c r="E6" s="567" t="s">
        <v>707</v>
      </c>
      <c r="F6" s="559" t="s">
        <v>708</v>
      </c>
      <c r="G6" s="560"/>
      <c r="H6" s="559" t="s">
        <v>709</v>
      </c>
      <c r="I6" s="558" t="s">
        <v>710</v>
      </c>
      <c r="J6" s="563"/>
      <c r="K6" s="356"/>
    </row>
    <row r="7" spans="1:12" s="355" customFormat="1" ht="12.75" customHeight="1" x14ac:dyDescent="0.2">
      <c r="A7" s="558"/>
      <c r="B7" s="558"/>
      <c r="C7" s="560"/>
      <c r="D7" s="560"/>
      <c r="E7" s="568"/>
      <c r="F7" s="560"/>
      <c r="G7" s="560"/>
      <c r="H7" s="560"/>
      <c r="I7" s="558"/>
      <c r="J7" s="563"/>
      <c r="K7" s="356"/>
    </row>
    <row r="8" spans="1:12" s="355" customFormat="1" ht="60" customHeight="1" x14ac:dyDescent="0.2">
      <c r="A8" s="558"/>
      <c r="B8" s="558"/>
      <c r="C8" s="561"/>
      <c r="D8" s="561"/>
      <c r="E8" s="569"/>
      <c r="F8" s="561"/>
      <c r="G8" s="561"/>
      <c r="H8" s="561"/>
      <c r="I8" s="558"/>
      <c r="J8" s="564"/>
      <c r="K8" s="356"/>
    </row>
    <row r="9" spans="1:12" s="355" customFormat="1" x14ac:dyDescent="0.2">
      <c r="A9" s="336">
        <v>1</v>
      </c>
      <c r="B9" s="336">
        <v>2</v>
      </c>
      <c r="C9" s="336">
        <v>3</v>
      </c>
      <c r="D9" s="336">
        <v>4</v>
      </c>
      <c r="E9" s="336">
        <v>5</v>
      </c>
      <c r="F9" s="336">
        <v>6</v>
      </c>
      <c r="G9" s="336">
        <v>7</v>
      </c>
      <c r="H9" s="336">
        <v>8</v>
      </c>
      <c r="I9" s="336">
        <v>9</v>
      </c>
      <c r="J9" s="336">
        <v>10</v>
      </c>
      <c r="K9" s="356"/>
    </row>
    <row r="10" spans="1:12" x14ac:dyDescent="0.2">
      <c r="A10" s="81">
        <v>1</v>
      </c>
      <c r="B10" s="357" t="s">
        <v>13</v>
      </c>
      <c r="C10" s="358">
        <f>D10+G10+J10</f>
        <v>156449</v>
      </c>
      <c r="D10" s="358">
        <f>E10+F10</f>
        <v>15442</v>
      </c>
      <c r="E10" s="358">
        <v>2346</v>
      </c>
      <c r="F10" s="385">
        <v>13096</v>
      </c>
      <c r="G10" s="359">
        <f>H10+I10</f>
        <v>10514</v>
      </c>
      <c r="H10" s="358">
        <v>10010</v>
      </c>
      <c r="I10" s="358">
        <v>504</v>
      </c>
      <c r="J10" s="358">
        <f>'[3]Проф.иными цел.2020 Пр.109'!C10</f>
        <v>130493</v>
      </c>
      <c r="K10" s="360"/>
      <c r="L10" s="361"/>
    </row>
    <row r="11" spans="1:12" ht="25.5" x14ac:dyDescent="0.2">
      <c r="A11" s="81">
        <v>2</v>
      </c>
      <c r="B11" s="357" t="s">
        <v>99</v>
      </c>
      <c r="C11" s="358">
        <f t="shared" ref="C11:C74" si="0">D11+G11+J11</f>
        <v>6000</v>
      </c>
      <c r="D11" s="358">
        <f t="shared" ref="D11:D74" si="1">E11+F11</f>
        <v>0</v>
      </c>
      <c r="E11" s="358">
        <v>0</v>
      </c>
      <c r="F11" s="368">
        <v>0</v>
      </c>
      <c r="G11" s="359">
        <f t="shared" ref="G11:G74" si="2">H11+I11</f>
        <v>0</v>
      </c>
      <c r="H11" s="358">
        <v>0</v>
      </c>
      <c r="I11" s="358">
        <v>0</v>
      </c>
      <c r="J11" s="358">
        <f>'[3]Проф.иными цел.2020 Пр.109'!C11</f>
        <v>6000</v>
      </c>
      <c r="K11" s="360"/>
    </row>
    <row r="12" spans="1:12" s="361" customFormat="1" x14ac:dyDescent="0.2">
      <c r="A12" s="81">
        <v>3</v>
      </c>
      <c r="B12" s="362" t="s">
        <v>22</v>
      </c>
      <c r="C12" s="358">
        <f t="shared" si="0"/>
        <v>154481</v>
      </c>
      <c r="D12" s="358">
        <f t="shared" si="1"/>
        <v>14464</v>
      </c>
      <c r="E12" s="358">
        <v>2392</v>
      </c>
      <c r="F12" s="385">
        <v>12072</v>
      </c>
      <c r="G12" s="359">
        <f t="shared" si="2"/>
        <v>10372</v>
      </c>
      <c r="H12" s="358">
        <v>10204</v>
      </c>
      <c r="I12" s="358">
        <v>168</v>
      </c>
      <c r="J12" s="358">
        <f>'[3]Проф.иными цел.2020 Пр.109'!C12</f>
        <v>129645</v>
      </c>
      <c r="K12" s="360"/>
    </row>
    <row r="13" spans="1:12" s="361" customFormat="1" x14ac:dyDescent="0.2">
      <c r="A13" s="81">
        <v>4</v>
      </c>
      <c r="B13" s="362" t="s">
        <v>23</v>
      </c>
      <c r="C13" s="358">
        <f t="shared" si="0"/>
        <v>5340</v>
      </c>
      <c r="D13" s="358">
        <f t="shared" si="1"/>
        <v>0</v>
      </c>
      <c r="E13" s="358">
        <v>0</v>
      </c>
      <c r="F13" s="368">
        <v>0</v>
      </c>
      <c r="G13" s="359">
        <f t="shared" si="2"/>
        <v>0</v>
      </c>
      <c r="H13" s="358">
        <v>0</v>
      </c>
      <c r="I13" s="358">
        <v>0</v>
      </c>
      <c r="J13" s="358">
        <f>'[3]Проф.иными цел.2020 Пр.109'!C13</f>
        <v>5340</v>
      </c>
      <c r="K13" s="360"/>
    </row>
    <row r="14" spans="1:12" s="361" customFormat="1" x14ac:dyDescent="0.2">
      <c r="A14" s="570">
        <v>5</v>
      </c>
      <c r="B14" s="363" t="s">
        <v>100</v>
      </c>
      <c r="C14" s="358">
        <f t="shared" si="0"/>
        <v>371049</v>
      </c>
      <c r="D14" s="358">
        <f t="shared" si="1"/>
        <v>36728</v>
      </c>
      <c r="E14" s="358">
        <v>5565</v>
      </c>
      <c r="F14" s="385">
        <v>31163</v>
      </c>
      <c r="G14" s="359">
        <f t="shared" si="2"/>
        <v>23908</v>
      </c>
      <c r="H14" s="358">
        <v>23743</v>
      </c>
      <c r="I14" s="358">
        <v>165</v>
      </c>
      <c r="J14" s="358">
        <f>'[3]Проф.иными цел.2020 Пр.109'!C14</f>
        <v>310413</v>
      </c>
      <c r="K14" s="360"/>
    </row>
    <row r="15" spans="1:12" s="361" customFormat="1" ht="51" x14ac:dyDescent="0.2">
      <c r="A15" s="571"/>
      <c r="B15" s="365" t="s">
        <v>101</v>
      </c>
      <c r="C15" s="358">
        <f t="shared" si="0"/>
        <v>45269</v>
      </c>
      <c r="D15" s="358">
        <f t="shared" si="1"/>
        <v>3431</v>
      </c>
      <c r="E15" s="358">
        <v>770</v>
      </c>
      <c r="F15" s="385">
        <v>2661</v>
      </c>
      <c r="G15" s="359">
        <f t="shared" si="2"/>
        <v>3309</v>
      </c>
      <c r="H15" s="358">
        <v>3284</v>
      </c>
      <c r="I15" s="358">
        <v>25</v>
      </c>
      <c r="J15" s="358">
        <f>'[3]Проф.иными цел.2020 Пр.109'!C15</f>
        <v>38529</v>
      </c>
      <c r="K15" s="364"/>
    </row>
    <row r="16" spans="1:12" s="361" customFormat="1" x14ac:dyDescent="0.2">
      <c r="A16" s="81">
        <v>6</v>
      </c>
      <c r="B16" s="362" t="s">
        <v>53</v>
      </c>
      <c r="C16" s="358">
        <f t="shared" si="0"/>
        <v>111959</v>
      </c>
      <c r="D16" s="358">
        <f t="shared" si="1"/>
        <v>11326</v>
      </c>
      <c r="E16" s="358">
        <v>1828</v>
      </c>
      <c r="F16" s="385">
        <v>9498</v>
      </c>
      <c r="G16" s="359">
        <f t="shared" si="2"/>
        <v>8040</v>
      </c>
      <c r="H16" s="358">
        <v>7799</v>
      </c>
      <c r="I16" s="358">
        <v>241</v>
      </c>
      <c r="J16" s="358">
        <f>'[3]Проф.иными цел.2020 Пр.109'!C16</f>
        <v>92593</v>
      </c>
      <c r="K16" s="360"/>
    </row>
    <row r="17" spans="1:11" s="361" customFormat="1" x14ac:dyDescent="0.2">
      <c r="A17" s="81">
        <v>7</v>
      </c>
      <c r="B17" s="362" t="s">
        <v>4</v>
      </c>
      <c r="C17" s="358">
        <f t="shared" si="0"/>
        <v>48082</v>
      </c>
      <c r="D17" s="358">
        <f t="shared" si="1"/>
        <v>5212</v>
      </c>
      <c r="E17" s="358">
        <v>794</v>
      </c>
      <c r="F17" s="385">
        <v>4418</v>
      </c>
      <c r="G17" s="359">
        <f t="shared" si="2"/>
        <v>3469</v>
      </c>
      <c r="H17" s="358">
        <v>3389</v>
      </c>
      <c r="I17" s="358">
        <v>80</v>
      </c>
      <c r="J17" s="358">
        <f>'[3]Проф.иными цел.2020 Пр.109'!C17</f>
        <v>39401</v>
      </c>
      <c r="K17" s="360"/>
    </row>
    <row r="18" spans="1:11" s="361" customFormat="1" x14ac:dyDescent="0.2">
      <c r="A18" s="81">
        <v>8</v>
      </c>
      <c r="B18" s="362" t="s">
        <v>8</v>
      </c>
      <c r="C18" s="358">
        <f t="shared" si="0"/>
        <v>49948</v>
      </c>
      <c r="D18" s="358">
        <f t="shared" si="1"/>
        <v>4867</v>
      </c>
      <c r="E18" s="358">
        <v>825</v>
      </c>
      <c r="F18" s="385">
        <v>4042</v>
      </c>
      <c r="G18" s="359">
        <f t="shared" si="2"/>
        <v>3641</v>
      </c>
      <c r="H18" s="358">
        <v>3521</v>
      </c>
      <c r="I18" s="358">
        <v>120</v>
      </c>
      <c r="J18" s="358">
        <f>'[3]Проф.иными цел.2020 Пр.109'!C18</f>
        <v>41440</v>
      </c>
      <c r="K18" s="360"/>
    </row>
    <row r="19" spans="1:11" s="361" customFormat="1" x14ac:dyDescent="0.2">
      <c r="A19" s="81">
        <v>9</v>
      </c>
      <c r="B19" s="362" t="s">
        <v>17</v>
      </c>
      <c r="C19" s="358">
        <f t="shared" si="0"/>
        <v>53844</v>
      </c>
      <c r="D19" s="358">
        <f t="shared" si="1"/>
        <v>4953</v>
      </c>
      <c r="E19" s="358">
        <v>942</v>
      </c>
      <c r="F19" s="385">
        <v>4011</v>
      </c>
      <c r="G19" s="359">
        <f t="shared" si="2"/>
        <v>4082</v>
      </c>
      <c r="H19" s="358">
        <v>4019</v>
      </c>
      <c r="I19" s="358">
        <v>63</v>
      </c>
      <c r="J19" s="358">
        <f>'[3]Проф.иными цел.2020 Пр.109'!C19</f>
        <v>44809</v>
      </c>
      <c r="K19" s="360"/>
    </row>
    <row r="20" spans="1:11" s="361" customFormat="1" x14ac:dyDescent="0.2">
      <c r="A20" s="81">
        <v>10</v>
      </c>
      <c r="B20" s="362" t="s">
        <v>45</v>
      </c>
      <c r="C20" s="358">
        <f t="shared" si="0"/>
        <v>58106</v>
      </c>
      <c r="D20" s="358">
        <f t="shared" si="1"/>
        <v>6010</v>
      </c>
      <c r="E20" s="358">
        <v>964</v>
      </c>
      <c r="F20" s="385">
        <v>5046</v>
      </c>
      <c r="G20" s="359">
        <f t="shared" si="2"/>
        <v>4189</v>
      </c>
      <c r="H20" s="358">
        <v>4111</v>
      </c>
      <c r="I20" s="358">
        <v>78</v>
      </c>
      <c r="J20" s="358">
        <f>'[3]Проф.иными цел.2020 Пр.109'!C20</f>
        <v>47907</v>
      </c>
      <c r="K20" s="360"/>
    </row>
    <row r="21" spans="1:11" s="361" customFormat="1" x14ac:dyDescent="0.2">
      <c r="A21" s="81">
        <v>11</v>
      </c>
      <c r="B21" s="363" t="s">
        <v>30</v>
      </c>
      <c r="C21" s="358">
        <f t="shared" si="0"/>
        <v>60677</v>
      </c>
      <c r="D21" s="358">
        <f t="shared" si="1"/>
        <v>6447</v>
      </c>
      <c r="E21" s="358">
        <v>999</v>
      </c>
      <c r="F21" s="385">
        <v>5448</v>
      </c>
      <c r="G21" s="359">
        <f t="shared" si="2"/>
        <v>4421</v>
      </c>
      <c r="H21" s="358">
        <v>4262</v>
      </c>
      <c r="I21" s="358">
        <v>159</v>
      </c>
      <c r="J21" s="358">
        <f>'[3]Проф.иными цел.2020 Пр.109'!C21</f>
        <v>49809</v>
      </c>
      <c r="K21" s="360"/>
    </row>
    <row r="22" spans="1:11" s="361" customFormat="1" x14ac:dyDescent="0.2">
      <c r="A22" s="81">
        <v>12</v>
      </c>
      <c r="B22" s="362" t="s">
        <v>31</v>
      </c>
      <c r="C22" s="358">
        <f t="shared" si="0"/>
        <v>56647</v>
      </c>
      <c r="D22" s="358">
        <f t="shared" si="1"/>
        <v>5512</v>
      </c>
      <c r="E22" s="358">
        <v>938</v>
      </c>
      <c r="F22" s="385">
        <v>4574</v>
      </c>
      <c r="G22" s="359">
        <f t="shared" si="2"/>
        <v>4058</v>
      </c>
      <c r="H22" s="358">
        <v>4004</v>
      </c>
      <c r="I22" s="358">
        <v>54</v>
      </c>
      <c r="J22" s="358">
        <f>'[3]Проф.иными цел.2020 Пр.109'!C22</f>
        <v>47077</v>
      </c>
      <c r="K22" s="360"/>
    </row>
    <row r="23" spans="1:11" s="361" customFormat="1" x14ac:dyDescent="0.2">
      <c r="A23" s="81">
        <v>13</v>
      </c>
      <c r="B23" s="363" t="s">
        <v>34</v>
      </c>
      <c r="C23" s="358">
        <f t="shared" si="0"/>
        <v>67144</v>
      </c>
      <c r="D23" s="358">
        <f t="shared" si="1"/>
        <v>6269</v>
      </c>
      <c r="E23" s="358">
        <v>1148</v>
      </c>
      <c r="F23" s="385">
        <v>5121</v>
      </c>
      <c r="G23" s="359">
        <f t="shared" si="2"/>
        <v>4959</v>
      </c>
      <c r="H23" s="358">
        <v>4899</v>
      </c>
      <c r="I23" s="358">
        <v>60</v>
      </c>
      <c r="J23" s="358">
        <f>'[3]Проф.иными цел.2020 Пр.109'!C23</f>
        <v>55916</v>
      </c>
      <c r="K23" s="360"/>
    </row>
    <row r="24" spans="1:11" s="361" customFormat="1" x14ac:dyDescent="0.2">
      <c r="A24" s="81">
        <v>14</v>
      </c>
      <c r="B24" s="362" t="s">
        <v>40</v>
      </c>
      <c r="C24" s="358">
        <f t="shared" si="0"/>
        <v>55060</v>
      </c>
      <c r="D24" s="358">
        <f t="shared" si="1"/>
        <v>6258</v>
      </c>
      <c r="E24" s="358">
        <v>891</v>
      </c>
      <c r="F24" s="385">
        <v>5367</v>
      </c>
      <c r="G24" s="359">
        <f t="shared" si="2"/>
        <v>3897</v>
      </c>
      <c r="H24" s="358">
        <v>3801</v>
      </c>
      <c r="I24" s="358">
        <v>96</v>
      </c>
      <c r="J24" s="358">
        <f>'[3]Проф.иными цел.2020 Пр.109'!C24</f>
        <v>44905</v>
      </c>
      <c r="K24" s="360"/>
    </row>
    <row r="25" spans="1:11" s="361" customFormat="1" x14ac:dyDescent="0.2">
      <c r="A25" s="81">
        <v>15</v>
      </c>
      <c r="B25" s="362" t="s">
        <v>102</v>
      </c>
      <c r="C25" s="358">
        <f t="shared" si="0"/>
        <v>25</v>
      </c>
      <c r="D25" s="358">
        <f t="shared" si="1"/>
        <v>0</v>
      </c>
      <c r="E25" s="358">
        <v>0</v>
      </c>
      <c r="F25" s="368">
        <v>0</v>
      </c>
      <c r="G25" s="359">
        <f t="shared" si="2"/>
        <v>0</v>
      </c>
      <c r="H25" s="358">
        <v>0</v>
      </c>
      <c r="I25" s="358">
        <v>0</v>
      </c>
      <c r="J25" s="358">
        <f>'[3]Проф.иными цел.2020 Пр.109'!C25</f>
        <v>25</v>
      </c>
      <c r="K25" s="360"/>
    </row>
    <row r="26" spans="1:11" s="361" customFormat="1" x14ac:dyDescent="0.2">
      <c r="A26" s="81">
        <v>16</v>
      </c>
      <c r="B26" s="362" t="s">
        <v>55</v>
      </c>
      <c r="C26" s="358">
        <f t="shared" si="0"/>
        <v>162475</v>
      </c>
      <c r="D26" s="358">
        <f t="shared" si="1"/>
        <v>17795</v>
      </c>
      <c r="E26" s="358">
        <v>2437</v>
      </c>
      <c r="F26" s="385">
        <v>15358</v>
      </c>
      <c r="G26" s="359">
        <f t="shared" si="2"/>
        <v>10603</v>
      </c>
      <c r="H26" s="358">
        <v>10398</v>
      </c>
      <c r="I26" s="358">
        <v>205</v>
      </c>
      <c r="J26" s="358">
        <f>'[3]Проф.иными цел.2020 Пр.109'!C26</f>
        <v>134077</v>
      </c>
      <c r="K26" s="360"/>
    </row>
    <row r="27" spans="1:11" s="361" customFormat="1" ht="25.5" x14ac:dyDescent="0.2">
      <c r="A27" s="81">
        <v>17</v>
      </c>
      <c r="B27" s="365" t="s">
        <v>56</v>
      </c>
      <c r="C27" s="358">
        <f t="shared" si="0"/>
        <v>9821</v>
      </c>
      <c r="D27" s="358">
        <f t="shared" si="1"/>
        <v>0</v>
      </c>
      <c r="E27" s="358">
        <v>0</v>
      </c>
      <c r="F27" s="368">
        <v>0</v>
      </c>
      <c r="G27" s="359">
        <f t="shared" si="2"/>
        <v>0</v>
      </c>
      <c r="H27" s="358">
        <v>0</v>
      </c>
      <c r="I27" s="358">
        <v>0</v>
      </c>
      <c r="J27" s="358">
        <f>'[3]Проф.иными цел.2020 Пр.109'!C27</f>
        <v>9821</v>
      </c>
      <c r="K27" s="360"/>
    </row>
    <row r="28" spans="1:11" s="361" customFormat="1" x14ac:dyDescent="0.2">
      <c r="A28" s="81">
        <v>18</v>
      </c>
      <c r="B28" s="362" t="s">
        <v>6</v>
      </c>
      <c r="C28" s="358">
        <f t="shared" si="0"/>
        <v>136827</v>
      </c>
      <c r="D28" s="358">
        <f t="shared" si="1"/>
        <v>15449</v>
      </c>
      <c r="E28" s="358">
        <v>2121</v>
      </c>
      <c r="F28" s="385">
        <v>13328</v>
      </c>
      <c r="G28" s="359">
        <f t="shared" si="2"/>
        <v>9174</v>
      </c>
      <c r="H28" s="358">
        <v>9051</v>
      </c>
      <c r="I28" s="358">
        <v>123</v>
      </c>
      <c r="J28" s="358">
        <f>'[3]Проф.иными цел.2020 Пр.109'!C28</f>
        <v>112204</v>
      </c>
      <c r="K28" s="360"/>
    </row>
    <row r="29" spans="1:11" s="361" customFormat="1" x14ac:dyDescent="0.2">
      <c r="A29" s="81">
        <v>19</v>
      </c>
      <c r="B29" s="362" t="s">
        <v>11</v>
      </c>
      <c r="C29" s="358">
        <f t="shared" si="0"/>
        <v>278366</v>
      </c>
      <c r="D29" s="358">
        <f t="shared" si="1"/>
        <v>25703</v>
      </c>
      <c r="E29" s="358">
        <v>4125</v>
      </c>
      <c r="F29" s="385">
        <v>21578</v>
      </c>
      <c r="G29" s="359">
        <f t="shared" si="2"/>
        <v>18268</v>
      </c>
      <c r="H29" s="358">
        <v>17598</v>
      </c>
      <c r="I29" s="358">
        <v>670</v>
      </c>
      <c r="J29" s="358">
        <f>'[3]Проф.иными цел.2020 Пр.109'!C29</f>
        <v>234395</v>
      </c>
      <c r="K29" s="360"/>
    </row>
    <row r="30" spans="1:11" s="361" customFormat="1" x14ac:dyDescent="0.2">
      <c r="A30" s="81">
        <v>20</v>
      </c>
      <c r="B30" s="362" t="s">
        <v>47</v>
      </c>
      <c r="C30" s="358">
        <f t="shared" si="0"/>
        <v>175428</v>
      </c>
      <c r="D30" s="358">
        <f t="shared" si="1"/>
        <v>15771</v>
      </c>
      <c r="E30" s="358">
        <v>2869</v>
      </c>
      <c r="F30" s="385">
        <v>12902</v>
      </c>
      <c r="G30" s="359">
        <f t="shared" si="2"/>
        <v>12578</v>
      </c>
      <c r="H30" s="358">
        <v>12240</v>
      </c>
      <c r="I30" s="358">
        <v>338</v>
      </c>
      <c r="J30" s="358">
        <f>'[3]Проф.иными цел.2020 Пр.109'!C30</f>
        <v>147079</v>
      </c>
      <c r="K30" s="360"/>
    </row>
    <row r="31" spans="1:11" s="361" customFormat="1" x14ac:dyDescent="0.2">
      <c r="A31" s="81">
        <v>21</v>
      </c>
      <c r="B31" s="362" t="s">
        <v>54</v>
      </c>
      <c r="C31" s="358">
        <f t="shared" si="0"/>
        <v>40128</v>
      </c>
      <c r="D31" s="358">
        <f t="shared" si="1"/>
        <v>3781</v>
      </c>
      <c r="E31" s="358">
        <v>579</v>
      </c>
      <c r="F31" s="385">
        <v>3202</v>
      </c>
      <c r="G31" s="359">
        <f t="shared" si="2"/>
        <v>2519</v>
      </c>
      <c r="H31" s="358">
        <v>2472</v>
      </c>
      <c r="I31" s="358">
        <v>47</v>
      </c>
      <c r="J31" s="358">
        <f>'[3]Проф.иными цел.2020 Пр.109'!C31</f>
        <v>33828</v>
      </c>
      <c r="K31" s="360"/>
    </row>
    <row r="32" spans="1:11" s="361" customFormat="1" x14ac:dyDescent="0.2">
      <c r="A32" s="81">
        <v>22</v>
      </c>
      <c r="B32" s="362" t="s">
        <v>49</v>
      </c>
      <c r="C32" s="358">
        <f t="shared" si="0"/>
        <v>73483</v>
      </c>
      <c r="D32" s="358">
        <f t="shared" si="1"/>
        <v>8045</v>
      </c>
      <c r="E32" s="358">
        <v>1170</v>
      </c>
      <c r="F32" s="385">
        <v>6875</v>
      </c>
      <c r="G32" s="359">
        <f t="shared" si="2"/>
        <v>5110</v>
      </c>
      <c r="H32" s="358">
        <v>4990</v>
      </c>
      <c r="I32" s="358">
        <v>120</v>
      </c>
      <c r="J32" s="358">
        <f>'[3]Проф.иными цел.2020 Пр.109'!C32</f>
        <v>60328</v>
      </c>
      <c r="K32" s="360"/>
    </row>
    <row r="33" spans="1:11" s="361" customFormat="1" x14ac:dyDescent="0.2">
      <c r="A33" s="81">
        <v>23</v>
      </c>
      <c r="B33" s="362" t="s">
        <v>1</v>
      </c>
      <c r="C33" s="358">
        <f t="shared" si="0"/>
        <v>99592</v>
      </c>
      <c r="D33" s="358">
        <f t="shared" si="1"/>
        <v>10767</v>
      </c>
      <c r="E33" s="358">
        <v>1547</v>
      </c>
      <c r="F33" s="385">
        <v>9220</v>
      </c>
      <c r="G33" s="359">
        <f t="shared" si="2"/>
        <v>6781</v>
      </c>
      <c r="H33" s="358">
        <v>6601</v>
      </c>
      <c r="I33" s="358">
        <v>180</v>
      </c>
      <c r="J33" s="358">
        <f>'[3]Проф.иными цел.2020 Пр.109'!C33</f>
        <v>82044</v>
      </c>
      <c r="K33" s="360"/>
    </row>
    <row r="34" spans="1:11" s="361" customFormat="1" x14ac:dyDescent="0.2">
      <c r="A34" s="81">
        <v>24</v>
      </c>
      <c r="B34" s="362" t="s">
        <v>18</v>
      </c>
      <c r="C34" s="358">
        <f t="shared" si="0"/>
        <v>42199</v>
      </c>
      <c r="D34" s="358">
        <f t="shared" si="1"/>
        <v>5794</v>
      </c>
      <c r="E34" s="358">
        <v>620</v>
      </c>
      <c r="F34" s="385">
        <v>5174</v>
      </c>
      <c r="G34" s="359">
        <f t="shared" si="2"/>
        <v>2674</v>
      </c>
      <c r="H34" s="358">
        <v>2644</v>
      </c>
      <c r="I34" s="358">
        <v>30</v>
      </c>
      <c r="J34" s="358">
        <f>'[3]Проф.иными цел.2020 Пр.109'!C34</f>
        <v>33731</v>
      </c>
      <c r="K34" s="360"/>
    </row>
    <row r="35" spans="1:11" s="361" customFormat="1" x14ac:dyDescent="0.2">
      <c r="A35" s="81">
        <v>25</v>
      </c>
      <c r="B35" s="362" t="s">
        <v>26</v>
      </c>
      <c r="C35" s="358">
        <f t="shared" si="0"/>
        <v>34970</v>
      </c>
      <c r="D35" s="358">
        <f t="shared" si="1"/>
        <v>3962</v>
      </c>
      <c r="E35" s="358">
        <v>564</v>
      </c>
      <c r="F35" s="385">
        <v>3398</v>
      </c>
      <c r="G35" s="359">
        <f t="shared" si="2"/>
        <v>2609</v>
      </c>
      <c r="H35" s="358">
        <v>2405</v>
      </c>
      <c r="I35" s="358">
        <v>204</v>
      </c>
      <c r="J35" s="358">
        <f>'[3]Проф.иными цел.2020 Пр.109'!C35</f>
        <v>28399</v>
      </c>
      <c r="K35" s="360"/>
    </row>
    <row r="36" spans="1:11" s="361" customFormat="1" x14ac:dyDescent="0.2">
      <c r="A36" s="81">
        <v>26</v>
      </c>
      <c r="B36" s="362" t="s">
        <v>60</v>
      </c>
      <c r="C36" s="358">
        <f t="shared" si="0"/>
        <v>84519</v>
      </c>
      <c r="D36" s="358">
        <f t="shared" si="1"/>
        <v>3147</v>
      </c>
      <c r="E36" s="358">
        <v>3147</v>
      </c>
      <c r="F36" s="368">
        <v>0</v>
      </c>
      <c r="G36" s="359">
        <f t="shared" si="2"/>
        <v>13426</v>
      </c>
      <c r="H36" s="358">
        <v>13426</v>
      </c>
      <c r="I36" s="358">
        <v>0</v>
      </c>
      <c r="J36" s="358">
        <f>'[3]Проф.иными цел.2020 Пр.109'!C36</f>
        <v>67946</v>
      </c>
      <c r="K36" s="360"/>
    </row>
    <row r="37" spans="1:11" s="361" customFormat="1" ht="25.5" x14ac:dyDescent="0.2">
      <c r="A37" s="81">
        <v>27</v>
      </c>
      <c r="B37" s="362" t="s">
        <v>59</v>
      </c>
      <c r="C37" s="358">
        <f t="shared" si="0"/>
        <v>125215</v>
      </c>
      <c r="D37" s="358">
        <f t="shared" si="1"/>
        <v>3369</v>
      </c>
      <c r="E37" s="358">
        <v>3369</v>
      </c>
      <c r="F37" s="368">
        <v>0</v>
      </c>
      <c r="G37" s="359">
        <f t="shared" si="2"/>
        <v>14373</v>
      </c>
      <c r="H37" s="358">
        <v>14373</v>
      </c>
      <c r="I37" s="358">
        <v>0</v>
      </c>
      <c r="J37" s="358">
        <f>'[3]Проф.иными цел.2020 Пр.109'!C37</f>
        <v>107473</v>
      </c>
      <c r="K37" s="364"/>
    </row>
    <row r="38" spans="1:11" s="361" customFormat="1" ht="25.5" x14ac:dyDescent="0.2">
      <c r="A38" s="81">
        <v>28</v>
      </c>
      <c r="B38" s="362" t="s">
        <v>103</v>
      </c>
      <c r="C38" s="358">
        <f t="shared" si="0"/>
        <v>133972</v>
      </c>
      <c r="D38" s="358">
        <f t="shared" si="1"/>
        <v>11370</v>
      </c>
      <c r="E38" s="358">
        <v>3106</v>
      </c>
      <c r="F38" s="385">
        <v>8264</v>
      </c>
      <c r="G38" s="359">
        <f t="shared" si="2"/>
        <v>13279</v>
      </c>
      <c r="H38" s="358">
        <v>13249</v>
      </c>
      <c r="I38" s="358">
        <v>30</v>
      </c>
      <c r="J38" s="358">
        <f>'[3]Проф.иными цел.2020 Пр.109'!C38</f>
        <v>109323</v>
      </c>
      <c r="K38" s="360"/>
    </row>
    <row r="39" spans="1:11" s="361" customFormat="1" ht="25.5" x14ac:dyDescent="0.2">
      <c r="A39" s="570">
        <v>29</v>
      </c>
      <c r="B39" s="362" t="s">
        <v>104</v>
      </c>
      <c r="C39" s="358">
        <f t="shared" si="0"/>
        <v>79118</v>
      </c>
      <c r="D39" s="358">
        <f t="shared" si="1"/>
        <v>9022</v>
      </c>
      <c r="E39" s="358">
        <v>1287</v>
      </c>
      <c r="F39" s="385">
        <v>7735</v>
      </c>
      <c r="G39" s="359">
        <f t="shared" si="2"/>
        <v>5497</v>
      </c>
      <c r="H39" s="358">
        <v>5493</v>
      </c>
      <c r="I39" s="358">
        <v>4</v>
      </c>
      <c r="J39" s="358">
        <f>'[3]Проф.иными цел.2020 Пр.109'!C39</f>
        <v>64599</v>
      </c>
      <c r="K39" s="360"/>
    </row>
    <row r="40" spans="1:11" s="361" customFormat="1" ht="51" x14ac:dyDescent="0.2">
      <c r="A40" s="571"/>
      <c r="B40" s="365" t="s">
        <v>712</v>
      </c>
      <c r="C40" s="358">
        <f t="shared" si="0"/>
        <v>117083</v>
      </c>
      <c r="D40" s="358">
        <f t="shared" si="1"/>
        <v>10480</v>
      </c>
      <c r="E40" s="358">
        <v>1918</v>
      </c>
      <c r="F40" s="385">
        <v>8562</v>
      </c>
      <c r="G40" s="359">
        <f t="shared" si="2"/>
        <v>8238</v>
      </c>
      <c r="H40" s="358">
        <v>8182</v>
      </c>
      <c r="I40" s="358">
        <v>56</v>
      </c>
      <c r="J40" s="358">
        <f>'[3]Проф.иными цел.2020 Пр.109'!C40</f>
        <v>98365</v>
      </c>
      <c r="K40" s="360"/>
    </row>
    <row r="41" spans="1:11" s="361" customFormat="1" ht="25.5" x14ac:dyDescent="0.2">
      <c r="A41" s="81">
        <v>30</v>
      </c>
      <c r="B41" s="362" t="s">
        <v>147</v>
      </c>
      <c r="C41" s="358">
        <f t="shared" si="0"/>
        <v>1921</v>
      </c>
      <c r="D41" s="358">
        <f t="shared" si="1"/>
        <v>0</v>
      </c>
      <c r="E41" s="358">
        <v>0</v>
      </c>
      <c r="F41" s="368">
        <v>0</v>
      </c>
      <c r="G41" s="359">
        <f t="shared" si="2"/>
        <v>0</v>
      </c>
      <c r="H41" s="358">
        <v>0</v>
      </c>
      <c r="I41" s="358">
        <v>0</v>
      </c>
      <c r="J41" s="358">
        <f>'[3]Проф.иными цел.2020 Пр.109'!C41</f>
        <v>1921</v>
      </c>
      <c r="K41" s="360"/>
    </row>
    <row r="42" spans="1:11" s="361" customFormat="1" ht="25.5" x14ac:dyDescent="0.2">
      <c r="A42" s="81">
        <v>31</v>
      </c>
      <c r="B42" s="362" t="s">
        <v>106</v>
      </c>
      <c r="C42" s="358">
        <f t="shared" si="0"/>
        <v>292491</v>
      </c>
      <c r="D42" s="358">
        <f t="shared" si="1"/>
        <v>42764</v>
      </c>
      <c r="E42" s="358">
        <v>0</v>
      </c>
      <c r="F42" s="385">
        <v>42764</v>
      </c>
      <c r="G42" s="359">
        <f t="shared" si="2"/>
        <v>285</v>
      </c>
      <c r="H42" s="358">
        <v>0</v>
      </c>
      <c r="I42" s="358">
        <v>285</v>
      </c>
      <c r="J42" s="358">
        <f>'[3]Проф.иными цел.2020 Пр.109'!C42</f>
        <v>249442</v>
      </c>
      <c r="K42" s="360"/>
    </row>
    <row r="43" spans="1:11" s="361" customFormat="1" ht="25.5" x14ac:dyDescent="0.2">
      <c r="A43" s="81">
        <v>32</v>
      </c>
      <c r="B43" s="362" t="s">
        <v>107</v>
      </c>
      <c r="C43" s="358">
        <f t="shared" si="0"/>
        <v>12000</v>
      </c>
      <c r="D43" s="358">
        <f t="shared" si="1"/>
        <v>0</v>
      </c>
      <c r="E43" s="358">
        <v>0</v>
      </c>
      <c r="F43" s="368">
        <v>0</v>
      </c>
      <c r="G43" s="359">
        <f t="shared" si="2"/>
        <v>0</v>
      </c>
      <c r="H43" s="358">
        <v>0</v>
      </c>
      <c r="I43" s="358">
        <v>0</v>
      </c>
      <c r="J43" s="358">
        <f>'[3]Проф.иными цел.2020 Пр.109'!C43</f>
        <v>12000</v>
      </c>
      <c r="K43" s="360"/>
    </row>
    <row r="44" spans="1:11" s="361" customFormat="1" x14ac:dyDescent="0.2">
      <c r="A44" s="81">
        <v>33</v>
      </c>
      <c r="B44" s="362" t="s">
        <v>108</v>
      </c>
      <c r="C44" s="358">
        <f t="shared" si="0"/>
        <v>10266</v>
      </c>
      <c r="D44" s="358">
        <f t="shared" si="1"/>
        <v>0</v>
      </c>
      <c r="E44" s="358">
        <v>0</v>
      </c>
      <c r="F44" s="368">
        <v>0</v>
      </c>
      <c r="G44" s="359">
        <f t="shared" si="2"/>
        <v>0</v>
      </c>
      <c r="H44" s="358">
        <v>0</v>
      </c>
      <c r="I44" s="358">
        <v>0</v>
      </c>
      <c r="J44" s="358">
        <f>'[3]Проф.иными цел.2020 Пр.109'!C44</f>
        <v>10266</v>
      </c>
      <c r="K44" s="360"/>
    </row>
    <row r="45" spans="1:11" s="361" customFormat="1" x14ac:dyDescent="0.2">
      <c r="A45" s="570">
        <v>34</v>
      </c>
      <c r="B45" s="362" t="s">
        <v>57</v>
      </c>
      <c r="C45" s="358">
        <f t="shared" si="0"/>
        <v>153300</v>
      </c>
      <c r="D45" s="358">
        <f t="shared" si="1"/>
        <v>4994</v>
      </c>
      <c r="E45" s="358">
        <v>4994</v>
      </c>
      <c r="F45" s="368">
        <v>0</v>
      </c>
      <c r="G45" s="359">
        <f t="shared" si="2"/>
        <v>21307</v>
      </c>
      <c r="H45" s="358">
        <v>21307</v>
      </c>
      <c r="I45" s="358">
        <v>0</v>
      </c>
      <c r="J45" s="358">
        <f>'[3]Проф.иными цел.2020 Пр.109'!C45</f>
        <v>126999</v>
      </c>
      <c r="K45" s="360"/>
    </row>
    <row r="46" spans="1:11" s="361" customFormat="1" ht="51" x14ac:dyDescent="0.2">
      <c r="A46" s="572"/>
      <c r="B46" s="365" t="s">
        <v>109</v>
      </c>
      <c r="C46" s="358">
        <f t="shared" si="0"/>
        <v>142787</v>
      </c>
      <c r="D46" s="358">
        <f t="shared" si="1"/>
        <v>26011</v>
      </c>
      <c r="E46" s="358">
        <v>0</v>
      </c>
      <c r="F46" s="385">
        <v>26011</v>
      </c>
      <c r="G46" s="359">
        <f t="shared" si="2"/>
        <v>285</v>
      </c>
      <c r="H46" s="358">
        <v>0</v>
      </c>
      <c r="I46" s="358">
        <v>285</v>
      </c>
      <c r="J46" s="358">
        <f>'[3]Проф.иными цел.2020 Пр.109'!C46</f>
        <v>116491</v>
      </c>
      <c r="K46" s="364"/>
    </row>
    <row r="47" spans="1:11" s="361" customFormat="1" ht="38.25" x14ac:dyDescent="0.2">
      <c r="A47" s="571"/>
      <c r="B47" s="365" t="s">
        <v>148</v>
      </c>
      <c r="C47" s="358">
        <f t="shared" si="0"/>
        <v>22000</v>
      </c>
      <c r="D47" s="358">
        <f t="shared" si="1"/>
        <v>0</v>
      </c>
      <c r="E47" s="358">
        <v>0</v>
      </c>
      <c r="F47" s="368">
        <v>0</v>
      </c>
      <c r="G47" s="359">
        <f t="shared" si="2"/>
        <v>0</v>
      </c>
      <c r="H47" s="358">
        <v>0</v>
      </c>
      <c r="I47" s="358">
        <v>0</v>
      </c>
      <c r="J47" s="358">
        <f>'[3]Проф.иными цел.2020 Пр.109'!C47</f>
        <v>22000</v>
      </c>
      <c r="K47" s="360"/>
    </row>
    <row r="48" spans="1:11" s="366" customFormat="1" ht="25.5" x14ac:dyDescent="0.2">
      <c r="A48" s="81">
        <v>35</v>
      </c>
      <c r="B48" s="362" t="s">
        <v>58</v>
      </c>
      <c r="C48" s="358">
        <f t="shared" si="0"/>
        <v>16800</v>
      </c>
      <c r="D48" s="358">
        <f t="shared" si="1"/>
        <v>0</v>
      </c>
      <c r="E48" s="358">
        <v>0</v>
      </c>
      <c r="F48" s="368">
        <v>0</v>
      </c>
      <c r="G48" s="359">
        <f t="shared" si="2"/>
        <v>0</v>
      </c>
      <c r="H48" s="358">
        <v>0</v>
      </c>
      <c r="I48" s="358">
        <v>0</v>
      </c>
      <c r="J48" s="358">
        <f>'[3]Проф.иными цел.2020 Пр.109'!C48</f>
        <v>16800</v>
      </c>
      <c r="K48" s="360"/>
    </row>
    <row r="49" spans="1:11" s="361" customFormat="1" x14ac:dyDescent="0.2">
      <c r="A49" s="81">
        <v>36</v>
      </c>
      <c r="B49" s="362" t="s">
        <v>110</v>
      </c>
      <c r="C49" s="358">
        <f t="shared" si="0"/>
        <v>11900</v>
      </c>
      <c r="D49" s="358">
        <f t="shared" si="1"/>
        <v>0</v>
      </c>
      <c r="E49" s="358">
        <v>0</v>
      </c>
      <c r="F49" s="368">
        <v>0</v>
      </c>
      <c r="G49" s="359">
        <f t="shared" si="2"/>
        <v>0</v>
      </c>
      <c r="H49" s="358">
        <v>0</v>
      </c>
      <c r="I49" s="358">
        <v>0</v>
      </c>
      <c r="J49" s="358">
        <f>'[3]Проф.иными цел.2020 Пр.109'!C49</f>
        <v>11900</v>
      </c>
      <c r="K49" s="360"/>
    </row>
    <row r="50" spans="1:11" s="361" customFormat="1" x14ac:dyDescent="0.2">
      <c r="A50" s="570">
        <v>37</v>
      </c>
      <c r="B50" s="362" t="s">
        <v>37</v>
      </c>
      <c r="C50" s="358">
        <f t="shared" si="0"/>
        <v>166009</v>
      </c>
      <c r="D50" s="358">
        <f t="shared" si="1"/>
        <v>14733</v>
      </c>
      <c r="E50" s="358">
        <v>2591</v>
      </c>
      <c r="F50" s="385">
        <v>12142</v>
      </c>
      <c r="G50" s="359">
        <f t="shared" si="2"/>
        <v>11296</v>
      </c>
      <c r="H50" s="358">
        <v>11055</v>
      </c>
      <c r="I50" s="358">
        <v>241</v>
      </c>
      <c r="J50" s="358">
        <f>'[3]Проф.иными цел.2020 Пр.109'!C50</f>
        <v>139980</v>
      </c>
      <c r="K50" s="360"/>
    </row>
    <row r="51" spans="1:11" s="361" customFormat="1" ht="51" x14ac:dyDescent="0.2">
      <c r="A51" s="571"/>
      <c r="B51" s="365" t="s">
        <v>111</v>
      </c>
      <c r="C51" s="358">
        <f t="shared" si="0"/>
        <v>58975</v>
      </c>
      <c r="D51" s="358">
        <f t="shared" si="1"/>
        <v>5639</v>
      </c>
      <c r="E51" s="358">
        <v>939</v>
      </c>
      <c r="F51" s="385">
        <v>4700</v>
      </c>
      <c r="G51" s="359">
        <f t="shared" si="2"/>
        <v>4139</v>
      </c>
      <c r="H51" s="358">
        <v>4007</v>
      </c>
      <c r="I51" s="358">
        <v>132</v>
      </c>
      <c r="J51" s="358">
        <f>'[3]Проф.иными цел.2020 Пр.109'!C51</f>
        <v>49197</v>
      </c>
      <c r="K51" s="360"/>
    </row>
    <row r="52" spans="1:11" s="361" customFormat="1" x14ac:dyDescent="0.2">
      <c r="A52" s="81">
        <v>38</v>
      </c>
      <c r="B52" s="362" t="s">
        <v>29</v>
      </c>
      <c r="C52" s="358">
        <f t="shared" si="0"/>
        <v>217293</v>
      </c>
      <c r="D52" s="358">
        <f t="shared" si="1"/>
        <v>21378</v>
      </c>
      <c r="E52" s="358">
        <v>3424</v>
      </c>
      <c r="F52" s="385">
        <v>17954</v>
      </c>
      <c r="G52" s="359">
        <f t="shared" si="2"/>
        <v>14979</v>
      </c>
      <c r="H52" s="358">
        <v>14608</v>
      </c>
      <c r="I52" s="358">
        <v>371</v>
      </c>
      <c r="J52" s="358">
        <f>'[3]Проф.иными цел.2020 Пр.109'!C52</f>
        <v>180936</v>
      </c>
      <c r="K52" s="360"/>
    </row>
    <row r="53" spans="1:11" s="361" customFormat="1" x14ac:dyDescent="0.2">
      <c r="A53" s="81">
        <v>39</v>
      </c>
      <c r="B53" s="362" t="s">
        <v>38</v>
      </c>
      <c r="C53" s="358">
        <f t="shared" si="0"/>
        <v>202675</v>
      </c>
      <c r="D53" s="358">
        <f t="shared" si="1"/>
        <v>21193</v>
      </c>
      <c r="E53" s="358">
        <v>3276</v>
      </c>
      <c r="F53" s="385">
        <v>17917</v>
      </c>
      <c r="G53" s="359">
        <f t="shared" si="2"/>
        <v>14342</v>
      </c>
      <c r="H53" s="358">
        <v>13977</v>
      </c>
      <c r="I53" s="358">
        <v>365</v>
      </c>
      <c r="J53" s="358">
        <f>'[3]Проф.иными цел.2020 Пр.109'!C53</f>
        <v>167140</v>
      </c>
      <c r="K53" s="360"/>
    </row>
    <row r="54" spans="1:11" s="361" customFormat="1" x14ac:dyDescent="0.2">
      <c r="A54" s="81">
        <v>40</v>
      </c>
      <c r="B54" s="362" t="s">
        <v>25</v>
      </c>
      <c r="C54" s="358">
        <f t="shared" si="0"/>
        <v>63188</v>
      </c>
      <c r="D54" s="358">
        <f t="shared" si="1"/>
        <v>7190</v>
      </c>
      <c r="E54" s="358">
        <v>1008</v>
      </c>
      <c r="F54" s="385">
        <v>6182</v>
      </c>
      <c r="G54" s="359">
        <f t="shared" si="2"/>
        <v>4327</v>
      </c>
      <c r="H54" s="358">
        <v>4302</v>
      </c>
      <c r="I54" s="358">
        <v>25</v>
      </c>
      <c r="J54" s="358">
        <f>'[3]Проф.иными цел.2020 Пр.109'!C54</f>
        <v>51671</v>
      </c>
      <c r="K54" s="360"/>
    </row>
    <row r="55" spans="1:11" s="361" customFormat="1" x14ac:dyDescent="0.2">
      <c r="A55" s="81">
        <v>41</v>
      </c>
      <c r="B55" s="362" t="s">
        <v>19</v>
      </c>
      <c r="C55" s="358">
        <f t="shared" si="0"/>
        <v>78403</v>
      </c>
      <c r="D55" s="358">
        <f t="shared" si="1"/>
        <v>9039</v>
      </c>
      <c r="E55" s="358">
        <v>1266</v>
      </c>
      <c r="F55" s="385">
        <v>7773</v>
      </c>
      <c r="G55" s="359">
        <f t="shared" si="2"/>
        <v>5487</v>
      </c>
      <c r="H55" s="358">
        <v>5402</v>
      </c>
      <c r="I55" s="358">
        <v>85</v>
      </c>
      <c r="J55" s="358">
        <f>'[3]Проф.иными цел.2020 Пр.109'!C55</f>
        <v>63877</v>
      </c>
      <c r="K55" s="360"/>
    </row>
    <row r="56" spans="1:11" s="366" customFormat="1" x14ac:dyDescent="0.2">
      <c r="A56" s="81">
        <v>42</v>
      </c>
      <c r="B56" s="362" t="s">
        <v>35</v>
      </c>
      <c r="C56" s="358">
        <f t="shared" si="0"/>
        <v>72987</v>
      </c>
      <c r="D56" s="358">
        <f t="shared" si="1"/>
        <v>8005</v>
      </c>
      <c r="E56" s="358">
        <v>1181</v>
      </c>
      <c r="F56" s="385">
        <v>6824</v>
      </c>
      <c r="G56" s="359">
        <f t="shared" si="2"/>
        <v>5093</v>
      </c>
      <c r="H56" s="358">
        <v>5040</v>
      </c>
      <c r="I56" s="358">
        <v>53</v>
      </c>
      <c r="J56" s="358">
        <f>'[3]Проф.иными цел.2020 Пр.109'!C56</f>
        <v>59889</v>
      </c>
      <c r="K56" s="360"/>
    </row>
    <row r="57" spans="1:11" s="361" customFormat="1" x14ac:dyDescent="0.2">
      <c r="A57" s="81">
        <v>43</v>
      </c>
      <c r="B57" s="362" t="s">
        <v>44</v>
      </c>
      <c r="C57" s="358">
        <f t="shared" si="0"/>
        <v>47139</v>
      </c>
      <c r="D57" s="358">
        <f t="shared" si="1"/>
        <v>4754</v>
      </c>
      <c r="E57" s="358">
        <v>797</v>
      </c>
      <c r="F57" s="385">
        <v>3957</v>
      </c>
      <c r="G57" s="359">
        <f t="shared" si="2"/>
        <v>3559</v>
      </c>
      <c r="H57" s="358">
        <v>3401</v>
      </c>
      <c r="I57" s="358">
        <v>158</v>
      </c>
      <c r="J57" s="358">
        <f>'[3]Проф.иными цел.2020 Пр.109'!C57</f>
        <v>38826</v>
      </c>
      <c r="K57" s="360"/>
    </row>
    <row r="58" spans="1:11" s="361" customFormat="1" x14ac:dyDescent="0.2">
      <c r="A58" s="81">
        <v>44</v>
      </c>
      <c r="B58" s="362" t="s">
        <v>5</v>
      </c>
      <c r="C58" s="358">
        <f t="shared" si="0"/>
        <v>81290</v>
      </c>
      <c r="D58" s="358">
        <f t="shared" si="1"/>
        <v>8074</v>
      </c>
      <c r="E58" s="358">
        <v>1392</v>
      </c>
      <c r="F58" s="385">
        <v>6682</v>
      </c>
      <c r="G58" s="359">
        <f t="shared" si="2"/>
        <v>6050</v>
      </c>
      <c r="H58" s="358">
        <v>5939</v>
      </c>
      <c r="I58" s="358">
        <v>111</v>
      </c>
      <c r="J58" s="358">
        <f>'[3]Проф.иными цел.2020 Пр.109'!C58</f>
        <v>67166</v>
      </c>
      <c r="K58" s="360"/>
    </row>
    <row r="59" spans="1:11" s="366" customFormat="1" x14ac:dyDescent="0.2">
      <c r="A59" s="81">
        <v>45</v>
      </c>
      <c r="B59" s="362" t="s">
        <v>48</v>
      </c>
      <c r="C59" s="358">
        <f t="shared" si="0"/>
        <v>38342</v>
      </c>
      <c r="D59" s="358">
        <f t="shared" si="1"/>
        <v>3573</v>
      </c>
      <c r="E59" s="358">
        <v>665</v>
      </c>
      <c r="F59" s="385">
        <v>2908</v>
      </c>
      <c r="G59" s="359">
        <f t="shared" si="2"/>
        <v>2902</v>
      </c>
      <c r="H59" s="358">
        <v>2836</v>
      </c>
      <c r="I59" s="358">
        <v>66</v>
      </c>
      <c r="J59" s="358">
        <f>'[3]Проф.иными цел.2020 Пр.109'!C59</f>
        <v>31867</v>
      </c>
      <c r="K59" s="360"/>
    </row>
    <row r="60" spans="1:11" s="361" customFormat="1" x14ac:dyDescent="0.2">
      <c r="A60" s="81">
        <v>46</v>
      </c>
      <c r="B60" s="367" t="s">
        <v>149</v>
      </c>
      <c r="C60" s="358">
        <f t="shared" si="0"/>
        <v>11395</v>
      </c>
      <c r="D60" s="358">
        <f t="shared" si="1"/>
        <v>439</v>
      </c>
      <c r="E60" s="358">
        <v>439</v>
      </c>
      <c r="F60" s="368">
        <v>0</v>
      </c>
      <c r="G60" s="359">
        <f t="shared" si="2"/>
        <v>1872</v>
      </c>
      <c r="H60" s="358">
        <v>1872</v>
      </c>
      <c r="I60" s="358">
        <v>0</v>
      </c>
      <c r="J60" s="358">
        <f>'[3]Проф.иными цел.2020 Пр.109'!C60</f>
        <v>9084</v>
      </c>
      <c r="K60" s="360"/>
    </row>
    <row r="61" spans="1:11" s="361" customFormat="1" x14ac:dyDescent="0.2">
      <c r="A61" s="81">
        <v>47</v>
      </c>
      <c r="B61" s="362" t="s">
        <v>112</v>
      </c>
      <c r="C61" s="358">
        <f t="shared" si="0"/>
        <v>22528</v>
      </c>
      <c r="D61" s="358">
        <f t="shared" si="1"/>
        <v>842</v>
      </c>
      <c r="E61" s="358">
        <v>842</v>
      </c>
      <c r="F61" s="368">
        <v>0</v>
      </c>
      <c r="G61" s="359">
        <f t="shared" si="2"/>
        <v>3594</v>
      </c>
      <c r="H61" s="358">
        <v>3594</v>
      </c>
      <c r="I61" s="358">
        <v>0</v>
      </c>
      <c r="J61" s="358">
        <f>'[3]Проф.иными цел.2020 Пр.109'!C61</f>
        <v>18092</v>
      </c>
      <c r="K61" s="360"/>
    </row>
    <row r="62" spans="1:11" s="361" customFormat="1" x14ac:dyDescent="0.2">
      <c r="A62" s="81">
        <v>48</v>
      </c>
      <c r="B62" s="357" t="s">
        <v>46</v>
      </c>
      <c r="C62" s="358">
        <f t="shared" si="0"/>
        <v>330594</v>
      </c>
      <c r="D62" s="358">
        <f t="shared" si="1"/>
        <v>34272</v>
      </c>
      <c r="E62" s="358">
        <v>5248</v>
      </c>
      <c r="F62" s="385">
        <v>29024</v>
      </c>
      <c r="G62" s="359">
        <f t="shared" si="2"/>
        <v>23091</v>
      </c>
      <c r="H62" s="358">
        <v>22389</v>
      </c>
      <c r="I62" s="358">
        <v>702</v>
      </c>
      <c r="J62" s="358">
        <f>'[3]Проф.иными цел.2020 Пр.109'!C62</f>
        <v>273231</v>
      </c>
      <c r="K62" s="360"/>
    </row>
    <row r="63" spans="1:11" s="361" customFormat="1" x14ac:dyDescent="0.2">
      <c r="A63" s="81">
        <v>49</v>
      </c>
      <c r="B63" s="362" t="s">
        <v>9</v>
      </c>
      <c r="C63" s="358">
        <f t="shared" si="0"/>
        <v>226931</v>
      </c>
      <c r="D63" s="358">
        <f t="shared" si="1"/>
        <v>21696</v>
      </c>
      <c r="E63" s="358">
        <v>3797</v>
      </c>
      <c r="F63" s="385">
        <v>17899</v>
      </c>
      <c r="G63" s="359">
        <f t="shared" si="2"/>
        <v>16355</v>
      </c>
      <c r="H63" s="358">
        <v>16199</v>
      </c>
      <c r="I63" s="358">
        <v>156</v>
      </c>
      <c r="J63" s="358">
        <f>'[3]Проф.иными цел.2020 Пр.109'!C63</f>
        <v>188880</v>
      </c>
      <c r="K63" s="360"/>
    </row>
    <row r="64" spans="1:11" s="361" customFormat="1" x14ac:dyDescent="0.2">
      <c r="A64" s="81">
        <v>50</v>
      </c>
      <c r="B64" s="357" t="s">
        <v>113</v>
      </c>
      <c r="C64" s="358">
        <f t="shared" si="0"/>
        <v>291986</v>
      </c>
      <c r="D64" s="358">
        <f t="shared" si="1"/>
        <v>26606</v>
      </c>
      <c r="E64" s="358">
        <v>4328</v>
      </c>
      <c r="F64" s="385">
        <v>22278</v>
      </c>
      <c r="G64" s="359">
        <f t="shared" si="2"/>
        <v>18805</v>
      </c>
      <c r="H64" s="358">
        <v>18462</v>
      </c>
      <c r="I64" s="358">
        <v>343</v>
      </c>
      <c r="J64" s="358">
        <f>'[3]Проф.иными цел.2020 Пр.109'!C64</f>
        <v>246575</v>
      </c>
      <c r="K64" s="360"/>
    </row>
    <row r="65" spans="1:11" s="361" customFormat="1" ht="25.5" x14ac:dyDescent="0.2">
      <c r="A65" s="81">
        <v>51</v>
      </c>
      <c r="B65" s="357" t="s">
        <v>114</v>
      </c>
      <c r="C65" s="358">
        <f t="shared" si="0"/>
        <v>11200</v>
      </c>
      <c r="D65" s="358">
        <f t="shared" si="1"/>
        <v>0</v>
      </c>
      <c r="E65" s="358">
        <v>0</v>
      </c>
      <c r="F65" s="368">
        <v>0</v>
      </c>
      <c r="G65" s="359">
        <f t="shared" si="2"/>
        <v>0</v>
      </c>
      <c r="H65" s="358">
        <v>0</v>
      </c>
      <c r="I65" s="358">
        <v>0</v>
      </c>
      <c r="J65" s="358">
        <f>'[3]Проф.иными цел.2020 Пр.109'!C65</f>
        <v>11200</v>
      </c>
      <c r="K65" s="360"/>
    </row>
    <row r="66" spans="1:11" s="361" customFormat="1" x14ac:dyDescent="0.2">
      <c r="A66" s="81">
        <v>52</v>
      </c>
      <c r="B66" s="362" t="s">
        <v>20</v>
      </c>
      <c r="C66" s="358">
        <f t="shared" si="0"/>
        <v>92949</v>
      </c>
      <c r="D66" s="358">
        <f t="shared" si="1"/>
        <v>9517</v>
      </c>
      <c r="E66" s="358">
        <v>1527</v>
      </c>
      <c r="F66" s="385">
        <v>7990</v>
      </c>
      <c r="G66" s="359">
        <f t="shared" si="2"/>
        <v>6673</v>
      </c>
      <c r="H66" s="358">
        <v>6516</v>
      </c>
      <c r="I66" s="358">
        <v>157</v>
      </c>
      <c r="J66" s="358">
        <f>'[3]Проф.иными цел.2020 Пр.109'!C66</f>
        <v>76759</v>
      </c>
      <c r="K66" s="360"/>
    </row>
    <row r="67" spans="1:11" s="361" customFormat="1" x14ac:dyDescent="0.2">
      <c r="A67" s="81">
        <v>53</v>
      </c>
      <c r="B67" s="357" t="s">
        <v>7</v>
      </c>
      <c r="C67" s="358">
        <f t="shared" si="0"/>
        <v>66939</v>
      </c>
      <c r="D67" s="358">
        <f t="shared" si="1"/>
        <v>6722</v>
      </c>
      <c r="E67" s="358">
        <v>1119</v>
      </c>
      <c r="F67" s="385">
        <v>5603</v>
      </c>
      <c r="G67" s="359">
        <f t="shared" si="2"/>
        <v>4910</v>
      </c>
      <c r="H67" s="358">
        <v>4775</v>
      </c>
      <c r="I67" s="358">
        <v>135</v>
      </c>
      <c r="J67" s="358">
        <f>'[3]Проф.иными цел.2020 Пр.109'!C67</f>
        <v>55307</v>
      </c>
      <c r="K67" s="360"/>
    </row>
    <row r="68" spans="1:11" s="361" customFormat="1" x14ac:dyDescent="0.2">
      <c r="A68" s="81">
        <v>54</v>
      </c>
      <c r="B68" s="362" t="s">
        <v>12</v>
      </c>
      <c r="C68" s="358">
        <f t="shared" si="0"/>
        <v>51654</v>
      </c>
      <c r="D68" s="358">
        <f t="shared" si="1"/>
        <v>5406</v>
      </c>
      <c r="E68" s="358">
        <v>865</v>
      </c>
      <c r="F68" s="385">
        <v>4541</v>
      </c>
      <c r="G68" s="359">
        <f t="shared" si="2"/>
        <v>3858</v>
      </c>
      <c r="H68" s="358">
        <v>3692</v>
      </c>
      <c r="I68" s="358">
        <v>166</v>
      </c>
      <c r="J68" s="358">
        <f>'[3]Проф.иными цел.2020 Пр.109'!C68</f>
        <v>42390</v>
      </c>
      <c r="K68" s="360"/>
    </row>
    <row r="69" spans="1:11" s="361" customFormat="1" x14ac:dyDescent="0.2">
      <c r="A69" s="81">
        <v>55</v>
      </c>
      <c r="B69" s="357" t="s">
        <v>28</v>
      </c>
      <c r="C69" s="358">
        <f t="shared" si="0"/>
        <v>77911</v>
      </c>
      <c r="D69" s="358">
        <f t="shared" si="1"/>
        <v>7815</v>
      </c>
      <c r="E69" s="358">
        <v>1315</v>
      </c>
      <c r="F69" s="385">
        <v>6500</v>
      </c>
      <c r="G69" s="359">
        <f t="shared" si="2"/>
        <v>5749</v>
      </c>
      <c r="H69" s="358">
        <v>5612</v>
      </c>
      <c r="I69" s="358">
        <v>137</v>
      </c>
      <c r="J69" s="358">
        <f>'[3]Проф.иными цел.2020 Пр.109'!C69</f>
        <v>64347</v>
      </c>
      <c r="K69" s="360"/>
    </row>
    <row r="70" spans="1:11" s="361" customFormat="1" x14ac:dyDescent="0.2">
      <c r="A70" s="81">
        <v>56</v>
      </c>
      <c r="B70" s="357" t="s">
        <v>117</v>
      </c>
      <c r="C70" s="358">
        <f t="shared" si="0"/>
        <v>50</v>
      </c>
      <c r="D70" s="358">
        <f t="shared" si="1"/>
        <v>0</v>
      </c>
      <c r="E70" s="358">
        <v>0</v>
      </c>
      <c r="F70" s="368">
        <v>0</v>
      </c>
      <c r="G70" s="359">
        <f t="shared" si="2"/>
        <v>0</v>
      </c>
      <c r="H70" s="358">
        <v>0</v>
      </c>
      <c r="I70" s="358">
        <v>0</v>
      </c>
      <c r="J70" s="358">
        <f>'[3]Проф.иными цел.2020 Пр.109'!C70</f>
        <v>50</v>
      </c>
      <c r="K70" s="360"/>
    </row>
    <row r="71" spans="1:11" s="361" customFormat="1" x14ac:dyDescent="0.2">
      <c r="A71" s="81">
        <v>57</v>
      </c>
      <c r="B71" s="362" t="s">
        <v>24</v>
      </c>
      <c r="C71" s="358">
        <f t="shared" si="0"/>
        <v>32605</v>
      </c>
      <c r="D71" s="358">
        <f t="shared" si="1"/>
        <v>2953</v>
      </c>
      <c r="E71" s="358">
        <v>571</v>
      </c>
      <c r="F71" s="385">
        <v>2382</v>
      </c>
      <c r="G71" s="359">
        <f t="shared" si="2"/>
        <v>2478</v>
      </c>
      <c r="H71" s="358">
        <v>2438</v>
      </c>
      <c r="I71" s="358">
        <v>40</v>
      </c>
      <c r="J71" s="358">
        <f>'[3]Проф.иными цел.2020 Пр.109'!C71</f>
        <v>27174</v>
      </c>
      <c r="K71" s="360"/>
    </row>
    <row r="72" spans="1:11" s="361" customFormat="1" x14ac:dyDescent="0.2">
      <c r="A72" s="81">
        <v>58</v>
      </c>
      <c r="B72" s="362" t="s">
        <v>41</v>
      </c>
      <c r="C72" s="358">
        <f t="shared" si="0"/>
        <v>65345</v>
      </c>
      <c r="D72" s="358">
        <f t="shared" si="1"/>
        <v>6631</v>
      </c>
      <c r="E72" s="358">
        <v>1084</v>
      </c>
      <c r="F72" s="385">
        <v>5547</v>
      </c>
      <c r="G72" s="359">
        <f t="shared" si="2"/>
        <v>4645</v>
      </c>
      <c r="H72" s="358">
        <v>4625</v>
      </c>
      <c r="I72" s="358">
        <v>20</v>
      </c>
      <c r="J72" s="358">
        <f>'[3]Проф.иными цел.2020 Пр.109'!C72</f>
        <v>54069</v>
      </c>
      <c r="K72" s="360"/>
    </row>
    <row r="73" spans="1:11" s="361" customFormat="1" x14ac:dyDescent="0.2">
      <c r="A73" s="81">
        <v>59</v>
      </c>
      <c r="B73" s="362" t="s">
        <v>2</v>
      </c>
      <c r="C73" s="358">
        <f t="shared" si="0"/>
        <v>96003</v>
      </c>
      <c r="D73" s="358">
        <f t="shared" si="1"/>
        <v>9999</v>
      </c>
      <c r="E73" s="358">
        <v>1598</v>
      </c>
      <c r="F73" s="385">
        <v>8401</v>
      </c>
      <c r="G73" s="359">
        <f t="shared" si="2"/>
        <v>6937</v>
      </c>
      <c r="H73" s="358">
        <v>6816</v>
      </c>
      <c r="I73" s="358">
        <v>121</v>
      </c>
      <c r="J73" s="358">
        <f>'[3]Проф.иными цел.2020 Пр.109'!C73</f>
        <v>79067</v>
      </c>
      <c r="K73" s="360"/>
    </row>
    <row r="74" spans="1:11" s="361" customFormat="1" x14ac:dyDescent="0.2">
      <c r="A74" s="81">
        <v>60</v>
      </c>
      <c r="B74" s="357" t="s">
        <v>52</v>
      </c>
      <c r="C74" s="358">
        <f t="shared" si="0"/>
        <v>52422</v>
      </c>
      <c r="D74" s="358">
        <f t="shared" si="1"/>
        <v>5551</v>
      </c>
      <c r="E74" s="358">
        <v>876</v>
      </c>
      <c r="F74" s="385">
        <v>4675</v>
      </c>
      <c r="G74" s="359">
        <f t="shared" si="2"/>
        <v>3843</v>
      </c>
      <c r="H74" s="358">
        <v>3738</v>
      </c>
      <c r="I74" s="358">
        <v>105</v>
      </c>
      <c r="J74" s="358">
        <f>'[3]Проф.иными цел.2020 Пр.109'!C74</f>
        <v>43028</v>
      </c>
      <c r="K74" s="360"/>
    </row>
    <row r="75" spans="1:11" s="361" customFormat="1" ht="25.5" x14ac:dyDescent="0.2">
      <c r="A75" s="81">
        <v>61</v>
      </c>
      <c r="B75" s="362" t="s">
        <v>115</v>
      </c>
      <c r="C75" s="358">
        <f t="shared" ref="C75:C139" si="3">D75+G75+J75</f>
        <v>157</v>
      </c>
      <c r="D75" s="358">
        <f t="shared" ref="D75:D139" si="4">E75+F75</f>
        <v>0</v>
      </c>
      <c r="E75" s="358">
        <v>0</v>
      </c>
      <c r="F75" s="368">
        <v>0</v>
      </c>
      <c r="G75" s="359">
        <f t="shared" ref="G75:G139" si="5">H75+I75</f>
        <v>0</v>
      </c>
      <c r="H75" s="358">
        <v>0</v>
      </c>
      <c r="I75" s="358">
        <v>0</v>
      </c>
      <c r="J75" s="358">
        <f>'[3]Проф.иными цел.2020 Пр.109'!C75</f>
        <v>157</v>
      </c>
      <c r="K75" s="360"/>
    </row>
    <row r="76" spans="1:11" s="361" customFormat="1" x14ac:dyDescent="0.2">
      <c r="A76" s="81">
        <v>62</v>
      </c>
      <c r="B76" s="362" t="s">
        <v>116</v>
      </c>
      <c r="C76" s="358">
        <f t="shared" si="3"/>
        <v>100</v>
      </c>
      <c r="D76" s="358">
        <f t="shared" si="4"/>
        <v>0</v>
      </c>
      <c r="E76" s="358">
        <v>0</v>
      </c>
      <c r="F76" s="368">
        <v>0</v>
      </c>
      <c r="G76" s="359">
        <f t="shared" si="5"/>
        <v>0</v>
      </c>
      <c r="H76" s="358">
        <v>0</v>
      </c>
      <c r="I76" s="358">
        <v>0</v>
      </c>
      <c r="J76" s="358">
        <f>'[3]Проф.иными цел.2020 Пр.109'!C76</f>
        <v>100</v>
      </c>
      <c r="K76" s="360"/>
    </row>
    <row r="77" spans="1:11" s="361" customFormat="1" ht="25.5" x14ac:dyDescent="0.2">
      <c r="A77" s="81">
        <v>63</v>
      </c>
      <c r="B77" s="362" t="s">
        <v>118</v>
      </c>
      <c r="C77" s="358">
        <f t="shared" si="3"/>
        <v>25</v>
      </c>
      <c r="D77" s="358">
        <f t="shared" si="4"/>
        <v>0</v>
      </c>
      <c r="E77" s="358">
        <v>0</v>
      </c>
      <c r="F77" s="368">
        <v>0</v>
      </c>
      <c r="G77" s="359">
        <f t="shared" si="5"/>
        <v>0</v>
      </c>
      <c r="H77" s="358">
        <v>0</v>
      </c>
      <c r="I77" s="358">
        <v>0</v>
      </c>
      <c r="J77" s="358">
        <f>'[3]Проф.иными цел.2020 Пр.109'!C77</f>
        <v>25</v>
      </c>
      <c r="K77" s="360"/>
    </row>
    <row r="78" spans="1:11" s="361" customFormat="1" x14ac:dyDescent="0.2">
      <c r="A78" s="81">
        <v>64</v>
      </c>
      <c r="B78" s="75" t="s">
        <v>80</v>
      </c>
      <c r="C78" s="358">
        <f t="shared" si="3"/>
        <v>232559</v>
      </c>
      <c r="D78" s="358">
        <f t="shared" si="4"/>
        <v>36418</v>
      </c>
      <c r="E78" s="358">
        <v>0</v>
      </c>
      <c r="F78" s="385">
        <v>36418</v>
      </c>
      <c r="G78" s="359">
        <f t="shared" si="5"/>
        <v>270</v>
      </c>
      <c r="H78" s="358">
        <v>0</v>
      </c>
      <c r="I78" s="358">
        <v>270</v>
      </c>
      <c r="J78" s="358">
        <f>'[3]Проф.иными цел.2020 Пр.109'!C78</f>
        <v>195871</v>
      </c>
      <c r="K78" s="360"/>
    </row>
    <row r="79" spans="1:11" s="361" customFormat="1" x14ac:dyDescent="0.2">
      <c r="A79" s="81">
        <v>65</v>
      </c>
      <c r="B79" s="75" t="s">
        <v>81</v>
      </c>
      <c r="C79" s="358">
        <f t="shared" si="3"/>
        <v>200914</v>
      </c>
      <c r="D79" s="358">
        <f t="shared" si="4"/>
        <v>31280</v>
      </c>
      <c r="E79" s="358">
        <v>0</v>
      </c>
      <c r="F79" s="385">
        <v>31280</v>
      </c>
      <c r="G79" s="359">
        <f t="shared" si="5"/>
        <v>418</v>
      </c>
      <c r="H79" s="358">
        <v>0</v>
      </c>
      <c r="I79" s="358">
        <v>418</v>
      </c>
      <c r="J79" s="358">
        <f>'[3]Проф.иными цел.2020 Пр.109'!C79</f>
        <v>169216</v>
      </c>
      <c r="K79" s="360"/>
    </row>
    <row r="80" spans="1:11" s="361" customFormat="1" x14ac:dyDescent="0.2">
      <c r="A80" s="81">
        <v>66</v>
      </c>
      <c r="B80" s="75" t="s">
        <v>82</v>
      </c>
      <c r="C80" s="358">
        <f t="shared" si="3"/>
        <v>274802</v>
      </c>
      <c r="D80" s="358">
        <f t="shared" si="4"/>
        <v>40838</v>
      </c>
      <c r="E80" s="358">
        <v>0</v>
      </c>
      <c r="F80" s="385">
        <v>40838</v>
      </c>
      <c r="G80" s="359">
        <f t="shared" si="5"/>
        <v>90</v>
      </c>
      <c r="H80" s="358">
        <v>0</v>
      </c>
      <c r="I80" s="358">
        <v>90</v>
      </c>
      <c r="J80" s="358">
        <f>'[3]Проф.иными цел.2020 Пр.109'!C80</f>
        <v>233874</v>
      </c>
      <c r="K80" s="360"/>
    </row>
    <row r="81" spans="1:11" s="361" customFormat="1" x14ac:dyDescent="0.2">
      <c r="A81" s="81">
        <v>67</v>
      </c>
      <c r="B81" s="75" t="s">
        <v>83</v>
      </c>
      <c r="C81" s="358">
        <f t="shared" si="3"/>
        <v>350512</v>
      </c>
      <c r="D81" s="358">
        <f t="shared" si="4"/>
        <v>50565</v>
      </c>
      <c r="E81" s="358">
        <v>0</v>
      </c>
      <c r="F81" s="385">
        <v>50565</v>
      </c>
      <c r="G81" s="359">
        <f t="shared" si="5"/>
        <v>278</v>
      </c>
      <c r="H81" s="358">
        <v>0</v>
      </c>
      <c r="I81" s="358">
        <v>278</v>
      </c>
      <c r="J81" s="358">
        <f>'[3]Проф.иными цел.2020 Пр.109'!C81</f>
        <v>299669</v>
      </c>
      <c r="K81" s="360"/>
    </row>
    <row r="82" spans="1:11" s="361" customFormat="1" x14ac:dyDescent="0.2">
      <c r="A82" s="81">
        <v>68</v>
      </c>
      <c r="B82" s="75" t="s">
        <v>84</v>
      </c>
      <c r="C82" s="358">
        <f t="shared" si="3"/>
        <v>126680</v>
      </c>
      <c r="D82" s="358">
        <f t="shared" si="4"/>
        <v>21048</v>
      </c>
      <c r="E82" s="358">
        <v>0</v>
      </c>
      <c r="F82" s="385">
        <v>21048</v>
      </c>
      <c r="G82" s="359">
        <f t="shared" si="5"/>
        <v>92</v>
      </c>
      <c r="H82" s="358">
        <v>0</v>
      </c>
      <c r="I82" s="358">
        <v>92</v>
      </c>
      <c r="J82" s="358">
        <f>'[3]Проф.иными цел.2020 Пр.109'!C82</f>
        <v>105540</v>
      </c>
      <c r="K82" s="360"/>
    </row>
    <row r="83" spans="1:11" s="361" customFormat="1" ht="25.5" x14ac:dyDescent="0.2">
      <c r="A83" s="81">
        <v>69</v>
      </c>
      <c r="B83" s="75" t="s">
        <v>119</v>
      </c>
      <c r="C83" s="358">
        <f t="shared" si="3"/>
        <v>29413</v>
      </c>
      <c r="D83" s="358">
        <f t="shared" si="4"/>
        <v>0</v>
      </c>
      <c r="E83" s="358">
        <v>0</v>
      </c>
      <c r="F83" s="368">
        <v>0</v>
      </c>
      <c r="G83" s="359">
        <f t="shared" si="5"/>
        <v>0</v>
      </c>
      <c r="H83" s="358">
        <v>0</v>
      </c>
      <c r="I83" s="358">
        <v>0</v>
      </c>
      <c r="J83" s="358">
        <f>'[3]Проф.иными цел.2020 Пр.109'!C83</f>
        <v>29413</v>
      </c>
      <c r="K83" s="360"/>
    </row>
    <row r="84" spans="1:11" s="361" customFormat="1" ht="25.5" x14ac:dyDescent="0.2">
      <c r="A84" s="81">
        <v>70</v>
      </c>
      <c r="B84" s="75" t="s">
        <v>85</v>
      </c>
      <c r="C84" s="358">
        <f t="shared" si="3"/>
        <v>31369</v>
      </c>
      <c r="D84" s="358">
        <f t="shared" si="4"/>
        <v>0</v>
      </c>
      <c r="E84" s="358">
        <v>0</v>
      </c>
      <c r="F84" s="368">
        <v>0</v>
      </c>
      <c r="G84" s="359">
        <f t="shared" si="5"/>
        <v>0</v>
      </c>
      <c r="H84" s="358">
        <v>0</v>
      </c>
      <c r="I84" s="358">
        <v>0</v>
      </c>
      <c r="J84" s="358">
        <f>'[3]Проф.иными цел.2020 Пр.109'!C84</f>
        <v>31369</v>
      </c>
      <c r="K84" s="360"/>
    </row>
    <row r="85" spans="1:11" s="361" customFormat="1" x14ac:dyDescent="0.2">
      <c r="A85" s="81">
        <v>71</v>
      </c>
      <c r="B85" s="75" t="s">
        <v>61</v>
      </c>
      <c r="C85" s="358">
        <f t="shared" si="3"/>
        <v>93008</v>
      </c>
      <c r="D85" s="358">
        <f t="shared" si="4"/>
        <v>6701</v>
      </c>
      <c r="E85" s="358">
        <v>3675</v>
      </c>
      <c r="F85" s="385">
        <v>3026</v>
      </c>
      <c r="G85" s="359">
        <f t="shared" si="5"/>
        <v>15679</v>
      </c>
      <c r="H85" s="358">
        <v>15679</v>
      </c>
      <c r="I85" s="358">
        <v>0</v>
      </c>
      <c r="J85" s="358">
        <f>'[3]Проф.иными цел.2020 Пр.109'!C85</f>
        <v>70628</v>
      </c>
      <c r="K85" s="360"/>
    </row>
    <row r="86" spans="1:11" s="361" customFormat="1" x14ac:dyDescent="0.2">
      <c r="A86" s="81">
        <v>72</v>
      </c>
      <c r="B86" s="75" t="s">
        <v>62</v>
      </c>
      <c r="C86" s="358">
        <f t="shared" si="3"/>
        <v>72145</v>
      </c>
      <c r="D86" s="358">
        <f t="shared" si="4"/>
        <v>2375</v>
      </c>
      <c r="E86" s="358">
        <v>2375</v>
      </c>
      <c r="F86" s="368">
        <v>0</v>
      </c>
      <c r="G86" s="359">
        <f t="shared" si="5"/>
        <v>10133</v>
      </c>
      <c r="H86" s="358">
        <v>10133</v>
      </c>
      <c r="I86" s="358">
        <v>0</v>
      </c>
      <c r="J86" s="358">
        <f>'[3]Проф.иными цел.2020 Пр.109'!C86</f>
        <v>59637</v>
      </c>
      <c r="K86" s="360"/>
    </row>
    <row r="87" spans="1:11" s="361" customFormat="1" x14ac:dyDescent="0.2">
      <c r="A87" s="81">
        <v>73</v>
      </c>
      <c r="B87" s="75" t="s">
        <v>63</v>
      </c>
      <c r="C87" s="358">
        <f t="shared" si="3"/>
        <v>52785</v>
      </c>
      <c r="D87" s="358">
        <f t="shared" si="4"/>
        <v>2288</v>
      </c>
      <c r="E87" s="358">
        <v>2288</v>
      </c>
      <c r="F87" s="368">
        <v>0</v>
      </c>
      <c r="G87" s="359">
        <f t="shared" si="5"/>
        <v>9763</v>
      </c>
      <c r="H87" s="358">
        <v>9763</v>
      </c>
      <c r="I87" s="358">
        <v>0</v>
      </c>
      <c r="J87" s="358">
        <f>'[3]Проф.иными цел.2020 Пр.109'!C87</f>
        <v>40734</v>
      </c>
      <c r="K87" s="360"/>
    </row>
    <row r="88" spans="1:11" s="361" customFormat="1" x14ac:dyDescent="0.2">
      <c r="A88" s="81">
        <v>74</v>
      </c>
      <c r="B88" s="75" t="s">
        <v>64</v>
      </c>
      <c r="C88" s="358">
        <f t="shared" si="3"/>
        <v>66358</v>
      </c>
      <c r="D88" s="358">
        <f t="shared" si="4"/>
        <v>1728</v>
      </c>
      <c r="E88" s="358">
        <v>1728</v>
      </c>
      <c r="F88" s="368">
        <v>0</v>
      </c>
      <c r="G88" s="359">
        <f t="shared" si="5"/>
        <v>7371</v>
      </c>
      <c r="H88" s="358">
        <v>7371</v>
      </c>
      <c r="I88" s="358">
        <v>0</v>
      </c>
      <c r="J88" s="358">
        <f>'[3]Проф.иными цел.2020 Пр.109'!C88</f>
        <v>57259</v>
      </c>
      <c r="K88" s="360"/>
    </row>
    <row r="89" spans="1:11" s="361" customFormat="1" x14ac:dyDescent="0.2">
      <c r="A89" s="81">
        <v>75</v>
      </c>
      <c r="B89" s="75" t="s">
        <v>65</v>
      </c>
      <c r="C89" s="358">
        <f t="shared" si="3"/>
        <v>128705</v>
      </c>
      <c r="D89" s="358">
        <f t="shared" si="4"/>
        <v>4504</v>
      </c>
      <c r="E89" s="358">
        <v>4504</v>
      </c>
      <c r="F89" s="368">
        <v>0</v>
      </c>
      <c r="G89" s="359">
        <f t="shared" si="5"/>
        <v>19195</v>
      </c>
      <c r="H89" s="358">
        <v>19195</v>
      </c>
      <c r="I89" s="358">
        <v>0</v>
      </c>
      <c r="J89" s="358">
        <f>'[3]Проф.иными цел.2020 Пр.109'!C89</f>
        <v>105006</v>
      </c>
      <c r="K89" s="360"/>
    </row>
    <row r="90" spans="1:11" s="361" customFormat="1" x14ac:dyDescent="0.2">
      <c r="A90" s="81">
        <v>76</v>
      </c>
      <c r="B90" s="75" t="s">
        <v>66</v>
      </c>
      <c r="C90" s="358">
        <f t="shared" si="3"/>
        <v>65422</v>
      </c>
      <c r="D90" s="358">
        <f t="shared" si="4"/>
        <v>2293</v>
      </c>
      <c r="E90" s="358">
        <v>2293</v>
      </c>
      <c r="F90" s="368">
        <v>0</v>
      </c>
      <c r="G90" s="359">
        <f t="shared" si="5"/>
        <v>9784</v>
      </c>
      <c r="H90" s="358">
        <v>9784</v>
      </c>
      <c r="I90" s="358">
        <v>0</v>
      </c>
      <c r="J90" s="358">
        <f>'[3]Проф.иными цел.2020 Пр.109'!C90</f>
        <v>53345</v>
      </c>
      <c r="K90" s="360"/>
    </row>
    <row r="91" spans="1:11" s="361" customFormat="1" x14ac:dyDescent="0.2">
      <c r="A91" s="81">
        <v>77</v>
      </c>
      <c r="B91" s="75" t="s">
        <v>67</v>
      </c>
      <c r="C91" s="358">
        <f t="shared" si="3"/>
        <v>77922</v>
      </c>
      <c r="D91" s="358">
        <f t="shared" si="4"/>
        <v>2593</v>
      </c>
      <c r="E91" s="358">
        <v>2593</v>
      </c>
      <c r="F91" s="368">
        <v>0</v>
      </c>
      <c r="G91" s="359">
        <f t="shared" si="5"/>
        <v>11062</v>
      </c>
      <c r="H91" s="358">
        <v>11062</v>
      </c>
      <c r="I91" s="358">
        <v>0</v>
      </c>
      <c r="J91" s="358">
        <f>'[3]Проф.иными цел.2020 Пр.109'!C91</f>
        <v>64267</v>
      </c>
      <c r="K91" s="360"/>
    </row>
    <row r="92" spans="1:11" s="361" customFormat="1" x14ac:dyDescent="0.2">
      <c r="A92" s="81">
        <v>78</v>
      </c>
      <c r="B92" s="75" t="s">
        <v>68</v>
      </c>
      <c r="C92" s="358">
        <f t="shared" si="3"/>
        <v>34157</v>
      </c>
      <c r="D92" s="358">
        <f t="shared" si="4"/>
        <v>1543</v>
      </c>
      <c r="E92" s="358">
        <v>1543</v>
      </c>
      <c r="F92" s="368">
        <v>0</v>
      </c>
      <c r="G92" s="359">
        <f t="shared" si="5"/>
        <v>6583</v>
      </c>
      <c r="H92" s="358">
        <v>6583</v>
      </c>
      <c r="I92" s="358">
        <v>0</v>
      </c>
      <c r="J92" s="358">
        <f>'[3]Проф.иными цел.2020 Пр.109'!C92</f>
        <v>26031</v>
      </c>
      <c r="K92" s="360"/>
    </row>
    <row r="93" spans="1:11" s="361" customFormat="1" x14ac:dyDescent="0.2">
      <c r="A93" s="81">
        <v>79</v>
      </c>
      <c r="B93" s="75" t="s">
        <v>69</v>
      </c>
      <c r="C93" s="358">
        <f t="shared" si="3"/>
        <v>130699</v>
      </c>
      <c r="D93" s="358">
        <f t="shared" si="4"/>
        <v>4392</v>
      </c>
      <c r="E93" s="358">
        <v>4392</v>
      </c>
      <c r="F93" s="368">
        <v>0</v>
      </c>
      <c r="G93" s="359">
        <f t="shared" si="5"/>
        <v>18737</v>
      </c>
      <c r="H93" s="358">
        <v>18737</v>
      </c>
      <c r="I93" s="358">
        <v>0</v>
      </c>
      <c r="J93" s="358">
        <f>'[3]Проф.иными цел.2020 Пр.109'!C93</f>
        <v>107570</v>
      </c>
      <c r="K93" s="360"/>
    </row>
    <row r="94" spans="1:11" s="361" customFormat="1" x14ac:dyDescent="0.2">
      <c r="A94" s="81">
        <v>80</v>
      </c>
      <c r="B94" s="75" t="s">
        <v>70</v>
      </c>
      <c r="C94" s="358">
        <f t="shared" si="3"/>
        <v>45278</v>
      </c>
      <c r="D94" s="358">
        <f t="shared" si="4"/>
        <v>2024</v>
      </c>
      <c r="E94" s="358">
        <v>2024</v>
      </c>
      <c r="F94" s="368">
        <v>0</v>
      </c>
      <c r="G94" s="359">
        <f t="shared" si="5"/>
        <v>8635</v>
      </c>
      <c r="H94" s="358">
        <v>8635</v>
      </c>
      <c r="I94" s="358">
        <v>0</v>
      </c>
      <c r="J94" s="358">
        <f>'[3]Проф.иными цел.2020 Пр.109'!C94</f>
        <v>34619</v>
      </c>
      <c r="K94" s="360"/>
    </row>
    <row r="95" spans="1:11" s="361" customFormat="1" x14ac:dyDescent="0.2">
      <c r="A95" s="81">
        <v>81</v>
      </c>
      <c r="B95" s="75" t="s">
        <v>71</v>
      </c>
      <c r="C95" s="358">
        <f t="shared" si="3"/>
        <v>44312</v>
      </c>
      <c r="D95" s="358">
        <f t="shared" si="4"/>
        <v>1967</v>
      </c>
      <c r="E95" s="358">
        <v>1967</v>
      </c>
      <c r="F95" s="368">
        <v>0</v>
      </c>
      <c r="G95" s="359">
        <f t="shared" si="5"/>
        <v>8394</v>
      </c>
      <c r="H95" s="358">
        <v>8394</v>
      </c>
      <c r="I95" s="358">
        <v>0</v>
      </c>
      <c r="J95" s="358">
        <f>'[3]Проф.иными цел.2020 Пр.109'!C95</f>
        <v>33951</v>
      </c>
      <c r="K95" s="360"/>
    </row>
    <row r="96" spans="1:11" s="361" customFormat="1" ht="25.5" x14ac:dyDescent="0.2">
      <c r="A96" s="81">
        <v>82</v>
      </c>
      <c r="B96" s="75" t="s">
        <v>120</v>
      </c>
      <c r="C96" s="358">
        <f t="shared" si="3"/>
        <v>3111</v>
      </c>
      <c r="D96" s="358">
        <f t="shared" si="4"/>
        <v>0</v>
      </c>
      <c r="E96" s="358">
        <v>0</v>
      </c>
      <c r="F96" s="368">
        <v>0</v>
      </c>
      <c r="G96" s="359">
        <f t="shared" si="5"/>
        <v>0</v>
      </c>
      <c r="H96" s="358">
        <v>0</v>
      </c>
      <c r="I96" s="358">
        <v>0</v>
      </c>
      <c r="J96" s="358">
        <f>'[3]Проф.иными цел.2020 Пр.109'!C96</f>
        <v>3111</v>
      </c>
      <c r="K96" s="360"/>
    </row>
    <row r="97" spans="1:11" s="361" customFormat="1" ht="25.5" x14ac:dyDescent="0.2">
      <c r="A97" s="81">
        <v>83</v>
      </c>
      <c r="B97" s="75" t="s">
        <v>86</v>
      </c>
      <c r="C97" s="358">
        <f t="shared" si="3"/>
        <v>3578</v>
      </c>
      <c r="D97" s="358">
        <f t="shared" si="4"/>
        <v>0</v>
      </c>
      <c r="E97" s="358">
        <v>0</v>
      </c>
      <c r="F97" s="368">
        <v>0</v>
      </c>
      <c r="G97" s="359">
        <f t="shared" si="5"/>
        <v>0</v>
      </c>
      <c r="H97" s="358">
        <v>0</v>
      </c>
      <c r="I97" s="358">
        <v>0</v>
      </c>
      <c r="J97" s="358">
        <f>'[3]Проф.иными цел.2020 Пр.109'!C97</f>
        <v>3578</v>
      </c>
      <c r="K97" s="360"/>
    </row>
    <row r="98" spans="1:11" s="361" customFormat="1" ht="25.5" x14ac:dyDescent="0.2">
      <c r="A98" s="81">
        <v>84</v>
      </c>
      <c r="B98" s="75" t="s">
        <v>121</v>
      </c>
      <c r="C98" s="358">
        <f t="shared" si="3"/>
        <v>4126</v>
      </c>
      <c r="D98" s="358">
        <f t="shared" si="4"/>
        <v>0</v>
      </c>
      <c r="E98" s="358">
        <v>0</v>
      </c>
      <c r="F98" s="368">
        <v>0</v>
      </c>
      <c r="G98" s="359">
        <f t="shared" si="5"/>
        <v>0</v>
      </c>
      <c r="H98" s="358">
        <v>0</v>
      </c>
      <c r="I98" s="358">
        <v>0</v>
      </c>
      <c r="J98" s="358">
        <f>'[3]Проф.иными цел.2020 Пр.109'!C98</f>
        <v>4126</v>
      </c>
      <c r="K98" s="360"/>
    </row>
    <row r="99" spans="1:11" s="361" customFormat="1" ht="25.5" x14ac:dyDescent="0.2">
      <c r="A99" s="81">
        <v>85</v>
      </c>
      <c r="B99" s="75" t="s">
        <v>122</v>
      </c>
      <c r="C99" s="358">
        <f t="shared" si="3"/>
        <v>3480</v>
      </c>
      <c r="D99" s="358">
        <f t="shared" si="4"/>
        <v>0</v>
      </c>
      <c r="E99" s="358">
        <v>0</v>
      </c>
      <c r="F99" s="368">
        <v>0</v>
      </c>
      <c r="G99" s="359">
        <f t="shared" si="5"/>
        <v>0</v>
      </c>
      <c r="H99" s="358">
        <v>0</v>
      </c>
      <c r="I99" s="358">
        <v>0</v>
      </c>
      <c r="J99" s="358">
        <f>'[3]Проф.иными цел.2020 Пр.109'!C99</f>
        <v>3480</v>
      </c>
      <c r="K99" s="360"/>
    </row>
    <row r="100" spans="1:11" s="361" customFormat="1" ht="25.5" x14ac:dyDescent="0.2">
      <c r="A100" s="81">
        <v>86</v>
      </c>
      <c r="B100" s="75" t="s">
        <v>123</v>
      </c>
      <c r="C100" s="358">
        <f t="shared" si="3"/>
        <v>13472</v>
      </c>
      <c r="D100" s="358">
        <f t="shared" si="4"/>
        <v>0</v>
      </c>
      <c r="E100" s="358">
        <v>0</v>
      </c>
      <c r="F100" s="368">
        <v>0</v>
      </c>
      <c r="G100" s="359">
        <f t="shared" si="5"/>
        <v>0</v>
      </c>
      <c r="H100" s="358">
        <v>0</v>
      </c>
      <c r="I100" s="358">
        <v>0</v>
      </c>
      <c r="J100" s="358">
        <f>'[3]Проф.иными цел.2020 Пр.109'!C100</f>
        <v>13472</v>
      </c>
      <c r="K100" s="360"/>
    </row>
    <row r="101" spans="1:11" s="361" customFormat="1" ht="25.5" x14ac:dyDescent="0.2">
      <c r="A101" s="81">
        <v>87</v>
      </c>
      <c r="B101" s="75" t="s">
        <v>124</v>
      </c>
      <c r="C101" s="358">
        <f t="shared" si="3"/>
        <v>3172</v>
      </c>
      <c r="D101" s="358">
        <f t="shared" si="4"/>
        <v>0</v>
      </c>
      <c r="E101" s="358">
        <v>0</v>
      </c>
      <c r="F101" s="368">
        <v>0</v>
      </c>
      <c r="G101" s="359">
        <f t="shared" si="5"/>
        <v>0</v>
      </c>
      <c r="H101" s="358">
        <v>0</v>
      </c>
      <c r="I101" s="358">
        <v>0</v>
      </c>
      <c r="J101" s="358">
        <f>'[3]Проф.иными цел.2020 Пр.109'!C101</f>
        <v>3172</v>
      </c>
      <c r="K101" s="360"/>
    </row>
    <row r="102" spans="1:11" s="361" customFormat="1" ht="25.5" x14ac:dyDescent="0.2">
      <c r="A102" s="81">
        <v>88</v>
      </c>
      <c r="B102" s="75" t="s">
        <v>125</v>
      </c>
      <c r="C102" s="358">
        <f t="shared" si="3"/>
        <v>2676</v>
      </c>
      <c r="D102" s="358">
        <f t="shared" si="4"/>
        <v>0</v>
      </c>
      <c r="E102" s="358">
        <v>0</v>
      </c>
      <c r="F102" s="368">
        <v>0</v>
      </c>
      <c r="G102" s="359">
        <f t="shared" si="5"/>
        <v>0</v>
      </c>
      <c r="H102" s="358">
        <v>0</v>
      </c>
      <c r="I102" s="358">
        <v>0</v>
      </c>
      <c r="J102" s="358">
        <f>'[3]Проф.иными цел.2020 Пр.109'!C102</f>
        <v>2676</v>
      </c>
      <c r="K102" s="360"/>
    </row>
    <row r="103" spans="1:11" s="361" customFormat="1" x14ac:dyDescent="0.2">
      <c r="A103" s="81">
        <v>89</v>
      </c>
      <c r="B103" s="75" t="s">
        <v>126</v>
      </c>
      <c r="C103" s="358">
        <f t="shared" si="3"/>
        <v>212248</v>
      </c>
      <c r="D103" s="358">
        <f t="shared" si="4"/>
        <v>21728</v>
      </c>
      <c r="E103" s="358">
        <v>2638</v>
      </c>
      <c r="F103" s="385">
        <v>19090</v>
      </c>
      <c r="G103" s="359">
        <f t="shared" si="5"/>
        <v>11432</v>
      </c>
      <c r="H103" s="358">
        <v>11254</v>
      </c>
      <c r="I103" s="358">
        <v>178</v>
      </c>
      <c r="J103" s="358">
        <f>'[3]Проф.иными цел.2020 Пр.109'!C103</f>
        <v>179088</v>
      </c>
      <c r="K103" s="360"/>
    </row>
    <row r="104" spans="1:11" s="361" customFormat="1" x14ac:dyDescent="0.2">
      <c r="A104" s="81">
        <v>90</v>
      </c>
      <c r="B104" s="75" t="s">
        <v>78</v>
      </c>
      <c r="C104" s="358">
        <f t="shared" si="3"/>
        <v>84477</v>
      </c>
      <c r="D104" s="358">
        <f t="shared" si="4"/>
        <v>2538</v>
      </c>
      <c r="E104" s="358">
        <v>2538</v>
      </c>
      <c r="F104" s="368">
        <v>0</v>
      </c>
      <c r="G104" s="359">
        <f t="shared" si="5"/>
        <v>10826</v>
      </c>
      <c r="H104" s="358">
        <v>10826</v>
      </c>
      <c r="I104" s="358">
        <v>0</v>
      </c>
      <c r="J104" s="358">
        <f>'[3]Проф.иными цел.2020 Пр.109'!C104</f>
        <v>71113</v>
      </c>
      <c r="K104" s="360"/>
    </row>
    <row r="105" spans="1:11" s="361" customFormat="1" x14ac:dyDescent="0.2">
      <c r="A105" s="81">
        <v>91</v>
      </c>
      <c r="B105" s="75" t="s">
        <v>73</v>
      </c>
      <c r="C105" s="358">
        <f t="shared" si="3"/>
        <v>66222</v>
      </c>
      <c r="D105" s="358">
        <f t="shared" si="4"/>
        <v>2204</v>
      </c>
      <c r="E105" s="358">
        <v>2204</v>
      </c>
      <c r="F105" s="368">
        <v>0</v>
      </c>
      <c r="G105" s="359">
        <f t="shared" si="5"/>
        <v>9404</v>
      </c>
      <c r="H105" s="358">
        <v>9404</v>
      </c>
      <c r="I105" s="358">
        <v>0</v>
      </c>
      <c r="J105" s="358">
        <f>'[3]Проф.иными цел.2020 Пр.109'!C105</f>
        <v>54614</v>
      </c>
      <c r="K105" s="360"/>
    </row>
    <row r="106" spans="1:11" s="361" customFormat="1" x14ac:dyDescent="0.2">
      <c r="A106" s="81">
        <v>92</v>
      </c>
      <c r="B106" s="75" t="s">
        <v>72</v>
      </c>
      <c r="C106" s="358">
        <f t="shared" si="3"/>
        <v>36418</v>
      </c>
      <c r="D106" s="358">
        <f t="shared" si="4"/>
        <v>1263</v>
      </c>
      <c r="E106" s="358">
        <v>1263</v>
      </c>
      <c r="F106" s="368">
        <v>0</v>
      </c>
      <c r="G106" s="359">
        <f t="shared" si="5"/>
        <v>5388</v>
      </c>
      <c r="H106" s="358">
        <v>5388</v>
      </c>
      <c r="I106" s="358">
        <v>0</v>
      </c>
      <c r="J106" s="358">
        <f>'[3]Проф.иными цел.2020 Пр.109'!C106</f>
        <v>29767</v>
      </c>
      <c r="K106" s="360"/>
    </row>
    <row r="107" spans="1:11" s="361" customFormat="1" x14ac:dyDescent="0.2">
      <c r="A107" s="81">
        <v>93</v>
      </c>
      <c r="B107" s="75" t="s">
        <v>74</v>
      </c>
      <c r="C107" s="358">
        <f t="shared" si="3"/>
        <v>31195</v>
      </c>
      <c r="D107" s="358">
        <f t="shared" si="4"/>
        <v>585</v>
      </c>
      <c r="E107" s="358">
        <v>585</v>
      </c>
      <c r="F107" s="368">
        <v>0</v>
      </c>
      <c r="G107" s="359">
        <f t="shared" si="5"/>
        <v>2497</v>
      </c>
      <c r="H107" s="358">
        <v>2497</v>
      </c>
      <c r="I107" s="358">
        <v>0</v>
      </c>
      <c r="J107" s="358">
        <f>'[3]Проф.иными цел.2020 Пр.109'!C107</f>
        <v>28113</v>
      </c>
      <c r="K107" s="360"/>
    </row>
    <row r="108" spans="1:11" s="361" customFormat="1" x14ac:dyDescent="0.2">
      <c r="A108" s="81">
        <v>94</v>
      </c>
      <c r="B108" s="75" t="s">
        <v>75</v>
      </c>
      <c r="C108" s="358">
        <f t="shared" si="3"/>
        <v>5010</v>
      </c>
      <c r="D108" s="358">
        <f t="shared" si="4"/>
        <v>176</v>
      </c>
      <c r="E108" s="358">
        <v>176</v>
      </c>
      <c r="F108" s="368">
        <v>0</v>
      </c>
      <c r="G108" s="359">
        <f t="shared" si="5"/>
        <v>750</v>
      </c>
      <c r="H108" s="358">
        <v>750</v>
      </c>
      <c r="I108" s="358">
        <v>0</v>
      </c>
      <c r="J108" s="358">
        <f>'[3]Проф.иными цел.2020 Пр.109'!C108</f>
        <v>4084</v>
      </c>
      <c r="K108" s="360"/>
    </row>
    <row r="109" spans="1:11" s="361" customFormat="1" ht="39.75" customHeight="1" x14ac:dyDescent="0.2">
      <c r="A109" s="570">
        <v>95</v>
      </c>
      <c r="B109" s="384" t="s">
        <v>450</v>
      </c>
      <c r="C109" s="358">
        <f t="shared" si="3"/>
        <v>25051</v>
      </c>
      <c r="D109" s="358">
        <f t="shared" si="4"/>
        <v>880</v>
      </c>
      <c r="E109" s="358">
        <v>880</v>
      </c>
      <c r="F109" s="368">
        <v>0</v>
      </c>
      <c r="G109" s="359">
        <f t="shared" si="5"/>
        <v>3753</v>
      </c>
      <c r="H109" s="358">
        <v>3753</v>
      </c>
      <c r="I109" s="358">
        <v>0</v>
      </c>
      <c r="J109" s="358">
        <f>'[3]Проф.иными цел.2020 Пр.109'!C109</f>
        <v>20418</v>
      </c>
      <c r="K109" s="360"/>
    </row>
    <row r="110" spans="1:11" s="361" customFormat="1" x14ac:dyDescent="0.2">
      <c r="A110" s="571"/>
      <c r="B110" s="75" t="s">
        <v>76</v>
      </c>
      <c r="C110" s="358">
        <f t="shared" si="3"/>
        <v>205503</v>
      </c>
      <c r="D110" s="358">
        <f t="shared" si="4"/>
        <v>6678</v>
      </c>
      <c r="E110" s="358">
        <v>6678</v>
      </c>
      <c r="F110" s="368">
        <v>0</v>
      </c>
      <c r="G110" s="359">
        <f t="shared" si="5"/>
        <v>28489</v>
      </c>
      <c r="H110" s="358">
        <v>28489</v>
      </c>
      <c r="I110" s="358">
        <v>0</v>
      </c>
      <c r="J110" s="358">
        <f>'[3]Проф.иными цел.2020 Пр.109'!C110</f>
        <v>170336</v>
      </c>
      <c r="K110" s="360"/>
    </row>
    <row r="111" spans="1:11" s="361" customFormat="1" x14ac:dyDescent="0.2">
      <c r="A111" s="81">
        <v>96</v>
      </c>
      <c r="B111" s="75" t="s">
        <v>79</v>
      </c>
      <c r="C111" s="358">
        <f t="shared" si="3"/>
        <v>211059</v>
      </c>
      <c r="D111" s="358">
        <f t="shared" si="4"/>
        <v>31320</v>
      </c>
      <c r="E111" s="358">
        <v>0</v>
      </c>
      <c r="F111" s="385">
        <v>31320</v>
      </c>
      <c r="G111" s="359">
        <f t="shared" si="5"/>
        <v>501</v>
      </c>
      <c r="H111" s="358">
        <v>0</v>
      </c>
      <c r="I111" s="358">
        <v>501</v>
      </c>
      <c r="J111" s="358">
        <f>'[3]Проф.иными цел.2020 Пр.109'!C111</f>
        <v>179238</v>
      </c>
      <c r="K111" s="360"/>
    </row>
    <row r="112" spans="1:11" s="361" customFormat="1" x14ac:dyDescent="0.2">
      <c r="A112" s="81">
        <v>97</v>
      </c>
      <c r="B112" s="75" t="s">
        <v>77</v>
      </c>
      <c r="C112" s="358">
        <f t="shared" si="3"/>
        <v>91922</v>
      </c>
      <c r="D112" s="358">
        <f t="shared" si="4"/>
        <v>2499</v>
      </c>
      <c r="E112" s="358">
        <v>2499</v>
      </c>
      <c r="F112" s="368">
        <v>0</v>
      </c>
      <c r="G112" s="359">
        <f t="shared" si="5"/>
        <v>10662</v>
      </c>
      <c r="H112" s="358">
        <v>10662</v>
      </c>
      <c r="I112" s="358">
        <v>0</v>
      </c>
      <c r="J112" s="358">
        <f>'[3]Проф.иными цел.2020 Пр.109'!C112</f>
        <v>78761</v>
      </c>
      <c r="K112" s="360"/>
    </row>
    <row r="113" spans="1:11" s="361" customFormat="1" x14ac:dyDescent="0.2">
      <c r="A113" s="81">
        <v>98</v>
      </c>
      <c r="B113" s="75" t="s">
        <v>127</v>
      </c>
      <c r="C113" s="358">
        <f t="shared" si="3"/>
        <v>45026</v>
      </c>
      <c r="D113" s="358">
        <f t="shared" si="4"/>
        <v>0</v>
      </c>
      <c r="E113" s="358">
        <v>0</v>
      </c>
      <c r="F113" s="368">
        <v>0</v>
      </c>
      <c r="G113" s="359">
        <f t="shared" si="5"/>
        <v>0</v>
      </c>
      <c r="H113" s="358">
        <v>0</v>
      </c>
      <c r="I113" s="358">
        <v>0</v>
      </c>
      <c r="J113" s="358">
        <f>'[3]Проф.иными цел.2020 Пр.109'!C113</f>
        <v>45026</v>
      </c>
      <c r="K113" s="360"/>
    </row>
    <row r="114" spans="1:11" s="361" customFormat="1" x14ac:dyDescent="0.2">
      <c r="A114" s="570">
        <v>99</v>
      </c>
      <c r="B114" s="75" t="s">
        <v>87</v>
      </c>
      <c r="C114" s="358">
        <f t="shared" si="3"/>
        <v>23285</v>
      </c>
      <c r="D114" s="358">
        <f t="shared" si="4"/>
        <v>402</v>
      </c>
      <c r="E114" s="358">
        <v>402</v>
      </c>
      <c r="F114" s="368">
        <v>0</v>
      </c>
      <c r="G114" s="359">
        <f t="shared" si="5"/>
        <v>1716</v>
      </c>
      <c r="H114" s="358">
        <v>1716</v>
      </c>
      <c r="I114" s="358">
        <v>0</v>
      </c>
      <c r="J114" s="358">
        <f>'[3]Проф.иными цел.2020 Пр.109'!C114</f>
        <v>21167</v>
      </c>
      <c r="K114" s="360"/>
    </row>
    <row r="115" spans="1:11" s="361" customFormat="1" ht="25.5" x14ac:dyDescent="0.2">
      <c r="A115" s="571"/>
      <c r="B115" s="75" t="s">
        <v>128</v>
      </c>
      <c r="C115" s="358">
        <f t="shared" si="3"/>
        <v>3600</v>
      </c>
      <c r="D115" s="358">
        <f t="shared" si="4"/>
        <v>0</v>
      </c>
      <c r="E115" s="358">
        <v>0</v>
      </c>
      <c r="F115" s="368">
        <v>0</v>
      </c>
      <c r="G115" s="359">
        <f t="shared" si="5"/>
        <v>0</v>
      </c>
      <c r="H115" s="358">
        <v>0</v>
      </c>
      <c r="I115" s="358">
        <v>0</v>
      </c>
      <c r="J115" s="358">
        <f>'[3]Проф.иными цел.2020 Пр.109'!C115</f>
        <v>3600</v>
      </c>
      <c r="K115" s="360"/>
    </row>
    <row r="116" spans="1:11" s="361" customFormat="1" ht="25.5" x14ac:dyDescent="0.2">
      <c r="A116" s="81">
        <v>100</v>
      </c>
      <c r="B116" s="75" t="s">
        <v>129</v>
      </c>
      <c r="C116" s="358">
        <f t="shared" si="3"/>
        <v>8400</v>
      </c>
      <c r="D116" s="358">
        <f t="shared" si="4"/>
        <v>0</v>
      </c>
      <c r="E116" s="358">
        <v>0</v>
      </c>
      <c r="F116" s="368">
        <v>0</v>
      </c>
      <c r="G116" s="359">
        <f t="shared" si="5"/>
        <v>0</v>
      </c>
      <c r="H116" s="358">
        <v>0</v>
      </c>
      <c r="I116" s="358">
        <v>0</v>
      </c>
      <c r="J116" s="358">
        <f>'[3]Проф.иными цел.2020 Пр.109'!C116</f>
        <v>8400</v>
      </c>
      <c r="K116" s="360"/>
    </row>
    <row r="117" spans="1:11" s="361" customFormat="1" x14ac:dyDescent="0.2">
      <c r="A117" s="81">
        <v>101</v>
      </c>
      <c r="B117" s="362" t="s">
        <v>130</v>
      </c>
      <c r="C117" s="358">
        <f t="shared" si="3"/>
        <v>7652</v>
      </c>
      <c r="D117" s="358">
        <f t="shared" si="4"/>
        <v>352</v>
      </c>
      <c r="E117" s="358">
        <v>352</v>
      </c>
      <c r="F117" s="368">
        <v>0</v>
      </c>
      <c r="G117" s="359">
        <f t="shared" si="5"/>
        <v>1501</v>
      </c>
      <c r="H117" s="358">
        <v>1501</v>
      </c>
      <c r="I117" s="358">
        <v>0</v>
      </c>
      <c r="J117" s="358">
        <f>'[3]Проф.иными цел.2020 Пр.109'!C117</f>
        <v>5799</v>
      </c>
      <c r="K117" s="360"/>
    </row>
    <row r="118" spans="1:11" s="361" customFormat="1" x14ac:dyDescent="0.2">
      <c r="A118" s="81">
        <v>102</v>
      </c>
      <c r="B118" s="357" t="s">
        <v>3</v>
      </c>
      <c r="C118" s="358">
        <f t="shared" si="3"/>
        <v>43301</v>
      </c>
      <c r="D118" s="358">
        <f t="shared" si="4"/>
        <v>4725</v>
      </c>
      <c r="E118" s="358">
        <v>709</v>
      </c>
      <c r="F118" s="385">
        <v>4016</v>
      </c>
      <c r="G118" s="359">
        <f t="shared" si="5"/>
        <v>3136</v>
      </c>
      <c r="H118" s="358">
        <v>3025</v>
      </c>
      <c r="I118" s="358">
        <v>111</v>
      </c>
      <c r="J118" s="358">
        <f>'[3]Проф.иными цел.2020 Пр.109'!C118</f>
        <v>35440</v>
      </c>
      <c r="K118" s="360"/>
    </row>
    <row r="119" spans="1:11" s="361" customFormat="1" x14ac:dyDescent="0.2">
      <c r="A119" s="81">
        <v>103</v>
      </c>
      <c r="B119" s="362" t="s">
        <v>10</v>
      </c>
      <c r="C119" s="358">
        <f t="shared" si="3"/>
        <v>45000</v>
      </c>
      <c r="D119" s="358">
        <f t="shared" si="4"/>
        <v>5278</v>
      </c>
      <c r="E119" s="358">
        <v>723</v>
      </c>
      <c r="F119" s="385">
        <v>4555</v>
      </c>
      <c r="G119" s="359">
        <f t="shared" si="5"/>
        <v>3099</v>
      </c>
      <c r="H119" s="358">
        <v>3083</v>
      </c>
      <c r="I119" s="358">
        <v>16</v>
      </c>
      <c r="J119" s="358">
        <f>'[3]Проф.иными цел.2020 Пр.109'!C119</f>
        <v>36623</v>
      </c>
      <c r="K119" s="360"/>
    </row>
    <row r="120" spans="1:11" s="361" customFormat="1" x14ac:dyDescent="0.2">
      <c r="A120" s="81">
        <v>104</v>
      </c>
      <c r="B120" s="357" t="s">
        <v>15</v>
      </c>
      <c r="C120" s="358">
        <f t="shared" si="3"/>
        <v>120762</v>
      </c>
      <c r="D120" s="358">
        <f t="shared" si="4"/>
        <v>13718</v>
      </c>
      <c r="E120" s="358">
        <v>1912</v>
      </c>
      <c r="F120" s="385">
        <v>11806</v>
      </c>
      <c r="G120" s="359">
        <f t="shared" si="5"/>
        <v>8335</v>
      </c>
      <c r="H120" s="358">
        <v>8155</v>
      </c>
      <c r="I120" s="358">
        <v>180</v>
      </c>
      <c r="J120" s="358">
        <f>'[3]Проф.иными цел.2020 Пр.109'!C120</f>
        <v>98709</v>
      </c>
      <c r="K120" s="360"/>
    </row>
    <row r="121" spans="1:11" s="361" customFormat="1" x14ac:dyDescent="0.2">
      <c r="A121" s="81">
        <v>105</v>
      </c>
      <c r="B121" s="362" t="s">
        <v>39</v>
      </c>
      <c r="C121" s="358">
        <f t="shared" si="3"/>
        <v>54388</v>
      </c>
      <c r="D121" s="358">
        <f t="shared" si="4"/>
        <v>6011</v>
      </c>
      <c r="E121" s="358">
        <v>883</v>
      </c>
      <c r="F121" s="385">
        <v>5128</v>
      </c>
      <c r="G121" s="359">
        <f t="shared" si="5"/>
        <v>3819</v>
      </c>
      <c r="H121" s="358">
        <v>3767</v>
      </c>
      <c r="I121" s="358">
        <v>52</v>
      </c>
      <c r="J121" s="358">
        <f>'[3]Проф.иными цел.2020 Пр.109'!C121</f>
        <v>44558</v>
      </c>
      <c r="K121" s="360"/>
    </row>
    <row r="122" spans="1:11" s="361" customFormat="1" x14ac:dyDescent="0.2">
      <c r="A122" s="81">
        <v>106</v>
      </c>
      <c r="B122" s="362" t="s">
        <v>16</v>
      </c>
      <c r="C122" s="358">
        <f t="shared" si="3"/>
        <v>67414</v>
      </c>
      <c r="D122" s="358">
        <f t="shared" si="4"/>
        <v>6264</v>
      </c>
      <c r="E122" s="358">
        <v>1138</v>
      </c>
      <c r="F122" s="385">
        <v>5126</v>
      </c>
      <c r="G122" s="359">
        <f t="shared" si="5"/>
        <v>4926</v>
      </c>
      <c r="H122" s="358">
        <v>4857</v>
      </c>
      <c r="I122" s="358">
        <v>69</v>
      </c>
      <c r="J122" s="358">
        <f>'[3]Проф.иными цел.2020 Пр.109'!C122</f>
        <v>56224</v>
      </c>
      <c r="K122" s="360"/>
    </row>
    <row r="123" spans="1:11" s="361" customFormat="1" ht="25.5" x14ac:dyDescent="0.2">
      <c r="A123" s="81">
        <v>107</v>
      </c>
      <c r="B123" s="362" t="s">
        <v>131</v>
      </c>
      <c r="C123" s="358">
        <f t="shared" si="3"/>
        <v>50</v>
      </c>
      <c r="D123" s="358">
        <f t="shared" si="4"/>
        <v>0</v>
      </c>
      <c r="E123" s="358">
        <v>0</v>
      </c>
      <c r="F123" s="368">
        <v>0</v>
      </c>
      <c r="G123" s="359">
        <f t="shared" si="5"/>
        <v>0</v>
      </c>
      <c r="H123" s="358">
        <v>0</v>
      </c>
      <c r="I123" s="358">
        <v>0</v>
      </c>
      <c r="J123" s="358">
        <f>'[3]Проф.иными цел.2020 Пр.109'!C123</f>
        <v>50</v>
      </c>
      <c r="K123" s="360"/>
    </row>
    <row r="124" spans="1:11" s="361" customFormat="1" x14ac:dyDescent="0.2">
      <c r="A124" s="81">
        <v>108</v>
      </c>
      <c r="B124" s="357" t="s">
        <v>27</v>
      </c>
      <c r="C124" s="358">
        <f t="shared" si="3"/>
        <v>129417</v>
      </c>
      <c r="D124" s="358">
        <f t="shared" si="4"/>
        <v>15704</v>
      </c>
      <c r="E124" s="358">
        <v>2012</v>
      </c>
      <c r="F124" s="385">
        <v>13692</v>
      </c>
      <c r="G124" s="359">
        <f t="shared" si="5"/>
        <v>8837</v>
      </c>
      <c r="H124" s="358">
        <v>8582</v>
      </c>
      <c r="I124" s="358">
        <v>255</v>
      </c>
      <c r="J124" s="358">
        <f>'[3]Проф.иными цел.2020 Пр.109'!C124</f>
        <v>104876</v>
      </c>
      <c r="K124" s="360"/>
    </row>
    <row r="125" spans="1:11" s="361" customFormat="1" x14ac:dyDescent="0.2">
      <c r="A125" s="81">
        <v>109</v>
      </c>
      <c r="B125" s="357" t="s">
        <v>32</v>
      </c>
      <c r="C125" s="358">
        <f t="shared" si="3"/>
        <v>115998</v>
      </c>
      <c r="D125" s="358">
        <f t="shared" si="4"/>
        <v>12262</v>
      </c>
      <c r="E125" s="358">
        <v>1846</v>
      </c>
      <c r="F125" s="385">
        <v>10416</v>
      </c>
      <c r="G125" s="359">
        <f t="shared" si="5"/>
        <v>7993</v>
      </c>
      <c r="H125" s="358">
        <v>7873</v>
      </c>
      <c r="I125" s="358">
        <v>120</v>
      </c>
      <c r="J125" s="358">
        <f>'[3]Проф.иными цел.2020 Пр.109'!C125</f>
        <v>95743</v>
      </c>
      <c r="K125" s="360"/>
    </row>
    <row r="126" spans="1:11" s="361" customFormat="1" x14ac:dyDescent="0.2">
      <c r="A126" s="81">
        <v>110</v>
      </c>
      <c r="B126" s="362" t="s">
        <v>33</v>
      </c>
      <c r="C126" s="358">
        <f t="shared" si="3"/>
        <v>40509</v>
      </c>
      <c r="D126" s="358">
        <f t="shared" si="4"/>
        <v>4632</v>
      </c>
      <c r="E126" s="358">
        <v>655</v>
      </c>
      <c r="F126" s="385">
        <v>3977</v>
      </c>
      <c r="G126" s="359">
        <f t="shared" si="5"/>
        <v>2840</v>
      </c>
      <c r="H126" s="358">
        <v>2795</v>
      </c>
      <c r="I126" s="358">
        <v>45</v>
      </c>
      <c r="J126" s="358">
        <f>'[3]Проф.иными цел.2020 Пр.109'!C126</f>
        <v>33037</v>
      </c>
      <c r="K126" s="360"/>
    </row>
    <row r="127" spans="1:11" s="361" customFormat="1" x14ac:dyDescent="0.2">
      <c r="A127" s="81">
        <v>111</v>
      </c>
      <c r="B127" s="357" t="s">
        <v>36</v>
      </c>
      <c r="C127" s="358">
        <f t="shared" si="3"/>
        <v>63582</v>
      </c>
      <c r="D127" s="358">
        <f t="shared" si="4"/>
        <v>6605</v>
      </c>
      <c r="E127" s="358">
        <v>1057</v>
      </c>
      <c r="F127" s="385">
        <v>5548</v>
      </c>
      <c r="G127" s="359">
        <f t="shared" si="5"/>
        <v>4576</v>
      </c>
      <c r="H127" s="358">
        <v>4511</v>
      </c>
      <c r="I127" s="358">
        <v>65</v>
      </c>
      <c r="J127" s="358">
        <f>'[3]Проф.иными цел.2020 Пр.109'!C127</f>
        <v>52401</v>
      </c>
      <c r="K127" s="360"/>
    </row>
    <row r="128" spans="1:11" s="361" customFormat="1" x14ac:dyDescent="0.2">
      <c r="A128" s="81">
        <v>112</v>
      </c>
      <c r="B128" s="362" t="s">
        <v>43</v>
      </c>
      <c r="C128" s="358">
        <f t="shared" si="3"/>
        <v>62052</v>
      </c>
      <c r="D128" s="358">
        <f t="shared" si="4"/>
        <v>7243</v>
      </c>
      <c r="E128" s="358">
        <v>979</v>
      </c>
      <c r="F128" s="385">
        <v>6264</v>
      </c>
      <c r="G128" s="359">
        <f t="shared" si="5"/>
        <v>4267</v>
      </c>
      <c r="H128" s="358">
        <v>4177</v>
      </c>
      <c r="I128" s="358">
        <v>90</v>
      </c>
      <c r="J128" s="358">
        <f>'[3]Проф.иными цел.2020 Пр.109'!C128</f>
        <v>50542</v>
      </c>
      <c r="K128" s="360"/>
    </row>
    <row r="129" spans="1:11" s="361" customFormat="1" x14ac:dyDescent="0.2">
      <c r="A129" s="81">
        <v>113</v>
      </c>
      <c r="B129" s="362" t="s">
        <v>21</v>
      </c>
      <c r="C129" s="358">
        <f t="shared" si="3"/>
        <v>83527</v>
      </c>
      <c r="D129" s="358">
        <f t="shared" si="4"/>
        <v>8636</v>
      </c>
      <c r="E129" s="358">
        <v>1113</v>
      </c>
      <c r="F129" s="385">
        <v>7523</v>
      </c>
      <c r="G129" s="359">
        <f t="shared" si="5"/>
        <v>4805</v>
      </c>
      <c r="H129" s="358">
        <v>4749</v>
      </c>
      <c r="I129" s="358">
        <v>56</v>
      </c>
      <c r="J129" s="358">
        <f>'[3]Проф.иными цел.2020 Пр.109'!C129</f>
        <v>70086</v>
      </c>
      <c r="K129" s="360"/>
    </row>
    <row r="130" spans="1:11" s="361" customFormat="1" x14ac:dyDescent="0.2">
      <c r="A130" s="81">
        <v>114</v>
      </c>
      <c r="B130" s="357" t="s">
        <v>42</v>
      </c>
      <c r="C130" s="358">
        <f t="shared" si="3"/>
        <v>47028</v>
      </c>
      <c r="D130" s="358">
        <f t="shared" si="4"/>
        <v>5581</v>
      </c>
      <c r="E130" s="358">
        <v>749</v>
      </c>
      <c r="F130" s="385">
        <v>4832</v>
      </c>
      <c r="G130" s="359">
        <f t="shared" si="5"/>
        <v>3315</v>
      </c>
      <c r="H130" s="358">
        <v>3197</v>
      </c>
      <c r="I130" s="358">
        <v>118</v>
      </c>
      <c r="J130" s="358">
        <f>'[3]Проф.иными цел.2020 Пр.109'!C130</f>
        <v>38132</v>
      </c>
      <c r="K130" s="360"/>
    </row>
    <row r="131" spans="1:11" s="361" customFormat="1" x14ac:dyDescent="0.2">
      <c r="A131" s="81">
        <v>115</v>
      </c>
      <c r="B131" s="362" t="s">
        <v>50</v>
      </c>
      <c r="C131" s="358">
        <f t="shared" si="3"/>
        <v>70262</v>
      </c>
      <c r="D131" s="358">
        <f t="shared" si="4"/>
        <v>7409</v>
      </c>
      <c r="E131" s="358">
        <v>1168</v>
      </c>
      <c r="F131" s="385">
        <v>6241</v>
      </c>
      <c r="G131" s="359">
        <f t="shared" si="5"/>
        <v>5058</v>
      </c>
      <c r="H131" s="358">
        <v>4983</v>
      </c>
      <c r="I131" s="358">
        <v>75</v>
      </c>
      <c r="J131" s="358">
        <f>'[3]Проф.иными цел.2020 Пр.109'!C131</f>
        <v>57795</v>
      </c>
      <c r="K131" s="360"/>
    </row>
    <row r="132" spans="1:11" s="361" customFormat="1" x14ac:dyDescent="0.2">
      <c r="A132" s="81">
        <v>116</v>
      </c>
      <c r="B132" s="362" t="s">
        <v>51</v>
      </c>
      <c r="C132" s="358">
        <f t="shared" si="3"/>
        <v>117281</v>
      </c>
      <c r="D132" s="358">
        <f t="shared" si="4"/>
        <v>11932</v>
      </c>
      <c r="E132" s="358">
        <v>1945</v>
      </c>
      <c r="F132" s="385">
        <v>9987</v>
      </c>
      <c r="G132" s="359">
        <f t="shared" si="5"/>
        <v>8381</v>
      </c>
      <c r="H132" s="358">
        <v>8297</v>
      </c>
      <c r="I132" s="358">
        <v>84</v>
      </c>
      <c r="J132" s="358">
        <f>'[3]Проф.иными цел.2020 Пр.109'!C132</f>
        <v>96968</v>
      </c>
      <c r="K132" s="360"/>
    </row>
    <row r="133" spans="1:11" s="361" customFormat="1" x14ac:dyDescent="0.2">
      <c r="A133" s="81">
        <v>117</v>
      </c>
      <c r="B133" s="362" t="s">
        <v>14</v>
      </c>
      <c r="C133" s="358">
        <f t="shared" si="3"/>
        <v>55815</v>
      </c>
      <c r="D133" s="358">
        <f t="shared" si="4"/>
        <v>6192</v>
      </c>
      <c r="E133" s="358">
        <v>919</v>
      </c>
      <c r="F133" s="385">
        <v>5273</v>
      </c>
      <c r="G133" s="359">
        <f t="shared" si="5"/>
        <v>4003</v>
      </c>
      <c r="H133" s="358">
        <v>3919</v>
      </c>
      <c r="I133" s="358">
        <v>84</v>
      </c>
      <c r="J133" s="358">
        <f>'[3]Проф.иными цел.2020 Пр.109'!C133</f>
        <v>45620</v>
      </c>
      <c r="K133" s="360"/>
    </row>
    <row r="134" spans="1:11" s="361" customFormat="1" x14ac:dyDescent="0.2">
      <c r="A134" s="81">
        <v>118</v>
      </c>
      <c r="B134" s="369" t="s">
        <v>150</v>
      </c>
      <c r="C134" s="358">
        <f t="shared" si="3"/>
        <v>41156</v>
      </c>
      <c r="D134" s="358">
        <f t="shared" si="4"/>
        <v>1140</v>
      </c>
      <c r="E134" s="358">
        <v>1140</v>
      </c>
      <c r="F134" s="368"/>
      <c r="G134" s="359">
        <f t="shared" si="5"/>
        <v>4865</v>
      </c>
      <c r="H134" s="358">
        <v>4865</v>
      </c>
      <c r="I134" s="358">
        <v>0</v>
      </c>
      <c r="J134" s="358">
        <f>'[3]Проф.иными цел.2020 Пр.109'!C134</f>
        <v>35151</v>
      </c>
      <c r="K134" s="360"/>
    </row>
    <row r="135" spans="1:11" s="361" customFormat="1" x14ac:dyDescent="0.2">
      <c r="A135" s="81">
        <v>119</v>
      </c>
      <c r="B135" s="75" t="s">
        <v>135</v>
      </c>
      <c r="C135" s="358">
        <f t="shared" si="3"/>
        <v>0</v>
      </c>
      <c r="D135" s="358">
        <f t="shared" si="4"/>
        <v>0</v>
      </c>
      <c r="E135" s="358">
        <v>0</v>
      </c>
      <c r="F135" s="368"/>
      <c r="G135" s="359">
        <f t="shared" si="5"/>
        <v>0</v>
      </c>
      <c r="H135" s="358">
        <v>0</v>
      </c>
      <c r="I135" s="358">
        <v>0</v>
      </c>
      <c r="J135" s="358">
        <f>'[3]Проф.иными цел.2020 Пр.109'!C135</f>
        <v>0</v>
      </c>
      <c r="K135" s="360"/>
    </row>
    <row r="136" spans="1:11" s="370" customFormat="1" x14ac:dyDescent="0.2">
      <c r="A136" s="81">
        <v>120</v>
      </c>
      <c r="B136" s="357" t="s">
        <v>132</v>
      </c>
      <c r="C136" s="358">
        <f t="shared" si="3"/>
        <v>100</v>
      </c>
      <c r="D136" s="358">
        <f t="shared" si="4"/>
        <v>0</v>
      </c>
      <c r="E136" s="358">
        <v>0</v>
      </c>
      <c r="F136" s="368"/>
      <c r="G136" s="359">
        <f t="shared" si="5"/>
        <v>0</v>
      </c>
      <c r="H136" s="358">
        <v>0</v>
      </c>
      <c r="I136" s="358">
        <v>0</v>
      </c>
      <c r="J136" s="358">
        <f>'[3]Проф.иными цел.2020 Пр.109'!C136</f>
        <v>100</v>
      </c>
      <c r="K136" s="360"/>
    </row>
    <row r="137" spans="1:11" x14ac:dyDescent="0.2">
      <c r="A137" s="81">
        <v>121</v>
      </c>
      <c r="B137" s="362" t="s">
        <v>133</v>
      </c>
      <c r="C137" s="358">
        <f t="shared" si="3"/>
        <v>75</v>
      </c>
      <c r="D137" s="358">
        <f t="shared" si="4"/>
        <v>0</v>
      </c>
      <c r="E137" s="358">
        <v>0</v>
      </c>
      <c r="F137" s="368"/>
      <c r="G137" s="359">
        <f t="shared" si="5"/>
        <v>0</v>
      </c>
      <c r="H137" s="358">
        <v>0</v>
      </c>
      <c r="I137" s="358">
        <v>0</v>
      </c>
      <c r="J137" s="358">
        <f>'[3]Проф.иными цел.2020 Пр.109'!C137</f>
        <v>75</v>
      </c>
      <c r="K137" s="360"/>
    </row>
    <row r="138" spans="1:11" x14ac:dyDescent="0.2">
      <c r="A138" s="81">
        <v>122</v>
      </c>
      <c r="B138" s="362" t="s">
        <v>134</v>
      </c>
      <c r="C138" s="358">
        <f t="shared" si="3"/>
        <v>265</v>
      </c>
      <c r="D138" s="358">
        <f t="shared" si="4"/>
        <v>0</v>
      </c>
      <c r="E138" s="358">
        <v>0</v>
      </c>
      <c r="F138" s="368"/>
      <c r="G138" s="359">
        <f t="shared" si="5"/>
        <v>0</v>
      </c>
      <c r="H138" s="358">
        <v>0</v>
      </c>
      <c r="I138" s="358">
        <v>0</v>
      </c>
      <c r="J138" s="358">
        <f>'[3]Проф.иными цел.2020 Пр.109'!C138</f>
        <v>265</v>
      </c>
      <c r="K138" s="360"/>
    </row>
    <row r="139" spans="1:11" ht="25.5" x14ac:dyDescent="0.2">
      <c r="A139" s="81">
        <v>123</v>
      </c>
      <c r="B139" s="362" t="s">
        <v>136</v>
      </c>
      <c r="C139" s="358">
        <f t="shared" si="3"/>
        <v>32</v>
      </c>
      <c r="D139" s="358">
        <f t="shared" si="4"/>
        <v>0</v>
      </c>
      <c r="E139" s="358">
        <v>0</v>
      </c>
      <c r="F139" s="368"/>
      <c r="G139" s="359">
        <f t="shared" si="5"/>
        <v>0</v>
      </c>
      <c r="H139" s="358">
        <v>0</v>
      </c>
      <c r="I139" s="358">
        <v>0</v>
      </c>
      <c r="J139" s="358">
        <f>'[3]Проф.иными цел.2020 Пр.109'!C139</f>
        <v>32</v>
      </c>
      <c r="K139" s="360"/>
    </row>
    <row r="140" spans="1:11" ht="25.5" x14ac:dyDescent="0.2">
      <c r="A140" s="81">
        <v>124</v>
      </c>
      <c r="B140" s="362" t="s">
        <v>137</v>
      </c>
      <c r="C140" s="358">
        <f t="shared" ref="C140:C162" si="6">D140+G140+J140</f>
        <v>32</v>
      </c>
      <c r="D140" s="358">
        <f t="shared" ref="D140:D163" si="7">E140+F140</f>
        <v>0</v>
      </c>
      <c r="E140" s="358">
        <v>0</v>
      </c>
      <c r="F140" s="368"/>
      <c r="G140" s="359">
        <f t="shared" ref="G140:G162" si="8">H140+I140</f>
        <v>0</v>
      </c>
      <c r="H140" s="358">
        <v>0</v>
      </c>
      <c r="I140" s="358">
        <v>0</v>
      </c>
      <c r="J140" s="358">
        <f>'[3]Проф.иными цел.2020 Пр.109'!C140</f>
        <v>32</v>
      </c>
      <c r="K140" s="360"/>
    </row>
    <row r="141" spans="1:11" ht="25.5" x14ac:dyDescent="0.2">
      <c r="A141" s="81">
        <v>125</v>
      </c>
      <c r="B141" s="362" t="s">
        <v>138</v>
      </c>
      <c r="C141" s="358">
        <f t="shared" si="6"/>
        <v>32</v>
      </c>
      <c r="D141" s="358">
        <f t="shared" si="7"/>
        <v>0</v>
      </c>
      <c r="E141" s="358">
        <v>0</v>
      </c>
      <c r="F141" s="368"/>
      <c r="G141" s="359">
        <f t="shared" si="8"/>
        <v>0</v>
      </c>
      <c r="H141" s="358">
        <v>0</v>
      </c>
      <c r="I141" s="358">
        <v>0</v>
      </c>
      <c r="J141" s="358">
        <f>'[3]Проф.иными цел.2020 Пр.109'!C141</f>
        <v>32</v>
      </c>
      <c r="K141" s="360"/>
    </row>
    <row r="142" spans="1:11" x14ac:dyDescent="0.2">
      <c r="A142" s="81">
        <v>126</v>
      </c>
      <c r="B142" s="362" t="s">
        <v>139</v>
      </c>
      <c r="C142" s="358">
        <f t="shared" si="6"/>
        <v>217195</v>
      </c>
      <c r="D142" s="358">
        <f t="shared" si="7"/>
        <v>0</v>
      </c>
      <c r="E142" s="358">
        <v>0</v>
      </c>
      <c r="F142" s="368"/>
      <c r="G142" s="359">
        <f t="shared" si="8"/>
        <v>0</v>
      </c>
      <c r="H142" s="358">
        <v>0</v>
      </c>
      <c r="I142" s="358">
        <v>0</v>
      </c>
      <c r="J142" s="358">
        <f>'[3]Проф.иными цел.2020 Пр.109'!C142</f>
        <v>217195</v>
      </c>
      <c r="K142" s="360"/>
    </row>
    <row r="143" spans="1:11" x14ac:dyDescent="0.2">
      <c r="A143" s="81">
        <v>127</v>
      </c>
      <c r="B143" s="362" t="s">
        <v>151</v>
      </c>
      <c r="C143" s="358">
        <f t="shared" si="6"/>
        <v>130000</v>
      </c>
      <c r="D143" s="358">
        <f t="shared" si="7"/>
        <v>0</v>
      </c>
      <c r="E143" s="358">
        <v>0</v>
      </c>
      <c r="F143" s="368"/>
      <c r="G143" s="359">
        <f t="shared" si="8"/>
        <v>0</v>
      </c>
      <c r="H143" s="358">
        <v>0</v>
      </c>
      <c r="I143" s="358">
        <v>0</v>
      </c>
      <c r="J143" s="358">
        <f>'[3]Проф.иными цел.2020 Пр.109'!C143</f>
        <v>130000</v>
      </c>
      <c r="K143" s="360"/>
    </row>
    <row r="144" spans="1:11" x14ac:dyDescent="0.2">
      <c r="A144" s="81">
        <v>128</v>
      </c>
      <c r="B144" s="362" t="s">
        <v>152</v>
      </c>
      <c r="C144" s="358">
        <f t="shared" si="6"/>
        <v>85000</v>
      </c>
      <c r="D144" s="358">
        <f t="shared" si="7"/>
        <v>0</v>
      </c>
      <c r="E144" s="358">
        <v>0</v>
      </c>
      <c r="F144" s="368"/>
      <c r="G144" s="359">
        <f t="shared" si="8"/>
        <v>0</v>
      </c>
      <c r="H144" s="358">
        <v>0</v>
      </c>
      <c r="I144" s="358">
        <v>0</v>
      </c>
      <c r="J144" s="358">
        <f>'[3]Проф.иными цел.2020 Пр.109'!C144</f>
        <v>85000</v>
      </c>
      <c r="K144" s="360"/>
    </row>
    <row r="145" spans="1:11" x14ac:dyDescent="0.2">
      <c r="A145" s="81">
        <v>129</v>
      </c>
      <c r="B145" s="362" t="s">
        <v>88</v>
      </c>
      <c r="C145" s="358">
        <f t="shared" si="6"/>
        <v>113400</v>
      </c>
      <c r="D145" s="358">
        <f t="shared" si="7"/>
        <v>0</v>
      </c>
      <c r="E145" s="358">
        <v>0</v>
      </c>
      <c r="F145" s="368"/>
      <c r="G145" s="359">
        <f t="shared" si="8"/>
        <v>0</v>
      </c>
      <c r="H145" s="358">
        <v>0</v>
      </c>
      <c r="I145" s="358">
        <v>0</v>
      </c>
      <c r="J145" s="358">
        <f>'[3]Проф.иными цел.2020 Пр.109'!C145</f>
        <v>113400</v>
      </c>
      <c r="K145" s="360"/>
    </row>
    <row r="146" spans="1:11" x14ac:dyDescent="0.2">
      <c r="A146" s="81">
        <v>130</v>
      </c>
      <c r="B146" s="362" t="s">
        <v>140</v>
      </c>
      <c r="C146" s="358">
        <f t="shared" si="6"/>
        <v>8000</v>
      </c>
      <c r="D146" s="358">
        <f t="shared" si="7"/>
        <v>0</v>
      </c>
      <c r="E146" s="358">
        <v>0</v>
      </c>
      <c r="F146" s="368"/>
      <c r="G146" s="359">
        <f t="shared" si="8"/>
        <v>0</v>
      </c>
      <c r="H146" s="358">
        <v>0</v>
      </c>
      <c r="I146" s="358">
        <v>0</v>
      </c>
      <c r="J146" s="358">
        <f>'[3]Проф.иными цел.2020 Пр.109'!C146</f>
        <v>8000</v>
      </c>
      <c r="K146" s="360"/>
    </row>
    <row r="147" spans="1:11" x14ac:dyDescent="0.2">
      <c r="A147" s="81">
        <v>131</v>
      </c>
      <c r="B147" s="362" t="s">
        <v>141</v>
      </c>
      <c r="C147" s="358">
        <f t="shared" si="6"/>
        <v>65356</v>
      </c>
      <c r="D147" s="358">
        <f t="shared" si="7"/>
        <v>0</v>
      </c>
      <c r="E147" s="358">
        <v>0</v>
      </c>
      <c r="F147" s="368"/>
      <c r="G147" s="359">
        <f t="shared" si="8"/>
        <v>0</v>
      </c>
      <c r="H147" s="358">
        <v>0</v>
      </c>
      <c r="I147" s="358">
        <v>0</v>
      </c>
      <c r="J147" s="358">
        <f>'[3]Проф.иными цел.2020 Пр.109'!C147</f>
        <v>65356</v>
      </c>
      <c r="K147" s="360"/>
    </row>
    <row r="148" spans="1:11" x14ac:dyDescent="0.2">
      <c r="A148" s="81">
        <v>132</v>
      </c>
      <c r="B148" s="362" t="s">
        <v>142</v>
      </c>
      <c r="C148" s="358">
        <f t="shared" si="6"/>
        <v>57642</v>
      </c>
      <c r="D148" s="358">
        <f t="shared" si="7"/>
        <v>0</v>
      </c>
      <c r="E148" s="358">
        <v>0</v>
      </c>
      <c r="F148" s="368"/>
      <c r="G148" s="359">
        <f t="shared" si="8"/>
        <v>0</v>
      </c>
      <c r="H148" s="358">
        <v>0</v>
      </c>
      <c r="I148" s="358">
        <v>0</v>
      </c>
      <c r="J148" s="358">
        <f>'[3]Проф.иными цел.2020 Пр.109'!C148</f>
        <v>57642</v>
      </c>
      <c r="K148" s="360"/>
    </row>
    <row r="149" spans="1:11" x14ac:dyDescent="0.2">
      <c r="A149" s="81">
        <v>133</v>
      </c>
      <c r="B149" s="362" t="s">
        <v>153</v>
      </c>
      <c r="C149" s="358">
        <f t="shared" si="6"/>
        <v>128000</v>
      </c>
      <c r="D149" s="358">
        <f t="shared" si="7"/>
        <v>0</v>
      </c>
      <c r="E149" s="358">
        <v>0</v>
      </c>
      <c r="F149" s="368"/>
      <c r="G149" s="359">
        <f t="shared" si="8"/>
        <v>0</v>
      </c>
      <c r="H149" s="358">
        <v>0</v>
      </c>
      <c r="I149" s="358">
        <v>0</v>
      </c>
      <c r="J149" s="358">
        <f>'[3]Проф.иными цел.2020 Пр.109'!C149</f>
        <v>128000</v>
      </c>
      <c r="K149" s="360"/>
    </row>
    <row r="150" spans="1:11" x14ac:dyDescent="0.2">
      <c r="A150" s="81">
        <v>134</v>
      </c>
      <c r="B150" s="362" t="s">
        <v>154</v>
      </c>
      <c r="C150" s="358">
        <f t="shared" si="6"/>
        <v>20188</v>
      </c>
      <c r="D150" s="358">
        <f t="shared" si="7"/>
        <v>0</v>
      </c>
      <c r="E150" s="358">
        <v>0</v>
      </c>
      <c r="F150" s="368"/>
      <c r="G150" s="359">
        <f t="shared" si="8"/>
        <v>0</v>
      </c>
      <c r="H150" s="358">
        <v>0</v>
      </c>
      <c r="I150" s="358">
        <v>0</v>
      </c>
      <c r="J150" s="358">
        <f>'[3]Проф.иными цел.2020 Пр.109'!C150</f>
        <v>20188</v>
      </c>
      <c r="K150" s="360"/>
    </row>
    <row r="151" spans="1:11" x14ac:dyDescent="0.2">
      <c r="A151" s="81">
        <v>135</v>
      </c>
      <c r="B151" s="362" t="s">
        <v>155</v>
      </c>
      <c r="C151" s="358">
        <f t="shared" si="6"/>
        <v>57392</v>
      </c>
      <c r="D151" s="358">
        <f t="shared" si="7"/>
        <v>0</v>
      </c>
      <c r="E151" s="358">
        <v>0</v>
      </c>
      <c r="F151" s="368"/>
      <c r="G151" s="359">
        <f t="shared" si="8"/>
        <v>0</v>
      </c>
      <c r="H151" s="358">
        <v>0</v>
      </c>
      <c r="I151" s="358">
        <v>0</v>
      </c>
      <c r="J151" s="358">
        <f>'[3]Проф.иными цел.2020 Пр.109'!C151</f>
        <v>57392</v>
      </c>
      <c r="K151" s="360"/>
    </row>
    <row r="152" spans="1:11" x14ac:dyDescent="0.2">
      <c r="A152" s="81">
        <v>136</v>
      </c>
      <c r="B152" s="362" t="s">
        <v>89</v>
      </c>
      <c r="C152" s="358">
        <f t="shared" si="6"/>
        <v>1009</v>
      </c>
      <c r="D152" s="358">
        <f t="shared" si="7"/>
        <v>0</v>
      </c>
      <c r="E152" s="358">
        <v>0</v>
      </c>
      <c r="F152" s="368"/>
      <c r="G152" s="359">
        <f t="shared" si="8"/>
        <v>0</v>
      </c>
      <c r="H152" s="358">
        <v>0</v>
      </c>
      <c r="I152" s="358">
        <v>0</v>
      </c>
      <c r="J152" s="358">
        <f>'[3]Проф.иными цел.2020 Пр.109'!C152</f>
        <v>1009</v>
      </c>
      <c r="K152" s="360"/>
    </row>
    <row r="153" spans="1:11" x14ac:dyDescent="0.2">
      <c r="A153" s="570">
        <v>137</v>
      </c>
      <c r="B153" s="362" t="s">
        <v>143</v>
      </c>
      <c r="C153" s="358">
        <f t="shared" si="6"/>
        <v>81673</v>
      </c>
      <c r="D153" s="358">
        <f t="shared" si="7"/>
        <v>2066</v>
      </c>
      <c r="E153" s="358">
        <v>2066</v>
      </c>
      <c r="F153" s="368">
        <v>0</v>
      </c>
      <c r="G153" s="359">
        <f t="shared" si="8"/>
        <v>8815</v>
      </c>
      <c r="H153" s="358">
        <v>8815</v>
      </c>
      <c r="I153" s="358">
        <v>0</v>
      </c>
      <c r="J153" s="358">
        <f>'[3]Проф.иными цел.2020 Пр.109'!C153</f>
        <v>70792</v>
      </c>
      <c r="K153" s="360"/>
    </row>
    <row r="154" spans="1:11" ht="51" x14ac:dyDescent="0.2">
      <c r="A154" s="571"/>
      <c r="B154" s="388" t="s">
        <v>713</v>
      </c>
      <c r="C154" s="358">
        <f t="shared" si="6"/>
        <v>187665</v>
      </c>
      <c r="D154" s="358">
        <f t="shared" si="7"/>
        <v>25291</v>
      </c>
      <c r="E154" s="358">
        <v>3174</v>
      </c>
      <c r="F154" s="385">
        <v>22117</v>
      </c>
      <c r="G154" s="359">
        <f t="shared" si="8"/>
        <v>13706</v>
      </c>
      <c r="H154" s="358">
        <v>13541</v>
      </c>
      <c r="I154" s="358">
        <v>165</v>
      </c>
      <c r="J154" s="358">
        <f>'[3]Проф.иными цел.2020 Пр.109'!C154</f>
        <v>148668</v>
      </c>
      <c r="K154" s="360"/>
    </row>
    <row r="155" spans="1:11" x14ac:dyDescent="0.2">
      <c r="A155" s="81">
        <v>138</v>
      </c>
      <c r="B155" s="362" t="s">
        <v>90</v>
      </c>
      <c r="C155" s="358">
        <f t="shared" si="6"/>
        <v>3000</v>
      </c>
      <c r="D155" s="358">
        <f t="shared" si="7"/>
        <v>0</v>
      </c>
      <c r="E155" s="358">
        <v>0</v>
      </c>
      <c r="F155" s="368"/>
      <c r="G155" s="359">
        <f t="shared" si="8"/>
        <v>0</v>
      </c>
      <c r="H155" s="358">
        <v>0</v>
      </c>
      <c r="I155" s="358">
        <v>0</v>
      </c>
      <c r="J155" s="358">
        <f>'[3]Проф.иными цел.2020 Пр.109'!C155</f>
        <v>3000</v>
      </c>
      <c r="K155" s="360"/>
    </row>
    <row r="156" spans="1:11" x14ac:dyDescent="0.2">
      <c r="A156" s="81">
        <v>139</v>
      </c>
      <c r="B156" s="362" t="s">
        <v>145</v>
      </c>
      <c r="C156" s="358">
        <f t="shared" si="6"/>
        <v>9830</v>
      </c>
      <c r="D156" s="358">
        <f t="shared" si="7"/>
        <v>0</v>
      </c>
      <c r="E156" s="358">
        <v>0</v>
      </c>
      <c r="F156" s="368"/>
      <c r="G156" s="359">
        <f t="shared" si="8"/>
        <v>0</v>
      </c>
      <c r="H156" s="358">
        <v>0</v>
      </c>
      <c r="I156" s="358">
        <v>0</v>
      </c>
      <c r="J156" s="358">
        <f>'[3]Проф.иными цел.2020 Пр.109'!C156</f>
        <v>9830</v>
      </c>
      <c r="K156" s="360"/>
    </row>
    <row r="157" spans="1:11" x14ac:dyDescent="0.2">
      <c r="A157" s="81">
        <v>140</v>
      </c>
      <c r="B157" s="371" t="s">
        <v>156</v>
      </c>
      <c r="C157" s="358">
        <f t="shared" si="6"/>
        <v>26480</v>
      </c>
      <c r="D157" s="358">
        <f t="shared" si="7"/>
        <v>0</v>
      </c>
      <c r="E157" s="358">
        <v>0</v>
      </c>
      <c r="F157" s="368"/>
      <c r="G157" s="359">
        <f t="shared" si="8"/>
        <v>0</v>
      </c>
      <c r="H157" s="358">
        <v>0</v>
      </c>
      <c r="I157" s="358">
        <v>0</v>
      </c>
      <c r="J157" s="358">
        <f>'[3]Проф.иными цел.2020 Пр.109'!C157</f>
        <v>26480</v>
      </c>
      <c r="K157" s="360"/>
    </row>
    <row r="158" spans="1:11" x14ac:dyDescent="0.2">
      <c r="A158" s="81">
        <v>141</v>
      </c>
      <c r="B158" s="372" t="s">
        <v>157</v>
      </c>
      <c r="C158" s="358">
        <f t="shared" si="6"/>
        <v>10080</v>
      </c>
      <c r="D158" s="358">
        <f t="shared" si="7"/>
        <v>0</v>
      </c>
      <c r="E158" s="358">
        <v>0</v>
      </c>
      <c r="F158" s="368"/>
      <c r="G158" s="359">
        <f t="shared" si="8"/>
        <v>0</v>
      </c>
      <c r="H158" s="358">
        <v>0</v>
      </c>
      <c r="I158" s="358">
        <v>0</v>
      </c>
      <c r="J158" s="358">
        <f>'[3]Проф.иными цел.2020 Пр.109'!C158</f>
        <v>10080</v>
      </c>
      <c r="K158" s="360"/>
    </row>
    <row r="159" spans="1:11" x14ac:dyDescent="0.2">
      <c r="A159" s="81">
        <v>142</v>
      </c>
      <c r="B159" s="373" t="s">
        <v>158</v>
      </c>
      <c r="C159" s="358">
        <f t="shared" si="6"/>
        <v>5480</v>
      </c>
      <c r="D159" s="358">
        <f t="shared" si="7"/>
        <v>0</v>
      </c>
      <c r="E159" s="358">
        <v>0</v>
      </c>
      <c r="F159" s="368"/>
      <c r="G159" s="359">
        <f t="shared" si="8"/>
        <v>0</v>
      </c>
      <c r="H159" s="358">
        <v>0</v>
      </c>
      <c r="I159" s="358">
        <v>0</v>
      </c>
      <c r="J159" s="358">
        <f>'[3]Проф.иными цел.2020 Пр.109'!C159</f>
        <v>5480</v>
      </c>
      <c r="K159" s="360"/>
    </row>
    <row r="160" spans="1:11" x14ac:dyDescent="0.2">
      <c r="A160" s="81">
        <v>143</v>
      </c>
      <c r="B160" s="372" t="s">
        <v>159</v>
      </c>
      <c r="C160" s="358">
        <f t="shared" si="6"/>
        <v>2600</v>
      </c>
      <c r="D160" s="358">
        <f t="shared" si="7"/>
        <v>0</v>
      </c>
      <c r="E160" s="358">
        <v>0</v>
      </c>
      <c r="F160" s="368"/>
      <c r="G160" s="359">
        <f t="shared" si="8"/>
        <v>0</v>
      </c>
      <c r="H160" s="358">
        <v>0</v>
      </c>
      <c r="I160" s="358">
        <v>0</v>
      </c>
      <c r="J160" s="358">
        <f>'[3]Проф.иными цел.2020 Пр.109'!C160</f>
        <v>2600</v>
      </c>
      <c r="K160" s="360"/>
    </row>
    <row r="161" spans="1:11" x14ac:dyDescent="0.2">
      <c r="A161" s="81">
        <v>144</v>
      </c>
      <c r="B161" s="362" t="s">
        <v>160</v>
      </c>
      <c r="C161" s="358">
        <f t="shared" si="6"/>
        <v>640</v>
      </c>
      <c r="D161" s="358">
        <f t="shared" si="7"/>
        <v>0</v>
      </c>
      <c r="E161" s="358">
        <v>0</v>
      </c>
      <c r="F161" s="368"/>
      <c r="G161" s="359">
        <f t="shared" si="8"/>
        <v>0</v>
      </c>
      <c r="H161" s="358">
        <v>0</v>
      </c>
      <c r="I161" s="358">
        <v>0</v>
      </c>
      <c r="J161" s="358">
        <f>'[3]Проф.иными цел.2020 Пр.109'!C161</f>
        <v>640</v>
      </c>
      <c r="K161" s="360"/>
    </row>
    <row r="162" spans="1:11" x14ac:dyDescent="0.2">
      <c r="A162" s="374"/>
      <c r="B162" s="362" t="s">
        <v>91</v>
      </c>
      <c r="C162" s="358">
        <f t="shared" si="6"/>
        <v>271120</v>
      </c>
      <c r="D162" s="358">
        <f t="shared" si="7"/>
        <v>0</v>
      </c>
      <c r="E162" s="358">
        <v>0</v>
      </c>
      <c r="F162" s="368"/>
      <c r="G162" s="359">
        <f t="shared" si="8"/>
        <v>0</v>
      </c>
      <c r="H162" s="358">
        <v>0</v>
      </c>
      <c r="I162" s="358">
        <v>0</v>
      </c>
      <c r="J162" s="358">
        <f>'[3]Проф.иными цел.2020 Пр.109'!C162</f>
        <v>271120</v>
      </c>
      <c r="K162" s="360"/>
    </row>
    <row r="163" spans="1:11" s="379" customFormat="1" x14ac:dyDescent="0.25">
      <c r="A163" s="375"/>
      <c r="B163" s="375" t="s">
        <v>146</v>
      </c>
      <c r="C163" s="376">
        <f>SUM(C10:C162)</f>
        <v>11801387</v>
      </c>
      <c r="D163" s="377">
        <f t="shared" si="7"/>
        <v>1021041</v>
      </c>
      <c r="E163" s="376">
        <f t="shared" ref="E163:J163" si="9">SUM(E10:E162)</f>
        <v>168188</v>
      </c>
      <c r="F163" s="378">
        <f>SUM(F10:F162)</f>
        <v>852853</v>
      </c>
      <c r="G163" s="376">
        <f>SUM(G10:G162)</f>
        <v>729028</v>
      </c>
      <c r="H163" s="376">
        <f t="shared" si="9"/>
        <v>717537</v>
      </c>
      <c r="I163" s="376">
        <f t="shared" si="9"/>
        <v>11491</v>
      </c>
      <c r="J163" s="376">
        <f t="shared" si="9"/>
        <v>10051318</v>
      </c>
      <c r="K163" s="360"/>
    </row>
    <row r="164" spans="1:11" s="379" customFormat="1" x14ac:dyDescent="0.25">
      <c r="A164" s="3"/>
      <c r="B164" s="3"/>
      <c r="C164" s="380"/>
      <c r="D164" s="380"/>
      <c r="E164" s="381"/>
      <c r="F164" s="381"/>
      <c r="G164" s="381"/>
      <c r="H164" s="381"/>
      <c r="I164" s="381"/>
      <c r="J164" s="380"/>
      <c r="K164" s="380"/>
    </row>
    <row r="165" spans="1:11" x14ac:dyDescent="0.2">
      <c r="D165" s="361"/>
    </row>
  </sheetData>
  <mergeCells count="23">
    <mergeCell ref="A153:A154"/>
    <mergeCell ref="A14:A15"/>
    <mergeCell ref="A39:A40"/>
    <mergeCell ref="A45:A47"/>
    <mergeCell ref="A50:A51"/>
    <mergeCell ref="A109:A110"/>
    <mergeCell ref="A114:A115"/>
    <mergeCell ref="A1:J1"/>
    <mergeCell ref="A3:A8"/>
    <mergeCell ref="B3:B8"/>
    <mergeCell ref="C3:C8"/>
    <mergeCell ref="D3:J3"/>
    <mergeCell ref="D4:F4"/>
    <mergeCell ref="G4:I4"/>
    <mergeCell ref="J4:J8"/>
    <mergeCell ref="D5:D8"/>
    <mergeCell ref="E5:F5"/>
    <mergeCell ref="G5:G8"/>
    <mergeCell ref="H5:I5"/>
    <mergeCell ref="E6:E8"/>
    <mergeCell ref="F6:F8"/>
    <mergeCell ref="H6:H8"/>
    <mergeCell ref="I6:I8"/>
  </mergeCells>
  <pageMargins left="0.31496062992125984" right="0.31496062992125984" top="0.35433070866141736" bottom="0.35433070866141736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W164"/>
  <sheetViews>
    <sheetView workbookViewId="0">
      <pane xSplit="2" ySplit="8" topLeftCell="C147" activePane="bottomRight" state="frozen"/>
      <selection pane="topRight" activeCell="C1" sqref="C1"/>
      <selection pane="bottomLeft" activeCell="A9" sqref="A9"/>
      <selection pane="bottomRight" activeCell="B47" sqref="B47"/>
    </sheetView>
  </sheetViews>
  <sheetFormatPr defaultRowHeight="15" x14ac:dyDescent="0.25"/>
  <cols>
    <col min="1" max="1" width="4.28515625" style="1" customWidth="1"/>
    <col min="2" max="2" width="32" style="1" customWidth="1"/>
    <col min="3" max="3" width="11.140625" style="57" customWidth="1"/>
    <col min="4" max="5" width="11" style="57" customWidth="1"/>
    <col min="6" max="6" width="13.42578125" style="57" customWidth="1"/>
    <col min="7" max="7" width="11.140625" style="57" customWidth="1"/>
    <col min="8" max="8" width="10.140625" style="57" customWidth="1"/>
    <col min="9" max="9" width="11.140625" style="57" customWidth="1"/>
    <col min="10" max="11" width="9.140625" style="57"/>
    <col min="12" max="12" width="10" style="57" customWidth="1"/>
    <col min="13" max="13" width="11.140625" style="57" customWidth="1"/>
    <col min="14" max="15" width="9.140625" style="57"/>
    <col min="16" max="16" width="10.42578125" style="57" customWidth="1"/>
    <col min="17" max="17" width="11.7109375" style="57" customWidth="1"/>
    <col min="18" max="18" width="11.42578125" style="57" customWidth="1"/>
    <col min="19" max="19" width="10.42578125" style="57" customWidth="1"/>
    <col min="20" max="20" width="12.5703125" style="57" customWidth="1"/>
    <col min="21" max="16384" width="9.140625" style="57"/>
  </cols>
  <sheetData>
    <row r="1" spans="1:23" ht="18.75" x14ac:dyDescent="0.25">
      <c r="A1" s="57"/>
      <c r="B1" s="589" t="s">
        <v>161</v>
      </c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</row>
    <row r="2" spans="1:23" x14ac:dyDescent="0.25">
      <c r="A2" s="2"/>
    </row>
    <row r="3" spans="1:23" x14ac:dyDescent="0.25">
      <c r="A3" s="578" t="s">
        <v>0</v>
      </c>
      <c r="B3" s="578" t="s">
        <v>94</v>
      </c>
      <c r="C3" s="581" t="s">
        <v>162</v>
      </c>
      <c r="D3" s="590" t="s">
        <v>96</v>
      </c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87"/>
    </row>
    <row r="4" spans="1:23" ht="15" customHeight="1" x14ac:dyDescent="0.25">
      <c r="A4" s="579"/>
      <c r="B4" s="579"/>
      <c r="C4" s="581"/>
      <c r="D4" s="578" t="s">
        <v>163</v>
      </c>
      <c r="E4" s="582" t="s">
        <v>164</v>
      </c>
      <c r="F4" s="582"/>
      <c r="G4" s="583"/>
      <c r="H4" s="578" t="s">
        <v>165</v>
      </c>
      <c r="I4" s="575" t="s">
        <v>166</v>
      </c>
      <c r="J4" s="582"/>
      <c r="K4" s="582"/>
      <c r="L4" s="582"/>
      <c r="M4" s="582"/>
      <c r="N4" s="582"/>
      <c r="O4" s="581" t="s">
        <v>167</v>
      </c>
      <c r="P4" s="581"/>
      <c r="Q4" s="581"/>
      <c r="R4" s="575" t="s">
        <v>168</v>
      </c>
      <c r="S4" s="582"/>
      <c r="T4" s="583"/>
    </row>
    <row r="5" spans="1:23" ht="30.75" customHeight="1" x14ac:dyDescent="0.25">
      <c r="A5" s="579"/>
      <c r="B5" s="579"/>
      <c r="C5" s="581"/>
      <c r="D5" s="579"/>
      <c r="E5" s="584"/>
      <c r="F5" s="584"/>
      <c r="G5" s="585"/>
      <c r="H5" s="579"/>
      <c r="I5" s="577"/>
      <c r="J5" s="584"/>
      <c r="K5" s="584"/>
      <c r="L5" s="584"/>
      <c r="M5" s="584"/>
      <c r="N5" s="584"/>
      <c r="O5" s="581"/>
      <c r="P5" s="581"/>
      <c r="Q5" s="581"/>
      <c r="R5" s="577"/>
      <c r="S5" s="584"/>
      <c r="T5" s="585"/>
    </row>
    <row r="6" spans="1:23" x14ac:dyDescent="0.25">
      <c r="A6" s="579"/>
      <c r="B6" s="579"/>
      <c r="C6" s="581"/>
      <c r="D6" s="579"/>
      <c r="E6" s="582" t="s">
        <v>169</v>
      </c>
      <c r="F6" s="583"/>
      <c r="G6" s="581" t="s">
        <v>170</v>
      </c>
      <c r="H6" s="579"/>
      <c r="I6" s="578" t="s">
        <v>170</v>
      </c>
      <c r="J6" s="586" t="s">
        <v>171</v>
      </c>
      <c r="K6" s="587"/>
      <c r="L6" s="582" t="s">
        <v>169</v>
      </c>
      <c r="M6" s="583"/>
      <c r="N6" s="575" t="s">
        <v>172</v>
      </c>
      <c r="O6" s="581" t="s">
        <v>170</v>
      </c>
      <c r="P6" s="581" t="s">
        <v>169</v>
      </c>
      <c r="Q6" s="581"/>
      <c r="R6" s="578" t="s">
        <v>170</v>
      </c>
      <c r="S6" s="581" t="s">
        <v>169</v>
      </c>
      <c r="T6" s="581"/>
    </row>
    <row r="7" spans="1:23" x14ac:dyDescent="0.25">
      <c r="A7" s="579"/>
      <c r="B7" s="579"/>
      <c r="C7" s="581"/>
      <c r="D7" s="579"/>
      <c r="E7" s="584"/>
      <c r="F7" s="585"/>
      <c r="G7" s="581"/>
      <c r="H7" s="579"/>
      <c r="I7" s="579"/>
      <c r="J7" s="578" t="s">
        <v>173</v>
      </c>
      <c r="K7" s="578" t="s">
        <v>174</v>
      </c>
      <c r="L7" s="584"/>
      <c r="M7" s="585"/>
      <c r="N7" s="576"/>
      <c r="O7" s="581"/>
      <c r="P7" s="581"/>
      <c r="Q7" s="581"/>
      <c r="R7" s="579"/>
      <c r="S7" s="581"/>
      <c r="T7" s="581"/>
    </row>
    <row r="8" spans="1:23" ht="45" x14ac:dyDescent="0.25">
      <c r="A8" s="580"/>
      <c r="B8" s="580"/>
      <c r="C8" s="581"/>
      <c r="D8" s="580"/>
      <c r="E8" s="336" t="s">
        <v>97</v>
      </c>
      <c r="F8" s="336" t="s">
        <v>98</v>
      </c>
      <c r="G8" s="581"/>
      <c r="H8" s="580"/>
      <c r="I8" s="580"/>
      <c r="J8" s="580"/>
      <c r="K8" s="580"/>
      <c r="L8" s="335" t="s">
        <v>97</v>
      </c>
      <c r="M8" s="335" t="s">
        <v>98</v>
      </c>
      <c r="N8" s="577"/>
      <c r="O8" s="581"/>
      <c r="P8" s="336" t="s">
        <v>97</v>
      </c>
      <c r="Q8" s="336" t="s">
        <v>98</v>
      </c>
      <c r="R8" s="580"/>
      <c r="S8" s="336" t="s">
        <v>97</v>
      </c>
      <c r="T8" s="336" t="s">
        <v>98</v>
      </c>
    </row>
    <row r="9" spans="1:23" x14ac:dyDescent="0.25">
      <c r="A9" s="336">
        <v>1</v>
      </c>
      <c r="B9" s="336">
        <v>2</v>
      </c>
      <c r="C9" s="336">
        <v>3</v>
      </c>
      <c r="D9" s="336">
        <v>4</v>
      </c>
      <c r="E9" s="336">
        <v>5</v>
      </c>
      <c r="F9" s="336">
        <v>6</v>
      </c>
      <c r="G9" s="336">
        <v>7</v>
      </c>
      <c r="H9" s="336">
        <v>8</v>
      </c>
      <c r="I9" s="336">
        <v>9</v>
      </c>
      <c r="J9" s="336">
        <v>10</v>
      </c>
      <c r="K9" s="336">
        <v>11</v>
      </c>
      <c r="L9" s="336">
        <v>12</v>
      </c>
      <c r="M9" s="336">
        <v>13</v>
      </c>
      <c r="N9" s="336">
        <v>14</v>
      </c>
      <c r="O9" s="336">
        <v>15</v>
      </c>
      <c r="P9" s="336">
        <v>16</v>
      </c>
      <c r="Q9" s="336">
        <v>17</v>
      </c>
      <c r="R9" s="336">
        <v>18</v>
      </c>
      <c r="S9" s="336">
        <v>19</v>
      </c>
      <c r="T9" s="336">
        <v>20</v>
      </c>
    </row>
    <row r="10" spans="1:23" x14ac:dyDescent="0.25">
      <c r="A10" s="4">
        <v>1</v>
      </c>
      <c r="B10" s="5" t="s">
        <v>13</v>
      </c>
      <c r="C10" s="6">
        <f>D10+E10+F10+G10+H10+I10+J10+K10+L10+M10+N10+P10+Q10+R10+S10+T10+O10</f>
        <v>130493</v>
      </c>
      <c r="D10" s="6">
        <v>2533</v>
      </c>
      <c r="E10" s="6">
        <v>2367</v>
      </c>
      <c r="F10" s="6">
        <v>47085</v>
      </c>
      <c r="G10" s="6">
        <v>0</v>
      </c>
      <c r="H10" s="6">
        <v>16119</v>
      </c>
      <c r="I10" s="6">
        <v>0</v>
      </c>
      <c r="J10" s="6">
        <v>1025</v>
      </c>
      <c r="K10" s="6">
        <v>439</v>
      </c>
      <c r="L10" s="6">
        <v>1377</v>
      </c>
      <c r="M10" s="6">
        <v>24299</v>
      </c>
      <c r="N10" s="6"/>
      <c r="O10" s="6">
        <v>0</v>
      </c>
      <c r="P10" s="6">
        <v>0</v>
      </c>
      <c r="Q10" s="6">
        <v>11200</v>
      </c>
      <c r="R10" s="6">
        <v>0</v>
      </c>
      <c r="S10" s="6">
        <v>3756</v>
      </c>
      <c r="T10" s="6">
        <v>20293</v>
      </c>
      <c r="U10" s="58"/>
      <c r="V10" s="58"/>
      <c r="W10" s="58"/>
    </row>
    <row r="11" spans="1:23" ht="22.5" x14ac:dyDescent="0.25">
      <c r="A11" s="4">
        <v>2</v>
      </c>
      <c r="B11" s="5" t="s">
        <v>99</v>
      </c>
      <c r="C11" s="6">
        <f t="shared" ref="C11:C74" si="0">D11+E11+F11+G11+H11+I11+J11+K11+L11+M11+N11+P11+Q11+R11+S11+T11+O11</f>
        <v>6000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v>4500</v>
      </c>
      <c r="J11" s="6"/>
      <c r="K11" s="6"/>
      <c r="L11" s="6">
        <v>0</v>
      </c>
      <c r="M11" s="6">
        <v>0</v>
      </c>
      <c r="N11" s="6"/>
      <c r="O11" s="6">
        <v>1500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3" x14ac:dyDescent="0.25">
      <c r="A12" s="4">
        <v>3</v>
      </c>
      <c r="B12" s="7" t="s">
        <v>22</v>
      </c>
      <c r="C12" s="6">
        <f t="shared" si="0"/>
        <v>129645</v>
      </c>
      <c r="D12" s="6">
        <v>2582</v>
      </c>
      <c r="E12" s="6">
        <v>1966</v>
      </c>
      <c r="F12" s="6">
        <v>45596</v>
      </c>
      <c r="G12" s="6">
        <v>0</v>
      </c>
      <c r="H12" s="6">
        <v>14026</v>
      </c>
      <c r="I12" s="6">
        <v>0</v>
      </c>
      <c r="J12" s="6">
        <v>1025</v>
      </c>
      <c r="K12" s="6">
        <v>439</v>
      </c>
      <c r="L12" s="6">
        <v>5481</v>
      </c>
      <c r="M12" s="6">
        <v>40984</v>
      </c>
      <c r="N12" s="6">
        <v>156</v>
      </c>
      <c r="O12" s="6">
        <v>0</v>
      </c>
      <c r="P12" s="6">
        <v>2194</v>
      </c>
      <c r="Q12" s="6">
        <v>2194</v>
      </c>
      <c r="R12" s="6">
        <v>0</v>
      </c>
      <c r="S12" s="6">
        <v>2459</v>
      </c>
      <c r="T12" s="6">
        <v>10543</v>
      </c>
    </row>
    <row r="13" spans="1:23" x14ac:dyDescent="0.25">
      <c r="A13" s="4">
        <v>4</v>
      </c>
      <c r="B13" s="7" t="s">
        <v>23</v>
      </c>
      <c r="C13" s="6">
        <f t="shared" si="0"/>
        <v>5340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v>3258</v>
      </c>
      <c r="J13" s="6"/>
      <c r="K13" s="6"/>
      <c r="L13" s="6">
        <v>0</v>
      </c>
      <c r="M13" s="6">
        <v>0</v>
      </c>
      <c r="N13" s="6"/>
      <c r="O13" s="6">
        <v>382</v>
      </c>
      <c r="P13" s="6">
        <v>0</v>
      </c>
      <c r="Q13" s="6">
        <v>0</v>
      </c>
      <c r="R13" s="6">
        <v>1700</v>
      </c>
      <c r="S13" s="6">
        <v>0</v>
      </c>
      <c r="T13" s="6">
        <v>0</v>
      </c>
    </row>
    <row r="14" spans="1:23" x14ac:dyDescent="0.25">
      <c r="A14" s="573">
        <v>5</v>
      </c>
      <c r="B14" s="8" t="s">
        <v>100</v>
      </c>
      <c r="C14" s="6">
        <f t="shared" si="0"/>
        <v>310413</v>
      </c>
      <c r="D14" s="6">
        <v>6007</v>
      </c>
      <c r="E14" s="6">
        <v>7059</v>
      </c>
      <c r="F14" s="6">
        <v>95530</v>
      </c>
      <c r="G14" s="6">
        <v>0</v>
      </c>
      <c r="H14" s="6">
        <v>27031</v>
      </c>
      <c r="I14" s="6">
        <v>0</v>
      </c>
      <c r="J14" s="6">
        <v>1025</v>
      </c>
      <c r="K14" s="6">
        <v>439</v>
      </c>
      <c r="L14" s="6">
        <v>30798</v>
      </c>
      <c r="M14" s="6">
        <v>78464</v>
      </c>
      <c r="N14" s="6"/>
      <c r="O14" s="6">
        <v>0</v>
      </c>
      <c r="P14" s="6">
        <v>5372</v>
      </c>
      <c r="Q14" s="6">
        <v>1340</v>
      </c>
      <c r="R14" s="6">
        <v>0</v>
      </c>
      <c r="S14" s="6">
        <v>17493</v>
      </c>
      <c r="T14" s="6">
        <v>39855</v>
      </c>
    </row>
    <row r="15" spans="1:23" ht="33.75" x14ac:dyDescent="0.25">
      <c r="A15" s="574"/>
      <c r="B15" s="9" t="s">
        <v>101</v>
      </c>
      <c r="C15" s="6">
        <f t="shared" si="0"/>
        <v>38529</v>
      </c>
      <c r="D15" s="6">
        <v>831</v>
      </c>
      <c r="E15" s="6">
        <v>746</v>
      </c>
      <c r="F15" s="6">
        <v>12809</v>
      </c>
      <c r="G15" s="6">
        <v>0</v>
      </c>
      <c r="H15" s="6"/>
      <c r="I15" s="6">
        <v>0</v>
      </c>
      <c r="J15" s="6"/>
      <c r="K15" s="6"/>
      <c r="L15" s="6">
        <v>1931</v>
      </c>
      <c r="M15" s="6">
        <v>7439</v>
      </c>
      <c r="N15" s="6"/>
      <c r="O15" s="6">
        <v>0</v>
      </c>
      <c r="P15" s="6">
        <v>4108</v>
      </c>
      <c r="Q15" s="6">
        <v>0</v>
      </c>
      <c r="R15" s="6">
        <v>0</v>
      </c>
      <c r="S15" s="6">
        <v>1215</v>
      </c>
      <c r="T15" s="6">
        <v>9450</v>
      </c>
    </row>
    <row r="16" spans="1:23" x14ac:dyDescent="0.25">
      <c r="A16" s="4">
        <v>6</v>
      </c>
      <c r="B16" s="7" t="s">
        <v>53</v>
      </c>
      <c r="C16" s="6">
        <f t="shared" si="0"/>
        <v>92593</v>
      </c>
      <c r="D16" s="6">
        <v>1973</v>
      </c>
      <c r="E16" s="6">
        <v>7300</v>
      </c>
      <c r="F16" s="6">
        <v>26561</v>
      </c>
      <c r="G16" s="6">
        <v>0</v>
      </c>
      <c r="H16" s="6"/>
      <c r="I16" s="6">
        <v>0</v>
      </c>
      <c r="J16" s="6">
        <v>1025</v>
      </c>
      <c r="K16" s="6">
        <v>439</v>
      </c>
      <c r="L16" s="6">
        <v>8950</v>
      </c>
      <c r="M16" s="6">
        <v>26885</v>
      </c>
      <c r="N16" s="6"/>
      <c r="O16" s="6">
        <v>0</v>
      </c>
      <c r="P16" s="6">
        <v>0</v>
      </c>
      <c r="Q16" s="6">
        <v>7111</v>
      </c>
      <c r="R16" s="6">
        <v>0</v>
      </c>
      <c r="S16" s="6">
        <v>1250</v>
      </c>
      <c r="T16" s="6">
        <v>11099</v>
      </c>
    </row>
    <row r="17" spans="1:20" x14ac:dyDescent="0.25">
      <c r="A17" s="4">
        <v>7</v>
      </c>
      <c r="B17" s="7" t="s">
        <v>4</v>
      </c>
      <c r="C17" s="6">
        <f t="shared" si="0"/>
        <v>39401</v>
      </c>
      <c r="D17" s="6">
        <v>857</v>
      </c>
      <c r="E17" s="6">
        <v>1974</v>
      </c>
      <c r="F17" s="6">
        <v>21984</v>
      </c>
      <c r="G17" s="6">
        <v>0</v>
      </c>
      <c r="H17" s="6"/>
      <c r="I17" s="6">
        <v>0</v>
      </c>
      <c r="J17" s="6"/>
      <c r="K17" s="6"/>
      <c r="L17" s="6">
        <v>6472</v>
      </c>
      <c r="M17" s="6">
        <v>4709</v>
      </c>
      <c r="N17" s="6"/>
      <c r="O17" s="6">
        <v>0</v>
      </c>
      <c r="P17" s="6">
        <v>0</v>
      </c>
      <c r="Q17" s="6">
        <v>1052</v>
      </c>
      <c r="R17" s="6">
        <v>0</v>
      </c>
      <c r="S17" s="6">
        <v>1554</v>
      </c>
      <c r="T17" s="6">
        <v>799</v>
      </c>
    </row>
    <row r="18" spans="1:20" x14ac:dyDescent="0.25">
      <c r="A18" s="4">
        <v>8</v>
      </c>
      <c r="B18" s="7" t="s">
        <v>8</v>
      </c>
      <c r="C18" s="6">
        <f t="shared" si="0"/>
        <v>41440</v>
      </c>
      <c r="D18" s="6">
        <v>891</v>
      </c>
      <c r="E18" s="6">
        <v>770</v>
      </c>
      <c r="F18" s="6">
        <v>14312</v>
      </c>
      <c r="G18" s="6">
        <v>0</v>
      </c>
      <c r="H18" s="6"/>
      <c r="I18" s="6">
        <v>0</v>
      </c>
      <c r="J18" s="6">
        <v>1025</v>
      </c>
      <c r="K18" s="6">
        <v>439</v>
      </c>
      <c r="L18" s="6">
        <v>7486</v>
      </c>
      <c r="M18" s="6">
        <v>6216</v>
      </c>
      <c r="N18" s="6"/>
      <c r="O18" s="6">
        <v>0</v>
      </c>
      <c r="P18" s="6">
        <v>0</v>
      </c>
      <c r="Q18" s="6">
        <v>3295</v>
      </c>
      <c r="R18" s="6">
        <v>0</v>
      </c>
      <c r="S18" s="6">
        <v>500</v>
      </c>
      <c r="T18" s="6">
        <v>6506</v>
      </c>
    </row>
    <row r="19" spans="1:20" x14ac:dyDescent="0.25">
      <c r="A19" s="4">
        <v>9</v>
      </c>
      <c r="B19" s="7" t="s">
        <v>17</v>
      </c>
      <c r="C19" s="6">
        <f t="shared" si="0"/>
        <v>44809</v>
      </c>
      <c r="D19" s="6">
        <v>1017</v>
      </c>
      <c r="E19" s="6">
        <v>1496</v>
      </c>
      <c r="F19" s="6">
        <v>15023</v>
      </c>
      <c r="G19" s="6">
        <v>0</v>
      </c>
      <c r="H19" s="6"/>
      <c r="I19" s="6">
        <v>0</v>
      </c>
      <c r="J19" s="6"/>
      <c r="K19" s="6"/>
      <c r="L19" s="6">
        <v>3477</v>
      </c>
      <c r="M19" s="6">
        <v>9937</v>
      </c>
      <c r="N19" s="6"/>
      <c r="O19" s="6">
        <v>0</v>
      </c>
      <c r="P19" s="6">
        <v>2892</v>
      </c>
      <c r="Q19" s="6">
        <v>4370</v>
      </c>
      <c r="R19" s="6">
        <v>0</v>
      </c>
      <c r="S19" s="6">
        <v>1946</v>
      </c>
      <c r="T19" s="6">
        <v>4651</v>
      </c>
    </row>
    <row r="20" spans="1:20" x14ac:dyDescent="0.25">
      <c r="A20" s="4">
        <v>10</v>
      </c>
      <c r="B20" s="7" t="s">
        <v>45</v>
      </c>
      <c r="C20" s="6">
        <f t="shared" si="0"/>
        <v>47907</v>
      </c>
      <c r="D20" s="6">
        <v>1040</v>
      </c>
      <c r="E20" s="6">
        <v>2785</v>
      </c>
      <c r="F20" s="6">
        <v>12790</v>
      </c>
      <c r="G20" s="6">
        <v>0</v>
      </c>
      <c r="H20" s="6"/>
      <c r="I20" s="6">
        <v>0</v>
      </c>
      <c r="J20" s="6"/>
      <c r="K20" s="6"/>
      <c r="L20" s="6">
        <v>6765</v>
      </c>
      <c r="M20" s="6">
        <v>14692</v>
      </c>
      <c r="N20" s="6"/>
      <c r="O20" s="6">
        <v>0</v>
      </c>
      <c r="P20" s="6">
        <v>1500</v>
      </c>
      <c r="Q20" s="6">
        <v>3618</v>
      </c>
      <c r="R20" s="6">
        <v>0</v>
      </c>
      <c r="S20" s="6">
        <v>650</v>
      </c>
      <c r="T20" s="6">
        <v>4067</v>
      </c>
    </row>
    <row r="21" spans="1:20" x14ac:dyDescent="0.25">
      <c r="A21" s="4">
        <v>11</v>
      </c>
      <c r="B21" s="8" t="s">
        <v>30</v>
      </c>
      <c r="C21" s="6">
        <f t="shared" si="0"/>
        <v>49809</v>
      </c>
      <c r="D21" s="6">
        <v>1078</v>
      </c>
      <c r="E21" s="6">
        <v>1020</v>
      </c>
      <c r="F21" s="6">
        <v>16410</v>
      </c>
      <c r="G21" s="6">
        <v>0</v>
      </c>
      <c r="H21" s="6"/>
      <c r="I21" s="6">
        <v>0</v>
      </c>
      <c r="J21" s="6"/>
      <c r="K21" s="6"/>
      <c r="L21" s="6">
        <v>3572</v>
      </c>
      <c r="M21" s="6">
        <v>14436</v>
      </c>
      <c r="N21" s="6"/>
      <c r="O21" s="6">
        <v>0</v>
      </c>
      <c r="P21" s="6">
        <v>1488</v>
      </c>
      <c r="Q21" s="6">
        <v>0</v>
      </c>
      <c r="R21" s="6">
        <v>0</v>
      </c>
      <c r="S21" s="6">
        <v>5020</v>
      </c>
      <c r="T21" s="6">
        <v>6785</v>
      </c>
    </row>
    <row r="22" spans="1:20" x14ac:dyDescent="0.25">
      <c r="A22" s="4">
        <v>12</v>
      </c>
      <c r="B22" s="7" t="s">
        <v>31</v>
      </c>
      <c r="C22" s="6">
        <f t="shared" si="0"/>
        <v>47077</v>
      </c>
      <c r="D22" s="6">
        <v>1013</v>
      </c>
      <c r="E22" s="6">
        <v>2536</v>
      </c>
      <c r="F22" s="6">
        <v>15882</v>
      </c>
      <c r="G22" s="6">
        <v>0</v>
      </c>
      <c r="H22" s="6"/>
      <c r="I22" s="6">
        <v>0</v>
      </c>
      <c r="J22" s="6">
        <v>1025</v>
      </c>
      <c r="K22" s="6">
        <v>439</v>
      </c>
      <c r="L22" s="6">
        <v>6136</v>
      </c>
      <c r="M22" s="6">
        <v>11010</v>
      </c>
      <c r="N22" s="6"/>
      <c r="O22" s="6">
        <v>0</v>
      </c>
      <c r="P22" s="6">
        <v>0</v>
      </c>
      <c r="Q22" s="6">
        <v>0</v>
      </c>
      <c r="R22" s="6">
        <v>0</v>
      </c>
      <c r="S22" s="6">
        <v>2328</v>
      </c>
      <c r="T22" s="6">
        <v>6708</v>
      </c>
    </row>
    <row r="23" spans="1:20" x14ac:dyDescent="0.25">
      <c r="A23" s="4">
        <v>13</v>
      </c>
      <c r="B23" s="8" t="s">
        <v>34</v>
      </c>
      <c r="C23" s="6">
        <f t="shared" si="0"/>
        <v>55916</v>
      </c>
      <c r="D23" s="6">
        <v>1239</v>
      </c>
      <c r="E23" s="6">
        <v>378</v>
      </c>
      <c r="F23" s="6">
        <v>11246</v>
      </c>
      <c r="G23" s="6">
        <v>0</v>
      </c>
      <c r="H23" s="6"/>
      <c r="I23" s="6">
        <v>0</v>
      </c>
      <c r="J23" s="6"/>
      <c r="K23" s="6"/>
      <c r="L23" s="6">
        <v>8459</v>
      </c>
      <c r="M23" s="6">
        <v>8082</v>
      </c>
      <c r="N23" s="6"/>
      <c r="O23" s="6">
        <v>0</v>
      </c>
      <c r="P23" s="6">
        <v>1500</v>
      </c>
      <c r="Q23" s="6">
        <v>4841</v>
      </c>
      <c r="R23" s="6">
        <v>0</v>
      </c>
      <c r="S23" s="6">
        <v>5163</v>
      </c>
      <c r="T23" s="6">
        <v>15008</v>
      </c>
    </row>
    <row r="24" spans="1:20" x14ac:dyDescent="0.25">
      <c r="A24" s="4">
        <v>14</v>
      </c>
      <c r="B24" s="7" t="s">
        <v>40</v>
      </c>
      <c r="C24" s="6">
        <f t="shared" si="0"/>
        <v>44905</v>
      </c>
      <c r="D24" s="6">
        <v>962</v>
      </c>
      <c r="E24" s="6">
        <v>590</v>
      </c>
      <c r="F24" s="6">
        <v>14679</v>
      </c>
      <c r="G24" s="6">
        <v>0</v>
      </c>
      <c r="H24" s="6"/>
      <c r="I24" s="6">
        <v>0</v>
      </c>
      <c r="J24" s="6"/>
      <c r="K24" s="6"/>
      <c r="L24" s="6">
        <v>1200</v>
      </c>
      <c r="M24" s="6">
        <v>11299</v>
      </c>
      <c r="N24" s="6"/>
      <c r="O24" s="6">
        <v>0</v>
      </c>
      <c r="P24" s="6">
        <v>900</v>
      </c>
      <c r="Q24" s="6">
        <v>4841</v>
      </c>
      <c r="R24" s="6">
        <v>0</v>
      </c>
      <c r="S24" s="6">
        <v>4310</v>
      </c>
      <c r="T24" s="6">
        <v>6124</v>
      </c>
    </row>
    <row r="25" spans="1:20" x14ac:dyDescent="0.25">
      <c r="A25" s="4">
        <v>15</v>
      </c>
      <c r="B25" s="7" t="s">
        <v>102</v>
      </c>
      <c r="C25" s="6">
        <f t="shared" si="0"/>
        <v>25</v>
      </c>
      <c r="D25" s="6">
        <v>0</v>
      </c>
      <c r="E25" s="6"/>
      <c r="F25" s="6"/>
      <c r="G25" s="6"/>
      <c r="H25" s="6"/>
      <c r="I25" s="6">
        <v>25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4">
        <v>16</v>
      </c>
      <c r="B26" s="7" t="s">
        <v>55</v>
      </c>
      <c r="C26" s="6">
        <f t="shared" si="0"/>
        <v>134077</v>
      </c>
      <c r="D26" s="6">
        <v>2631</v>
      </c>
      <c r="E26" s="6">
        <v>3549</v>
      </c>
      <c r="F26" s="6">
        <v>28925</v>
      </c>
      <c r="G26" s="6">
        <v>0</v>
      </c>
      <c r="H26" s="6">
        <v>15794</v>
      </c>
      <c r="I26" s="6">
        <v>0</v>
      </c>
      <c r="J26" s="6">
        <v>1025</v>
      </c>
      <c r="K26" s="6">
        <v>439</v>
      </c>
      <c r="L26" s="6">
        <v>6342</v>
      </c>
      <c r="M26" s="6">
        <v>41181</v>
      </c>
      <c r="N26" s="6"/>
      <c r="O26" s="6">
        <v>0</v>
      </c>
      <c r="P26" s="6">
        <v>1000</v>
      </c>
      <c r="Q26" s="6">
        <v>7500</v>
      </c>
      <c r="R26" s="6">
        <v>0</v>
      </c>
      <c r="S26" s="6">
        <v>2309</v>
      </c>
      <c r="T26" s="6">
        <v>23382</v>
      </c>
    </row>
    <row r="27" spans="1:20" ht="22.5" x14ac:dyDescent="0.25">
      <c r="A27" s="4">
        <v>17</v>
      </c>
      <c r="B27" s="9" t="s">
        <v>56</v>
      </c>
      <c r="C27" s="6">
        <f t="shared" si="0"/>
        <v>9821</v>
      </c>
      <c r="D27" s="6"/>
      <c r="E27" s="6">
        <v>0</v>
      </c>
      <c r="F27" s="6">
        <v>0</v>
      </c>
      <c r="G27" s="6">
        <v>0</v>
      </c>
      <c r="H27" s="6"/>
      <c r="I27" s="6">
        <v>4408</v>
      </c>
      <c r="J27" s="6"/>
      <c r="K27" s="6"/>
      <c r="L27" s="6">
        <v>0</v>
      </c>
      <c r="M27" s="6">
        <v>0</v>
      </c>
      <c r="N27" s="6"/>
      <c r="O27" s="6">
        <v>3210</v>
      </c>
      <c r="P27" s="6">
        <v>0</v>
      </c>
      <c r="Q27" s="6">
        <v>0</v>
      </c>
      <c r="R27" s="6">
        <v>2203</v>
      </c>
      <c r="S27" s="6">
        <v>0</v>
      </c>
      <c r="T27" s="6">
        <v>0</v>
      </c>
    </row>
    <row r="28" spans="1:20" x14ac:dyDescent="0.25">
      <c r="A28" s="4">
        <v>18</v>
      </c>
      <c r="B28" s="7" t="s">
        <v>6</v>
      </c>
      <c r="C28" s="6">
        <f t="shared" si="0"/>
        <v>112204</v>
      </c>
      <c r="D28" s="6">
        <v>2290</v>
      </c>
      <c r="E28" s="6">
        <v>1886</v>
      </c>
      <c r="F28" s="6">
        <v>34332</v>
      </c>
      <c r="G28" s="6">
        <v>0</v>
      </c>
      <c r="H28" s="6"/>
      <c r="I28" s="6">
        <v>0</v>
      </c>
      <c r="J28" s="6"/>
      <c r="K28" s="6"/>
      <c r="L28" s="6">
        <v>19697</v>
      </c>
      <c r="M28" s="6">
        <v>24132</v>
      </c>
      <c r="N28" s="6"/>
      <c r="O28" s="6">
        <v>0</v>
      </c>
      <c r="P28" s="6">
        <v>2586</v>
      </c>
      <c r="Q28" s="6">
        <v>12648</v>
      </c>
      <c r="R28" s="6">
        <v>0</v>
      </c>
      <c r="S28" s="6">
        <v>831</v>
      </c>
      <c r="T28" s="6">
        <v>13802</v>
      </c>
    </row>
    <row r="29" spans="1:20" x14ac:dyDescent="0.25">
      <c r="A29" s="4">
        <v>19</v>
      </c>
      <c r="B29" s="7" t="s">
        <v>11</v>
      </c>
      <c r="C29" s="6">
        <f t="shared" si="0"/>
        <v>234395</v>
      </c>
      <c r="D29" s="6">
        <v>4452</v>
      </c>
      <c r="E29" s="6">
        <v>10380</v>
      </c>
      <c r="F29" s="6">
        <v>84024</v>
      </c>
      <c r="G29" s="6">
        <v>0</v>
      </c>
      <c r="H29" s="6">
        <v>23997</v>
      </c>
      <c r="I29" s="6">
        <v>0</v>
      </c>
      <c r="J29" s="6">
        <v>1025</v>
      </c>
      <c r="K29" s="6">
        <v>439</v>
      </c>
      <c r="L29" s="6">
        <v>19430</v>
      </c>
      <c r="M29" s="6">
        <v>26216</v>
      </c>
      <c r="N29" s="6"/>
      <c r="O29" s="6">
        <v>0</v>
      </c>
      <c r="P29" s="6">
        <v>0</v>
      </c>
      <c r="Q29" s="6">
        <v>40000</v>
      </c>
      <c r="R29" s="6">
        <v>0</v>
      </c>
      <c r="S29" s="6">
        <v>15190</v>
      </c>
      <c r="T29" s="6">
        <v>9242</v>
      </c>
    </row>
    <row r="30" spans="1:20" x14ac:dyDescent="0.25">
      <c r="A30" s="4">
        <v>20</v>
      </c>
      <c r="B30" s="7" t="s">
        <v>47</v>
      </c>
      <c r="C30" s="6">
        <f t="shared" si="0"/>
        <v>147079</v>
      </c>
      <c r="D30" s="6">
        <v>3097</v>
      </c>
      <c r="E30" s="6">
        <v>8527</v>
      </c>
      <c r="F30" s="6">
        <v>32482</v>
      </c>
      <c r="G30" s="6">
        <v>0</v>
      </c>
      <c r="H30" s="6"/>
      <c r="I30" s="6">
        <v>0</v>
      </c>
      <c r="J30" s="6">
        <v>1025</v>
      </c>
      <c r="K30" s="6">
        <v>439</v>
      </c>
      <c r="L30" s="6">
        <v>15684</v>
      </c>
      <c r="M30" s="6">
        <v>29951</v>
      </c>
      <c r="N30" s="6"/>
      <c r="O30" s="6">
        <v>0</v>
      </c>
      <c r="P30" s="6">
        <v>2000</v>
      </c>
      <c r="Q30" s="6">
        <v>15019</v>
      </c>
      <c r="R30" s="6">
        <v>0</v>
      </c>
      <c r="S30" s="6">
        <v>7789</v>
      </c>
      <c r="T30" s="6">
        <v>31066</v>
      </c>
    </row>
    <row r="31" spans="1:20" x14ac:dyDescent="0.25">
      <c r="A31" s="4">
        <v>21</v>
      </c>
      <c r="B31" s="7" t="s">
        <v>54</v>
      </c>
      <c r="C31" s="6">
        <f t="shared" si="0"/>
        <v>33828</v>
      </c>
      <c r="D31" s="6">
        <v>625</v>
      </c>
      <c r="E31" s="6">
        <v>386</v>
      </c>
      <c r="F31" s="6">
        <v>8114</v>
      </c>
      <c r="G31" s="6">
        <v>0</v>
      </c>
      <c r="H31" s="6"/>
      <c r="I31" s="6">
        <v>0</v>
      </c>
      <c r="J31" s="6"/>
      <c r="K31" s="6"/>
      <c r="L31" s="6">
        <v>9164</v>
      </c>
      <c r="M31" s="6">
        <v>4814</v>
      </c>
      <c r="N31" s="6"/>
      <c r="O31" s="6">
        <v>0</v>
      </c>
      <c r="P31" s="6">
        <v>950</v>
      </c>
      <c r="Q31" s="6">
        <v>2000</v>
      </c>
      <c r="R31" s="6">
        <v>0</v>
      </c>
      <c r="S31" s="6">
        <v>800</v>
      </c>
      <c r="T31" s="6">
        <v>6975</v>
      </c>
    </row>
    <row r="32" spans="1:20" x14ac:dyDescent="0.25">
      <c r="A32" s="4">
        <v>22</v>
      </c>
      <c r="B32" s="7" t="s">
        <v>49</v>
      </c>
      <c r="C32" s="6">
        <f t="shared" si="0"/>
        <v>60328</v>
      </c>
      <c r="D32" s="6">
        <v>1262</v>
      </c>
      <c r="E32" s="6">
        <v>729</v>
      </c>
      <c r="F32" s="6">
        <v>4576</v>
      </c>
      <c r="G32" s="6">
        <v>0</v>
      </c>
      <c r="H32" s="6"/>
      <c r="I32" s="6">
        <v>0</v>
      </c>
      <c r="J32" s="6"/>
      <c r="K32" s="6"/>
      <c r="L32" s="6">
        <v>1623</v>
      </c>
      <c r="M32" s="6">
        <v>15702</v>
      </c>
      <c r="N32" s="6"/>
      <c r="O32" s="6">
        <v>0</v>
      </c>
      <c r="P32" s="6">
        <v>2000</v>
      </c>
      <c r="Q32" s="6">
        <v>5612</v>
      </c>
      <c r="R32" s="6">
        <v>0</v>
      </c>
      <c r="S32" s="6">
        <v>2688</v>
      </c>
      <c r="T32" s="6">
        <v>26136</v>
      </c>
    </row>
    <row r="33" spans="1:20" x14ac:dyDescent="0.25">
      <c r="A33" s="4">
        <v>23</v>
      </c>
      <c r="B33" s="7" t="s">
        <v>1</v>
      </c>
      <c r="C33" s="6">
        <f t="shared" si="0"/>
        <v>82044</v>
      </c>
      <c r="D33" s="6">
        <v>1670</v>
      </c>
      <c r="E33" s="6">
        <v>2100</v>
      </c>
      <c r="F33" s="6">
        <v>33326</v>
      </c>
      <c r="G33" s="6">
        <v>0</v>
      </c>
      <c r="H33" s="6"/>
      <c r="I33" s="6">
        <v>0</v>
      </c>
      <c r="J33" s="6">
        <v>1025</v>
      </c>
      <c r="K33" s="6">
        <v>439</v>
      </c>
      <c r="L33" s="6">
        <v>7238</v>
      </c>
      <c r="M33" s="6">
        <v>11780</v>
      </c>
      <c r="N33" s="6"/>
      <c r="O33" s="6">
        <v>0</v>
      </c>
      <c r="P33" s="6">
        <v>0</v>
      </c>
      <c r="Q33" s="6">
        <v>9532</v>
      </c>
      <c r="R33" s="6">
        <v>0</v>
      </c>
      <c r="S33" s="6">
        <v>3462</v>
      </c>
      <c r="T33" s="6">
        <v>11472</v>
      </c>
    </row>
    <row r="34" spans="1:20" x14ac:dyDescent="0.25">
      <c r="A34" s="4">
        <v>24</v>
      </c>
      <c r="B34" s="7" t="s">
        <v>18</v>
      </c>
      <c r="C34" s="6">
        <f t="shared" si="0"/>
        <v>33731</v>
      </c>
      <c r="D34" s="6">
        <v>669</v>
      </c>
      <c r="E34" s="6">
        <v>3206</v>
      </c>
      <c r="F34" s="6">
        <v>7811</v>
      </c>
      <c r="G34" s="6">
        <v>0</v>
      </c>
      <c r="H34" s="6"/>
      <c r="I34" s="6">
        <v>0</v>
      </c>
      <c r="J34" s="6"/>
      <c r="K34" s="6"/>
      <c r="L34" s="6">
        <v>1776</v>
      </c>
      <c r="M34" s="6">
        <v>4930</v>
      </c>
      <c r="N34" s="6"/>
      <c r="O34" s="6">
        <v>0</v>
      </c>
      <c r="P34" s="6">
        <v>1290</v>
      </c>
      <c r="Q34" s="6">
        <v>4236</v>
      </c>
      <c r="R34" s="6">
        <v>0</v>
      </c>
      <c r="S34" s="6">
        <v>1728</v>
      </c>
      <c r="T34" s="6">
        <v>8085</v>
      </c>
    </row>
    <row r="35" spans="1:20" x14ac:dyDescent="0.25">
      <c r="A35" s="4">
        <v>25</v>
      </c>
      <c r="B35" s="7" t="s">
        <v>26</v>
      </c>
      <c r="C35" s="6">
        <f t="shared" si="0"/>
        <v>28399</v>
      </c>
      <c r="D35" s="6">
        <v>608</v>
      </c>
      <c r="E35" s="6">
        <v>961</v>
      </c>
      <c r="F35" s="6">
        <v>5714</v>
      </c>
      <c r="G35" s="6">
        <v>0</v>
      </c>
      <c r="H35" s="6"/>
      <c r="I35" s="6">
        <v>0</v>
      </c>
      <c r="J35" s="6"/>
      <c r="K35" s="6"/>
      <c r="L35" s="6">
        <v>1907</v>
      </c>
      <c r="M35" s="6">
        <v>4330</v>
      </c>
      <c r="N35" s="6"/>
      <c r="O35" s="6">
        <v>0</v>
      </c>
      <c r="P35" s="6">
        <v>660</v>
      </c>
      <c r="Q35" s="6">
        <v>2971</v>
      </c>
      <c r="R35" s="6">
        <v>0</v>
      </c>
      <c r="S35" s="6">
        <v>1972</v>
      </c>
      <c r="T35" s="6">
        <v>9276</v>
      </c>
    </row>
    <row r="36" spans="1:20" x14ac:dyDescent="0.25">
      <c r="A36" s="4">
        <v>26</v>
      </c>
      <c r="B36" s="7" t="s">
        <v>60</v>
      </c>
      <c r="C36" s="6">
        <f t="shared" si="0"/>
        <v>67946</v>
      </c>
      <c r="D36" s="6">
        <v>3397</v>
      </c>
      <c r="E36" s="6">
        <v>4118</v>
      </c>
      <c r="F36" s="6">
        <v>37568</v>
      </c>
      <c r="G36" s="6">
        <v>0</v>
      </c>
      <c r="H36" s="6"/>
      <c r="I36" s="6">
        <v>0</v>
      </c>
      <c r="J36" s="6"/>
      <c r="K36" s="6"/>
      <c r="L36" s="6">
        <v>12082</v>
      </c>
      <c r="M36" s="6">
        <v>230</v>
      </c>
      <c r="N36" s="6">
        <v>2179</v>
      </c>
      <c r="O36" s="6">
        <v>0</v>
      </c>
      <c r="P36" s="6">
        <v>0</v>
      </c>
      <c r="Q36" s="6">
        <v>2500</v>
      </c>
      <c r="R36" s="6">
        <v>0</v>
      </c>
      <c r="S36" s="6">
        <v>1000</v>
      </c>
      <c r="T36" s="6">
        <v>4872</v>
      </c>
    </row>
    <row r="37" spans="1:20" ht="22.5" x14ac:dyDescent="0.25">
      <c r="A37" s="4">
        <v>27</v>
      </c>
      <c r="B37" s="7" t="s">
        <v>59</v>
      </c>
      <c r="C37" s="6">
        <f t="shared" si="0"/>
        <v>107473</v>
      </c>
      <c r="D37" s="6">
        <v>3636</v>
      </c>
      <c r="E37" s="6">
        <v>13616</v>
      </c>
      <c r="F37" s="6">
        <v>26459</v>
      </c>
      <c r="G37" s="6">
        <v>0</v>
      </c>
      <c r="H37" s="6">
        <v>35985</v>
      </c>
      <c r="I37" s="6">
        <v>0</v>
      </c>
      <c r="J37" s="6">
        <v>1025</v>
      </c>
      <c r="K37" s="6">
        <v>439</v>
      </c>
      <c r="L37" s="6">
        <v>2807</v>
      </c>
      <c r="M37" s="6">
        <v>5509</v>
      </c>
      <c r="N37" s="6"/>
      <c r="O37" s="6">
        <v>0</v>
      </c>
      <c r="P37" s="6">
        <v>0</v>
      </c>
      <c r="Q37" s="6">
        <v>1833</v>
      </c>
      <c r="R37" s="6">
        <v>0</v>
      </c>
      <c r="S37" s="6">
        <v>12497</v>
      </c>
      <c r="T37" s="6">
        <v>3667</v>
      </c>
    </row>
    <row r="38" spans="1:20" ht="22.5" x14ac:dyDescent="0.25">
      <c r="A38" s="4">
        <v>28</v>
      </c>
      <c r="B38" s="7" t="s">
        <v>103</v>
      </c>
      <c r="C38" s="6">
        <f t="shared" si="0"/>
        <v>109323</v>
      </c>
      <c r="D38" s="6">
        <v>3352</v>
      </c>
      <c r="E38" s="6">
        <v>6539</v>
      </c>
      <c r="F38" s="6">
        <v>34612</v>
      </c>
      <c r="G38" s="6">
        <v>0</v>
      </c>
      <c r="H38" s="6"/>
      <c r="I38" s="6">
        <v>0</v>
      </c>
      <c r="J38" s="6">
        <v>1025</v>
      </c>
      <c r="K38" s="6">
        <v>439</v>
      </c>
      <c r="L38" s="6">
        <v>7276</v>
      </c>
      <c r="M38" s="6">
        <v>24491</v>
      </c>
      <c r="N38" s="6"/>
      <c r="O38" s="6">
        <v>0</v>
      </c>
      <c r="P38" s="6">
        <v>1326</v>
      </c>
      <c r="Q38" s="6">
        <v>11139</v>
      </c>
      <c r="R38" s="6">
        <v>0</v>
      </c>
      <c r="S38" s="6">
        <v>3859</v>
      </c>
      <c r="T38" s="6">
        <v>15265</v>
      </c>
    </row>
    <row r="39" spans="1:20" ht="22.5" x14ac:dyDescent="0.25">
      <c r="A39" s="573">
        <v>29</v>
      </c>
      <c r="B39" s="7" t="s">
        <v>104</v>
      </c>
      <c r="C39" s="6">
        <f t="shared" si="0"/>
        <v>64599</v>
      </c>
      <c r="D39" s="6">
        <v>1390</v>
      </c>
      <c r="E39" s="6">
        <v>5461</v>
      </c>
      <c r="F39" s="6">
        <v>17258</v>
      </c>
      <c r="G39" s="6">
        <v>0</v>
      </c>
      <c r="H39" s="6"/>
      <c r="I39" s="6">
        <v>0</v>
      </c>
      <c r="J39" s="6"/>
      <c r="K39" s="6"/>
      <c r="L39" s="6">
        <v>3953</v>
      </c>
      <c r="M39" s="6">
        <v>9867</v>
      </c>
      <c r="N39" s="6">
        <v>2428</v>
      </c>
      <c r="O39" s="6">
        <v>0</v>
      </c>
      <c r="P39" s="6">
        <v>0</v>
      </c>
      <c r="Q39" s="6">
        <v>8200</v>
      </c>
      <c r="R39" s="6">
        <v>0</v>
      </c>
      <c r="S39" s="6">
        <v>2586</v>
      </c>
      <c r="T39" s="6">
        <v>13456</v>
      </c>
    </row>
    <row r="40" spans="1:20" ht="45" x14ac:dyDescent="0.25">
      <c r="A40" s="574"/>
      <c r="B40" s="9" t="s">
        <v>712</v>
      </c>
      <c r="C40" s="6">
        <f t="shared" si="0"/>
        <v>98365</v>
      </c>
      <c r="D40" s="6">
        <v>2070</v>
      </c>
      <c r="E40" s="6">
        <v>3850</v>
      </c>
      <c r="F40" s="6">
        <v>29696</v>
      </c>
      <c r="G40" s="6">
        <v>0</v>
      </c>
      <c r="H40" s="6"/>
      <c r="I40" s="6">
        <v>0</v>
      </c>
      <c r="J40" s="6">
        <v>1025</v>
      </c>
      <c r="K40" s="6">
        <v>439</v>
      </c>
      <c r="L40" s="6">
        <v>6129</v>
      </c>
      <c r="M40" s="6">
        <v>17698</v>
      </c>
      <c r="N40" s="6"/>
      <c r="O40" s="6">
        <v>0</v>
      </c>
      <c r="P40" s="6">
        <v>500</v>
      </c>
      <c r="Q40" s="6">
        <v>8200</v>
      </c>
      <c r="R40" s="6">
        <v>0</v>
      </c>
      <c r="S40" s="6">
        <v>1266</v>
      </c>
      <c r="T40" s="6">
        <v>27492</v>
      </c>
    </row>
    <row r="41" spans="1:20" ht="22.5" x14ac:dyDescent="0.25">
      <c r="A41" s="4">
        <v>30</v>
      </c>
      <c r="B41" s="7" t="s">
        <v>147</v>
      </c>
      <c r="C41" s="6">
        <f t="shared" si="0"/>
        <v>1921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v>1921</v>
      </c>
      <c r="O41" s="6"/>
      <c r="P41" s="6"/>
      <c r="Q41" s="6"/>
      <c r="R41" s="6"/>
      <c r="S41" s="6"/>
      <c r="T41" s="6"/>
    </row>
    <row r="42" spans="1:20" x14ac:dyDescent="0.25">
      <c r="A42" s="4">
        <v>31</v>
      </c>
      <c r="B42" s="7" t="s">
        <v>106</v>
      </c>
      <c r="C42" s="6">
        <f t="shared" si="0"/>
        <v>249442</v>
      </c>
      <c r="D42" s="6"/>
      <c r="E42" s="6">
        <v>640</v>
      </c>
      <c r="F42" s="6">
        <v>27460</v>
      </c>
      <c r="G42" s="6">
        <v>0</v>
      </c>
      <c r="H42" s="6">
        <v>10571</v>
      </c>
      <c r="I42" s="6">
        <v>0</v>
      </c>
      <c r="J42" s="6"/>
      <c r="K42" s="6"/>
      <c r="L42" s="6">
        <v>1759</v>
      </c>
      <c r="M42" s="6">
        <v>75118</v>
      </c>
      <c r="N42" s="6">
        <v>2430</v>
      </c>
      <c r="O42" s="6">
        <v>0</v>
      </c>
      <c r="P42" s="6">
        <v>0</v>
      </c>
      <c r="Q42" s="6">
        <v>4500</v>
      </c>
      <c r="R42" s="6">
        <v>0</v>
      </c>
      <c r="S42" s="6">
        <v>2601</v>
      </c>
      <c r="T42" s="6">
        <v>124363</v>
      </c>
    </row>
    <row r="43" spans="1:20" ht="22.5" x14ac:dyDescent="0.25">
      <c r="A43" s="4">
        <v>32</v>
      </c>
      <c r="B43" s="7" t="s">
        <v>107</v>
      </c>
      <c r="C43" s="6">
        <f t="shared" si="0"/>
        <v>12000</v>
      </c>
      <c r="D43" s="6"/>
      <c r="E43" s="6">
        <v>0</v>
      </c>
      <c r="F43" s="6">
        <v>0</v>
      </c>
      <c r="G43" s="6">
        <v>0</v>
      </c>
      <c r="H43" s="6"/>
      <c r="I43" s="6">
        <v>9200</v>
      </c>
      <c r="J43" s="6"/>
      <c r="K43" s="6"/>
      <c r="L43" s="6">
        <v>0</v>
      </c>
      <c r="M43" s="6">
        <v>0</v>
      </c>
      <c r="N43" s="6"/>
      <c r="O43" s="6">
        <v>2800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</row>
    <row r="44" spans="1:20" x14ac:dyDescent="0.25">
      <c r="A44" s="4">
        <v>33</v>
      </c>
      <c r="B44" s="7" t="s">
        <v>108</v>
      </c>
      <c r="C44" s="6">
        <f t="shared" si="0"/>
        <v>10266</v>
      </c>
      <c r="D44" s="6">
        <v>0</v>
      </c>
      <c r="E44" s="6">
        <v>0</v>
      </c>
      <c r="F44" s="6">
        <v>0</v>
      </c>
      <c r="G44" s="6">
        <v>790</v>
      </c>
      <c r="H44" s="6"/>
      <c r="I44" s="6">
        <v>7516</v>
      </c>
      <c r="J44" s="6"/>
      <c r="K44" s="6"/>
      <c r="L44" s="6">
        <v>0</v>
      </c>
      <c r="M44" s="6">
        <v>0</v>
      </c>
      <c r="N44" s="6"/>
      <c r="O44" s="6">
        <v>0</v>
      </c>
      <c r="P44" s="6">
        <v>0</v>
      </c>
      <c r="Q44" s="6">
        <v>0</v>
      </c>
      <c r="R44" s="6">
        <v>1960</v>
      </c>
      <c r="S44" s="6">
        <v>0</v>
      </c>
      <c r="T44" s="6">
        <v>0</v>
      </c>
    </row>
    <row r="45" spans="1:20" x14ac:dyDescent="0.25">
      <c r="A45" s="573">
        <v>34</v>
      </c>
      <c r="B45" s="7" t="s">
        <v>57</v>
      </c>
      <c r="C45" s="6">
        <f t="shared" si="0"/>
        <v>126999</v>
      </c>
      <c r="D45" s="6">
        <v>5391</v>
      </c>
      <c r="E45" s="6">
        <v>70</v>
      </c>
      <c r="F45" s="6">
        <v>29053</v>
      </c>
      <c r="G45" s="6">
        <v>0</v>
      </c>
      <c r="H45" s="6">
        <v>23075</v>
      </c>
      <c r="I45" s="6">
        <v>0</v>
      </c>
      <c r="J45" s="6">
        <v>1025</v>
      </c>
      <c r="K45" s="6">
        <v>439</v>
      </c>
      <c r="L45" s="6">
        <v>14656</v>
      </c>
      <c r="M45" s="6">
        <v>39500</v>
      </c>
      <c r="N45" s="6"/>
      <c r="O45" s="6">
        <v>0</v>
      </c>
      <c r="P45" s="6">
        <v>5000</v>
      </c>
      <c r="Q45" s="6">
        <v>8050</v>
      </c>
      <c r="R45" s="6">
        <v>0</v>
      </c>
      <c r="S45" s="6">
        <v>540</v>
      </c>
      <c r="T45" s="6">
        <v>200</v>
      </c>
    </row>
    <row r="46" spans="1:20" ht="45" x14ac:dyDescent="0.25">
      <c r="A46" s="588"/>
      <c r="B46" s="9" t="s">
        <v>109</v>
      </c>
      <c r="C46" s="6">
        <f t="shared" si="0"/>
        <v>116491</v>
      </c>
      <c r="D46" s="6"/>
      <c r="E46" s="6">
        <v>0</v>
      </c>
      <c r="F46" s="6">
        <v>15130</v>
      </c>
      <c r="G46" s="6">
        <v>0</v>
      </c>
      <c r="H46" s="6"/>
      <c r="I46" s="6">
        <v>0</v>
      </c>
      <c r="J46" s="6"/>
      <c r="K46" s="6"/>
      <c r="L46" s="6">
        <v>2000</v>
      </c>
      <c r="M46" s="6">
        <v>36076</v>
      </c>
      <c r="N46" s="6"/>
      <c r="O46" s="6">
        <v>0</v>
      </c>
      <c r="P46" s="6">
        <v>0</v>
      </c>
      <c r="Q46" s="6">
        <v>10500</v>
      </c>
      <c r="R46" s="6">
        <v>0</v>
      </c>
      <c r="S46" s="6">
        <v>6100</v>
      </c>
      <c r="T46" s="6">
        <v>46685</v>
      </c>
    </row>
    <row r="47" spans="1:20" ht="33.75" x14ac:dyDescent="0.25">
      <c r="A47" s="574"/>
      <c r="B47" s="9" t="s">
        <v>148</v>
      </c>
      <c r="C47" s="6">
        <f t="shared" si="0"/>
        <v>22000</v>
      </c>
      <c r="D47" s="6"/>
      <c r="E47" s="6">
        <v>0</v>
      </c>
      <c r="F47" s="6">
        <v>0</v>
      </c>
      <c r="G47" s="6">
        <v>6000</v>
      </c>
      <c r="H47" s="6"/>
      <c r="I47" s="6">
        <v>7890</v>
      </c>
      <c r="J47" s="6"/>
      <c r="K47" s="6"/>
      <c r="L47" s="6">
        <v>0</v>
      </c>
      <c r="M47" s="6">
        <v>0</v>
      </c>
      <c r="N47" s="6"/>
      <c r="O47" s="6">
        <v>500</v>
      </c>
      <c r="P47" s="6">
        <v>0</v>
      </c>
      <c r="Q47" s="6">
        <v>0</v>
      </c>
      <c r="R47" s="6">
        <v>7610</v>
      </c>
      <c r="S47" s="6">
        <v>0</v>
      </c>
      <c r="T47" s="6">
        <v>0</v>
      </c>
    </row>
    <row r="48" spans="1:20" ht="22.5" x14ac:dyDescent="0.25">
      <c r="A48" s="4">
        <v>35</v>
      </c>
      <c r="B48" s="7" t="s">
        <v>58</v>
      </c>
      <c r="C48" s="6">
        <f t="shared" si="0"/>
        <v>16800</v>
      </c>
      <c r="D48" s="6"/>
      <c r="E48" s="6">
        <v>0</v>
      </c>
      <c r="F48" s="6">
        <v>0</v>
      </c>
      <c r="G48" s="6">
        <v>0</v>
      </c>
      <c r="H48" s="6"/>
      <c r="I48" s="6">
        <v>10800</v>
      </c>
      <c r="J48" s="6"/>
      <c r="K48" s="6"/>
      <c r="L48" s="6">
        <v>0</v>
      </c>
      <c r="M48" s="6">
        <v>0</v>
      </c>
      <c r="N48" s="6"/>
      <c r="O48" s="6">
        <v>6000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x14ac:dyDescent="0.25">
      <c r="A49" s="4">
        <v>36</v>
      </c>
      <c r="B49" s="7" t="s">
        <v>110</v>
      </c>
      <c r="C49" s="6">
        <f t="shared" si="0"/>
        <v>11900</v>
      </c>
      <c r="D49" s="6">
        <v>0</v>
      </c>
      <c r="E49" s="6">
        <v>0</v>
      </c>
      <c r="F49" s="6">
        <v>0</v>
      </c>
      <c r="G49" s="6">
        <v>440</v>
      </c>
      <c r="H49" s="6"/>
      <c r="I49" s="6">
        <v>2000</v>
      </c>
      <c r="J49" s="6"/>
      <c r="K49" s="6"/>
      <c r="L49" s="6">
        <v>0</v>
      </c>
      <c r="M49" s="6">
        <v>0</v>
      </c>
      <c r="N49" s="6"/>
      <c r="O49" s="6">
        <v>0</v>
      </c>
      <c r="P49" s="6">
        <v>0</v>
      </c>
      <c r="Q49" s="6">
        <v>0</v>
      </c>
      <c r="R49" s="6">
        <v>9460</v>
      </c>
      <c r="S49" s="6">
        <v>0</v>
      </c>
      <c r="T49" s="6">
        <v>0</v>
      </c>
    </row>
    <row r="50" spans="1:20" x14ac:dyDescent="0.25">
      <c r="A50" s="573">
        <v>37</v>
      </c>
      <c r="B50" s="7" t="s">
        <v>37</v>
      </c>
      <c r="C50" s="6">
        <f t="shared" si="0"/>
        <v>139980</v>
      </c>
      <c r="D50" s="6">
        <v>2797</v>
      </c>
      <c r="E50" s="6">
        <v>6592</v>
      </c>
      <c r="F50" s="6">
        <v>37890</v>
      </c>
      <c r="G50" s="6">
        <v>0</v>
      </c>
      <c r="H50" s="6">
        <v>13682</v>
      </c>
      <c r="I50" s="6">
        <v>0</v>
      </c>
      <c r="J50" s="6">
        <v>1025</v>
      </c>
      <c r="K50" s="6">
        <v>439</v>
      </c>
      <c r="L50" s="6">
        <v>12032</v>
      </c>
      <c r="M50" s="6">
        <v>45108</v>
      </c>
      <c r="N50" s="6"/>
      <c r="O50" s="6">
        <v>0</v>
      </c>
      <c r="P50" s="6">
        <v>4311</v>
      </c>
      <c r="Q50" s="6">
        <v>2800</v>
      </c>
      <c r="R50" s="6">
        <v>0</v>
      </c>
      <c r="S50" s="6">
        <v>2065</v>
      </c>
      <c r="T50" s="6">
        <v>11239</v>
      </c>
    </row>
    <row r="51" spans="1:20" ht="33.75" x14ac:dyDescent="0.25">
      <c r="A51" s="574"/>
      <c r="B51" s="9" t="s">
        <v>111</v>
      </c>
      <c r="C51" s="6">
        <f t="shared" si="0"/>
        <v>49197</v>
      </c>
      <c r="D51" s="6">
        <v>1014</v>
      </c>
      <c r="E51" s="6">
        <v>809</v>
      </c>
      <c r="F51" s="6">
        <v>16559</v>
      </c>
      <c r="G51" s="6">
        <v>0</v>
      </c>
      <c r="H51" s="6"/>
      <c r="I51" s="6">
        <v>0</v>
      </c>
      <c r="J51" s="6"/>
      <c r="K51" s="6"/>
      <c r="L51" s="6">
        <v>3171</v>
      </c>
      <c r="M51" s="6">
        <v>22709</v>
      </c>
      <c r="N51" s="6"/>
      <c r="O51" s="6">
        <v>0</v>
      </c>
      <c r="P51" s="6">
        <v>0</v>
      </c>
      <c r="Q51" s="6">
        <v>0</v>
      </c>
      <c r="R51" s="6">
        <v>0</v>
      </c>
      <c r="S51" s="6">
        <v>2860</v>
      </c>
      <c r="T51" s="6">
        <v>2075</v>
      </c>
    </row>
    <row r="52" spans="1:20" x14ac:dyDescent="0.25">
      <c r="A52" s="4">
        <v>38</v>
      </c>
      <c r="B52" s="7" t="s">
        <v>29</v>
      </c>
      <c r="C52" s="6">
        <f t="shared" si="0"/>
        <v>180936</v>
      </c>
      <c r="D52" s="6">
        <v>3696</v>
      </c>
      <c r="E52" s="6">
        <v>10805</v>
      </c>
      <c r="F52" s="6">
        <v>44597</v>
      </c>
      <c r="G52" s="6">
        <v>0</v>
      </c>
      <c r="H52" s="6">
        <v>8227</v>
      </c>
      <c r="I52" s="6">
        <v>0</v>
      </c>
      <c r="J52" s="6"/>
      <c r="K52" s="6"/>
      <c r="L52" s="6">
        <v>9551</v>
      </c>
      <c r="M52" s="6">
        <v>45745</v>
      </c>
      <c r="N52" s="6"/>
      <c r="O52" s="6">
        <v>0</v>
      </c>
      <c r="P52" s="6">
        <v>17114</v>
      </c>
      <c r="Q52" s="6">
        <v>10486</v>
      </c>
      <c r="R52" s="6">
        <v>0</v>
      </c>
      <c r="S52" s="6">
        <v>2530</v>
      </c>
      <c r="T52" s="6">
        <v>28185</v>
      </c>
    </row>
    <row r="53" spans="1:20" x14ac:dyDescent="0.25">
      <c r="A53" s="4">
        <v>39</v>
      </c>
      <c r="B53" s="7" t="s">
        <v>38</v>
      </c>
      <c r="C53" s="6">
        <f t="shared" si="0"/>
        <v>167140</v>
      </c>
      <c r="D53" s="6">
        <v>3536</v>
      </c>
      <c r="E53" s="6">
        <v>4628</v>
      </c>
      <c r="F53" s="6">
        <v>48577</v>
      </c>
      <c r="G53" s="6">
        <v>0</v>
      </c>
      <c r="H53" s="6"/>
      <c r="I53" s="6">
        <v>0</v>
      </c>
      <c r="J53" s="6">
        <v>1025</v>
      </c>
      <c r="K53" s="6">
        <v>439</v>
      </c>
      <c r="L53" s="6">
        <v>12585</v>
      </c>
      <c r="M53" s="6">
        <v>61344</v>
      </c>
      <c r="N53" s="6"/>
      <c r="O53" s="6">
        <v>0</v>
      </c>
      <c r="P53" s="6">
        <v>7111</v>
      </c>
      <c r="Q53" s="6">
        <v>300</v>
      </c>
      <c r="R53" s="6">
        <v>0</v>
      </c>
      <c r="S53" s="6">
        <v>2776</v>
      </c>
      <c r="T53" s="6">
        <v>24819</v>
      </c>
    </row>
    <row r="54" spans="1:20" x14ac:dyDescent="0.25">
      <c r="A54" s="4">
        <v>40</v>
      </c>
      <c r="B54" s="7" t="s">
        <v>25</v>
      </c>
      <c r="C54" s="6">
        <f t="shared" si="0"/>
        <v>51671</v>
      </c>
      <c r="D54" s="6">
        <v>1088</v>
      </c>
      <c r="E54" s="6">
        <v>860</v>
      </c>
      <c r="F54" s="6">
        <v>11852</v>
      </c>
      <c r="G54" s="6">
        <v>0</v>
      </c>
      <c r="H54" s="6"/>
      <c r="I54" s="6">
        <v>0</v>
      </c>
      <c r="J54" s="6"/>
      <c r="K54" s="6"/>
      <c r="L54" s="6">
        <v>5490</v>
      </c>
      <c r="M54" s="6">
        <v>6872</v>
      </c>
      <c r="N54" s="6"/>
      <c r="O54" s="6">
        <v>0</v>
      </c>
      <c r="P54" s="6">
        <v>2016</v>
      </c>
      <c r="Q54" s="6">
        <v>6808</v>
      </c>
      <c r="R54" s="6">
        <v>0</v>
      </c>
      <c r="S54" s="6">
        <v>3134</v>
      </c>
      <c r="T54" s="6">
        <v>13551</v>
      </c>
    </row>
    <row r="55" spans="1:20" x14ac:dyDescent="0.25">
      <c r="A55" s="4">
        <v>41</v>
      </c>
      <c r="B55" s="7" t="s">
        <v>19</v>
      </c>
      <c r="C55" s="6">
        <f t="shared" si="0"/>
        <v>63877</v>
      </c>
      <c r="D55" s="6">
        <v>1367</v>
      </c>
      <c r="E55" s="6">
        <v>3018</v>
      </c>
      <c r="F55" s="6">
        <v>24139</v>
      </c>
      <c r="G55" s="6">
        <v>0</v>
      </c>
      <c r="H55" s="6"/>
      <c r="I55" s="6">
        <v>0</v>
      </c>
      <c r="J55" s="6"/>
      <c r="K55" s="6"/>
      <c r="L55" s="6">
        <v>4830</v>
      </c>
      <c r="M55" s="6">
        <v>18093</v>
      </c>
      <c r="N55" s="6"/>
      <c r="O55" s="6">
        <v>0</v>
      </c>
      <c r="P55" s="6">
        <v>850</v>
      </c>
      <c r="Q55" s="6">
        <v>5901</v>
      </c>
      <c r="R55" s="6">
        <v>0</v>
      </c>
      <c r="S55" s="6">
        <v>1502</v>
      </c>
      <c r="T55" s="6">
        <v>4177</v>
      </c>
    </row>
    <row r="56" spans="1:20" x14ac:dyDescent="0.25">
      <c r="A56" s="4">
        <v>42</v>
      </c>
      <c r="B56" s="7" t="s">
        <v>35</v>
      </c>
      <c r="C56" s="6">
        <f t="shared" si="0"/>
        <v>59889</v>
      </c>
      <c r="D56" s="6">
        <v>1275</v>
      </c>
      <c r="E56" s="6">
        <v>663</v>
      </c>
      <c r="F56" s="6">
        <v>20533</v>
      </c>
      <c r="G56" s="6">
        <v>0</v>
      </c>
      <c r="H56" s="6"/>
      <c r="I56" s="6">
        <v>0</v>
      </c>
      <c r="J56" s="6"/>
      <c r="K56" s="6"/>
      <c r="L56" s="6">
        <v>3942</v>
      </c>
      <c r="M56" s="6">
        <v>17244</v>
      </c>
      <c r="N56" s="6"/>
      <c r="O56" s="6">
        <v>0</v>
      </c>
      <c r="P56" s="6">
        <v>3150</v>
      </c>
      <c r="Q56" s="6">
        <v>4717</v>
      </c>
      <c r="R56" s="6">
        <v>0</v>
      </c>
      <c r="S56" s="6">
        <v>1253</v>
      </c>
      <c r="T56" s="6">
        <v>7112</v>
      </c>
    </row>
    <row r="57" spans="1:20" x14ac:dyDescent="0.25">
      <c r="A57" s="4">
        <v>43</v>
      </c>
      <c r="B57" s="7" t="s">
        <v>44</v>
      </c>
      <c r="C57" s="6">
        <f t="shared" si="0"/>
        <v>38826</v>
      </c>
      <c r="D57" s="6">
        <v>860</v>
      </c>
      <c r="E57" s="6">
        <v>734</v>
      </c>
      <c r="F57" s="6">
        <v>12725</v>
      </c>
      <c r="G57" s="6">
        <v>0</v>
      </c>
      <c r="H57" s="6"/>
      <c r="I57" s="6">
        <v>0</v>
      </c>
      <c r="J57" s="6"/>
      <c r="K57" s="6"/>
      <c r="L57" s="6">
        <v>737</v>
      </c>
      <c r="M57" s="6">
        <v>11558</v>
      </c>
      <c r="N57" s="6"/>
      <c r="O57" s="6">
        <v>0</v>
      </c>
      <c r="P57" s="6">
        <v>4085</v>
      </c>
      <c r="Q57" s="6">
        <v>0</v>
      </c>
      <c r="R57" s="6">
        <v>0</v>
      </c>
      <c r="S57" s="6">
        <v>444</v>
      </c>
      <c r="T57" s="6">
        <v>7683</v>
      </c>
    </row>
    <row r="58" spans="1:20" x14ac:dyDescent="0.25">
      <c r="A58" s="4">
        <v>44</v>
      </c>
      <c r="B58" s="7" t="s">
        <v>5</v>
      </c>
      <c r="C58" s="6">
        <f t="shared" si="0"/>
        <v>67166</v>
      </c>
      <c r="D58" s="6">
        <v>1503</v>
      </c>
      <c r="E58" s="6">
        <v>2709</v>
      </c>
      <c r="F58" s="6">
        <v>26786</v>
      </c>
      <c r="G58" s="6">
        <v>0</v>
      </c>
      <c r="H58" s="6"/>
      <c r="I58" s="6">
        <v>0</v>
      </c>
      <c r="J58" s="6"/>
      <c r="K58" s="6"/>
      <c r="L58" s="6">
        <v>3014</v>
      </c>
      <c r="M58" s="6">
        <v>19415</v>
      </c>
      <c r="N58" s="6"/>
      <c r="O58" s="6">
        <v>0</v>
      </c>
      <c r="P58" s="6">
        <v>469</v>
      </c>
      <c r="Q58" s="6">
        <v>6203</v>
      </c>
      <c r="R58" s="6">
        <v>0</v>
      </c>
      <c r="S58" s="6">
        <v>1008</v>
      </c>
      <c r="T58" s="6">
        <v>6059</v>
      </c>
    </row>
    <row r="59" spans="1:20" x14ac:dyDescent="0.25">
      <c r="A59" s="4">
        <v>45</v>
      </c>
      <c r="B59" s="7" t="s">
        <v>48</v>
      </c>
      <c r="C59" s="6">
        <f t="shared" si="0"/>
        <v>31867</v>
      </c>
      <c r="D59" s="6">
        <v>718</v>
      </c>
      <c r="E59" s="6">
        <v>699</v>
      </c>
      <c r="F59" s="6">
        <v>11851</v>
      </c>
      <c r="G59" s="6">
        <v>0</v>
      </c>
      <c r="H59" s="6"/>
      <c r="I59" s="6">
        <v>0</v>
      </c>
      <c r="J59" s="6"/>
      <c r="K59" s="6"/>
      <c r="L59" s="6">
        <v>2189</v>
      </c>
      <c r="M59" s="6">
        <v>6570</v>
      </c>
      <c r="N59" s="6"/>
      <c r="O59" s="6">
        <v>0</v>
      </c>
      <c r="P59" s="6">
        <v>949</v>
      </c>
      <c r="Q59" s="6">
        <v>4085</v>
      </c>
      <c r="R59" s="6">
        <v>0</v>
      </c>
      <c r="S59" s="6">
        <v>2163</v>
      </c>
      <c r="T59" s="6">
        <v>2643</v>
      </c>
    </row>
    <row r="60" spans="1:20" x14ac:dyDescent="0.25">
      <c r="A60" s="4">
        <v>46</v>
      </c>
      <c r="B60" s="10" t="s">
        <v>149</v>
      </c>
      <c r="C60" s="6">
        <f t="shared" si="0"/>
        <v>9084</v>
      </c>
      <c r="D60" s="6">
        <v>474</v>
      </c>
      <c r="E60" s="6">
        <v>185</v>
      </c>
      <c r="F60" s="6">
        <v>4915</v>
      </c>
      <c r="G60" s="6">
        <v>0</v>
      </c>
      <c r="H60" s="6"/>
      <c r="I60" s="6">
        <v>0</v>
      </c>
      <c r="J60" s="6"/>
      <c r="K60" s="6"/>
      <c r="L60" s="6">
        <v>514</v>
      </c>
      <c r="M60" s="6">
        <v>2248</v>
      </c>
      <c r="N60" s="6"/>
      <c r="O60" s="6">
        <v>0</v>
      </c>
      <c r="P60" s="6">
        <v>120</v>
      </c>
      <c r="Q60" s="6">
        <v>0</v>
      </c>
      <c r="R60" s="6">
        <v>0</v>
      </c>
      <c r="S60" s="6">
        <v>181</v>
      </c>
      <c r="T60" s="6">
        <v>447</v>
      </c>
    </row>
    <row r="61" spans="1:20" x14ac:dyDescent="0.25">
      <c r="A61" s="4">
        <v>47</v>
      </c>
      <c r="B61" s="7" t="s">
        <v>112</v>
      </c>
      <c r="C61" s="6">
        <f t="shared" si="0"/>
        <v>18092</v>
      </c>
      <c r="D61" s="6">
        <v>909</v>
      </c>
      <c r="E61" s="6">
        <v>600</v>
      </c>
      <c r="F61" s="6">
        <v>9530</v>
      </c>
      <c r="G61" s="6">
        <v>0</v>
      </c>
      <c r="H61" s="6"/>
      <c r="I61" s="6">
        <v>0</v>
      </c>
      <c r="J61" s="6"/>
      <c r="K61" s="6"/>
      <c r="L61" s="6">
        <v>2070</v>
      </c>
      <c r="M61" s="6">
        <v>2641</v>
      </c>
      <c r="N61" s="6"/>
      <c r="O61" s="6">
        <v>0</v>
      </c>
      <c r="P61" s="6">
        <v>0</v>
      </c>
      <c r="Q61" s="6">
        <v>0</v>
      </c>
      <c r="R61" s="6">
        <v>0</v>
      </c>
      <c r="S61" s="6">
        <v>1930</v>
      </c>
      <c r="T61" s="6">
        <v>412</v>
      </c>
    </row>
    <row r="62" spans="1:20" x14ac:dyDescent="0.25">
      <c r="A62" s="4">
        <v>48</v>
      </c>
      <c r="B62" s="5" t="s">
        <v>46</v>
      </c>
      <c r="C62" s="6">
        <f t="shared" si="0"/>
        <v>273231</v>
      </c>
      <c r="D62" s="6">
        <v>5664</v>
      </c>
      <c r="E62" s="6">
        <v>3147</v>
      </c>
      <c r="F62" s="6">
        <v>69593</v>
      </c>
      <c r="G62" s="6">
        <v>0</v>
      </c>
      <c r="H62" s="6">
        <v>5166</v>
      </c>
      <c r="I62" s="6">
        <v>0</v>
      </c>
      <c r="J62" s="6">
        <v>1025</v>
      </c>
      <c r="K62" s="6">
        <v>439</v>
      </c>
      <c r="L62" s="6">
        <v>29957</v>
      </c>
      <c r="M62" s="6">
        <v>72034</v>
      </c>
      <c r="N62" s="6">
        <v>239</v>
      </c>
      <c r="O62" s="6">
        <v>0</v>
      </c>
      <c r="P62" s="6">
        <v>0</v>
      </c>
      <c r="Q62" s="6">
        <v>7716</v>
      </c>
      <c r="R62" s="6">
        <v>0</v>
      </c>
      <c r="S62" s="6">
        <v>17296</v>
      </c>
      <c r="T62" s="6">
        <v>60955</v>
      </c>
    </row>
    <row r="63" spans="1:20" x14ac:dyDescent="0.25">
      <c r="A63" s="4">
        <v>49</v>
      </c>
      <c r="B63" s="7" t="s">
        <v>9</v>
      </c>
      <c r="C63" s="6">
        <f t="shared" si="0"/>
        <v>188880</v>
      </c>
      <c r="D63" s="6">
        <v>4098</v>
      </c>
      <c r="E63" s="6">
        <v>8817</v>
      </c>
      <c r="F63" s="6">
        <v>46471</v>
      </c>
      <c r="G63" s="6">
        <v>0</v>
      </c>
      <c r="H63" s="6"/>
      <c r="I63" s="6">
        <v>0</v>
      </c>
      <c r="J63" s="6">
        <v>1025</v>
      </c>
      <c r="K63" s="6">
        <v>439</v>
      </c>
      <c r="L63" s="6">
        <v>10207</v>
      </c>
      <c r="M63" s="6">
        <v>47549</v>
      </c>
      <c r="N63" s="6"/>
      <c r="O63" s="6">
        <v>0</v>
      </c>
      <c r="P63" s="6">
        <v>7950</v>
      </c>
      <c r="Q63" s="6">
        <v>25486</v>
      </c>
      <c r="R63" s="6">
        <v>0</v>
      </c>
      <c r="S63" s="6">
        <v>2526</v>
      </c>
      <c r="T63" s="6">
        <v>34312</v>
      </c>
    </row>
    <row r="64" spans="1:20" x14ac:dyDescent="0.25">
      <c r="A64" s="4">
        <v>50</v>
      </c>
      <c r="B64" s="5" t="s">
        <v>113</v>
      </c>
      <c r="C64" s="6">
        <f t="shared" si="0"/>
        <v>246575</v>
      </c>
      <c r="D64" s="6">
        <v>4671</v>
      </c>
      <c r="E64" s="6">
        <v>10740</v>
      </c>
      <c r="F64" s="6">
        <v>95249</v>
      </c>
      <c r="G64" s="6">
        <v>0</v>
      </c>
      <c r="H64" s="6">
        <v>37599</v>
      </c>
      <c r="I64" s="6">
        <v>0</v>
      </c>
      <c r="J64" s="6">
        <v>1025</v>
      </c>
      <c r="K64" s="6">
        <v>439</v>
      </c>
      <c r="L64" s="6">
        <v>5602</v>
      </c>
      <c r="M64" s="6">
        <v>59555</v>
      </c>
      <c r="N64" s="6">
        <v>1135</v>
      </c>
      <c r="O64" s="6">
        <v>0</v>
      </c>
      <c r="P64" s="6">
        <v>590</v>
      </c>
      <c r="Q64" s="6">
        <v>110</v>
      </c>
      <c r="R64" s="6">
        <v>0</v>
      </c>
      <c r="S64" s="6">
        <v>15368</v>
      </c>
      <c r="T64" s="6">
        <v>14492</v>
      </c>
    </row>
    <row r="65" spans="1:20" ht="22.5" x14ac:dyDescent="0.25">
      <c r="A65" s="4">
        <v>51</v>
      </c>
      <c r="B65" s="5" t="s">
        <v>114</v>
      </c>
      <c r="C65" s="6">
        <f t="shared" si="0"/>
        <v>11200</v>
      </c>
      <c r="D65" s="6">
        <v>0</v>
      </c>
      <c r="E65" s="6">
        <v>0</v>
      </c>
      <c r="F65" s="6">
        <v>0</v>
      </c>
      <c r="G65" s="6">
        <v>0</v>
      </c>
      <c r="H65" s="6"/>
      <c r="I65" s="6">
        <v>1200</v>
      </c>
      <c r="J65" s="6"/>
      <c r="K65" s="6"/>
      <c r="L65" s="6">
        <v>0</v>
      </c>
      <c r="M65" s="6">
        <v>0</v>
      </c>
      <c r="N65" s="6"/>
      <c r="O65" s="6">
        <v>10000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</row>
    <row r="66" spans="1:20" x14ac:dyDescent="0.25">
      <c r="A66" s="4">
        <v>52</v>
      </c>
      <c r="B66" s="7" t="s">
        <v>20</v>
      </c>
      <c r="C66" s="6">
        <f t="shared" si="0"/>
        <v>76759</v>
      </c>
      <c r="D66" s="6">
        <v>1649</v>
      </c>
      <c r="E66" s="6">
        <v>2924</v>
      </c>
      <c r="F66" s="6">
        <v>10724</v>
      </c>
      <c r="G66" s="6">
        <v>0</v>
      </c>
      <c r="H66" s="6"/>
      <c r="I66" s="6">
        <v>0</v>
      </c>
      <c r="J66" s="6">
        <v>1025</v>
      </c>
      <c r="K66" s="6">
        <v>439</v>
      </c>
      <c r="L66" s="6">
        <v>7291</v>
      </c>
      <c r="M66" s="6">
        <v>28875</v>
      </c>
      <c r="N66" s="6"/>
      <c r="O66" s="6">
        <v>0</v>
      </c>
      <c r="P66" s="6">
        <v>800</v>
      </c>
      <c r="Q66" s="6">
        <v>6052</v>
      </c>
      <c r="R66" s="6">
        <v>0</v>
      </c>
      <c r="S66" s="6">
        <v>1485</v>
      </c>
      <c r="T66" s="6">
        <v>15495</v>
      </c>
    </row>
    <row r="67" spans="1:20" x14ac:dyDescent="0.25">
      <c r="A67" s="4">
        <v>53</v>
      </c>
      <c r="B67" s="5" t="s">
        <v>7</v>
      </c>
      <c r="C67" s="6">
        <f t="shared" si="0"/>
        <v>55307</v>
      </c>
      <c r="D67" s="6">
        <v>1208</v>
      </c>
      <c r="E67" s="6">
        <v>2143</v>
      </c>
      <c r="F67" s="6">
        <v>17853</v>
      </c>
      <c r="G67" s="6">
        <v>0</v>
      </c>
      <c r="H67" s="6"/>
      <c r="I67" s="6">
        <v>0</v>
      </c>
      <c r="J67" s="6"/>
      <c r="K67" s="6"/>
      <c r="L67" s="6">
        <v>2856</v>
      </c>
      <c r="M67" s="6">
        <v>18613</v>
      </c>
      <c r="N67" s="6"/>
      <c r="O67" s="6">
        <v>0</v>
      </c>
      <c r="P67" s="6">
        <v>0</v>
      </c>
      <c r="Q67" s="6">
        <v>4506</v>
      </c>
      <c r="R67" s="6">
        <v>0</v>
      </c>
      <c r="S67" s="6">
        <v>2901</v>
      </c>
      <c r="T67" s="6">
        <v>5227</v>
      </c>
    </row>
    <row r="68" spans="1:20" x14ac:dyDescent="0.25">
      <c r="A68" s="4">
        <v>54</v>
      </c>
      <c r="B68" s="7" t="s">
        <v>12</v>
      </c>
      <c r="C68" s="6">
        <f t="shared" si="0"/>
        <v>42390</v>
      </c>
      <c r="D68" s="6">
        <v>934</v>
      </c>
      <c r="E68" s="6">
        <v>4085</v>
      </c>
      <c r="F68" s="6">
        <v>17561</v>
      </c>
      <c r="G68" s="6">
        <v>0</v>
      </c>
      <c r="H68" s="6"/>
      <c r="I68" s="6">
        <v>0</v>
      </c>
      <c r="J68" s="6"/>
      <c r="K68" s="6"/>
      <c r="L68" s="6">
        <v>2727</v>
      </c>
      <c r="M68" s="6">
        <v>8095</v>
      </c>
      <c r="N68" s="6"/>
      <c r="O68" s="6">
        <v>0</v>
      </c>
      <c r="P68" s="6">
        <v>0</v>
      </c>
      <c r="Q68" s="6">
        <v>4241</v>
      </c>
      <c r="R68" s="6">
        <v>0</v>
      </c>
      <c r="S68" s="6">
        <v>1188</v>
      </c>
      <c r="T68" s="6">
        <v>3559</v>
      </c>
    </row>
    <row r="69" spans="1:20" x14ac:dyDescent="0.25">
      <c r="A69" s="4">
        <v>55</v>
      </c>
      <c r="B69" s="5" t="s">
        <v>28</v>
      </c>
      <c r="C69" s="6">
        <f t="shared" si="0"/>
        <v>64347</v>
      </c>
      <c r="D69" s="6">
        <v>1420</v>
      </c>
      <c r="E69" s="6">
        <v>1255</v>
      </c>
      <c r="F69" s="6">
        <v>30391</v>
      </c>
      <c r="G69" s="6">
        <v>0</v>
      </c>
      <c r="H69" s="6"/>
      <c r="I69" s="6">
        <v>0</v>
      </c>
      <c r="J69" s="6"/>
      <c r="K69" s="6"/>
      <c r="L69" s="6">
        <v>7671</v>
      </c>
      <c r="M69" s="6">
        <v>7342</v>
      </c>
      <c r="N69" s="6"/>
      <c r="O69" s="6">
        <v>0</v>
      </c>
      <c r="P69" s="6">
        <v>2388</v>
      </c>
      <c r="Q69" s="6">
        <v>3387</v>
      </c>
      <c r="R69" s="6">
        <v>0</v>
      </c>
      <c r="S69" s="6">
        <v>3784</v>
      </c>
      <c r="T69" s="6">
        <v>6709</v>
      </c>
    </row>
    <row r="70" spans="1:20" x14ac:dyDescent="0.25">
      <c r="A70" s="4">
        <v>56</v>
      </c>
      <c r="B70" s="5" t="s">
        <v>117</v>
      </c>
      <c r="C70" s="6">
        <f t="shared" si="0"/>
        <v>50</v>
      </c>
      <c r="D70" s="6"/>
      <c r="E70" s="6">
        <v>0</v>
      </c>
      <c r="F70" s="6">
        <v>0</v>
      </c>
      <c r="G70" s="6">
        <v>0</v>
      </c>
      <c r="H70" s="6"/>
      <c r="I70" s="6">
        <v>50</v>
      </c>
      <c r="J70" s="6"/>
      <c r="K70" s="6"/>
      <c r="L70" s="6">
        <v>0</v>
      </c>
      <c r="M70" s="6">
        <v>0</v>
      </c>
      <c r="N70" s="6"/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 x14ac:dyDescent="0.25">
      <c r="A71" s="4">
        <v>57</v>
      </c>
      <c r="B71" s="7" t="s">
        <v>24</v>
      </c>
      <c r="C71" s="6">
        <f t="shared" si="0"/>
        <v>27174</v>
      </c>
      <c r="D71" s="6">
        <v>617</v>
      </c>
      <c r="E71" s="6">
        <v>1024</v>
      </c>
      <c r="F71" s="6">
        <v>12049</v>
      </c>
      <c r="G71" s="6">
        <v>0</v>
      </c>
      <c r="H71" s="6"/>
      <c r="I71" s="6">
        <v>0</v>
      </c>
      <c r="J71" s="6"/>
      <c r="K71" s="6"/>
      <c r="L71" s="6">
        <v>2368</v>
      </c>
      <c r="M71" s="6">
        <v>4396</v>
      </c>
      <c r="N71" s="6"/>
      <c r="O71" s="6">
        <v>0</v>
      </c>
      <c r="P71" s="6">
        <v>200</v>
      </c>
      <c r="Q71" s="6">
        <v>2808</v>
      </c>
      <c r="R71" s="6">
        <v>0</v>
      </c>
      <c r="S71" s="6">
        <v>408</v>
      </c>
      <c r="T71" s="6">
        <v>3304</v>
      </c>
    </row>
    <row r="72" spans="1:20" x14ac:dyDescent="0.25">
      <c r="A72" s="4">
        <v>58</v>
      </c>
      <c r="B72" s="7" t="s">
        <v>41</v>
      </c>
      <c r="C72" s="6">
        <f t="shared" si="0"/>
        <v>54069</v>
      </c>
      <c r="D72" s="6">
        <v>1170</v>
      </c>
      <c r="E72" s="6">
        <v>780</v>
      </c>
      <c r="F72" s="6">
        <v>17489</v>
      </c>
      <c r="G72" s="6">
        <v>0</v>
      </c>
      <c r="H72" s="6"/>
      <c r="I72" s="6">
        <v>0</v>
      </c>
      <c r="J72" s="6">
        <v>1025</v>
      </c>
      <c r="K72" s="6">
        <v>439</v>
      </c>
      <c r="L72" s="6">
        <v>1271</v>
      </c>
      <c r="M72" s="6">
        <v>12034</v>
      </c>
      <c r="N72" s="6"/>
      <c r="O72" s="6">
        <v>0</v>
      </c>
      <c r="P72" s="6">
        <v>6354</v>
      </c>
      <c r="Q72" s="6">
        <v>1700</v>
      </c>
      <c r="R72" s="6">
        <v>0</v>
      </c>
      <c r="S72" s="6">
        <v>595</v>
      </c>
      <c r="T72" s="6">
        <v>11212</v>
      </c>
    </row>
    <row r="73" spans="1:20" x14ac:dyDescent="0.25">
      <c r="A73" s="4">
        <v>59</v>
      </c>
      <c r="B73" s="7" t="s">
        <v>2</v>
      </c>
      <c r="C73" s="6">
        <f t="shared" si="0"/>
        <v>79067</v>
      </c>
      <c r="D73" s="6">
        <v>1724</v>
      </c>
      <c r="E73" s="6">
        <v>6520</v>
      </c>
      <c r="F73" s="6">
        <v>30053</v>
      </c>
      <c r="G73" s="6">
        <v>0</v>
      </c>
      <c r="H73" s="6"/>
      <c r="I73" s="6">
        <v>0</v>
      </c>
      <c r="J73" s="6"/>
      <c r="K73" s="6"/>
      <c r="L73" s="6">
        <v>4572</v>
      </c>
      <c r="M73" s="6">
        <v>24688</v>
      </c>
      <c r="N73" s="6"/>
      <c r="O73" s="6">
        <v>0</v>
      </c>
      <c r="P73" s="6">
        <v>600</v>
      </c>
      <c r="Q73" s="6">
        <v>5301</v>
      </c>
      <c r="R73" s="6">
        <v>0</v>
      </c>
      <c r="S73" s="6">
        <v>408</v>
      </c>
      <c r="T73" s="6">
        <v>5201</v>
      </c>
    </row>
    <row r="74" spans="1:20" x14ac:dyDescent="0.25">
      <c r="A74" s="4">
        <v>60</v>
      </c>
      <c r="B74" s="5" t="s">
        <v>52</v>
      </c>
      <c r="C74" s="6">
        <f t="shared" si="0"/>
        <v>43028</v>
      </c>
      <c r="D74" s="6">
        <v>946</v>
      </c>
      <c r="E74" s="6">
        <v>735</v>
      </c>
      <c r="F74" s="6">
        <v>10588</v>
      </c>
      <c r="G74" s="6">
        <v>0</v>
      </c>
      <c r="H74" s="6"/>
      <c r="I74" s="6">
        <v>0</v>
      </c>
      <c r="J74" s="6"/>
      <c r="K74" s="6"/>
      <c r="L74" s="6">
        <v>3646</v>
      </c>
      <c r="M74" s="6">
        <v>10228</v>
      </c>
      <c r="N74" s="6"/>
      <c r="O74" s="6">
        <v>0</v>
      </c>
      <c r="P74" s="6">
        <v>3278</v>
      </c>
      <c r="Q74" s="6">
        <v>2925</v>
      </c>
      <c r="R74" s="6">
        <v>0</v>
      </c>
      <c r="S74" s="6">
        <v>2431</v>
      </c>
      <c r="T74" s="6">
        <v>8251</v>
      </c>
    </row>
    <row r="75" spans="1:20" ht="22.5" x14ac:dyDescent="0.25">
      <c r="A75" s="4">
        <v>61</v>
      </c>
      <c r="B75" s="7" t="s">
        <v>115</v>
      </c>
      <c r="C75" s="6">
        <f t="shared" ref="C75:C139" si="1">D75+E75+F75+G75+H75+I75+J75+K75+L75+M75+N75+P75+Q75+R75+S75+T75+O75</f>
        <v>157</v>
      </c>
      <c r="D75" s="6"/>
      <c r="E75" s="6"/>
      <c r="F75" s="6"/>
      <c r="G75" s="6"/>
      <c r="H75" s="6"/>
      <c r="I75" s="6">
        <v>157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4">
        <v>62</v>
      </c>
      <c r="B76" s="7" t="s">
        <v>116</v>
      </c>
      <c r="C76" s="6">
        <f t="shared" si="1"/>
        <v>100</v>
      </c>
      <c r="D76" s="6"/>
      <c r="E76" s="6"/>
      <c r="F76" s="6"/>
      <c r="G76" s="6"/>
      <c r="H76" s="6"/>
      <c r="I76" s="6">
        <v>100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22.5" x14ac:dyDescent="0.25">
      <c r="A77" s="4">
        <v>63</v>
      </c>
      <c r="B77" s="7" t="s">
        <v>118</v>
      </c>
      <c r="C77" s="6">
        <f t="shared" si="1"/>
        <v>25</v>
      </c>
      <c r="D77" s="6"/>
      <c r="E77" s="6"/>
      <c r="F77" s="6"/>
      <c r="G77" s="6"/>
      <c r="H77" s="6"/>
      <c r="I77" s="6">
        <v>25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4">
        <v>64</v>
      </c>
      <c r="B78" s="11" t="s">
        <v>80</v>
      </c>
      <c r="C78" s="6">
        <f t="shared" si="1"/>
        <v>195871</v>
      </c>
      <c r="D78" s="6"/>
      <c r="E78" s="6">
        <v>4104</v>
      </c>
      <c r="F78" s="6">
        <v>21706</v>
      </c>
      <c r="G78" s="6">
        <v>0</v>
      </c>
      <c r="H78" s="6"/>
      <c r="I78" s="6">
        <v>0</v>
      </c>
      <c r="J78" s="6"/>
      <c r="K78" s="6"/>
      <c r="L78" s="6">
        <v>4712</v>
      </c>
      <c r="M78" s="6">
        <v>46993</v>
      </c>
      <c r="N78" s="6">
        <v>609</v>
      </c>
      <c r="O78" s="6">
        <v>0</v>
      </c>
      <c r="P78" s="6">
        <v>0</v>
      </c>
      <c r="Q78" s="6">
        <v>0</v>
      </c>
      <c r="R78" s="6">
        <v>0</v>
      </c>
      <c r="S78" s="6">
        <v>1284</v>
      </c>
      <c r="T78" s="6">
        <v>116463</v>
      </c>
    </row>
    <row r="79" spans="1:20" x14ac:dyDescent="0.25">
      <c r="A79" s="4">
        <v>65</v>
      </c>
      <c r="B79" s="11" t="s">
        <v>81</v>
      </c>
      <c r="C79" s="6">
        <f t="shared" si="1"/>
        <v>169216</v>
      </c>
      <c r="D79" s="6"/>
      <c r="E79" s="6">
        <v>2050</v>
      </c>
      <c r="F79" s="6">
        <v>20390</v>
      </c>
      <c r="G79" s="6">
        <v>0</v>
      </c>
      <c r="H79" s="6"/>
      <c r="I79" s="6">
        <v>0</v>
      </c>
      <c r="J79" s="6"/>
      <c r="K79" s="6"/>
      <c r="L79" s="6">
        <v>2470</v>
      </c>
      <c r="M79" s="6">
        <v>52970</v>
      </c>
      <c r="N79" s="6"/>
      <c r="O79" s="6">
        <v>0</v>
      </c>
      <c r="P79" s="6">
        <v>0</v>
      </c>
      <c r="Q79" s="6">
        <v>0</v>
      </c>
      <c r="R79" s="6">
        <v>0</v>
      </c>
      <c r="S79" s="6">
        <v>480</v>
      </c>
      <c r="T79" s="6">
        <v>90856</v>
      </c>
    </row>
    <row r="80" spans="1:20" x14ac:dyDescent="0.25">
      <c r="A80" s="4">
        <v>66</v>
      </c>
      <c r="B80" s="11" t="s">
        <v>82</v>
      </c>
      <c r="C80" s="6">
        <f t="shared" si="1"/>
        <v>233874</v>
      </c>
      <c r="D80" s="6"/>
      <c r="E80" s="6">
        <v>3590</v>
      </c>
      <c r="F80" s="6">
        <v>26410</v>
      </c>
      <c r="G80" s="6">
        <v>0</v>
      </c>
      <c r="H80" s="6"/>
      <c r="I80" s="6">
        <v>0</v>
      </c>
      <c r="J80" s="6"/>
      <c r="K80" s="6"/>
      <c r="L80" s="6">
        <v>4950</v>
      </c>
      <c r="M80" s="6">
        <v>62182</v>
      </c>
      <c r="N80" s="6"/>
      <c r="O80" s="6">
        <v>0</v>
      </c>
      <c r="P80" s="6">
        <v>0</v>
      </c>
      <c r="Q80" s="6">
        <v>0</v>
      </c>
      <c r="R80" s="6">
        <v>0</v>
      </c>
      <c r="S80" s="6">
        <v>1960</v>
      </c>
      <c r="T80" s="6">
        <v>134782</v>
      </c>
    </row>
    <row r="81" spans="1:20" x14ac:dyDescent="0.25">
      <c r="A81" s="4">
        <v>67</v>
      </c>
      <c r="B81" s="11" t="s">
        <v>83</v>
      </c>
      <c r="C81" s="6">
        <f t="shared" si="1"/>
        <v>299669</v>
      </c>
      <c r="D81" s="6"/>
      <c r="E81" s="6">
        <v>3822</v>
      </c>
      <c r="F81" s="6">
        <v>28678</v>
      </c>
      <c r="G81" s="6">
        <v>0</v>
      </c>
      <c r="H81" s="6">
        <v>16220</v>
      </c>
      <c r="I81" s="6">
        <v>0</v>
      </c>
      <c r="J81" s="6"/>
      <c r="K81" s="6"/>
      <c r="L81" s="6">
        <v>3115</v>
      </c>
      <c r="M81" s="6">
        <v>65641</v>
      </c>
      <c r="N81" s="6"/>
      <c r="O81" s="6">
        <v>0</v>
      </c>
      <c r="P81" s="6">
        <v>0</v>
      </c>
      <c r="Q81" s="6">
        <v>0</v>
      </c>
      <c r="R81" s="6">
        <v>0</v>
      </c>
      <c r="S81" s="6">
        <v>16563</v>
      </c>
      <c r="T81" s="6">
        <v>165630</v>
      </c>
    </row>
    <row r="82" spans="1:20" x14ac:dyDescent="0.25">
      <c r="A82" s="4">
        <v>68</v>
      </c>
      <c r="B82" s="11" t="s">
        <v>84</v>
      </c>
      <c r="C82" s="6">
        <f t="shared" si="1"/>
        <v>105540</v>
      </c>
      <c r="D82" s="6"/>
      <c r="E82" s="6">
        <v>244</v>
      </c>
      <c r="F82" s="6">
        <v>19065</v>
      </c>
      <c r="G82" s="6">
        <v>0</v>
      </c>
      <c r="H82" s="6"/>
      <c r="I82" s="6">
        <v>0</v>
      </c>
      <c r="J82" s="6"/>
      <c r="K82" s="6"/>
      <c r="L82" s="6">
        <v>3533</v>
      </c>
      <c r="M82" s="6">
        <v>33564</v>
      </c>
      <c r="N82" s="6"/>
      <c r="O82" s="6">
        <v>0</v>
      </c>
      <c r="P82" s="6">
        <v>0</v>
      </c>
      <c r="Q82" s="6">
        <v>0</v>
      </c>
      <c r="R82" s="6">
        <v>0</v>
      </c>
      <c r="S82" s="6">
        <v>1903</v>
      </c>
      <c r="T82" s="6">
        <v>47231</v>
      </c>
    </row>
    <row r="83" spans="1:20" ht="22.5" x14ac:dyDescent="0.25">
      <c r="A83" s="4">
        <v>69</v>
      </c>
      <c r="B83" s="11" t="s">
        <v>119</v>
      </c>
      <c r="C83" s="6">
        <f t="shared" si="1"/>
        <v>29413</v>
      </c>
      <c r="D83" s="6"/>
      <c r="E83" s="6">
        <v>0</v>
      </c>
      <c r="F83" s="6">
        <v>0</v>
      </c>
      <c r="G83" s="6">
        <v>0</v>
      </c>
      <c r="H83" s="6"/>
      <c r="I83" s="6">
        <v>19413</v>
      </c>
      <c r="J83" s="6"/>
      <c r="K83" s="6"/>
      <c r="L83" s="6">
        <v>0</v>
      </c>
      <c r="M83" s="6">
        <v>0</v>
      </c>
      <c r="N83" s="6"/>
      <c r="O83" s="6">
        <v>10000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</row>
    <row r="84" spans="1:20" ht="22.5" x14ac:dyDescent="0.25">
      <c r="A84" s="4">
        <v>70</v>
      </c>
      <c r="B84" s="11" t="s">
        <v>85</v>
      </c>
      <c r="C84" s="6">
        <f t="shared" si="1"/>
        <v>31369</v>
      </c>
      <c r="D84" s="6"/>
      <c r="E84" s="6">
        <v>0</v>
      </c>
      <c r="F84" s="6">
        <v>0</v>
      </c>
      <c r="G84" s="6">
        <v>0</v>
      </c>
      <c r="H84" s="6"/>
      <c r="I84" s="6">
        <v>11100</v>
      </c>
      <c r="J84" s="6"/>
      <c r="K84" s="6"/>
      <c r="L84" s="6">
        <v>0</v>
      </c>
      <c r="M84" s="6">
        <v>0</v>
      </c>
      <c r="N84" s="6"/>
      <c r="O84" s="6">
        <v>20269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 x14ac:dyDescent="0.25">
      <c r="A85" s="4">
        <v>71</v>
      </c>
      <c r="B85" s="11" t="s">
        <v>61</v>
      </c>
      <c r="C85" s="6">
        <f t="shared" si="1"/>
        <v>70628</v>
      </c>
      <c r="D85" s="6">
        <v>3967</v>
      </c>
      <c r="E85" s="6">
        <v>2898</v>
      </c>
      <c r="F85" s="6">
        <v>37798</v>
      </c>
      <c r="G85" s="6">
        <v>0</v>
      </c>
      <c r="H85" s="6"/>
      <c r="I85" s="6">
        <v>0</v>
      </c>
      <c r="J85" s="6">
        <v>1025</v>
      </c>
      <c r="K85" s="6">
        <v>439</v>
      </c>
      <c r="L85" s="6">
        <v>1082</v>
      </c>
      <c r="M85" s="6">
        <v>15485</v>
      </c>
      <c r="N85" s="6"/>
      <c r="O85" s="6">
        <v>0</v>
      </c>
      <c r="P85" s="6">
        <v>0</v>
      </c>
      <c r="Q85" s="6">
        <v>454</v>
      </c>
      <c r="R85" s="6">
        <v>0</v>
      </c>
      <c r="S85" s="6">
        <v>1520</v>
      </c>
      <c r="T85" s="6">
        <v>5960</v>
      </c>
    </row>
    <row r="86" spans="1:20" x14ac:dyDescent="0.25">
      <c r="A86" s="4">
        <v>72</v>
      </c>
      <c r="B86" s="11" t="s">
        <v>62</v>
      </c>
      <c r="C86" s="6">
        <f t="shared" si="1"/>
        <v>59637</v>
      </c>
      <c r="D86" s="6">
        <v>2564</v>
      </c>
      <c r="E86" s="6">
        <v>2800</v>
      </c>
      <c r="F86" s="6">
        <v>17330</v>
      </c>
      <c r="G86" s="6">
        <v>0</v>
      </c>
      <c r="H86" s="6">
        <v>18635</v>
      </c>
      <c r="I86" s="6">
        <v>0</v>
      </c>
      <c r="J86" s="6"/>
      <c r="K86" s="6"/>
      <c r="L86" s="6">
        <v>3000</v>
      </c>
      <c r="M86" s="6">
        <v>8413</v>
      </c>
      <c r="N86" s="6"/>
      <c r="O86" s="6">
        <v>0</v>
      </c>
      <c r="P86" s="6">
        <v>0</v>
      </c>
      <c r="Q86" s="6">
        <v>0</v>
      </c>
      <c r="R86" s="6">
        <v>0</v>
      </c>
      <c r="S86" s="6">
        <v>1200</v>
      </c>
      <c r="T86" s="6">
        <v>5695</v>
      </c>
    </row>
    <row r="87" spans="1:20" x14ac:dyDescent="0.25">
      <c r="A87" s="4">
        <v>73</v>
      </c>
      <c r="B87" s="11" t="s">
        <v>63</v>
      </c>
      <c r="C87" s="6">
        <f t="shared" si="1"/>
        <v>40734</v>
      </c>
      <c r="D87" s="6">
        <v>2470</v>
      </c>
      <c r="E87" s="6">
        <v>5117</v>
      </c>
      <c r="F87" s="6">
        <v>19633</v>
      </c>
      <c r="G87" s="6">
        <v>0</v>
      </c>
      <c r="H87" s="6"/>
      <c r="I87" s="6">
        <v>0</v>
      </c>
      <c r="J87" s="6"/>
      <c r="K87" s="6"/>
      <c r="L87" s="6">
        <v>6986</v>
      </c>
      <c r="M87" s="6">
        <v>684</v>
      </c>
      <c r="N87" s="6"/>
      <c r="O87" s="6">
        <v>0</v>
      </c>
      <c r="P87" s="6">
        <v>220</v>
      </c>
      <c r="Q87" s="6">
        <v>0</v>
      </c>
      <c r="R87" s="6">
        <v>0</v>
      </c>
      <c r="S87" s="6">
        <v>2477</v>
      </c>
      <c r="T87" s="6">
        <v>3147</v>
      </c>
    </row>
    <row r="88" spans="1:20" x14ac:dyDescent="0.25">
      <c r="A88" s="4">
        <v>74</v>
      </c>
      <c r="B88" s="11" t="s">
        <v>64</v>
      </c>
      <c r="C88" s="6">
        <f t="shared" si="1"/>
        <v>57259</v>
      </c>
      <c r="D88" s="6">
        <v>1865</v>
      </c>
      <c r="E88" s="6">
        <v>3085</v>
      </c>
      <c r="F88" s="6">
        <v>14254</v>
      </c>
      <c r="G88" s="6">
        <v>0</v>
      </c>
      <c r="H88" s="6">
        <v>27718</v>
      </c>
      <c r="I88" s="6">
        <v>0</v>
      </c>
      <c r="J88" s="6"/>
      <c r="K88" s="6"/>
      <c r="L88" s="6">
        <v>3415</v>
      </c>
      <c r="M88" s="6">
        <v>2512</v>
      </c>
      <c r="N88" s="6"/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4410</v>
      </c>
    </row>
    <row r="89" spans="1:20" x14ac:dyDescent="0.25">
      <c r="A89" s="4">
        <v>75</v>
      </c>
      <c r="B89" s="11" t="s">
        <v>65</v>
      </c>
      <c r="C89" s="6">
        <f t="shared" si="1"/>
        <v>105006</v>
      </c>
      <c r="D89" s="6">
        <v>4856</v>
      </c>
      <c r="E89" s="6">
        <v>17010</v>
      </c>
      <c r="F89" s="6">
        <v>21579</v>
      </c>
      <c r="G89" s="6">
        <v>0</v>
      </c>
      <c r="H89" s="6"/>
      <c r="I89" s="6">
        <v>0</v>
      </c>
      <c r="J89" s="6">
        <v>1025</v>
      </c>
      <c r="K89" s="6">
        <v>439</v>
      </c>
      <c r="L89" s="6">
        <v>18557</v>
      </c>
      <c r="M89" s="6">
        <v>23542</v>
      </c>
      <c r="N89" s="6"/>
      <c r="O89" s="6">
        <v>0</v>
      </c>
      <c r="P89" s="6">
        <v>0</v>
      </c>
      <c r="Q89" s="6">
        <v>0</v>
      </c>
      <c r="R89" s="6">
        <v>0</v>
      </c>
      <c r="S89" s="6">
        <v>7933</v>
      </c>
      <c r="T89" s="6">
        <v>10065</v>
      </c>
    </row>
    <row r="90" spans="1:20" x14ac:dyDescent="0.25">
      <c r="A90" s="4">
        <v>76</v>
      </c>
      <c r="B90" s="11" t="s">
        <v>66</v>
      </c>
      <c r="C90" s="6">
        <f t="shared" si="1"/>
        <v>53345</v>
      </c>
      <c r="D90" s="6">
        <v>2475</v>
      </c>
      <c r="E90" s="6">
        <v>5177</v>
      </c>
      <c r="F90" s="6">
        <v>10473</v>
      </c>
      <c r="G90" s="6">
        <v>0</v>
      </c>
      <c r="H90" s="6"/>
      <c r="I90" s="6">
        <v>0</v>
      </c>
      <c r="J90" s="6">
        <v>1025</v>
      </c>
      <c r="K90" s="6">
        <v>439</v>
      </c>
      <c r="L90" s="6">
        <v>6946</v>
      </c>
      <c r="M90" s="6">
        <v>14840</v>
      </c>
      <c r="N90" s="6"/>
      <c r="O90" s="6">
        <v>0</v>
      </c>
      <c r="P90" s="6">
        <v>0</v>
      </c>
      <c r="Q90" s="6">
        <v>0</v>
      </c>
      <c r="R90" s="6">
        <v>0</v>
      </c>
      <c r="S90" s="6">
        <v>8945</v>
      </c>
      <c r="T90" s="6">
        <v>3025</v>
      </c>
    </row>
    <row r="91" spans="1:20" x14ac:dyDescent="0.25">
      <c r="A91" s="4">
        <v>77</v>
      </c>
      <c r="B91" s="11" t="s">
        <v>67</v>
      </c>
      <c r="C91" s="6">
        <f t="shared" si="1"/>
        <v>64267</v>
      </c>
      <c r="D91" s="6">
        <v>2799</v>
      </c>
      <c r="E91" s="6">
        <v>3032</v>
      </c>
      <c r="F91" s="6">
        <v>27289</v>
      </c>
      <c r="G91" s="6">
        <v>0</v>
      </c>
      <c r="H91" s="6">
        <v>17993</v>
      </c>
      <c r="I91" s="6">
        <v>0</v>
      </c>
      <c r="J91" s="6">
        <v>1025</v>
      </c>
      <c r="K91" s="6">
        <v>439</v>
      </c>
      <c r="L91" s="6">
        <v>4347</v>
      </c>
      <c r="M91" s="6">
        <v>1864</v>
      </c>
      <c r="N91" s="6">
        <v>397</v>
      </c>
      <c r="O91" s="6">
        <v>0</v>
      </c>
      <c r="P91" s="6">
        <v>0</v>
      </c>
      <c r="Q91" s="6">
        <v>0</v>
      </c>
      <c r="R91" s="6">
        <v>0</v>
      </c>
      <c r="S91" s="6">
        <v>3181</v>
      </c>
      <c r="T91" s="6">
        <v>1901</v>
      </c>
    </row>
    <row r="92" spans="1:20" x14ac:dyDescent="0.25">
      <c r="A92" s="4">
        <v>78</v>
      </c>
      <c r="B92" s="11" t="s">
        <v>68</v>
      </c>
      <c r="C92" s="6">
        <f t="shared" si="1"/>
        <v>26031</v>
      </c>
      <c r="D92" s="6">
        <v>1666</v>
      </c>
      <c r="E92" s="6">
        <v>2003</v>
      </c>
      <c r="F92" s="6">
        <v>15613</v>
      </c>
      <c r="G92" s="6">
        <v>0</v>
      </c>
      <c r="H92" s="6"/>
      <c r="I92" s="6">
        <v>0</v>
      </c>
      <c r="J92" s="6"/>
      <c r="K92" s="6"/>
      <c r="L92" s="6">
        <v>1282</v>
      </c>
      <c r="M92" s="6">
        <v>2122</v>
      </c>
      <c r="N92" s="6"/>
      <c r="O92" s="6">
        <v>0</v>
      </c>
      <c r="P92" s="6">
        <v>0</v>
      </c>
      <c r="Q92" s="6">
        <v>0</v>
      </c>
      <c r="R92" s="6">
        <v>0</v>
      </c>
      <c r="S92" s="6">
        <v>1715</v>
      </c>
      <c r="T92" s="6">
        <v>1630</v>
      </c>
    </row>
    <row r="93" spans="1:20" x14ac:dyDescent="0.25">
      <c r="A93" s="4">
        <v>79</v>
      </c>
      <c r="B93" s="11" t="s">
        <v>69</v>
      </c>
      <c r="C93" s="6">
        <f t="shared" si="1"/>
        <v>107570</v>
      </c>
      <c r="D93" s="6">
        <v>4740</v>
      </c>
      <c r="E93" s="6">
        <v>8255</v>
      </c>
      <c r="F93" s="6">
        <v>41578</v>
      </c>
      <c r="G93" s="6">
        <v>0</v>
      </c>
      <c r="H93" s="6"/>
      <c r="I93" s="6">
        <v>0</v>
      </c>
      <c r="J93" s="6">
        <v>1025</v>
      </c>
      <c r="K93" s="6">
        <v>439</v>
      </c>
      <c r="L93" s="6">
        <v>14955</v>
      </c>
      <c r="M93" s="6">
        <v>18719</v>
      </c>
      <c r="N93" s="6"/>
      <c r="O93" s="6">
        <v>0</v>
      </c>
      <c r="P93" s="6">
        <v>0</v>
      </c>
      <c r="Q93" s="6">
        <v>0</v>
      </c>
      <c r="R93" s="6">
        <v>0</v>
      </c>
      <c r="S93" s="6">
        <v>6045</v>
      </c>
      <c r="T93" s="6">
        <v>11814</v>
      </c>
    </row>
    <row r="94" spans="1:20" x14ac:dyDescent="0.25">
      <c r="A94" s="4">
        <v>80</v>
      </c>
      <c r="B94" s="11" t="s">
        <v>70</v>
      </c>
      <c r="C94" s="6">
        <f t="shared" si="1"/>
        <v>34619</v>
      </c>
      <c r="D94" s="6">
        <v>2185</v>
      </c>
      <c r="E94" s="6">
        <v>1000</v>
      </c>
      <c r="F94" s="6">
        <v>19158</v>
      </c>
      <c r="G94" s="6">
        <v>0</v>
      </c>
      <c r="H94" s="6"/>
      <c r="I94" s="6">
        <v>0</v>
      </c>
      <c r="J94" s="6"/>
      <c r="K94" s="6"/>
      <c r="L94" s="6">
        <v>5800</v>
      </c>
      <c r="M94" s="6">
        <v>1017</v>
      </c>
      <c r="N94" s="6"/>
      <c r="O94" s="6">
        <v>0</v>
      </c>
      <c r="P94" s="6">
        <v>0</v>
      </c>
      <c r="Q94" s="6">
        <v>0</v>
      </c>
      <c r="R94" s="6">
        <v>0</v>
      </c>
      <c r="S94" s="6">
        <v>760</v>
      </c>
      <c r="T94" s="6">
        <v>4699</v>
      </c>
    </row>
    <row r="95" spans="1:20" x14ac:dyDescent="0.25">
      <c r="A95" s="4">
        <v>81</v>
      </c>
      <c r="B95" s="11" t="s">
        <v>71</v>
      </c>
      <c r="C95" s="6">
        <f t="shared" si="1"/>
        <v>33951</v>
      </c>
      <c r="D95" s="6">
        <v>2124</v>
      </c>
      <c r="E95" s="6">
        <v>3700</v>
      </c>
      <c r="F95" s="6">
        <v>13800</v>
      </c>
      <c r="G95" s="6">
        <v>0</v>
      </c>
      <c r="H95" s="6"/>
      <c r="I95" s="6">
        <v>0</v>
      </c>
      <c r="J95" s="6"/>
      <c r="K95" s="6"/>
      <c r="L95" s="6">
        <v>5979</v>
      </c>
      <c r="M95" s="6">
        <v>2557</v>
      </c>
      <c r="N95" s="6"/>
      <c r="O95" s="6">
        <v>0</v>
      </c>
      <c r="P95" s="6">
        <v>0</v>
      </c>
      <c r="Q95" s="6">
        <v>0</v>
      </c>
      <c r="R95" s="6">
        <v>0</v>
      </c>
      <c r="S95" s="6">
        <v>3691</v>
      </c>
      <c r="T95" s="6">
        <v>2100</v>
      </c>
    </row>
    <row r="96" spans="1:20" ht="22.5" x14ac:dyDescent="0.25">
      <c r="A96" s="4">
        <v>82</v>
      </c>
      <c r="B96" s="11" t="s">
        <v>120</v>
      </c>
      <c r="C96" s="6">
        <f t="shared" si="1"/>
        <v>3111</v>
      </c>
      <c r="D96" s="6"/>
      <c r="E96" s="6">
        <v>0</v>
      </c>
      <c r="F96" s="6">
        <v>0</v>
      </c>
      <c r="G96" s="6">
        <v>0</v>
      </c>
      <c r="H96" s="6"/>
      <c r="I96" s="6">
        <v>2398</v>
      </c>
      <c r="J96" s="6"/>
      <c r="K96" s="6"/>
      <c r="L96" s="6">
        <v>0</v>
      </c>
      <c r="M96" s="6">
        <v>0</v>
      </c>
      <c r="N96" s="6"/>
      <c r="O96" s="6">
        <v>319</v>
      </c>
      <c r="P96" s="6">
        <v>0</v>
      </c>
      <c r="Q96" s="6">
        <v>0</v>
      </c>
      <c r="R96" s="6">
        <v>394</v>
      </c>
      <c r="S96" s="6">
        <v>0</v>
      </c>
      <c r="T96" s="6">
        <v>0</v>
      </c>
    </row>
    <row r="97" spans="1:20" ht="22.5" x14ac:dyDescent="0.25">
      <c r="A97" s="4">
        <v>83</v>
      </c>
      <c r="B97" s="11" t="s">
        <v>86</v>
      </c>
      <c r="C97" s="6">
        <f t="shared" si="1"/>
        <v>3578</v>
      </c>
      <c r="D97" s="6"/>
      <c r="E97" s="6">
        <v>0</v>
      </c>
      <c r="F97" s="6">
        <v>0</v>
      </c>
      <c r="G97" s="6">
        <v>0</v>
      </c>
      <c r="H97" s="6"/>
      <c r="I97" s="6">
        <v>3478</v>
      </c>
      <c r="J97" s="6"/>
      <c r="K97" s="6"/>
      <c r="L97" s="6">
        <v>0</v>
      </c>
      <c r="M97" s="6">
        <v>0</v>
      </c>
      <c r="N97" s="6"/>
      <c r="O97" s="6">
        <v>0</v>
      </c>
      <c r="P97" s="6">
        <v>0</v>
      </c>
      <c r="Q97" s="6">
        <v>0</v>
      </c>
      <c r="R97" s="6">
        <v>100</v>
      </c>
      <c r="S97" s="6">
        <v>0</v>
      </c>
      <c r="T97" s="6">
        <v>0</v>
      </c>
    </row>
    <row r="98" spans="1:20" ht="22.5" x14ac:dyDescent="0.25">
      <c r="A98" s="4">
        <v>84</v>
      </c>
      <c r="B98" s="11" t="s">
        <v>121</v>
      </c>
      <c r="C98" s="6">
        <f t="shared" si="1"/>
        <v>4126</v>
      </c>
      <c r="D98" s="6"/>
      <c r="E98" s="6">
        <v>0</v>
      </c>
      <c r="F98" s="6">
        <v>0</v>
      </c>
      <c r="G98" s="6">
        <v>0</v>
      </c>
      <c r="H98" s="6"/>
      <c r="I98" s="6">
        <v>3883</v>
      </c>
      <c r="J98" s="6"/>
      <c r="K98" s="6"/>
      <c r="L98" s="6">
        <v>0</v>
      </c>
      <c r="M98" s="6">
        <v>0</v>
      </c>
      <c r="N98" s="6"/>
      <c r="O98" s="6">
        <v>143</v>
      </c>
      <c r="P98" s="6">
        <v>0</v>
      </c>
      <c r="Q98" s="6">
        <v>0</v>
      </c>
      <c r="R98" s="6">
        <v>100</v>
      </c>
      <c r="S98" s="6">
        <v>0</v>
      </c>
      <c r="T98" s="6">
        <v>0</v>
      </c>
    </row>
    <row r="99" spans="1:20" ht="22.5" x14ac:dyDescent="0.25">
      <c r="A99" s="4">
        <v>85</v>
      </c>
      <c r="B99" s="11" t="s">
        <v>122</v>
      </c>
      <c r="C99" s="6">
        <f t="shared" si="1"/>
        <v>3480</v>
      </c>
      <c r="D99" s="6"/>
      <c r="E99" s="6">
        <v>0</v>
      </c>
      <c r="F99" s="6">
        <v>0</v>
      </c>
      <c r="G99" s="6">
        <v>0</v>
      </c>
      <c r="H99" s="6"/>
      <c r="I99" s="6">
        <v>2770</v>
      </c>
      <c r="J99" s="6"/>
      <c r="K99" s="6"/>
      <c r="L99" s="6">
        <v>0</v>
      </c>
      <c r="M99" s="6">
        <v>0</v>
      </c>
      <c r="N99" s="6"/>
      <c r="O99" s="6">
        <v>420</v>
      </c>
      <c r="P99" s="6">
        <v>0</v>
      </c>
      <c r="Q99" s="6">
        <v>0</v>
      </c>
      <c r="R99" s="6">
        <v>290</v>
      </c>
      <c r="S99" s="6">
        <v>0</v>
      </c>
      <c r="T99" s="6">
        <v>0</v>
      </c>
    </row>
    <row r="100" spans="1:20" ht="22.5" x14ac:dyDescent="0.25">
      <c r="A100" s="4">
        <v>86</v>
      </c>
      <c r="B100" s="11" t="s">
        <v>123</v>
      </c>
      <c r="C100" s="6">
        <f t="shared" si="1"/>
        <v>13472</v>
      </c>
      <c r="D100" s="6"/>
      <c r="E100" s="6">
        <v>0</v>
      </c>
      <c r="F100" s="6">
        <v>0</v>
      </c>
      <c r="G100" s="6">
        <v>0</v>
      </c>
      <c r="H100" s="6"/>
      <c r="I100" s="6">
        <v>6425</v>
      </c>
      <c r="J100" s="6"/>
      <c r="K100" s="6"/>
      <c r="L100" s="6">
        <v>0</v>
      </c>
      <c r="M100" s="6">
        <v>0</v>
      </c>
      <c r="N100" s="6"/>
      <c r="O100" s="6">
        <v>6627</v>
      </c>
      <c r="P100" s="6">
        <v>0</v>
      </c>
      <c r="Q100" s="6">
        <v>0</v>
      </c>
      <c r="R100" s="6">
        <v>420</v>
      </c>
      <c r="S100" s="6">
        <v>0</v>
      </c>
      <c r="T100" s="6">
        <v>0</v>
      </c>
    </row>
    <row r="101" spans="1:20" ht="22.5" x14ac:dyDescent="0.25">
      <c r="A101" s="4">
        <v>87</v>
      </c>
      <c r="B101" s="11" t="s">
        <v>124</v>
      </c>
      <c r="C101" s="6">
        <f t="shared" si="1"/>
        <v>3172</v>
      </c>
      <c r="D101" s="6"/>
      <c r="E101" s="6">
        <v>0</v>
      </c>
      <c r="F101" s="6">
        <v>0</v>
      </c>
      <c r="G101" s="6">
        <v>0</v>
      </c>
      <c r="H101" s="6"/>
      <c r="I101" s="6">
        <v>2782</v>
      </c>
      <c r="J101" s="6"/>
      <c r="K101" s="6"/>
      <c r="L101" s="6">
        <v>0</v>
      </c>
      <c r="M101" s="6">
        <v>0</v>
      </c>
      <c r="N101" s="6"/>
      <c r="O101" s="6">
        <v>240</v>
      </c>
      <c r="P101" s="6">
        <v>0</v>
      </c>
      <c r="Q101" s="6">
        <v>0</v>
      </c>
      <c r="R101" s="6">
        <v>150</v>
      </c>
      <c r="S101" s="6">
        <v>0</v>
      </c>
      <c r="T101" s="6">
        <v>0</v>
      </c>
    </row>
    <row r="102" spans="1:20" ht="22.5" x14ac:dyDescent="0.25">
      <c r="A102" s="4">
        <v>88</v>
      </c>
      <c r="B102" s="11" t="s">
        <v>125</v>
      </c>
      <c r="C102" s="6">
        <f t="shared" si="1"/>
        <v>2676</v>
      </c>
      <c r="D102" s="6"/>
      <c r="E102" s="6">
        <v>0</v>
      </c>
      <c r="F102" s="6">
        <v>0</v>
      </c>
      <c r="G102" s="6">
        <v>0</v>
      </c>
      <c r="H102" s="6"/>
      <c r="I102" s="6">
        <v>2676</v>
      </c>
      <c r="J102" s="6"/>
      <c r="K102" s="6"/>
      <c r="L102" s="6">
        <v>0</v>
      </c>
      <c r="M102" s="6">
        <v>0</v>
      </c>
      <c r="N102" s="6"/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 x14ac:dyDescent="0.25">
      <c r="A103" s="4">
        <v>89</v>
      </c>
      <c r="B103" s="11" t="s">
        <v>126</v>
      </c>
      <c r="C103" s="6">
        <f t="shared" si="1"/>
        <v>179088</v>
      </c>
      <c r="D103" s="6">
        <v>2847</v>
      </c>
      <c r="E103" s="6">
        <v>8058</v>
      </c>
      <c r="F103" s="6">
        <v>29974</v>
      </c>
      <c r="G103" s="6">
        <v>0</v>
      </c>
      <c r="H103" s="6">
        <v>13929</v>
      </c>
      <c r="I103" s="6">
        <v>0</v>
      </c>
      <c r="J103" s="6"/>
      <c r="K103" s="6"/>
      <c r="L103" s="6">
        <v>6500</v>
      </c>
      <c r="M103" s="6">
        <v>34363</v>
      </c>
      <c r="N103" s="6"/>
      <c r="O103" s="6">
        <v>0</v>
      </c>
      <c r="P103" s="6">
        <v>5500</v>
      </c>
      <c r="Q103" s="6">
        <v>2300</v>
      </c>
      <c r="R103" s="6">
        <v>0</v>
      </c>
      <c r="S103" s="6">
        <v>4142</v>
      </c>
      <c r="T103" s="6">
        <v>71475</v>
      </c>
    </row>
    <row r="104" spans="1:20" x14ac:dyDescent="0.25">
      <c r="A104" s="4">
        <v>90</v>
      </c>
      <c r="B104" s="11" t="s">
        <v>78</v>
      </c>
      <c r="C104" s="6">
        <f t="shared" si="1"/>
        <v>71113</v>
      </c>
      <c r="D104" s="6">
        <v>2739</v>
      </c>
      <c r="E104" s="6">
        <v>9068</v>
      </c>
      <c r="F104" s="6">
        <v>17107</v>
      </c>
      <c r="G104" s="6">
        <v>0</v>
      </c>
      <c r="H104" s="6"/>
      <c r="I104" s="6">
        <v>0</v>
      </c>
      <c r="J104" s="6">
        <v>1025</v>
      </c>
      <c r="K104" s="6">
        <v>439</v>
      </c>
      <c r="L104" s="6">
        <v>12720</v>
      </c>
      <c r="M104" s="6">
        <v>18610</v>
      </c>
      <c r="N104" s="6">
        <v>2635</v>
      </c>
      <c r="O104" s="6">
        <v>0</v>
      </c>
      <c r="P104" s="6">
        <v>0</v>
      </c>
      <c r="Q104" s="6">
        <v>0</v>
      </c>
      <c r="R104" s="6">
        <v>0</v>
      </c>
      <c r="S104" s="6">
        <v>2612</v>
      </c>
      <c r="T104" s="6">
        <v>4158</v>
      </c>
    </row>
    <row r="105" spans="1:20" x14ac:dyDescent="0.25">
      <c r="A105" s="4">
        <v>91</v>
      </c>
      <c r="B105" s="11" t="s">
        <v>73</v>
      </c>
      <c r="C105" s="6">
        <f t="shared" si="1"/>
        <v>54614</v>
      </c>
      <c r="D105" s="6">
        <v>2379</v>
      </c>
      <c r="E105" s="6">
        <v>4730</v>
      </c>
      <c r="F105" s="6">
        <v>26353</v>
      </c>
      <c r="G105" s="6">
        <v>0</v>
      </c>
      <c r="H105" s="6"/>
      <c r="I105" s="6">
        <v>0</v>
      </c>
      <c r="J105" s="6"/>
      <c r="K105" s="6"/>
      <c r="L105" s="6">
        <v>5340</v>
      </c>
      <c r="M105" s="6">
        <v>5473</v>
      </c>
      <c r="N105" s="6">
        <v>66</v>
      </c>
      <c r="O105" s="6">
        <v>0</v>
      </c>
      <c r="P105" s="6">
        <v>1500</v>
      </c>
      <c r="Q105" s="6">
        <v>1500</v>
      </c>
      <c r="R105" s="6">
        <v>0</v>
      </c>
      <c r="S105" s="6">
        <v>4030</v>
      </c>
      <c r="T105" s="6">
        <v>3243</v>
      </c>
    </row>
    <row r="106" spans="1:20" x14ac:dyDescent="0.25">
      <c r="A106" s="4">
        <v>92</v>
      </c>
      <c r="B106" s="11" t="s">
        <v>72</v>
      </c>
      <c r="C106" s="6">
        <f t="shared" si="1"/>
        <v>29767</v>
      </c>
      <c r="D106" s="6">
        <v>1363</v>
      </c>
      <c r="E106" s="6">
        <v>1680</v>
      </c>
      <c r="F106" s="6">
        <v>9864</v>
      </c>
      <c r="G106" s="6">
        <v>0</v>
      </c>
      <c r="H106" s="6"/>
      <c r="I106" s="6">
        <v>0</v>
      </c>
      <c r="J106" s="6"/>
      <c r="K106" s="6"/>
      <c r="L106" s="6">
        <v>4730</v>
      </c>
      <c r="M106" s="6">
        <v>4668</v>
      </c>
      <c r="N106" s="6"/>
      <c r="O106" s="6">
        <v>0</v>
      </c>
      <c r="P106" s="6">
        <v>2450</v>
      </c>
      <c r="Q106" s="6">
        <v>0</v>
      </c>
      <c r="R106" s="6">
        <v>0</v>
      </c>
      <c r="S106" s="6">
        <v>1540</v>
      </c>
      <c r="T106" s="6">
        <v>3472</v>
      </c>
    </row>
    <row r="107" spans="1:20" x14ac:dyDescent="0.25">
      <c r="A107" s="4">
        <v>93</v>
      </c>
      <c r="B107" s="11" t="s">
        <v>74</v>
      </c>
      <c r="C107" s="6">
        <f t="shared" si="1"/>
        <v>28113</v>
      </c>
      <c r="D107" s="6">
        <v>632</v>
      </c>
      <c r="E107" s="6">
        <v>291</v>
      </c>
      <c r="F107" s="6">
        <v>5281</v>
      </c>
      <c r="G107" s="6">
        <v>0</v>
      </c>
      <c r="H107" s="6">
        <v>16445</v>
      </c>
      <c r="I107" s="6">
        <v>0</v>
      </c>
      <c r="J107" s="6">
        <v>1025</v>
      </c>
      <c r="K107" s="6">
        <v>439</v>
      </c>
      <c r="L107" s="6">
        <v>106</v>
      </c>
      <c r="M107" s="6">
        <v>1921</v>
      </c>
      <c r="N107" s="6"/>
      <c r="O107" s="6">
        <v>0</v>
      </c>
      <c r="P107" s="6">
        <v>0</v>
      </c>
      <c r="Q107" s="6">
        <v>0</v>
      </c>
      <c r="R107" s="6">
        <v>0</v>
      </c>
      <c r="S107" s="6">
        <v>103</v>
      </c>
      <c r="T107" s="6">
        <v>1870</v>
      </c>
    </row>
    <row r="108" spans="1:20" x14ac:dyDescent="0.25">
      <c r="A108" s="4">
        <v>94</v>
      </c>
      <c r="B108" s="11" t="s">
        <v>75</v>
      </c>
      <c r="C108" s="6">
        <f t="shared" si="1"/>
        <v>4084</v>
      </c>
      <c r="D108" s="6">
        <v>190</v>
      </c>
      <c r="E108" s="6">
        <v>344</v>
      </c>
      <c r="F108" s="6">
        <v>838</v>
      </c>
      <c r="G108" s="6">
        <v>0</v>
      </c>
      <c r="H108" s="6">
        <v>0</v>
      </c>
      <c r="I108" s="6">
        <v>0</v>
      </c>
      <c r="J108" s="6"/>
      <c r="K108" s="6"/>
      <c r="L108" s="6">
        <v>640</v>
      </c>
      <c r="M108" s="6">
        <v>443</v>
      </c>
      <c r="N108" s="6"/>
      <c r="O108" s="6">
        <v>0</v>
      </c>
      <c r="P108" s="6">
        <v>0</v>
      </c>
      <c r="Q108" s="6">
        <v>704</v>
      </c>
      <c r="R108" s="6">
        <v>0</v>
      </c>
      <c r="S108" s="6">
        <v>516</v>
      </c>
      <c r="T108" s="6">
        <v>409</v>
      </c>
    </row>
    <row r="109" spans="1:20" ht="33.75" x14ac:dyDescent="0.25">
      <c r="A109" s="573">
        <v>95</v>
      </c>
      <c r="B109" s="387" t="s">
        <v>450</v>
      </c>
      <c r="C109" s="6">
        <f t="shared" si="1"/>
        <v>20418</v>
      </c>
      <c r="D109" s="6">
        <v>949</v>
      </c>
      <c r="E109" s="6">
        <v>1722</v>
      </c>
      <c r="F109" s="6">
        <v>4191</v>
      </c>
      <c r="G109" s="6">
        <v>0</v>
      </c>
      <c r="H109" s="6">
        <v>0</v>
      </c>
      <c r="I109" s="6">
        <v>0</v>
      </c>
      <c r="J109" s="6"/>
      <c r="K109" s="6"/>
      <c r="L109" s="6">
        <v>3197</v>
      </c>
      <c r="M109" s="6">
        <v>2213</v>
      </c>
      <c r="N109" s="6"/>
      <c r="O109" s="6">
        <v>0</v>
      </c>
      <c r="P109" s="6">
        <v>0</v>
      </c>
      <c r="Q109" s="6">
        <v>3520</v>
      </c>
      <c r="R109" s="6">
        <v>0</v>
      </c>
      <c r="S109" s="6">
        <v>2581</v>
      </c>
      <c r="T109" s="6">
        <v>2045</v>
      </c>
    </row>
    <row r="110" spans="1:20" x14ac:dyDescent="0.25">
      <c r="A110" s="574"/>
      <c r="B110" s="11" t="s">
        <v>76</v>
      </c>
      <c r="C110" s="6">
        <f t="shared" si="1"/>
        <v>170336</v>
      </c>
      <c r="D110" s="6">
        <v>7208</v>
      </c>
      <c r="E110" s="6">
        <v>28580</v>
      </c>
      <c r="F110" s="6">
        <v>49490</v>
      </c>
      <c r="G110" s="6">
        <v>0</v>
      </c>
      <c r="H110" s="6"/>
      <c r="I110" s="6">
        <v>0</v>
      </c>
      <c r="J110" s="6">
        <v>3075</v>
      </c>
      <c r="K110" s="6">
        <v>1317</v>
      </c>
      <c r="L110" s="6">
        <v>23350</v>
      </c>
      <c r="M110" s="6">
        <v>23474</v>
      </c>
      <c r="N110" s="6">
        <v>11491</v>
      </c>
      <c r="O110" s="6">
        <v>0</v>
      </c>
      <c r="P110" s="6">
        <v>500</v>
      </c>
      <c r="Q110" s="6">
        <v>0</v>
      </c>
      <c r="R110" s="6">
        <v>0</v>
      </c>
      <c r="S110" s="6">
        <v>10520</v>
      </c>
      <c r="T110" s="6">
        <v>11331</v>
      </c>
    </row>
    <row r="111" spans="1:20" x14ac:dyDescent="0.25">
      <c r="A111" s="4">
        <v>96</v>
      </c>
      <c r="B111" s="11" t="s">
        <v>79</v>
      </c>
      <c r="C111" s="6">
        <f t="shared" si="1"/>
        <v>179238</v>
      </c>
      <c r="D111" s="6">
        <v>0</v>
      </c>
      <c r="E111" s="6">
        <v>1169</v>
      </c>
      <c r="F111" s="6">
        <v>21160</v>
      </c>
      <c r="G111" s="6">
        <v>0</v>
      </c>
      <c r="H111" s="6">
        <v>10333</v>
      </c>
      <c r="I111" s="6">
        <v>0</v>
      </c>
      <c r="J111" s="6"/>
      <c r="K111" s="6"/>
      <c r="L111" s="6">
        <v>2250</v>
      </c>
      <c r="M111" s="6">
        <v>28291</v>
      </c>
      <c r="N111" s="6"/>
      <c r="O111" s="6">
        <v>0</v>
      </c>
      <c r="P111" s="6">
        <v>0</v>
      </c>
      <c r="Q111" s="6">
        <v>0</v>
      </c>
      <c r="R111" s="6">
        <v>0</v>
      </c>
      <c r="S111" s="6">
        <v>1881</v>
      </c>
      <c r="T111" s="6">
        <v>114154</v>
      </c>
    </row>
    <row r="112" spans="1:20" x14ac:dyDescent="0.25">
      <c r="A112" s="4">
        <v>97</v>
      </c>
      <c r="B112" s="11" t="s">
        <v>77</v>
      </c>
      <c r="C112" s="6">
        <f t="shared" si="1"/>
        <v>78761</v>
      </c>
      <c r="D112" s="6">
        <v>2697</v>
      </c>
      <c r="E112" s="6">
        <v>10409</v>
      </c>
      <c r="F112" s="6">
        <v>17342</v>
      </c>
      <c r="G112" s="6">
        <v>0</v>
      </c>
      <c r="H112" s="6">
        <v>19464</v>
      </c>
      <c r="I112" s="6">
        <v>0</v>
      </c>
      <c r="J112" s="6"/>
      <c r="K112" s="6"/>
      <c r="L112" s="6">
        <v>5361</v>
      </c>
      <c r="M112" s="6">
        <v>8999</v>
      </c>
      <c r="N112" s="6">
        <v>3000</v>
      </c>
      <c r="O112" s="6">
        <v>0</v>
      </c>
      <c r="P112" s="6">
        <v>0</v>
      </c>
      <c r="Q112" s="6">
        <v>351</v>
      </c>
      <c r="R112" s="6">
        <v>0</v>
      </c>
      <c r="S112" s="6">
        <v>4230</v>
      </c>
      <c r="T112" s="6">
        <v>6908</v>
      </c>
    </row>
    <row r="113" spans="1:20" x14ac:dyDescent="0.25">
      <c r="A113" s="4">
        <v>98</v>
      </c>
      <c r="B113" s="11" t="s">
        <v>127</v>
      </c>
      <c r="C113" s="6">
        <f t="shared" si="1"/>
        <v>45026</v>
      </c>
      <c r="D113" s="6">
        <v>0</v>
      </c>
      <c r="E113" s="6">
        <v>0</v>
      </c>
      <c r="F113" s="6">
        <v>0</v>
      </c>
      <c r="G113" s="6">
        <v>26184</v>
      </c>
      <c r="H113" s="6"/>
      <c r="I113" s="6">
        <v>8842</v>
      </c>
      <c r="J113" s="6"/>
      <c r="K113" s="6"/>
      <c r="L113" s="6">
        <v>0</v>
      </c>
      <c r="M113" s="6">
        <v>0</v>
      </c>
      <c r="N113" s="6"/>
      <c r="O113" s="6">
        <v>0</v>
      </c>
      <c r="P113" s="6">
        <v>0</v>
      </c>
      <c r="Q113" s="6">
        <v>0</v>
      </c>
      <c r="R113" s="6">
        <v>10000</v>
      </c>
      <c r="S113" s="6">
        <v>0</v>
      </c>
      <c r="T113" s="6">
        <v>0</v>
      </c>
    </row>
    <row r="114" spans="1:20" x14ac:dyDescent="0.25">
      <c r="A114" s="573">
        <v>99</v>
      </c>
      <c r="B114" s="11" t="s">
        <v>87</v>
      </c>
      <c r="C114" s="6">
        <f t="shared" si="1"/>
        <v>21167</v>
      </c>
      <c r="D114" s="6">
        <v>434</v>
      </c>
      <c r="E114" s="6">
        <v>50</v>
      </c>
      <c r="F114" s="6">
        <v>4650</v>
      </c>
      <c r="G114" s="6">
        <v>0</v>
      </c>
      <c r="H114" s="6"/>
      <c r="I114" s="6">
        <v>0</v>
      </c>
      <c r="J114" s="6"/>
      <c r="K114" s="6"/>
      <c r="L114" s="6">
        <v>750</v>
      </c>
      <c r="M114" s="6">
        <v>4154</v>
      </c>
      <c r="N114" s="6">
        <v>7077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4052</v>
      </c>
    </row>
    <row r="115" spans="1:20" ht="22.5" x14ac:dyDescent="0.25">
      <c r="A115" s="574"/>
      <c r="B115" s="11" t="s">
        <v>128</v>
      </c>
      <c r="C115" s="6">
        <f t="shared" si="1"/>
        <v>3600</v>
      </c>
      <c r="D115" s="6"/>
      <c r="E115" s="6">
        <v>0</v>
      </c>
      <c r="F115" s="6">
        <v>0</v>
      </c>
      <c r="G115" s="6">
        <v>0</v>
      </c>
      <c r="H115" s="6"/>
      <c r="I115" s="6">
        <v>3600</v>
      </c>
      <c r="J115" s="6"/>
      <c r="K115" s="6"/>
      <c r="L115" s="6">
        <v>0</v>
      </c>
      <c r="M115" s="6">
        <v>0</v>
      </c>
      <c r="N115" s="6"/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</row>
    <row r="116" spans="1:20" ht="22.5" x14ac:dyDescent="0.25">
      <c r="A116" s="4">
        <v>100</v>
      </c>
      <c r="B116" s="11" t="s">
        <v>129</v>
      </c>
      <c r="C116" s="6">
        <f t="shared" si="1"/>
        <v>8400</v>
      </c>
      <c r="D116" s="6"/>
      <c r="E116" s="6">
        <v>0</v>
      </c>
      <c r="F116" s="6">
        <v>0</v>
      </c>
      <c r="G116" s="6">
        <v>0</v>
      </c>
      <c r="H116" s="6"/>
      <c r="I116" s="6">
        <v>7400</v>
      </c>
      <c r="J116" s="6"/>
      <c r="K116" s="6"/>
      <c r="L116" s="6">
        <v>0</v>
      </c>
      <c r="M116" s="6">
        <v>0</v>
      </c>
      <c r="N116" s="6"/>
      <c r="O116" s="6">
        <v>0</v>
      </c>
      <c r="P116" s="6">
        <v>0</v>
      </c>
      <c r="Q116" s="6">
        <v>0</v>
      </c>
      <c r="R116" s="6">
        <v>1000</v>
      </c>
      <c r="S116" s="6">
        <v>0</v>
      </c>
      <c r="T116" s="6">
        <v>0</v>
      </c>
    </row>
    <row r="117" spans="1:20" x14ac:dyDescent="0.25">
      <c r="A117" s="4">
        <v>101</v>
      </c>
      <c r="B117" s="7" t="s">
        <v>130</v>
      </c>
      <c r="C117" s="6">
        <f t="shared" si="1"/>
        <v>5799</v>
      </c>
      <c r="D117" s="6">
        <v>380</v>
      </c>
      <c r="E117" s="6">
        <v>0</v>
      </c>
      <c r="F117" s="6">
        <v>3030</v>
      </c>
      <c r="G117" s="6">
        <v>0</v>
      </c>
      <c r="H117" s="6"/>
      <c r="I117" s="6">
        <v>0</v>
      </c>
      <c r="J117" s="6"/>
      <c r="K117" s="6"/>
      <c r="L117" s="6">
        <v>615</v>
      </c>
      <c r="M117" s="6">
        <v>889</v>
      </c>
      <c r="N117" s="6"/>
      <c r="O117" s="6">
        <v>0</v>
      </c>
      <c r="P117" s="6">
        <v>0</v>
      </c>
      <c r="Q117" s="6">
        <v>0</v>
      </c>
      <c r="R117" s="6">
        <v>0</v>
      </c>
      <c r="S117" s="6">
        <v>585</v>
      </c>
      <c r="T117" s="6">
        <v>300</v>
      </c>
    </row>
    <row r="118" spans="1:20" x14ac:dyDescent="0.25">
      <c r="A118" s="4">
        <v>102</v>
      </c>
      <c r="B118" s="5" t="s">
        <v>3</v>
      </c>
      <c r="C118" s="6">
        <f t="shared" si="1"/>
        <v>35440</v>
      </c>
      <c r="D118" s="6">
        <v>765</v>
      </c>
      <c r="E118" s="6">
        <v>2082</v>
      </c>
      <c r="F118" s="6">
        <v>19591</v>
      </c>
      <c r="G118" s="6">
        <v>0</v>
      </c>
      <c r="H118" s="6"/>
      <c r="I118" s="6">
        <v>0</v>
      </c>
      <c r="J118" s="6"/>
      <c r="K118" s="6"/>
      <c r="L118" s="6">
        <v>3365</v>
      </c>
      <c r="M118" s="6">
        <v>1278</v>
      </c>
      <c r="N118" s="6"/>
      <c r="O118" s="6">
        <v>0</v>
      </c>
      <c r="P118" s="6">
        <v>1150</v>
      </c>
      <c r="Q118" s="6">
        <v>4913</v>
      </c>
      <c r="R118" s="6">
        <v>0</v>
      </c>
      <c r="S118" s="6">
        <v>1171</v>
      </c>
      <c r="T118" s="6">
        <v>1125</v>
      </c>
    </row>
    <row r="119" spans="1:20" x14ac:dyDescent="0.25">
      <c r="A119" s="4">
        <v>103</v>
      </c>
      <c r="B119" s="7" t="s">
        <v>10</v>
      </c>
      <c r="C119" s="6">
        <f t="shared" si="1"/>
        <v>36623</v>
      </c>
      <c r="D119" s="6">
        <v>780</v>
      </c>
      <c r="E119" s="6">
        <v>0</v>
      </c>
      <c r="F119" s="6">
        <v>4923</v>
      </c>
      <c r="G119" s="6">
        <v>0</v>
      </c>
      <c r="H119" s="6"/>
      <c r="I119" s="6">
        <v>0</v>
      </c>
      <c r="J119" s="6"/>
      <c r="K119" s="6"/>
      <c r="L119" s="6">
        <v>2252</v>
      </c>
      <c r="M119" s="6">
        <v>12096</v>
      </c>
      <c r="N119" s="6"/>
      <c r="O119" s="6">
        <v>0</v>
      </c>
      <c r="P119" s="6">
        <v>550</v>
      </c>
      <c r="Q119" s="6">
        <v>3329</v>
      </c>
      <c r="R119" s="6">
        <v>0</v>
      </c>
      <c r="S119" s="6">
        <v>1198</v>
      </c>
      <c r="T119" s="6">
        <v>11495</v>
      </c>
    </row>
    <row r="120" spans="1:20" x14ac:dyDescent="0.25">
      <c r="A120" s="4">
        <v>104</v>
      </c>
      <c r="B120" s="5" t="s">
        <v>15</v>
      </c>
      <c r="C120" s="6">
        <f t="shared" si="1"/>
        <v>98709</v>
      </c>
      <c r="D120" s="6">
        <v>2063</v>
      </c>
      <c r="E120" s="6">
        <v>1024</v>
      </c>
      <c r="F120" s="6">
        <v>10942</v>
      </c>
      <c r="G120" s="6">
        <v>0</v>
      </c>
      <c r="H120" s="6"/>
      <c r="I120" s="6">
        <v>0</v>
      </c>
      <c r="J120" s="6"/>
      <c r="K120" s="6"/>
      <c r="L120" s="6">
        <v>7315</v>
      </c>
      <c r="M120" s="6">
        <v>36314</v>
      </c>
      <c r="N120" s="6"/>
      <c r="O120" s="6">
        <v>0</v>
      </c>
      <c r="P120" s="6">
        <v>1117</v>
      </c>
      <c r="Q120" s="6">
        <v>1758</v>
      </c>
      <c r="R120" s="6">
        <v>0</v>
      </c>
      <c r="S120" s="6">
        <v>5744</v>
      </c>
      <c r="T120" s="6">
        <v>32432</v>
      </c>
    </row>
    <row r="121" spans="1:20" x14ac:dyDescent="0.25">
      <c r="A121" s="4">
        <v>105</v>
      </c>
      <c r="B121" s="7" t="s">
        <v>39</v>
      </c>
      <c r="C121" s="6">
        <f t="shared" si="1"/>
        <v>44558</v>
      </c>
      <c r="D121" s="6">
        <v>953</v>
      </c>
      <c r="E121" s="6">
        <v>1230</v>
      </c>
      <c r="F121" s="6">
        <v>5064</v>
      </c>
      <c r="G121" s="6">
        <v>0</v>
      </c>
      <c r="H121" s="6"/>
      <c r="I121" s="6">
        <v>0</v>
      </c>
      <c r="J121" s="6"/>
      <c r="K121" s="6"/>
      <c r="L121" s="6">
        <v>3500</v>
      </c>
      <c r="M121" s="6">
        <v>13680</v>
      </c>
      <c r="N121" s="6"/>
      <c r="O121" s="6">
        <v>0</v>
      </c>
      <c r="P121" s="6">
        <v>132</v>
      </c>
      <c r="Q121" s="6">
        <v>4388</v>
      </c>
      <c r="R121" s="6">
        <v>0</v>
      </c>
      <c r="S121" s="6">
        <v>2638</v>
      </c>
      <c r="T121" s="6">
        <v>12973</v>
      </c>
    </row>
    <row r="122" spans="1:20" x14ac:dyDescent="0.25">
      <c r="A122" s="4">
        <v>106</v>
      </c>
      <c r="B122" s="7" t="s">
        <v>16</v>
      </c>
      <c r="C122" s="6">
        <f t="shared" si="1"/>
        <v>56224</v>
      </c>
      <c r="D122" s="6">
        <v>1229</v>
      </c>
      <c r="E122" s="6">
        <v>5991</v>
      </c>
      <c r="F122" s="6">
        <v>13062</v>
      </c>
      <c r="G122" s="6">
        <v>0</v>
      </c>
      <c r="H122" s="6"/>
      <c r="I122" s="6">
        <v>0</v>
      </c>
      <c r="J122" s="6">
        <v>1025</v>
      </c>
      <c r="K122" s="6">
        <v>439</v>
      </c>
      <c r="L122" s="6">
        <v>4803</v>
      </c>
      <c r="M122" s="6">
        <v>11554</v>
      </c>
      <c r="N122" s="6"/>
      <c r="O122" s="6">
        <v>0</v>
      </c>
      <c r="P122" s="6">
        <v>502</v>
      </c>
      <c r="Q122" s="6">
        <v>6050</v>
      </c>
      <c r="R122" s="6">
        <v>0</v>
      </c>
      <c r="S122" s="6">
        <v>4404</v>
      </c>
      <c r="T122" s="6">
        <v>7165</v>
      </c>
    </row>
    <row r="123" spans="1:20" ht="15.75" customHeight="1" x14ac:dyDescent="0.25">
      <c r="A123" s="4">
        <v>107</v>
      </c>
      <c r="B123" s="7" t="s">
        <v>131</v>
      </c>
      <c r="C123" s="6">
        <f t="shared" si="1"/>
        <v>50</v>
      </c>
      <c r="D123" s="6"/>
      <c r="E123" s="6"/>
      <c r="F123" s="6"/>
      <c r="G123" s="6"/>
      <c r="H123" s="6"/>
      <c r="I123" s="6">
        <v>50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x14ac:dyDescent="0.25">
      <c r="A124" s="4">
        <v>108</v>
      </c>
      <c r="B124" s="5" t="s">
        <v>27</v>
      </c>
      <c r="C124" s="6">
        <f t="shared" si="1"/>
        <v>104876</v>
      </c>
      <c r="D124" s="6">
        <v>2171</v>
      </c>
      <c r="E124" s="6">
        <v>2181</v>
      </c>
      <c r="F124" s="6">
        <v>30357</v>
      </c>
      <c r="G124" s="6">
        <v>0</v>
      </c>
      <c r="H124" s="6"/>
      <c r="I124" s="6">
        <v>0</v>
      </c>
      <c r="J124" s="6"/>
      <c r="K124" s="6"/>
      <c r="L124" s="6">
        <v>3900</v>
      </c>
      <c r="M124" s="6">
        <v>30313</v>
      </c>
      <c r="N124" s="6"/>
      <c r="O124" s="6">
        <v>0</v>
      </c>
      <c r="P124" s="6">
        <v>2249</v>
      </c>
      <c r="Q124" s="6">
        <v>4000</v>
      </c>
      <c r="R124" s="6">
        <v>0</v>
      </c>
      <c r="S124" s="6">
        <v>3370</v>
      </c>
      <c r="T124" s="6">
        <v>26335</v>
      </c>
    </row>
    <row r="125" spans="1:20" x14ac:dyDescent="0.25">
      <c r="A125" s="4">
        <v>109</v>
      </c>
      <c r="B125" s="5" t="s">
        <v>32</v>
      </c>
      <c r="C125" s="6">
        <f t="shared" si="1"/>
        <v>95743</v>
      </c>
      <c r="D125" s="6">
        <v>1992</v>
      </c>
      <c r="E125" s="6">
        <v>1400</v>
      </c>
      <c r="F125" s="6">
        <v>22735</v>
      </c>
      <c r="G125" s="6">
        <v>0</v>
      </c>
      <c r="H125" s="6"/>
      <c r="I125" s="6">
        <v>0</v>
      </c>
      <c r="J125" s="6"/>
      <c r="K125" s="6"/>
      <c r="L125" s="6">
        <v>9396</v>
      </c>
      <c r="M125" s="6">
        <v>20499</v>
      </c>
      <c r="N125" s="6"/>
      <c r="O125" s="6">
        <v>0</v>
      </c>
      <c r="P125" s="6">
        <v>5200</v>
      </c>
      <c r="Q125" s="6">
        <v>8926</v>
      </c>
      <c r="R125" s="6">
        <v>0</v>
      </c>
      <c r="S125" s="6">
        <v>15630</v>
      </c>
      <c r="T125" s="6">
        <v>9965</v>
      </c>
    </row>
    <row r="126" spans="1:20" x14ac:dyDescent="0.25">
      <c r="A126" s="4">
        <v>110</v>
      </c>
      <c r="B126" s="7" t="s">
        <v>33</v>
      </c>
      <c r="C126" s="6">
        <f t="shared" si="1"/>
        <v>33037</v>
      </c>
      <c r="D126" s="6">
        <v>707</v>
      </c>
      <c r="E126" s="6">
        <v>1877</v>
      </c>
      <c r="F126" s="6">
        <v>11994</v>
      </c>
      <c r="G126" s="6">
        <v>0</v>
      </c>
      <c r="H126" s="6"/>
      <c r="I126" s="6">
        <v>0</v>
      </c>
      <c r="J126" s="6"/>
      <c r="K126" s="6"/>
      <c r="L126" s="6">
        <v>5648</v>
      </c>
      <c r="M126" s="6">
        <v>1345</v>
      </c>
      <c r="N126" s="6"/>
      <c r="O126" s="6">
        <v>0</v>
      </c>
      <c r="P126" s="6">
        <v>0</v>
      </c>
      <c r="Q126" s="6">
        <v>3177</v>
      </c>
      <c r="R126" s="6">
        <v>0</v>
      </c>
      <c r="S126" s="6">
        <v>875</v>
      </c>
      <c r="T126" s="6">
        <v>7414</v>
      </c>
    </row>
    <row r="127" spans="1:20" x14ac:dyDescent="0.25">
      <c r="A127" s="4">
        <v>111</v>
      </c>
      <c r="B127" s="5" t="s">
        <v>36</v>
      </c>
      <c r="C127" s="6">
        <f t="shared" si="1"/>
        <v>52401</v>
      </c>
      <c r="D127" s="6">
        <v>1141</v>
      </c>
      <c r="E127" s="6">
        <v>1987</v>
      </c>
      <c r="F127" s="6">
        <v>18019</v>
      </c>
      <c r="G127" s="6">
        <v>0</v>
      </c>
      <c r="H127" s="6"/>
      <c r="I127" s="6">
        <v>0</v>
      </c>
      <c r="J127" s="6"/>
      <c r="K127" s="6"/>
      <c r="L127" s="6">
        <v>3667</v>
      </c>
      <c r="M127" s="6">
        <v>10122</v>
      </c>
      <c r="N127" s="6"/>
      <c r="O127" s="6">
        <v>0</v>
      </c>
      <c r="P127" s="6">
        <v>810</v>
      </c>
      <c r="Q127" s="6">
        <v>4637</v>
      </c>
      <c r="R127" s="6">
        <v>0</v>
      </c>
      <c r="S127" s="6">
        <v>2536</v>
      </c>
      <c r="T127" s="6">
        <v>9482</v>
      </c>
    </row>
    <row r="128" spans="1:20" x14ac:dyDescent="0.25">
      <c r="A128" s="4">
        <v>112</v>
      </c>
      <c r="B128" s="7" t="s">
        <v>43</v>
      </c>
      <c r="C128" s="6">
        <f t="shared" si="1"/>
        <v>50542</v>
      </c>
      <c r="D128" s="6">
        <v>1057</v>
      </c>
      <c r="E128" s="6">
        <v>1099</v>
      </c>
      <c r="F128" s="6">
        <v>10649</v>
      </c>
      <c r="G128" s="6">
        <v>0</v>
      </c>
      <c r="H128" s="6"/>
      <c r="I128" s="6">
        <v>0</v>
      </c>
      <c r="J128" s="6"/>
      <c r="K128" s="6"/>
      <c r="L128" s="6">
        <v>8268</v>
      </c>
      <c r="M128" s="6">
        <v>10007</v>
      </c>
      <c r="N128" s="6">
        <v>402</v>
      </c>
      <c r="O128" s="6">
        <v>0</v>
      </c>
      <c r="P128" s="6">
        <v>0</v>
      </c>
      <c r="Q128" s="6">
        <v>3175</v>
      </c>
      <c r="R128" s="6">
        <v>0</v>
      </c>
      <c r="S128" s="6">
        <v>3033</v>
      </c>
      <c r="T128" s="6">
        <v>12852</v>
      </c>
    </row>
    <row r="129" spans="1:20" x14ac:dyDescent="0.25">
      <c r="A129" s="4">
        <v>113</v>
      </c>
      <c r="B129" s="7" t="s">
        <v>21</v>
      </c>
      <c r="C129" s="6">
        <f t="shared" si="1"/>
        <v>70086</v>
      </c>
      <c r="D129" s="6">
        <v>1202</v>
      </c>
      <c r="E129" s="6">
        <v>1480</v>
      </c>
      <c r="F129" s="6">
        <v>12744</v>
      </c>
      <c r="G129" s="6">
        <v>0</v>
      </c>
      <c r="H129" s="6">
        <v>10739</v>
      </c>
      <c r="I129" s="6">
        <v>0</v>
      </c>
      <c r="J129" s="6">
        <v>1025</v>
      </c>
      <c r="K129" s="6">
        <v>439</v>
      </c>
      <c r="L129" s="6">
        <v>7980</v>
      </c>
      <c r="M129" s="6">
        <v>15665</v>
      </c>
      <c r="N129" s="6"/>
      <c r="O129" s="6">
        <v>0</v>
      </c>
      <c r="P129" s="6">
        <v>2320</v>
      </c>
      <c r="Q129" s="6">
        <v>3875</v>
      </c>
      <c r="R129" s="6">
        <v>0</v>
      </c>
      <c r="S129" s="6">
        <v>1320</v>
      </c>
      <c r="T129" s="6">
        <v>11297</v>
      </c>
    </row>
    <row r="130" spans="1:20" x14ac:dyDescent="0.25">
      <c r="A130" s="4">
        <v>114</v>
      </c>
      <c r="B130" s="5" t="s">
        <v>42</v>
      </c>
      <c r="C130" s="6">
        <f t="shared" si="1"/>
        <v>38132</v>
      </c>
      <c r="D130" s="6">
        <v>809</v>
      </c>
      <c r="E130" s="6">
        <v>0</v>
      </c>
      <c r="F130" s="6">
        <v>9093</v>
      </c>
      <c r="G130" s="6">
        <v>0</v>
      </c>
      <c r="H130" s="6"/>
      <c r="I130" s="6">
        <v>0</v>
      </c>
      <c r="J130" s="6"/>
      <c r="K130" s="6"/>
      <c r="L130" s="6">
        <v>7054</v>
      </c>
      <c r="M130" s="6">
        <v>7596</v>
      </c>
      <c r="N130" s="6"/>
      <c r="O130" s="6">
        <v>0</v>
      </c>
      <c r="P130" s="6">
        <v>600</v>
      </c>
      <c r="Q130" s="6">
        <v>2875</v>
      </c>
      <c r="R130" s="6">
        <v>0</v>
      </c>
      <c r="S130" s="6">
        <v>4346</v>
      </c>
      <c r="T130" s="6">
        <v>5759</v>
      </c>
    </row>
    <row r="131" spans="1:20" x14ac:dyDescent="0.25">
      <c r="A131" s="4">
        <v>115</v>
      </c>
      <c r="B131" s="7" t="s">
        <v>50</v>
      </c>
      <c r="C131" s="6">
        <f t="shared" si="1"/>
        <v>57795</v>
      </c>
      <c r="D131" s="6">
        <v>1261</v>
      </c>
      <c r="E131" s="6">
        <v>3555</v>
      </c>
      <c r="F131" s="6">
        <v>23608</v>
      </c>
      <c r="G131" s="6">
        <v>0</v>
      </c>
      <c r="H131" s="6"/>
      <c r="I131" s="6">
        <v>0</v>
      </c>
      <c r="J131" s="6"/>
      <c r="K131" s="6"/>
      <c r="L131" s="6">
        <v>5155</v>
      </c>
      <c r="M131" s="6">
        <v>11683</v>
      </c>
      <c r="N131" s="6"/>
      <c r="O131" s="6">
        <v>0</v>
      </c>
      <c r="P131" s="6">
        <v>1460</v>
      </c>
      <c r="Q131" s="6">
        <v>5046</v>
      </c>
      <c r="R131" s="6">
        <v>0</v>
      </c>
      <c r="S131" s="6">
        <v>830</v>
      </c>
      <c r="T131" s="6">
        <v>5197</v>
      </c>
    </row>
    <row r="132" spans="1:20" x14ac:dyDescent="0.25">
      <c r="A132" s="4">
        <v>116</v>
      </c>
      <c r="B132" s="7" t="s">
        <v>51</v>
      </c>
      <c r="C132" s="6">
        <f t="shared" si="1"/>
        <v>96968</v>
      </c>
      <c r="D132" s="6">
        <v>2099</v>
      </c>
      <c r="E132" s="6">
        <v>5920</v>
      </c>
      <c r="F132" s="6">
        <v>45838</v>
      </c>
      <c r="G132" s="6">
        <v>0</v>
      </c>
      <c r="H132" s="6"/>
      <c r="I132" s="6">
        <v>0</v>
      </c>
      <c r="J132" s="6"/>
      <c r="K132" s="6"/>
      <c r="L132" s="6">
        <v>6540</v>
      </c>
      <c r="M132" s="6">
        <v>13812</v>
      </c>
      <c r="N132" s="6"/>
      <c r="O132" s="6">
        <v>0</v>
      </c>
      <c r="P132" s="6">
        <v>1272</v>
      </c>
      <c r="Q132" s="6">
        <v>6203</v>
      </c>
      <c r="R132" s="6">
        <v>0</v>
      </c>
      <c r="S132" s="6">
        <v>6168</v>
      </c>
      <c r="T132" s="6">
        <v>9116</v>
      </c>
    </row>
    <row r="133" spans="1:20" x14ac:dyDescent="0.25">
      <c r="A133" s="4">
        <v>117</v>
      </c>
      <c r="B133" s="7" t="s">
        <v>14</v>
      </c>
      <c r="C133" s="6">
        <f t="shared" si="1"/>
        <v>45620</v>
      </c>
      <c r="D133" s="6">
        <v>992</v>
      </c>
      <c r="E133" s="6">
        <v>1230</v>
      </c>
      <c r="F133" s="6">
        <v>10862</v>
      </c>
      <c r="G133" s="6">
        <v>0</v>
      </c>
      <c r="H133" s="6"/>
      <c r="I133" s="6">
        <v>0</v>
      </c>
      <c r="J133" s="6"/>
      <c r="K133" s="6"/>
      <c r="L133" s="6">
        <v>2230</v>
      </c>
      <c r="M133" s="6">
        <v>13805</v>
      </c>
      <c r="N133" s="6"/>
      <c r="O133" s="6">
        <v>0</v>
      </c>
      <c r="P133" s="6">
        <v>1580</v>
      </c>
      <c r="Q133" s="6">
        <v>3110</v>
      </c>
      <c r="R133" s="6">
        <v>0</v>
      </c>
      <c r="S133" s="6">
        <v>2160</v>
      </c>
      <c r="T133" s="6">
        <v>9651</v>
      </c>
    </row>
    <row r="134" spans="1:20" x14ac:dyDescent="0.25">
      <c r="A134" s="4">
        <v>118</v>
      </c>
      <c r="B134" s="12" t="s">
        <v>150</v>
      </c>
      <c r="C134" s="6">
        <f t="shared" si="1"/>
        <v>35151</v>
      </c>
      <c r="D134" s="6">
        <v>1230</v>
      </c>
      <c r="E134" s="6">
        <v>1170</v>
      </c>
      <c r="F134" s="6">
        <v>10925</v>
      </c>
      <c r="G134" s="6">
        <v>0</v>
      </c>
      <c r="H134" s="6"/>
      <c r="I134" s="6">
        <v>0</v>
      </c>
      <c r="J134" s="6">
        <v>2051</v>
      </c>
      <c r="K134" s="6">
        <v>877</v>
      </c>
      <c r="L134" s="6">
        <v>3260</v>
      </c>
      <c r="M134" s="6">
        <v>8154</v>
      </c>
      <c r="N134" s="6"/>
      <c r="O134" s="6">
        <v>0</v>
      </c>
      <c r="P134" s="6">
        <v>0</v>
      </c>
      <c r="Q134" s="6">
        <v>0</v>
      </c>
      <c r="R134" s="6">
        <v>0</v>
      </c>
      <c r="S134" s="6">
        <v>570</v>
      </c>
      <c r="T134" s="6">
        <v>6914</v>
      </c>
    </row>
    <row r="135" spans="1:20" x14ac:dyDescent="0.25">
      <c r="A135" s="4">
        <v>119</v>
      </c>
      <c r="B135" s="11" t="s">
        <v>135</v>
      </c>
      <c r="C135" s="6">
        <f t="shared" si="1"/>
        <v>0</v>
      </c>
      <c r="D135" s="6"/>
      <c r="E135" s="6"/>
      <c r="F135" s="6"/>
      <c r="G135" s="6"/>
      <c r="H135" s="6"/>
      <c r="I135" s="6">
        <f>32-32</f>
        <v>0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x14ac:dyDescent="0.25">
      <c r="A136" s="4">
        <v>120</v>
      </c>
      <c r="B136" s="5" t="s">
        <v>132</v>
      </c>
      <c r="C136" s="6">
        <f t="shared" si="1"/>
        <v>100</v>
      </c>
      <c r="D136" s="6"/>
      <c r="E136" s="6">
        <v>0</v>
      </c>
      <c r="F136" s="6">
        <v>0</v>
      </c>
      <c r="G136" s="6">
        <v>0</v>
      </c>
      <c r="H136" s="6"/>
      <c r="I136" s="6">
        <v>30</v>
      </c>
      <c r="J136" s="6"/>
      <c r="K136" s="6"/>
      <c r="L136" s="6">
        <v>0</v>
      </c>
      <c r="M136" s="6">
        <v>0</v>
      </c>
      <c r="N136" s="6"/>
      <c r="O136" s="6">
        <v>70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</row>
    <row r="137" spans="1:20" x14ac:dyDescent="0.25">
      <c r="A137" s="4">
        <v>121</v>
      </c>
      <c r="B137" s="7" t="s">
        <v>133</v>
      </c>
      <c r="C137" s="6">
        <f t="shared" si="1"/>
        <v>75</v>
      </c>
      <c r="D137" s="6"/>
      <c r="E137" s="6"/>
      <c r="F137" s="6"/>
      <c r="G137" s="6"/>
      <c r="H137" s="6"/>
      <c r="I137" s="6">
        <v>75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x14ac:dyDescent="0.25">
      <c r="A138" s="4">
        <v>122</v>
      </c>
      <c r="B138" s="7" t="s">
        <v>134</v>
      </c>
      <c r="C138" s="6">
        <f t="shared" si="1"/>
        <v>265</v>
      </c>
      <c r="D138" s="6"/>
      <c r="E138" s="6">
        <v>0</v>
      </c>
      <c r="F138" s="6">
        <v>0</v>
      </c>
      <c r="G138" s="6">
        <v>0</v>
      </c>
      <c r="H138" s="6"/>
      <c r="I138" s="6">
        <v>265</v>
      </c>
      <c r="J138" s="6"/>
      <c r="K138" s="6"/>
      <c r="L138" s="6">
        <v>0</v>
      </c>
      <c r="M138" s="6">
        <v>0</v>
      </c>
      <c r="N138" s="6"/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</row>
    <row r="139" spans="1:20" x14ac:dyDescent="0.25">
      <c r="A139" s="4">
        <v>123</v>
      </c>
      <c r="B139" s="7" t="s">
        <v>136</v>
      </c>
      <c r="C139" s="6">
        <f t="shared" si="1"/>
        <v>32</v>
      </c>
      <c r="D139" s="6"/>
      <c r="E139" s="6"/>
      <c r="F139" s="6"/>
      <c r="G139" s="6"/>
      <c r="H139" s="6"/>
      <c r="I139" s="6">
        <v>32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22.5" x14ac:dyDescent="0.25">
      <c r="A140" s="4">
        <v>124</v>
      </c>
      <c r="B140" s="7" t="s">
        <v>137</v>
      </c>
      <c r="C140" s="6">
        <f t="shared" ref="C140:C162" si="2">D140+E140+F140+G140+H140+I140+J140+K140+L140+M140+N140+P140+Q140+R140+S140+T140+O140</f>
        <v>32</v>
      </c>
      <c r="D140" s="6"/>
      <c r="E140" s="6"/>
      <c r="F140" s="6"/>
      <c r="G140" s="6"/>
      <c r="H140" s="6"/>
      <c r="I140" s="6">
        <v>32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22.5" x14ac:dyDescent="0.25">
      <c r="A141" s="4">
        <v>125</v>
      </c>
      <c r="B141" s="7" t="s">
        <v>138</v>
      </c>
      <c r="C141" s="6">
        <f t="shared" si="2"/>
        <v>32</v>
      </c>
      <c r="D141" s="6"/>
      <c r="E141" s="6"/>
      <c r="F141" s="6"/>
      <c r="G141" s="6"/>
      <c r="H141" s="6"/>
      <c r="I141" s="6">
        <v>32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x14ac:dyDescent="0.25">
      <c r="A142" s="4">
        <v>126</v>
      </c>
      <c r="B142" s="7" t="s">
        <v>139</v>
      </c>
      <c r="C142" s="6">
        <f t="shared" si="2"/>
        <v>217195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>
        <v>217195</v>
      </c>
      <c r="O142" s="6"/>
      <c r="P142" s="6"/>
      <c r="Q142" s="6"/>
      <c r="R142" s="6"/>
      <c r="S142" s="6"/>
      <c r="T142" s="6"/>
    </row>
    <row r="143" spans="1:20" x14ac:dyDescent="0.25">
      <c r="A143" s="4">
        <v>127</v>
      </c>
      <c r="B143" s="7" t="s">
        <v>151</v>
      </c>
      <c r="C143" s="6">
        <f t="shared" si="2"/>
        <v>130000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>
        <v>130000</v>
      </c>
      <c r="O143" s="6"/>
      <c r="P143" s="6"/>
      <c r="Q143" s="6"/>
      <c r="R143" s="6"/>
      <c r="S143" s="6"/>
      <c r="T143" s="6"/>
    </row>
    <row r="144" spans="1:20" x14ac:dyDescent="0.25">
      <c r="A144" s="4">
        <v>128</v>
      </c>
      <c r="B144" s="7" t="s">
        <v>152</v>
      </c>
      <c r="C144" s="6">
        <f t="shared" si="2"/>
        <v>85000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>
        <v>85000</v>
      </c>
      <c r="O144" s="6"/>
      <c r="P144" s="6"/>
      <c r="Q144" s="6"/>
      <c r="R144" s="6"/>
      <c r="S144" s="6"/>
      <c r="T144" s="6"/>
    </row>
    <row r="145" spans="1:20" x14ac:dyDescent="0.25">
      <c r="A145" s="4">
        <v>129</v>
      </c>
      <c r="B145" s="7" t="s">
        <v>88</v>
      </c>
      <c r="C145" s="6">
        <f t="shared" si="2"/>
        <v>113400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>
        <v>113400</v>
      </c>
      <c r="O145" s="6"/>
      <c r="P145" s="6"/>
      <c r="Q145" s="6"/>
      <c r="R145" s="6"/>
      <c r="S145" s="6"/>
      <c r="T145" s="6"/>
    </row>
    <row r="146" spans="1:20" x14ac:dyDescent="0.25">
      <c r="A146" s="4">
        <v>130</v>
      </c>
      <c r="B146" s="7" t="s">
        <v>140</v>
      </c>
      <c r="C146" s="6">
        <f t="shared" si="2"/>
        <v>8000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>
        <v>8000</v>
      </c>
      <c r="O146" s="6"/>
      <c r="P146" s="6"/>
      <c r="Q146" s="6"/>
      <c r="R146" s="6"/>
      <c r="S146" s="6"/>
      <c r="T146" s="6"/>
    </row>
    <row r="147" spans="1:20" x14ac:dyDescent="0.25">
      <c r="A147" s="4">
        <v>131</v>
      </c>
      <c r="B147" s="7" t="s">
        <v>141</v>
      </c>
      <c r="C147" s="6">
        <f t="shared" si="2"/>
        <v>65356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>
        <v>65356</v>
      </c>
      <c r="O147" s="6"/>
      <c r="P147" s="6"/>
      <c r="Q147" s="6"/>
      <c r="R147" s="6"/>
      <c r="S147" s="6"/>
      <c r="T147" s="6"/>
    </row>
    <row r="148" spans="1:20" x14ac:dyDescent="0.25">
      <c r="A148" s="4">
        <v>132</v>
      </c>
      <c r="B148" s="7" t="s">
        <v>142</v>
      </c>
      <c r="C148" s="6">
        <f t="shared" si="2"/>
        <v>57642</v>
      </c>
      <c r="D148" s="6"/>
      <c r="E148" s="6">
        <v>0</v>
      </c>
      <c r="F148" s="6">
        <v>0</v>
      </c>
      <c r="G148" s="6">
        <v>21500</v>
      </c>
      <c r="H148" s="6"/>
      <c r="I148" s="6">
        <v>22142</v>
      </c>
      <c r="J148" s="6"/>
      <c r="K148" s="6"/>
      <c r="L148" s="6">
        <v>0</v>
      </c>
      <c r="M148" s="6">
        <v>0</v>
      </c>
      <c r="N148" s="6">
        <v>4000</v>
      </c>
      <c r="O148" s="6">
        <v>0</v>
      </c>
      <c r="P148" s="6">
        <v>0</v>
      </c>
      <c r="Q148" s="6">
        <v>0</v>
      </c>
      <c r="R148" s="6">
        <v>10000</v>
      </c>
      <c r="S148" s="6">
        <v>0</v>
      </c>
      <c r="T148" s="6">
        <v>0</v>
      </c>
    </row>
    <row r="149" spans="1:20" x14ac:dyDescent="0.25">
      <c r="A149" s="4">
        <v>133</v>
      </c>
      <c r="B149" s="7" t="s">
        <v>153</v>
      </c>
      <c r="C149" s="6">
        <f t="shared" si="2"/>
        <v>128000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>
        <v>128000</v>
      </c>
      <c r="O149" s="6"/>
      <c r="P149" s="6"/>
      <c r="Q149" s="6"/>
      <c r="R149" s="6"/>
      <c r="S149" s="6"/>
      <c r="T149" s="6"/>
    </row>
    <row r="150" spans="1:20" x14ac:dyDescent="0.25">
      <c r="A150" s="4">
        <v>134</v>
      </c>
      <c r="B150" s="7" t="s">
        <v>154</v>
      </c>
      <c r="C150" s="6">
        <f t="shared" si="2"/>
        <v>20188</v>
      </c>
      <c r="D150" s="6"/>
      <c r="E150" s="6"/>
      <c r="F150" s="6"/>
      <c r="G150" s="6"/>
      <c r="H150" s="6">
        <v>20038</v>
      </c>
      <c r="I150" s="6"/>
      <c r="J150" s="6"/>
      <c r="K150" s="6"/>
      <c r="L150" s="6"/>
      <c r="M150" s="6"/>
      <c r="N150" s="6">
        <v>150</v>
      </c>
      <c r="O150" s="6"/>
      <c r="P150" s="6"/>
      <c r="Q150" s="6"/>
      <c r="R150" s="6"/>
      <c r="S150" s="6"/>
      <c r="T150" s="6"/>
    </row>
    <row r="151" spans="1:20" x14ac:dyDescent="0.25">
      <c r="A151" s="4">
        <v>135</v>
      </c>
      <c r="B151" s="7" t="s">
        <v>155</v>
      </c>
      <c r="C151" s="6">
        <f t="shared" si="2"/>
        <v>57392</v>
      </c>
      <c r="D151" s="6"/>
      <c r="E151" s="6"/>
      <c r="F151" s="6"/>
      <c r="G151" s="6"/>
      <c r="H151" s="6"/>
      <c r="I151" s="6"/>
      <c r="J151" s="6">
        <v>3075</v>
      </c>
      <c r="K151" s="6">
        <v>1317</v>
      </c>
      <c r="L151" s="6"/>
      <c r="M151" s="6"/>
      <c r="N151" s="6">
        <v>53000</v>
      </c>
      <c r="O151" s="6"/>
      <c r="P151" s="6"/>
      <c r="Q151" s="6"/>
      <c r="R151" s="6"/>
      <c r="S151" s="6"/>
      <c r="T151" s="6"/>
    </row>
    <row r="152" spans="1:20" x14ac:dyDescent="0.25">
      <c r="A152" s="4">
        <v>136</v>
      </c>
      <c r="B152" s="7" t="s">
        <v>89</v>
      </c>
      <c r="C152" s="6">
        <f t="shared" si="2"/>
        <v>1009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>
        <v>1009</v>
      </c>
      <c r="O152" s="6"/>
      <c r="P152" s="6"/>
      <c r="Q152" s="6"/>
      <c r="R152" s="6"/>
      <c r="S152" s="6"/>
      <c r="T152" s="6"/>
    </row>
    <row r="153" spans="1:20" x14ac:dyDescent="0.25">
      <c r="A153" s="573">
        <v>137</v>
      </c>
      <c r="B153" s="7" t="s">
        <v>143</v>
      </c>
      <c r="C153" s="6">
        <f t="shared" si="2"/>
        <v>70792</v>
      </c>
      <c r="D153" s="6">
        <v>2230</v>
      </c>
      <c r="E153" s="6">
        <v>16055</v>
      </c>
      <c r="F153" s="6">
        <v>14008</v>
      </c>
      <c r="G153" s="6">
        <v>0</v>
      </c>
      <c r="H153" s="6"/>
      <c r="I153" s="6">
        <v>0</v>
      </c>
      <c r="J153" s="6"/>
      <c r="K153" s="6"/>
      <c r="L153" s="6">
        <v>12508</v>
      </c>
      <c r="M153" s="6">
        <v>6617</v>
      </c>
      <c r="N153" s="6">
        <v>4030</v>
      </c>
      <c r="O153" s="6">
        <v>0</v>
      </c>
      <c r="P153" s="6">
        <v>0</v>
      </c>
      <c r="Q153" s="6">
        <v>3000</v>
      </c>
      <c r="R153" s="6">
        <v>0</v>
      </c>
      <c r="S153" s="6">
        <v>7337</v>
      </c>
      <c r="T153" s="6">
        <v>5007</v>
      </c>
    </row>
    <row r="154" spans="1:20" ht="34.5" x14ac:dyDescent="0.25">
      <c r="A154" s="574"/>
      <c r="B154" s="386" t="s">
        <v>711</v>
      </c>
      <c r="C154" s="6">
        <f t="shared" si="2"/>
        <v>148668</v>
      </c>
      <c r="D154" s="6">
        <v>3426</v>
      </c>
      <c r="E154" s="6">
        <v>7565</v>
      </c>
      <c r="F154" s="6">
        <v>57488</v>
      </c>
      <c r="G154" s="6">
        <v>0</v>
      </c>
      <c r="H154" s="6"/>
      <c r="I154" s="6">
        <v>0</v>
      </c>
      <c r="J154" s="6"/>
      <c r="K154" s="6"/>
      <c r="L154" s="6">
        <v>5171</v>
      </c>
      <c r="M154" s="6">
        <v>38347</v>
      </c>
      <c r="N154" s="6"/>
      <c r="O154" s="6">
        <v>0</v>
      </c>
      <c r="P154" s="6">
        <v>2376</v>
      </c>
      <c r="Q154" s="6">
        <v>0</v>
      </c>
      <c r="R154" s="6">
        <v>0</v>
      </c>
      <c r="S154" s="6">
        <v>5388</v>
      </c>
      <c r="T154" s="6">
        <v>28907</v>
      </c>
    </row>
    <row r="155" spans="1:20" x14ac:dyDescent="0.25">
      <c r="A155" s="4">
        <v>138</v>
      </c>
      <c r="B155" s="7" t="s">
        <v>90</v>
      </c>
      <c r="C155" s="6">
        <f t="shared" si="2"/>
        <v>3000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>
        <v>3000</v>
      </c>
      <c r="O155" s="6"/>
      <c r="P155" s="6"/>
      <c r="Q155" s="6"/>
      <c r="R155" s="6"/>
      <c r="S155" s="6"/>
      <c r="T155" s="6"/>
    </row>
    <row r="156" spans="1:20" x14ac:dyDescent="0.25">
      <c r="A156" s="4">
        <v>139</v>
      </c>
      <c r="B156" s="7" t="s">
        <v>145</v>
      </c>
      <c r="C156" s="6">
        <f t="shared" si="2"/>
        <v>9830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>
        <v>9830</v>
      </c>
      <c r="O156" s="6"/>
      <c r="P156" s="6"/>
      <c r="Q156" s="6"/>
      <c r="R156" s="6"/>
      <c r="S156" s="6"/>
      <c r="T156" s="6"/>
    </row>
    <row r="157" spans="1:20" x14ac:dyDescent="0.25">
      <c r="A157" s="4">
        <v>140</v>
      </c>
      <c r="B157" s="13" t="s">
        <v>156</v>
      </c>
      <c r="C157" s="6">
        <f t="shared" si="2"/>
        <v>26480</v>
      </c>
      <c r="D157" s="6"/>
      <c r="E157" s="6"/>
      <c r="F157" s="6"/>
      <c r="G157" s="6">
        <v>2648</v>
      </c>
      <c r="H157" s="6"/>
      <c r="I157" s="6">
        <v>23832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x14ac:dyDescent="0.25">
      <c r="A158" s="4">
        <v>141</v>
      </c>
      <c r="B158" s="14" t="s">
        <v>157</v>
      </c>
      <c r="C158" s="6">
        <f t="shared" si="2"/>
        <v>10080</v>
      </c>
      <c r="D158" s="6"/>
      <c r="E158" s="6"/>
      <c r="F158" s="6"/>
      <c r="G158" s="6">
        <v>1008</v>
      </c>
      <c r="H158" s="6"/>
      <c r="I158" s="6">
        <v>9072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x14ac:dyDescent="0.25">
      <c r="A159" s="4">
        <v>142</v>
      </c>
      <c r="B159" s="15" t="s">
        <v>158</v>
      </c>
      <c r="C159" s="6">
        <f t="shared" si="2"/>
        <v>5480</v>
      </c>
      <c r="D159" s="6"/>
      <c r="E159" s="6"/>
      <c r="F159" s="6"/>
      <c r="G159" s="6">
        <v>548</v>
      </c>
      <c r="H159" s="6"/>
      <c r="I159" s="6">
        <v>4932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x14ac:dyDescent="0.25">
      <c r="A160" s="4">
        <v>143</v>
      </c>
      <c r="B160" s="14" t="s">
        <v>159</v>
      </c>
      <c r="C160" s="6">
        <f t="shared" si="2"/>
        <v>2600</v>
      </c>
      <c r="D160" s="6"/>
      <c r="E160" s="6"/>
      <c r="F160" s="6"/>
      <c r="G160" s="6">
        <v>260</v>
      </c>
      <c r="H160" s="6"/>
      <c r="I160" s="6">
        <v>2340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x14ac:dyDescent="0.25">
      <c r="A161" s="4">
        <v>144</v>
      </c>
      <c r="B161" s="7" t="s">
        <v>160</v>
      </c>
      <c r="C161" s="6">
        <f t="shared" si="2"/>
        <v>640</v>
      </c>
      <c r="D161" s="6"/>
      <c r="E161" s="6"/>
      <c r="F161" s="6"/>
      <c r="G161" s="6">
        <v>64</v>
      </c>
      <c r="H161" s="6"/>
      <c r="I161" s="6">
        <v>576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x14ac:dyDescent="0.25">
      <c r="A162" s="16"/>
      <c r="B162" s="7" t="s">
        <v>91</v>
      </c>
      <c r="C162" s="6">
        <f t="shared" si="2"/>
        <v>271120</v>
      </c>
      <c r="D162" s="6"/>
      <c r="E162" s="6"/>
      <c r="F162" s="6"/>
      <c r="G162" s="6">
        <v>484</v>
      </c>
      <c r="H162" s="6"/>
      <c r="I162" s="6">
        <f>4356+32</f>
        <v>4388</v>
      </c>
      <c r="J162" s="6"/>
      <c r="K162" s="6"/>
      <c r="L162" s="6">
        <v>266248</v>
      </c>
      <c r="M162" s="6"/>
      <c r="N162" s="6"/>
      <c r="O162" s="6"/>
      <c r="P162" s="6"/>
      <c r="Q162" s="6"/>
      <c r="R162" s="6"/>
      <c r="S162" s="6"/>
      <c r="T162" s="6"/>
    </row>
    <row r="163" spans="1:20" x14ac:dyDescent="0.25">
      <c r="A163" s="17"/>
      <c r="B163" s="17" t="s">
        <v>146</v>
      </c>
      <c r="C163" s="18">
        <f>SUM(C10:C162)</f>
        <v>10051318</v>
      </c>
      <c r="D163" s="18">
        <f t="shared" ref="D163:T163" si="3">SUM(D10:D162)</f>
        <v>181537</v>
      </c>
      <c r="E163" s="18">
        <f t="shared" si="3"/>
        <v>361311</v>
      </c>
      <c r="F163" s="18">
        <f t="shared" si="3"/>
        <v>2310358</v>
      </c>
      <c r="G163" s="18">
        <f t="shared" si="3"/>
        <v>59926</v>
      </c>
      <c r="H163" s="18">
        <f t="shared" si="3"/>
        <v>402786</v>
      </c>
      <c r="I163" s="18">
        <f t="shared" si="3"/>
        <v>193694</v>
      </c>
      <c r="J163" s="18">
        <f t="shared" si="3"/>
        <v>38951</v>
      </c>
      <c r="K163" s="18">
        <f t="shared" si="3"/>
        <v>16681</v>
      </c>
      <c r="L163" s="18">
        <f t="shared" si="3"/>
        <v>888868</v>
      </c>
      <c r="M163" s="18">
        <f t="shared" si="3"/>
        <v>1932423</v>
      </c>
      <c r="N163" s="18">
        <f t="shared" si="3"/>
        <v>858135</v>
      </c>
      <c r="O163" s="18">
        <f t="shared" si="3"/>
        <v>62480</v>
      </c>
      <c r="P163" s="18">
        <f t="shared" si="3"/>
        <v>131089</v>
      </c>
      <c r="Q163" s="18">
        <f t="shared" si="3"/>
        <v>381125</v>
      </c>
      <c r="R163" s="18">
        <f t="shared" si="3"/>
        <v>45387</v>
      </c>
      <c r="S163" s="18">
        <f t="shared" si="3"/>
        <v>346213</v>
      </c>
      <c r="T163" s="18">
        <f t="shared" si="3"/>
        <v>1840354</v>
      </c>
    </row>
    <row r="164" spans="1:20" x14ac:dyDescent="0.25">
      <c r="A164" s="3"/>
      <c r="B164" s="3"/>
    </row>
  </sheetData>
  <mergeCells count="30">
    <mergeCell ref="A39:A40"/>
    <mergeCell ref="A45:A47"/>
    <mergeCell ref="A50:A51"/>
    <mergeCell ref="A109:A110"/>
    <mergeCell ref="B1:S1"/>
    <mergeCell ref="D3:T3"/>
    <mergeCell ref="O4:Q5"/>
    <mergeCell ref="R4:T5"/>
    <mergeCell ref="O6:O8"/>
    <mergeCell ref="P6:Q7"/>
    <mergeCell ref="R6:R8"/>
    <mergeCell ref="S6:T7"/>
    <mergeCell ref="J7:J8"/>
    <mergeCell ref="K7:K8"/>
    <mergeCell ref="A114:A115"/>
    <mergeCell ref="A153:A154"/>
    <mergeCell ref="N6:N8"/>
    <mergeCell ref="A3:A8"/>
    <mergeCell ref="B3:B8"/>
    <mergeCell ref="C3:C8"/>
    <mergeCell ref="D4:D8"/>
    <mergeCell ref="E4:G5"/>
    <mergeCell ref="H4:H8"/>
    <mergeCell ref="I4:N5"/>
    <mergeCell ref="E6:F7"/>
    <mergeCell ref="G6:G8"/>
    <mergeCell ref="I6:I8"/>
    <mergeCell ref="J6:K6"/>
    <mergeCell ref="L6:M7"/>
    <mergeCell ref="A14:A15"/>
  </mergeCells>
  <pageMargins left="0.11811023622047245" right="0.11811023622047245" top="0.15748031496062992" bottom="0.35433070866141736" header="0.31496062992125984" footer="0.31496062992125984"/>
  <pageSetup paperSize="9" scale="6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26" sqref="G26"/>
    </sheetView>
  </sheetViews>
  <sheetFormatPr defaultRowHeight="15" x14ac:dyDescent="0.25"/>
  <cols>
    <col min="1" max="1" width="5" style="340" customWidth="1"/>
    <col min="2" max="2" width="35.5703125" style="340" customWidth="1"/>
    <col min="3" max="3" width="13.140625" style="340" customWidth="1"/>
    <col min="4" max="13" width="10.7109375" style="340" customWidth="1"/>
    <col min="14" max="16384" width="9.140625" style="340"/>
  </cols>
  <sheetData>
    <row r="1" spans="1:13" ht="33" customHeight="1" x14ac:dyDescent="0.25">
      <c r="A1" s="591" t="s">
        <v>270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</row>
    <row r="2" spans="1:13" ht="15" customHeight="1" x14ac:dyDescent="0.2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</row>
    <row r="3" spans="1:13" ht="24.75" customHeight="1" x14ac:dyDescent="0.25">
      <c r="A3" s="592" t="s">
        <v>0</v>
      </c>
      <c r="B3" s="592" t="s">
        <v>175</v>
      </c>
      <c r="C3" s="592" t="s">
        <v>271</v>
      </c>
      <c r="D3" s="592" t="s">
        <v>272</v>
      </c>
      <c r="E3" s="592"/>
      <c r="F3" s="592"/>
      <c r="G3" s="592"/>
      <c r="H3" s="592"/>
      <c r="I3" s="592"/>
      <c r="J3" s="592"/>
      <c r="K3" s="592"/>
      <c r="L3" s="592"/>
      <c r="M3" s="592"/>
    </row>
    <row r="4" spans="1:13" ht="51" x14ac:dyDescent="0.25">
      <c r="A4" s="592"/>
      <c r="B4" s="592"/>
      <c r="C4" s="592"/>
      <c r="D4" s="342" t="s">
        <v>253</v>
      </c>
      <c r="E4" s="342" t="s">
        <v>273</v>
      </c>
      <c r="F4" s="342" t="s">
        <v>274</v>
      </c>
      <c r="G4" s="342" t="s">
        <v>275</v>
      </c>
      <c r="H4" s="342" t="s">
        <v>276</v>
      </c>
      <c r="I4" s="342" t="s">
        <v>277</v>
      </c>
      <c r="J4" s="342" t="s">
        <v>278</v>
      </c>
      <c r="K4" s="342" t="s">
        <v>279</v>
      </c>
      <c r="L4" s="342" t="s">
        <v>280</v>
      </c>
      <c r="M4" s="342" t="s">
        <v>281</v>
      </c>
    </row>
    <row r="5" spans="1:13" x14ac:dyDescent="0.25">
      <c r="A5" s="343">
        <v>1</v>
      </c>
      <c r="B5" s="344" t="s">
        <v>254</v>
      </c>
      <c r="C5" s="345">
        <v>447</v>
      </c>
      <c r="D5" s="345">
        <v>447</v>
      </c>
      <c r="E5" s="345"/>
      <c r="F5" s="345"/>
      <c r="G5" s="345"/>
      <c r="H5" s="345"/>
      <c r="I5" s="345"/>
      <c r="J5" s="345"/>
      <c r="K5" s="345"/>
      <c r="L5" s="345"/>
      <c r="M5" s="345"/>
    </row>
    <row r="6" spans="1:13" x14ac:dyDescent="0.25">
      <c r="A6" s="343">
        <v>2</v>
      </c>
      <c r="B6" s="344" t="s">
        <v>255</v>
      </c>
      <c r="C6" s="345">
        <v>50</v>
      </c>
      <c r="D6" s="345">
        <v>50</v>
      </c>
      <c r="E6" s="345"/>
      <c r="F6" s="345"/>
      <c r="G6" s="345"/>
      <c r="H6" s="345"/>
      <c r="I6" s="345"/>
      <c r="J6" s="345"/>
      <c r="K6" s="345"/>
      <c r="L6" s="345"/>
      <c r="M6" s="345"/>
    </row>
    <row r="7" spans="1:13" ht="25.5" x14ac:dyDescent="0.25">
      <c r="A7" s="343">
        <v>3</v>
      </c>
      <c r="B7" s="344" t="s">
        <v>282</v>
      </c>
      <c r="C7" s="345">
        <v>150</v>
      </c>
      <c r="D7" s="345">
        <v>50</v>
      </c>
      <c r="E7" s="345">
        <v>100</v>
      </c>
      <c r="F7" s="345"/>
      <c r="G7" s="345"/>
      <c r="H7" s="345"/>
      <c r="I7" s="345"/>
      <c r="J7" s="345"/>
      <c r="K7" s="345"/>
      <c r="L7" s="345"/>
      <c r="M7" s="345"/>
    </row>
    <row r="8" spans="1:13" x14ac:dyDescent="0.25">
      <c r="A8" s="343">
        <v>4</v>
      </c>
      <c r="B8" s="344" t="s">
        <v>283</v>
      </c>
      <c r="C8" s="345">
        <v>125</v>
      </c>
      <c r="D8" s="345">
        <v>0</v>
      </c>
      <c r="E8" s="345">
        <v>100</v>
      </c>
      <c r="F8" s="345">
        <v>25</v>
      </c>
      <c r="G8" s="345"/>
      <c r="H8" s="345"/>
      <c r="I8" s="345"/>
      <c r="J8" s="345"/>
      <c r="K8" s="345"/>
      <c r="L8" s="345"/>
      <c r="M8" s="345"/>
    </row>
    <row r="9" spans="1:13" x14ac:dyDescent="0.25">
      <c r="A9" s="343">
        <v>5</v>
      </c>
      <c r="B9" s="344" t="s">
        <v>284</v>
      </c>
      <c r="C9" s="345">
        <v>150</v>
      </c>
      <c r="D9" s="345">
        <v>50</v>
      </c>
      <c r="E9" s="345">
        <v>100</v>
      </c>
      <c r="F9" s="345"/>
      <c r="G9" s="345"/>
      <c r="H9" s="345"/>
      <c r="I9" s="345"/>
      <c r="J9" s="345"/>
      <c r="K9" s="345"/>
      <c r="L9" s="345"/>
      <c r="M9" s="345"/>
    </row>
    <row r="10" spans="1:13" x14ac:dyDescent="0.25">
      <c r="A10" s="343">
        <v>6</v>
      </c>
      <c r="B10" s="344" t="s">
        <v>258</v>
      </c>
      <c r="C10" s="345">
        <v>50</v>
      </c>
      <c r="D10" s="345">
        <v>50</v>
      </c>
      <c r="E10" s="345"/>
      <c r="F10" s="345"/>
      <c r="G10" s="345"/>
      <c r="H10" s="345"/>
      <c r="I10" s="345"/>
      <c r="J10" s="345"/>
      <c r="K10" s="345"/>
      <c r="L10" s="345"/>
      <c r="M10" s="345"/>
    </row>
    <row r="11" spans="1:13" x14ac:dyDescent="0.25">
      <c r="A11" s="343">
        <v>7</v>
      </c>
      <c r="B11" s="344" t="s">
        <v>259</v>
      </c>
      <c r="C11" s="345">
        <v>465</v>
      </c>
      <c r="D11" s="345">
        <v>465</v>
      </c>
      <c r="E11" s="345"/>
      <c r="F11" s="345"/>
      <c r="G11" s="345"/>
      <c r="H11" s="345"/>
      <c r="I11" s="345"/>
      <c r="J11" s="345"/>
      <c r="K11" s="345"/>
      <c r="L11" s="345"/>
      <c r="M11" s="345"/>
    </row>
    <row r="12" spans="1:13" x14ac:dyDescent="0.25">
      <c r="A12" s="343">
        <v>8</v>
      </c>
      <c r="B12" s="344" t="s">
        <v>285</v>
      </c>
      <c r="C12" s="345">
        <v>465</v>
      </c>
      <c r="D12" s="345">
        <v>465</v>
      </c>
      <c r="E12" s="345"/>
      <c r="F12" s="345"/>
      <c r="G12" s="345"/>
      <c r="H12" s="345"/>
      <c r="I12" s="345"/>
      <c r="J12" s="345"/>
      <c r="K12" s="345"/>
      <c r="L12" s="345"/>
      <c r="M12" s="345"/>
    </row>
    <row r="13" spans="1:13" x14ac:dyDescent="0.25">
      <c r="A13" s="343">
        <v>9</v>
      </c>
      <c r="B13" s="344" t="s">
        <v>260</v>
      </c>
      <c r="C13" s="345">
        <v>465</v>
      </c>
      <c r="D13" s="345">
        <v>465</v>
      </c>
      <c r="E13" s="345"/>
      <c r="F13" s="345"/>
      <c r="G13" s="345"/>
      <c r="H13" s="345"/>
      <c r="I13" s="345"/>
      <c r="J13" s="345"/>
      <c r="K13" s="345"/>
      <c r="L13" s="345"/>
      <c r="M13" s="345"/>
    </row>
    <row r="14" spans="1:13" x14ac:dyDescent="0.25">
      <c r="A14" s="343">
        <v>10</v>
      </c>
      <c r="B14" s="344" t="s">
        <v>261</v>
      </c>
      <c r="C14" s="345">
        <v>465</v>
      </c>
      <c r="D14" s="345">
        <v>465</v>
      </c>
      <c r="E14" s="345"/>
      <c r="F14" s="345"/>
      <c r="G14" s="345"/>
      <c r="H14" s="345"/>
      <c r="I14" s="345"/>
      <c r="J14" s="345"/>
      <c r="K14" s="345"/>
      <c r="L14" s="345"/>
      <c r="M14" s="345"/>
    </row>
    <row r="15" spans="1:13" x14ac:dyDescent="0.25">
      <c r="A15" s="343">
        <v>11</v>
      </c>
      <c r="B15" s="344" t="s">
        <v>286</v>
      </c>
      <c r="C15" s="345">
        <v>340</v>
      </c>
      <c r="D15" s="345">
        <v>319</v>
      </c>
      <c r="E15" s="345">
        <v>21</v>
      </c>
      <c r="F15" s="345"/>
      <c r="G15" s="345"/>
      <c r="H15" s="345"/>
      <c r="I15" s="345"/>
      <c r="J15" s="345"/>
      <c r="K15" s="345"/>
      <c r="L15" s="345"/>
      <c r="M15" s="345"/>
    </row>
    <row r="16" spans="1:13" x14ac:dyDescent="0.25">
      <c r="A16" s="343">
        <v>12</v>
      </c>
      <c r="B16" s="344" t="s">
        <v>287</v>
      </c>
      <c r="C16" s="345">
        <v>465</v>
      </c>
      <c r="D16" s="345">
        <v>465</v>
      </c>
      <c r="E16" s="345"/>
      <c r="F16" s="345"/>
      <c r="G16" s="345"/>
      <c r="H16" s="345"/>
      <c r="I16" s="345"/>
      <c r="J16" s="345"/>
      <c r="K16" s="345"/>
      <c r="L16" s="345"/>
      <c r="M16" s="345"/>
    </row>
    <row r="17" spans="1:13" x14ac:dyDescent="0.25">
      <c r="A17" s="343">
        <v>13</v>
      </c>
      <c r="B17" s="344" t="s">
        <v>262</v>
      </c>
      <c r="C17" s="345">
        <v>465</v>
      </c>
      <c r="D17" s="345">
        <v>465</v>
      </c>
      <c r="E17" s="345"/>
      <c r="F17" s="345"/>
      <c r="G17" s="345"/>
      <c r="H17" s="345"/>
      <c r="I17" s="345"/>
      <c r="J17" s="345"/>
      <c r="K17" s="345"/>
      <c r="L17" s="345"/>
      <c r="M17" s="345"/>
    </row>
    <row r="18" spans="1:13" x14ac:dyDescent="0.25">
      <c r="A18" s="343">
        <v>14</v>
      </c>
      <c r="B18" s="344" t="s">
        <v>263</v>
      </c>
      <c r="C18" s="345">
        <v>465</v>
      </c>
      <c r="D18" s="345">
        <v>465</v>
      </c>
      <c r="E18" s="345"/>
      <c r="F18" s="345"/>
      <c r="G18" s="345"/>
      <c r="H18" s="345"/>
      <c r="I18" s="345"/>
      <c r="J18" s="345"/>
      <c r="K18" s="345"/>
      <c r="L18" s="345"/>
      <c r="M18" s="345"/>
    </row>
    <row r="19" spans="1:13" x14ac:dyDescent="0.25">
      <c r="A19" s="343">
        <v>15</v>
      </c>
      <c r="B19" s="344" t="s">
        <v>265</v>
      </c>
      <c r="C19" s="345">
        <v>288</v>
      </c>
      <c r="D19" s="345">
        <v>113</v>
      </c>
      <c r="E19" s="345">
        <v>31</v>
      </c>
      <c r="F19" s="345">
        <v>6</v>
      </c>
      <c r="G19" s="345">
        <v>25</v>
      </c>
      <c r="H19" s="345">
        <v>25</v>
      </c>
      <c r="I19" s="345">
        <v>24</v>
      </c>
      <c r="J19" s="345">
        <v>25</v>
      </c>
      <c r="K19" s="345">
        <v>12</v>
      </c>
      <c r="L19" s="345">
        <v>18</v>
      </c>
      <c r="M19" s="345">
        <v>9</v>
      </c>
    </row>
    <row r="20" spans="1:13" x14ac:dyDescent="0.25">
      <c r="A20" s="343">
        <v>16</v>
      </c>
      <c r="B20" s="344" t="s">
        <v>266</v>
      </c>
      <c r="C20" s="345">
        <f>113-113</f>
        <v>0</v>
      </c>
      <c r="D20" s="345">
        <f>113-113</f>
        <v>0</v>
      </c>
      <c r="E20" s="345"/>
      <c r="F20" s="345"/>
      <c r="G20" s="345"/>
      <c r="H20" s="345"/>
      <c r="I20" s="345"/>
      <c r="J20" s="345"/>
      <c r="K20" s="345"/>
      <c r="L20" s="345"/>
      <c r="M20" s="345"/>
    </row>
    <row r="21" spans="1:13" x14ac:dyDescent="0.25">
      <c r="A21" s="343">
        <v>17</v>
      </c>
      <c r="B21" s="344" t="s">
        <v>288</v>
      </c>
      <c r="C21" s="345">
        <v>113</v>
      </c>
      <c r="D21" s="345">
        <v>113</v>
      </c>
      <c r="E21" s="345"/>
      <c r="F21" s="345"/>
      <c r="G21" s="345"/>
      <c r="H21" s="345"/>
      <c r="I21" s="345"/>
      <c r="J21" s="345"/>
      <c r="K21" s="345"/>
      <c r="L21" s="345"/>
      <c r="M21" s="345"/>
    </row>
    <row r="22" spans="1:13" x14ac:dyDescent="0.25">
      <c r="A22" s="343">
        <v>18</v>
      </c>
      <c r="B22" s="344" t="s">
        <v>289</v>
      </c>
      <c r="C22" s="345">
        <v>31</v>
      </c>
      <c r="D22" s="345"/>
      <c r="E22" s="345">
        <v>31</v>
      </c>
      <c r="F22" s="345"/>
      <c r="G22" s="345"/>
      <c r="H22" s="345"/>
      <c r="I22" s="345"/>
      <c r="J22" s="345"/>
      <c r="K22" s="345"/>
      <c r="L22" s="345"/>
      <c r="M22" s="345"/>
    </row>
    <row r="23" spans="1:13" x14ac:dyDescent="0.25">
      <c r="A23" s="343">
        <v>19</v>
      </c>
      <c r="B23" s="344" t="s">
        <v>290</v>
      </c>
      <c r="C23" s="345">
        <v>31</v>
      </c>
      <c r="D23" s="345"/>
      <c r="E23" s="345">
        <v>31</v>
      </c>
      <c r="F23" s="345"/>
      <c r="G23" s="345"/>
      <c r="H23" s="345"/>
      <c r="I23" s="345"/>
      <c r="J23" s="345"/>
      <c r="K23" s="345"/>
      <c r="L23" s="345"/>
      <c r="M23" s="345"/>
    </row>
    <row r="24" spans="1:13" x14ac:dyDescent="0.25">
      <c r="A24" s="343">
        <v>20</v>
      </c>
      <c r="B24" s="344" t="s">
        <v>291</v>
      </c>
      <c r="C24" s="345">
        <f>31-31</f>
        <v>0</v>
      </c>
      <c r="D24" s="345"/>
      <c r="E24" s="345">
        <f>31-31</f>
        <v>0</v>
      </c>
      <c r="F24" s="345"/>
      <c r="G24" s="345"/>
      <c r="H24" s="345"/>
      <c r="I24" s="345"/>
      <c r="J24" s="345"/>
      <c r="K24" s="345"/>
      <c r="L24" s="345"/>
      <c r="M24" s="345"/>
    </row>
    <row r="25" spans="1:13" ht="25.5" x14ac:dyDescent="0.25">
      <c r="A25" s="343">
        <v>21</v>
      </c>
      <c r="B25" s="344" t="s">
        <v>292</v>
      </c>
      <c r="C25" s="345">
        <v>25</v>
      </c>
      <c r="D25" s="345"/>
      <c r="E25" s="345"/>
      <c r="F25" s="345"/>
      <c r="G25" s="345"/>
      <c r="H25" s="345"/>
      <c r="I25" s="345"/>
      <c r="J25" s="345"/>
      <c r="K25" s="345"/>
      <c r="L25" s="345"/>
      <c r="M25" s="345">
        <v>25</v>
      </c>
    </row>
    <row r="26" spans="1:13" x14ac:dyDescent="0.25">
      <c r="A26" s="343">
        <v>22</v>
      </c>
      <c r="B26" s="344" t="s">
        <v>293</v>
      </c>
      <c r="C26" s="345">
        <v>56</v>
      </c>
      <c r="D26" s="345"/>
      <c r="E26" s="345">
        <v>31</v>
      </c>
      <c r="F26" s="345"/>
      <c r="G26" s="345"/>
      <c r="H26" s="345"/>
      <c r="I26" s="345">
        <v>25</v>
      </c>
      <c r="J26" s="345"/>
      <c r="K26" s="345"/>
      <c r="L26" s="345"/>
      <c r="M26" s="345"/>
    </row>
    <row r="27" spans="1:13" ht="25.5" x14ac:dyDescent="0.25">
      <c r="A27" s="343">
        <v>23</v>
      </c>
      <c r="B27" s="344" t="s">
        <v>294</v>
      </c>
      <c r="C27" s="345">
        <v>100</v>
      </c>
      <c r="D27" s="345"/>
      <c r="E27" s="345">
        <v>100</v>
      </c>
      <c r="F27" s="345"/>
      <c r="G27" s="345"/>
      <c r="H27" s="345"/>
      <c r="I27" s="345"/>
      <c r="J27" s="345"/>
      <c r="K27" s="345"/>
      <c r="L27" s="345"/>
      <c r="M27" s="345"/>
    </row>
    <row r="28" spans="1:13" ht="25.5" x14ac:dyDescent="0.25">
      <c r="A28" s="343">
        <v>24</v>
      </c>
      <c r="B28" s="344" t="s">
        <v>257</v>
      </c>
      <c r="C28" s="345">
        <v>150</v>
      </c>
      <c r="D28" s="345">
        <v>50</v>
      </c>
      <c r="E28" s="345">
        <v>100</v>
      </c>
      <c r="F28" s="345"/>
      <c r="G28" s="345"/>
      <c r="H28" s="345"/>
      <c r="I28" s="345"/>
      <c r="J28" s="345"/>
      <c r="K28" s="345"/>
      <c r="L28" s="345"/>
      <c r="M28" s="345"/>
    </row>
    <row r="29" spans="1:13" x14ac:dyDescent="0.25">
      <c r="A29" s="343">
        <v>25</v>
      </c>
      <c r="B29" s="344" t="s">
        <v>295</v>
      </c>
      <c r="C29" s="345">
        <v>894</v>
      </c>
      <c r="D29" s="345">
        <v>894</v>
      </c>
      <c r="E29" s="345"/>
      <c r="F29" s="345"/>
      <c r="G29" s="345"/>
      <c r="H29" s="345"/>
      <c r="I29" s="345"/>
      <c r="J29" s="345"/>
      <c r="K29" s="345"/>
      <c r="L29" s="345"/>
      <c r="M29" s="345"/>
    </row>
    <row r="30" spans="1:13" ht="25.5" x14ac:dyDescent="0.25">
      <c r="A30" s="343">
        <v>26</v>
      </c>
      <c r="B30" s="344" t="s">
        <v>267</v>
      </c>
      <c r="C30" s="345">
        <v>113</v>
      </c>
      <c r="D30" s="345">
        <v>113</v>
      </c>
      <c r="E30" s="345"/>
      <c r="F30" s="345"/>
      <c r="G30" s="345"/>
      <c r="H30" s="345"/>
      <c r="I30" s="345"/>
      <c r="J30" s="345"/>
      <c r="K30" s="345"/>
      <c r="L30" s="345"/>
      <c r="M30" s="345"/>
    </row>
    <row r="31" spans="1:13" ht="25.5" x14ac:dyDescent="0.25">
      <c r="A31" s="343">
        <v>27</v>
      </c>
      <c r="B31" s="344" t="s">
        <v>268</v>
      </c>
      <c r="C31" s="345">
        <v>113</v>
      </c>
      <c r="D31" s="345">
        <v>113</v>
      </c>
      <c r="E31" s="345"/>
      <c r="F31" s="345"/>
      <c r="G31" s="345"/>
      <c r="H31" s="345"/>
      <c r="I31" s="345"/>
      <c r="J31" s="345"/>
      <c r="K31" s="345"/>
      <c r="L31" s="345"/>
      <c r="M31" s="345"/>
    </row>
    <row r="32" spans="1:13" ht="25.5" x14ac:dyDescent="0.25">
      <c r="A32" s="343">
        <v>28</v>
      </c>
      <c r="B32" s="344" t="s">
        <v>269</v>
      </c>
      <c r="C32" s="345">
        <v>113</v>
      </c>
      <c r="D32" s="345">
        <v>113</v>
      </c>
      <c r="E32" s="345"/>
      <c r="F32" s="345"/>
      <c r="G32" s="345"/>
      <c r="H32" s="345"/>
      <c r="I32" s="345"/>
      <c r="J32" s="345"/>
      <c r="K32" s="345"/>
      <c r="L32" s="345"/>
      <c r="M32" s="345"/>
    </row>
    <row r="33" spans="1:13" x14ac:dyDescent="0.25">
      <c r="A33" s="346"/>
      <c r="B33" s="347" t="s">
        <v>92</v>
      </c>
      <c r="C33" s="346">
        <f>SUM(C5:C32)</f>
        <v>6594</v>
      </c>
      <c r="D33" s="346">
        <f t="shared" ref="D33:M33" si="0">SUM(D5:D32)</f>
        <v>5730</v>
      </c>
      <c r="E33" s="346">
        <f t="shared" si="0"/>
        <v>645</v>
      </c>
      <c r="F33" s="346">
        <f t="shared" si="0"/>
        <v>31</v>
      </c>
      <c r="G33" s="346">
        <f t="shared" si="0"/>
        <v>25</v>
      </c>
      <c r="H33" s="346">
        <f t="shared" si="0"/>
        <v>25</v>
      </c>
      <c r="I33" s="346">
        <f t="shared" si="0"/>
        <v>49</v>
      </c>
      <c r="J33" s="346">
        <f t="shared" si="0"/>
        <v>25</v>
      </c>
      <c r="K33" s="346">
        <f t="shared" si="0"/>
        <v>12</v>
      </c>
      <c r="L33" s="346">
        <f t="shared" si="0"/>
        <v>18</v>
      </c>
      <c r="M33" s="346">
        <f t="shared" si="0"/>
        <v>34</v>
      </c>
    </row>
  </sheetData>
  <mergeCells count="5">
    <mergeCell ref="A1:M1"/>
    <mergeCell ref="A3:A4"/>
    <mergeCell ref="B3:B4"/>
    <mergeCell ref="C3:C4"/>
    <mergeCell ref="D3:M3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5" sqref="F5"/>
    </sheetView>
  </sheetViews>
  <sheetFormatPr defaultRowHeight="15" x14ac:dyDescent="0.25"/>
  <cols>
    <col min="1" max="1" width="7.5703125" style="340" customWidth="1"/>
    <col min="2" max="2" width="42.140625" style="340" customWidth="1"/>
    <col min="3" max="3" width="14.28515625" style="340" customWidth="1"/>
    <col min="4" max="4" width="19.42578125" style="340" customWidth="1"/>
    <col min="5" max="16384" width="9.140625" style="340"/>
  </cols>
  <sheetData>
    <row r="1" spans="1:4" ht="60" customHeight="1" x14ac:dyDescent="0.25">
      <c r="A1" s="593" t="s">
        <v>251</v>
      </c>
      <c r="B1" s="593"/>
      <c r="C1" s="593"/>
      <c r="D1" s="593"/>
    </row>
    <row r="2" spans="1:4" x14ac:dyDescent="0.25">
      <c r="A2" s="348"/>
      <c r="B2" s="348"/>
      <c r="C2" s="348"/>
      <c r="D2" s="348"/>
    </row>
    <row r="3" spans="1:4" ht="25.5" x14ac:dyDescent="0.25">
      <c r="A3" s="592" t="s">
        <v>0</v>
      </c>
      <c r="B3" s="592" t="s">
        <v>175</v>
      </c>
      <c r="C3" s="592" t="s">
        <v>93</v>
      </c>
      <c r="D3" s="342" t="s">
        <v>252</v>
      </c>
    </row>
    <row r="4" spans="1:4" x14ac:dyDescent="0.25">
      <c r="A4" s="592"/>
      <c r="B4" s="592"/>
      <c r="C4" s="592"/>
      <c r="D4" s="343" t="s">
        <v>253</v>
      </c>
    </row>
    <row r="5" spans="1:4" x14ac:dyDescent="0.25">
      <c r="A5" s="345">
        <v>1</v>
      </c>
      <c r="B5" s="349" t="s">
        <v>254</v>
      </c>
      <c r="C5" s="345">
        <v>250</v>
      </c>
      <c r="D5" s="345">
        <v>250</v>
      </c>
    </row>
    <row r="6" spans="1:4" x14ac:dyDescent="0.25">
      <c r="A6" s="345">
        <v>2</v>
      </c>
      <c r="B6" s="349" t="s">
        <v>255</v>
      </c>
      <c r="C6" s="345">
        <v>207</v>
      </c>
      <c r="D6" s="345">
        <v>207</v>
      </c>
    </row>
    <row r="7" spans="1:4" x14ac:dyDescent="0.25">
      <c r="A7" s="345">
        <v>3</v>
      </c>
      <c r="B7" s="349" t="s">
        <v>256</v>
      </c>
      <c r="C7" s="345">
        <v>225</v>
      </c>
      <c r="D7" s="345">
        <v>225</v>
      </c>
    </row>
    <row r="8" spans="1:4" x14ac:dyDescent="0.25">
      <c r="A8" s="345">
        <v>4</v>
      </c>
      <c r="B8" s="349" t="s">
        <v>257</v>
      </c>
      <c r="C8" s="345">
        <v>50</v>
      </c>
      <c r="D8" s="345">
        <v>50</v>
      </c>
    </row>
    <row r="9" spans="1:4" x14ac:dyDescent="0.25">
      <c r="A9" s="345">
        <v>5</v>
      </c>
      <c r="B9" s="349" t="s">
        <v>258</v>
      </c>
      <c r="C9" s="345">
        <v>115</v>
      </c>
      <c r="D9" s="345">
        <v>115</v>
      </c>
    </row>
    <row r="10" spans="1:4" x14ac:dyDescent="0.25">
      <c r="A10" s="345">
        <v>6</v>
      </c>
      <c r="B10" s="349" t="s">
        <v>259</v>
      </c>
      <c r="C10" s="345">
        <v>80</v>
      </c>
      <c r="D10" s="345">
        <v>80</v>
      </c>
    </row>
    <row r="11" spans="1:4" x14ac:dyDescent="0.25">
      <c r="A11" s="345">
        <v>7</v>
      </c>
      <c r="B11" s="349" t="s">
        <v>260</v>
      </c>
      <c r="C11" s="345">
        <v>80</v>
      </c>
      <c r="D11" s="345">
        <v>80</v>
      </c>
    </row>
    <row r="12" spans="1:4" x14ac:dyDescent="0.25">
      <c r="A12" s="345">
        <v>8</v>
      </c>
      <c r="B12" s="349" t="s">
        <v>261</v>
      </c>
      <c r="C12" s="345">
        <v>43</v>
      </c>
      <c r="D12" s="345">
        <v>43</v>
      </c>
    </row>
    <row r="13" spans="1:4" x14ac:dyDescent="0.25">
      <c r="A13" s="345">
        <v>9</v>
      </c>
      <c r="B13" s="349" t="s">
        <v>262</v>
      </c>
      <c r="C13" s="345">
        <v>80</v>
      </c>
      <c r="D13" s="345">
        <v>80</v>
      </c>
    </row>
    <row r="14" spans="1:4" x14ac:dyDescent="0.25">
      <c r="A14" s="345">
        <v>10</v>
      </c>
      <c r="B14" s="349" t="s">
        <v>263</v>
      </c>
      <c r="C14" s="345">
        <v>80</v>
      </c>
      <c r="D14" s="345">
        <v>80</v>
      </c>
    </row>
    <row r="15" spans="1:4" x14ac:dyDescent="0.25">
      <c r="A15" s="345">
        <v>11</v>
      </c>
      <c r="B15" s="349" t="s">
        <v>264</v>
      </c>
      <c r="C15" s="345">
        <v>80</v>
      </c>
      <c r="D15" s="345">
        <v>80</v>
      </c>
    </row>
    <row r="16" spans="1:4" x14ac:dyDescent="0.25">
      <c r="A16" s="345">
        <v>12</v>
      </c>
      <c r="B16" s="349" t="s">
        <v>265</v>
      </c>
      <c r="C16" s="345">
        <v>24</v>
      </c>
      <c r="D16" s="345">
        <v>24</v>
      </c>
    </row>
    <row r="17" spans="1:4" x14ac:dyDescent="0.25">
      <c r="A17" s="345">
        <v>13</v>
      </c>
      <c r="B17" s="349" t="s">
        <v>266</v>
      </c>
      <c r="C17" s="345">
        <f>25-25</f>
        <v>0</v>
      </c>
      <c r="D17" s="345">
        <f>25-25</f>
        <v>0</v>
      </c>
    </row>
    <row r="18" spans="1:4" x14ac:dyDescent="0.25">
      <c r="A18" s="345">
        <v>14</v>
      </c>
      <c r="B18" s="349" t="s">
        <v>267</v>
      </c>
      <c r="C18" s="345">
        <v>25</v>
      </c>
      <c r="D18" s="345">
        <v>25</v>
      </c>
    </row>
    <row r="19" spans="1:4" ht="30" x14ac:dyDescent="0.25">
      <c r="A19" s="345">
        <v>15</v>
      </c>
      <c r="B19" s="350" t="s">
        <v>268</v>
      </c>
      <c r="C19" s="345">
        <v>25</v>
      </c>
      <c r="D19" s="345">
        <v>25</v>
      </c>
    </row>
    <row r="20" spans="1:4" ht="30" x14ac:dyDescent="0.25">
      <c r="A20" s="345">
        <v>16</v>
      </c>
      <c r="B20" s="350" t="s">
        <v>269</v>
      </c>
      <c r="C20" s="345">
        <v>25</v>
      </c>
      <c r="D20" s="345">
        <v>25</v>
      </c>
    </row>
    <row r="21" spans="1:4" x14ac:dyDescent="0.25">
      <c r="A21" s="346"/>
      <c r="B21" s="351" t="s">
        <v>92</v>
      </c>
      <c r="C21" s="346">
        <f>SUM(C5:C20)</f>
        <v>1389</v>
      </c>
      <c r="D21" s="346">
        <f>SUM(D5:D20)</f>
        <v>1389</v>
      </c>
    </row>
  </sheetData>
  <mergeCells count="4">
    <mergeCell ref="A1:D1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K23" sqref="K23"/>
    </sheetView>
  </sheetViews>
  <sheetFormatPr defaultRowHeight="15" x14ac:dyDescent="0.25"/>
  <cols>
    <col min="1" max="1" width="5.42578125" customWidth="1"/>
    <col min="2" max="2" width="27.5703125" customWidth="1"/>
    <col min="3" max="3" width="10.7109375" customWidth="1"/>
    <col min="4" max="4" width="9.140625" customWidth="1"/>
    <col min="5" max="5" width="6.7109375" customWidth="1"/>
    <col min="6" max="6" width="3" customWidth="1"/>
    <col min="7" max="20" width="8.7109375" customWidth="1"/>
  </cols>
  <sheetData>
    <row r="1" spans="1:20" ht="15.75" customHeight="1" x14ac:dyDescent="0.25">
      <c r="A1" s="596" t="s">
        <v>296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</row>
    <row r="2" spans="1:20" ht="15.75" customHeight="1" x14ac:dyDescent="0.25">
      <c r="A2" s="596" t="s">
        <v>297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</row>
    <row r="3" spans="1:20" x14ac:dyDescent="0.25">
      <c r="A3" s="339"/>
      <c r="B3" s="339"/>
      <c r="C3" s="339"/>
      <c r="D3" s="597"/>
      <c r="E3" s="597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1:20" x14ac:dyDescent="0.25">
      <c r="A4" s="598" t="s">
        <v>0</v>
      </c>
      <c r="B4" s="598" t="s">
        <v>175</v>
      </c>
      <c r="C4" s="598" t="s">
        <v>298</v>
      </c>
      <c r="D4" s="598" t="s">
        <v>272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</row>
    <row r="5" spans="1:20" ht="63.75" customHeight="1" x14ac:dyDescent="0.25">
      <c r="A5" s="598"/>
      <c r="B5" s="598"/>
      <c r="C5" s="598"/>
      <c r="D5" s="337" t="s">
        <v>253</v>
      </c>
      <c r="E5" s="598" t="s">
        <v>273</v>
      </c>
      <c r="F5" s="598"/>
      <c r="G5" s="337" t="s">
        <v>299</v>
      </c>
      <c r="H5" s="337" t="s">
        <v>277</v>
      </c>
      <c r="I5" s="337" t="s">
        <v>300</v>
      </c>
      <c r="J5" s="337" t="s">
        <v>275</v>
      </c>
      <c r="K5" s="337" t="s">
        <v>301</v>
      </c>
      <c r="L5" s="337" t="s">
        <v>278</v>
      </c>
      <c r="M5" s="337" t="s">
        <v>279</v>
      </c>
      <c r="N5" s="337" t="s">
        <v>302</v>
      </c>
      <c r="O5" s="337" t="s">
        <v>303</v>
      </c>
      <c r="P5" s="337" t="s">
        <v>304</v>
      </c>
      <c r="Q5" s="337" t="s">
        <v>305</v>
      </c>
      <c r="R5" s="337" t="s">
        <v>306</v>
      </c>
      <c r="S5" s="337" t="s">
        <v>307</v>
      </c>
      <c r="T5" s="337" t="s">
        <v>308</v>
      </c>
    </row>
    <row r="6" spans="1:20" ht="25.5" x14ac:dyDescent="0.25">
      <c r="A6" s="337">
        <v>1</v>
      </c>
      <c r="B6" s="56" t="s">
        <v>255</v>
      </c>
      <c r="C6" s="338">
        <v>100</v>
      </c>
      <c r="D6" s="337">
        <v>100</v>
      </c>
      <c r="E6" s="598"/>
      <c r="F6" s="598"/>
      <c r="G6" s="337"/>
      <c r="H6" s="337"/>
      <c r="I6" s="337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ht="25.5" x14ac:dyDescent="0.25">
      <c r="A7" s="337">
        <v>2</v>
      </c>
      <c r="B7" s="56" t="s">
        <v>256</v>
      </c>
      <c r="C7" s="338">
        <v>157</v>
      </c>
      <c r="D7" s="337">
        <v>132</v>
      </c>
      <c r="E7" s="598">
        <v>25</v>
      </c>
      <c r="F7" s="598"/>
      <c r="G7" s="337"/>
      <c r="H7" s="337"/>
      <c r="I7" s="33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x14ac:dyDescent="0.25">
      <c r="A8" s="337">
        <v>3</v>
      </c>
      <c r="B8" s="56" t="s">
        <v>254</v>
      </c>
      <c r="C8" s="338">
        <v>100</v>
      </c>
      <c r="D8" s="337">
        <v>100</v>
      </c>
      <c r="E8" s="598"/>
      <c r="F8" s="598"/>
      <c r="G8" s="337"/>
      <c r="H8" s="337"/>
      <c r="I8" s="337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0" x14ac:dyDescent="0.25">
      <c r="A9" s="338">
        <v>4</v>
      </c>
      <c r="B9" s="56" t="s">
        <v>262</v>
      </c>
      <c r="C9" s="338">
        <v>25</v>
      </c>
      <c r="D9" s="338">
        <v>25</v>
      </c>
      <c r="E9" s="594"/>
      <c r="F9" s="594"/>
      <c r="G9" s="338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0" ht="25.5" x14ac:dyDescent="0.25">
      <c r="A10" s="338">
        <v>5</v>
      </c>
      <c r="B10" s="56" t="s">
        <v>283</v>
      </c>
      <c r="C10" s="338">
        <v>50</v>
      </c>
      <c r="D10" s="338"/>
      <c r="E10" s="594">
        <v>25</v>
      </c>
      <c r="F10" s="594"/>
      <c r="G10" s="338">
        <v>25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0" ht="25.5" x14ac:dyDescent="0.25">
      <c r="A11" s="338">
        <v>6</v>
      </c>
      <c r="B11" s="56" t="s">
        <v>294</v>
      </c>
      <c r="C11" s="338">
        <v>25</v>
      </c>
      <c r="D11" s="338"/>
      <c r="E11" s="594">
        <v>25</v>
      </c>
      <c r="F11" s="594"/>
      <c r="G11" s="338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0" ht="25.5" x14ac:dyDescent="0.25">
      <c r="A12" s="338">
        <v>7</v>
      </c>
      <c r="B12" s="56" t="s">
        <v>257</v>
      </c>
      <c r="C12" s="338">
        <v>50</v>
      </c>
      <c r="D12" s="338">
        <v>25</v>
      </c>
      <c r="E12" s="594">
        <v>25</v>
      </c>
      <c r="F12" s="594"/>
      <c r="G12" s="338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x14ac:dyDescent="0.25">
      <c r="A13" s="338">
        <v>8</v>
      </c>
      <c r="B13" s="56" t="s">
        <v>265</v>
      </c>
      <c r="C13" s="338">
        <v>265</v>
      </c>
      <c r="D13" s="338">
        <v>26</v>
      </c>
      <c r="E13" s="594">
        <v>25</v>
      </c>
      <c r="F13" s="594"/>
      <c r="G13" s="338">
        <v>14</v>
      </c>
      <c r="H13" s="338">
        <v>25</v>
      </c>
      <c r="I13" s="338"/>
      <c r="J13" s="338">
        <v>25</v>
      </c>
      <c r="K13" s="338">
        <v>24</v>
      </c>
      <c r="L13" s="338">
        <v>25</v>
      </c>
      <c r="M13" s="338">
        <v>25</v>
      </c>
      <c r="N13" s="338">
        <v>20</v>
      </c>
      <c r="O13" s="338">
        <v>19</v>
      </c>
      <c r="P13" s="338">
        <v>6</v>
      </c>
      <c r="Q13" s="338">
        <v>6</v>
      </c>
      <c r="R13" s="338">
        <v>4</v>
      </c>
      <c r="S13" s="338">
        <v>12</v>
      </c>
      <c r="T13" s="338">
        <v>9</v>
      </c>
    </row>
    <row r="14" spans="1:20" x14ac:dyDescent="0.25">
      <c r="A14" s="338">
        <v>9</v>
      </c>
      <c r="B14" s="55" t="s">
        <v>293</v>
      </c>
      <c r="C14" s="338">
        <v>75</v>
      </c>
      <c r="D14" s="338"/>
      <c r="E14" s="594">
        <v>25</v>
      </c>
      <c r="F14" s="594"/>
      <c r="G14" s="338"/>
      <c r="H14" s="338">
        <v>25</v>
      </c>
      <c r="I14" s="338">
        <v>25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0" ht="25.5" x14ac:dyDescent="0.25">
      <c r="A15" s="338">
        <v>10</v>
      </c>
      <c r="B15" s="56" t="s">
        <v>267</v>
      </c>
      <c r="C15" s="338">
        <v>32</v>
      </c>
      <c r="D15" s="338">
        <v>32</v>
      </c>
      <c r="E15" s="594"/>
      <c r="F15" s="594"/>
      <c r="G15" s="338"/>
      <c r="H15" s="338"/>
      <c r="I15" s="338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spans="1:20" ht="25.5" x14ac:dyDescent="0.25">
      <c r="A16" s="338">
        <v>11</v>
      </c>
      <c r="B16" s="56" t="s">
        <v>268</v>
      </c>
      <c r="C16" s="338">
        <v>32</v>
      </c>
      <c r="D16" s="338">
        <v>32</v>
      </c>
      <c r="E16" s="594"/>
      <c r="F16" s="594"/>
      <c r="G16" s="338"/>
      <c r="H16" s="338"/>
      <c r="I16" s="338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1:20" ht="25.5" x14ac:dyDescent="0.25">
      <c r="A17" s="338">
        <v>12</v>
      </c>
      <c r="B17" s="56" t="s">
        <v>269</v>
      </c>
      <c r="C17" s="338">
        <v>32</v>
      </c>
      <c r="D17" s="338">
        <v>32</v>
      </c>
      <c r="E17" s="594"/>
      <c r="F17" s="594"/>
      <c r="G17" s="338"/>
      <c r="H17" s="338"/>
      <c r="I17" s="338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20" x14ac:dyDescent="0.25">
      <c r="A18" s="338">
        <v>13</v>
      </c>
      <c r="B18" s="56" t="s">
        <v>309</v>
      </c>
      <c r="C18" s="368">
        <v>0</v>
      </c>
      <c r="D18" s="368">
        <v>0</v>
      </c>
      <c r="E18" s="594"/>
      <c r="F18" s="594"/>
      <c r="G18" s="338"/>
      <c r="H18" s="338"/>
      <c r="I18" s="338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</row>
    <row r="19" spans="1:20" x14ac:dyDescent="0.25">
      <c r="A19" s="382"/>
      <c r="B19" s="382" t="s">
        <v>146</v>
      </c>
      <c r="C19" s="383">
        <v>975</v>
      </c>
      <c r="D19" s="383">
        <v>536</v>
      </c>
      <c r="E19" s="595">
        <v>150</v>
      </c>
      <c r="F19" s="595"/>
      <c r="G19" s="383">
        <v>39</v>
      </c>
      <c r="H19" s="383">
        <v>50</v>
      </c>
      <c r="I19" s="383">
        <v>25</v>
      </c>
      <c r="J19" s="383">
        <v>25</v>
      </c>
      <c r="K19" s="383">
        <v>24</v>
      </c>
      <c r="L19" s="383">
        <v>25</v>
      </c>
      <c r="M19" s="383">
        <v>25</v>
      </c>
      <c r="N19" s="383">
        <v>20</v>
      </c>
      <c r="O19" s="383">
        <v>19</v>
      </c>
      <c r="P19" s="383">
        <v>6</v>
      </c>
      <c r="Q19" s="383">
        <v>6</v>
      </c>
      <c r="R19" s="383">
        <v>4</v>
      </c>
      <c r="S19" s="383">
        <v>12</v>
      </c>
      <c r="T19" s="383">
        <v>9</v>
      </c>
    </row>
  </sheetData>
  <mergeCells count="22">
    <mergeCell ref="E11:F11"/>
    <mergeCell ref="A1:T1"/>
    <mergeCell ref="A2:T2"/>
    <mergeCell ref="D3:E3"/>
    <mergeCell ref="A4:A5"/>
    <mergeCell ref="B4:B5"/>
    <mergeCell ref="C4:C5"/>
    <mergeCell ref="D4:T4"/>
    <mergeCell ref="E5:F5"/>
    <mergeCell ref="E6:F6"/>
    <mergeCell ref="E7:F7"/>
    <mergeCell ref="E8:F8"/>
    <mergeCell ref="E9:F9"/>
    <mergeCell ref="E10:F10"/>
    <mergeCell ref="E18:F18"/>
    <mergeCell ref="E19:F19"/>
    <mergeCell ref="E12:F12"/>
    <mergeCell ref="E13:F13"/>
    <mergeCell ref="E14:F14"/>
    <mergeCell ref="E15:F15"/>
    <mergeCell ref="E16:F16"/>
    <mergeCell ref="E17:F17"/>
  </mergeCells>
  <pageMargins left="0.11811023622047245" right="0.11811023622047245" top="0.74803149606299213" bottom="0.74803149606299213" header="0.31496062992125984" footer="0.31496062992125984"/>
  <pageSetup paperSize="9" scale="7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90" zoomScaleNormal="9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P53" sqref="P53"/>
    </sheetView>
  </sheetViews>
  <sheetFormatPr defaultRowHeight="12.75" x14ac:dyDescent="0.25"/>
  <cols>
    <col min="1" max="1" width="4.85546875" style="379" customWidth="1"/>
    <col min="2" max="2" width="60.85546875" style="379" customWidth="1"/>
    <col min="3" max="3" width="16.7109375" style="393" hidden="1" customWidth="1"/>
    <col min="4" max="4" width="12.7109375" style="393" hidden="1" customWidth="1"/>
    <col min="5" max="5" width="11.7109375" style="393" hidden="1" customWidth="1"/>
    <col min="6" max="6" width="11.85546875" style="393" hidden="1" customWidth="1"/>
    <col min="7" max="7" width="12" style="393" hidden="1" customWidth="1"/>
    <col min="8" max="8" width="11.140625" style="393" hidden="1" customWidth="1"/>
    <col min="9" max="9" width="10.140625" style="379" customWidth="1"/>
    <col min="10" max="10" width="15" style="379" customWidth="1"/>
    <col min="11" max="11" width="14" style="379" customWidth="1"/>
    <col min="12" max="12" width="11.42578125" style="379" customWidth="1"/>
    <col min="13" max="16384" width="9.140625" style="379"/>
  </cols>
  <sheetData>
    <row r="1" spans="1:15" ht="15" x14ac:dyDescent="0.25">
      <c r="A1" s="557" t="s">
        <v>714</v>
      </c>
      <c r="B1" s="599"/>
      <c r="C1" s="599"/>
      <c r="D1" s="599"/>
      <c r="E1" s="599"/>
      <c r="F1" s="599"/>
      <c r="G1" s="599"/>
      <c r="H1" s="599"/>
    </row>
    <row r="2" spans="1:15" x14ac:dyDescent="0.25">
      <c r="H2" s="394" t="s">
        <v>715</v>
      </c>
    </row>
    <row r="3" spans="1:15" s="396" customFormat="1" ht="99.75" customHeight="1" x14ac:dyDescent="0.25">
      <c r="A3" s="600" t="s">
        <v>0</v>
      </c>
      <c r="B3" s="600" t="s">
        <v>94</v>
      </c>
      <c r="C3" s="395" t="s">
        <v>716</v>
      </c>
      <c r="D3" s="602" t="s">
        <v>96</v>
      </c>
      <c r="E3" s="602"/>
      <c r="F3" s="602"/>
      <c r="G3" s="602"/>
      <c r="H3" s="602"/>
      <c r="I3" s="389" t="s">
        <v>717</v>
      </c>
      <c r="J3" s="389" t="s">
        <v>718</v>
      </c>
      <c r="K3" s="602" t="s">
        <v>96</v>
      </c>
      <c r="L3" s="602"/>
      <c r="M3" s="602"/>
      <c r="N3" s="602"/>
      <c r="O3" s="602"/>
    </row>
    <row r="4" spans="1:15" s="396" customFormat="1" ht="64.5" customHeight="1" x14ac:dyDescent="0.25">
      <c r="A4" s="601"/>
      <c r="B4" s="601"/>
      <c r="C4" s="395" t="s">
        <v>719</v>
      </c>
      <c r="D4" s="395" t="s">
        <v>720</v>
      </c>
      <c r="E4" s="395" t="s">
        <v>721</v>
      </c>
      <c r="F4" s="395" t="s">
        <v>722</v>
      </c>
      <c r="G4" s="395" t="s">
        <v>721</v>
      </c>
      <c r="H4" s="395" t="s">
        <v>723</v>
      </c>
      <c r="I4" s="390"/>
      <c r="J4" s="395" t="s">
        <v>719</v>
      </c>
      <c r="K4" s="395" t="s">
        <v>720</v>
      </c>
      <c r="L4" s="395" t="s">
        <v>721</v>
      </c>
      <c r="M4" s="395" t="s">
        <v>722</v>
      </c>
      <c r="N4" s="395" t="s">
        <v>721</v>
      </c>
      <c r="O4" s="395" t="s">
        <v>723</v>
      </c>
    </row>
    <row r="5" spans="1:15" x14ac:dyDescent="0.25">
      <c r="A5" s="397">
        <v>1</v>
      </c>
      <c r="B5" s="398" t="s">
        <v>47</v>
      </c>
      <c r="C5" s="385">
        <v>20032</v>
      </c>
      <c r="D5" s="385">
        <v>20032</v>
      </c>
      <c r="E5" s="368">
        <v>4</v>
      </c>
      <c r="F5" s="368"/>
      <c r="G5" s="368"/>
      <c r="H5" s="368"/>
      <c r="I5" s="391"/>
      <c r="J5" s="399">
        <f>C5+I5</f>
        <v>20032</v>
      </c>
      <c r="K5" s="385">
        <v>20032</v>
      </c>
      <c r="L5" s="368">
        <v>4</v>
      </c>
      <c r="M5" s="368"/>
      <c r="N5" s="368"/>
      <c r="O5" s="368"/>
    </row>
    <row r="6" spans="1:15" x14ac:dyDescent="0.25">
      <c r="A6" s="397">
        <v>2</v>
      </c>
      <c r="B6" s="398" t="s">
        <v>49</v>
      </c>
      <c r="C6" s="385">
        <v>8313</v>
      </c>
      <c r="D6" s="385">
        <v>8313</v>
      </c>
      <c r="E6" s="368">
        <v>2</v>
      </c>
      <c r="F6" s="368"/>
      <c r="G6" s="368"/>
      <c r="H6" s="368"/>
      <c r="I6" s="391"/>
      <c r="J6" s="385">
        <f t="shared" ref="J6:J39" si="0">C6+I6</f>
        <v>8313</v>
      </c>
      <c r="K6" s="385">
        <v>8313</v>
      </c>
      <c r="L6" s="368">
        <v>2</v>
      </c>
      <c r="M6" s="368"/>
      <c r="N6" s="368"/>
      <c r="O6" s="368"/>
    </row>
    <row r="7" spans="1:15" x14ac:dyDescent="0.25">
      <c r="A7" s="397">
        <v>3</v>
      </c>
      <c r="B7" s="398" t="s">
        <v>3</v>
      </c>
      <c r="C7" s="385">
        <v>4854</v>
      </c>
      <c r="D7" s="385">
        <v>4854</v>
      </c>
      <c r="E7" s="368">
        <v>5</v>
      </c>
      <c r="F7" s="368"/>
      <c r="G7" s="368"/>
      <c r="H7" s="368"/>
      <c r="I7" s="391"/>
      <c r="J7" s="385">
        <f t="shared" si="0"/>
        <v>4854</v>
      </c>
      <c r="K7" s="385">
        <v>4854</v>
      </c>
      <c r="L7" s="368">
        <v>5</v>
      </c>
      <c r="M7" s="368"/>
      <c r="N7" s="368"/>
      <c r="O7" s="368"/>
    </row>
    <row r="8" spans="1:15" x14ac:dyDescent="0.25">
      <c r="A8" s="397">
        <v>4</v>
      </c>
      <c r="B8" s="398" t="s">
        <v>1</v>
      </c>
      <c r="C8" s="385">
        <v>11442</v>
      </c>
      <c r="D8" s="385">
        <v>11442</v>
      </c>
      <c r="E8" s="368">
        <v>5</v>
      </c>
      <c r="F8" s="368"/>
      <c r="G8" s="368"/>
      <c r="H8" s="368"/>
      <c r="I8" s="391"/>
      <c r="J8" s="385">
        <f t="shared" si="0"/>
        <v>11442</v>
      </c>
      <c r="K8" s="385">
        <v>11442</v>
      </c>
      <c r="L8" s="368">
        <v>5</v>
      </c>
      <c r="M8" s="368"/>
      <c r="N8" s="368"/>
      <c r="O8" s="368"/>
    </row>
    <row r="9" spans="1:15" x14ac:dyDescent="0.25">
      <c r="A9" s="397">
        <v>5</v>
      </c>
      <c r="B9" s="398" t="s">
        <v>4</v>
      </c>
      <c r="C9" s="385">
        <v>5486</v>
      </c>
      <c r="D9" s="385">
        <v>5486</v>
      </c>
      <c r="E9" s="368">
        <v>10</v>
      </c>
      <c r="F9" s="368"/>
      <c r="G9" s="368"/>
      <c r="H9" s="368"/>
      <c r="I9" s="391"/>
      <c r="J9" s="385">
        <f t="shared" si="0"/>
        <v>5486</v>
      </c>
      <c r="K9" s="385">
        <v>5486</v>
      </c>
      <c r="L9" s="368">
        <v>10</v>
      </c>
      <c r="M9" s="368"/>
      <c r="N9" s="368"/>
      <c r="O9" s="368"/>
    </row>
    <row r="10" spans="1:15" x14ac:dyDescent="0.25">
      <c r="A10" s="397">
        <v>6</v>
      </c>
      <c r="B10" s="398" t="s">
        <v>6</v>
      </c>
      <c r="C10" s="385">
        <v>15471</v>
      </c>
      <c r="D10" s="385">
        <v>15471</v>
      </c>
      <c r="E10" s="368">
        <v>15</v>
      </c>
      <c r="F10" s="368"/>
      <c r="G10" s="368"/>
      <c r="H10" s="368"/>
      <c r="I10" s="391"/>
      <c r="J10" s="385">
        <f t="shared" si="0"/>
        <v>15471</v>
      </c>
      <c r="K10" s="385">
        <v>15471</v>
      </c>
      <c r="L10" s="368">
        <v>15</v>
      </c>
      <c r="M10" s="368"/>
      <c r="N10" s="368"/>
      <c r="O10" s="368"/>
    </row>
    <row r="11" spans="1:15" x14ac:dyDescent="0.25">
      <c r="A11" s="397">
        <v>7</v>
      </c>
      <c r="B11" s="398" t="s">
        <v>7</v>
      </c>
      <c r="C11" s="385">
        <v>7530</v>
      </c>
      <c r="D11" s="385">
        <v>7530</v>
      </c>
      <c r="E11" s="368">
        <v>10</v>
      </c>
      <c r="F11" s="368"/>
      <c r="G11" s="368"/>
      <c r="H11" s="368"/>
      <c r="I11" s="391"/>
      <c r="J11" s="385">
        <f t="shared" si="0"/>
        <v>7530</v>
      </c>
      <c r="K11" s="385">
        <v>7530</v>
      </c>
      <c r="L11" s="368">
        <v>10</v>
      </c>
      <c r="M11" s="368"/>
      <c r="N11" s="368"/>
      <c r="O11" s="368"/>
    </row>
    <row r="12" spans="1:15" x14ac:dyDescent="0.25">
      <c r="A12" s="397">
        <v>8</v>
      </c>
      <c r="B12" s="398" t="s">
        <v>8</v>
      </c>
      <c r="C12" s="385">
        <v>5501</v>
      </c>
      <c r="D12" s="385">
        <v>5501</v>
      </c>
      <c r="E12" s="368">
        <v>2</v>
      </c>
      <c r="F12" s="368"/>
      <c r="G12" s="368"/>
      <c r="H12" s="368"/>
      <c r="I12" s="391"/>
      <c r="J12" s="385">
        <f t="shared" si="0"/>
        <v>5501</v>
      </c>
      <c r="K12" s="385">
        <v>5501</v>
      </c>
      <c r="L12" s="368">
        <v>2</v>
      </c>
      <c r="M12" s="368"/>
      <c r="N12" s="368"/>
      <c r="O12" s="368"/>
    </row>
    <row r="13" spans="1:15" x14ac:dyDescent="0.25">
      <c r="A13" s="397">
        <v>9</v>
      </c>
      <c r="B13" s="398" t="s">
        <v>9</v>
      </c>
      <c r="C13" s="385">
        <v>25600</v>
      </c>
      <c r="D13" s="385">
        <v>25600</v>
      </c>
      <c r="E13" s="368">
        <v>12</v>
      </c>
      <c r="F13" s="368"/>
      <c r="G13" s="368"/>
      <c r="H13" s="368"/>
      <c r="I13" s="391"/>
      <c r="J13" s="385">
        <f t="shared" si="0"/>
        <v>25600</v>
      </c>
      <c r="K13" s="385">
        <v>25600</v>
      </c>
      <c r="L13" s="368">
        <v>12</v>
      </c>
      <c r="M13" s="368"/>
      <c r="N13" s="368"/>
      <c r="O13" s="368"/>
    </row>
    <row r="14" spans="1:15" x14ac:dyDescent="0.25">
      <c r="A14" s="397">
        <v>10</v>
      </c>
      <c r="B14" s="398" t="s">
        <v>10</v>
      </c>
      <c r="C14" s="385">
        <v>5085</v>
      </c>
      <c r="D14" s="385">
        <v>5085</v>
      </c>
      <c r="E14" s="368">
        <v>3</v>
      </c>
      <c r="F14" s="368"/>
      <c r="G14" s="368"/>
      <c r="H14" s="368"/>
      <c r="I14" s="391"/>
      <c r="J14" s="385">
        <f t="shared" si="0"/>
        <v>5085</v>
      </c>
      <c r="K14" s="385">
        <v>5085</v>
      </c>
      <c r="L14" s="368">
        <v>3</v>
      </c>
      <c r="M14" s="368"/>
      <c r="N14" s="368"/>
      <c r="O14" s="368"/>
    </row>
    <row r="15" spans="1:15" x14ac:dyDescent="0.25">
      <c r="A15" s="397">
        <v>11</v>
      </c>
      <c r="B15" s="398" t="s">
        <v>11</v>
      </c>
      <c r="C15" s="385">
        <v>28503</v>
      </c>
      <c r="D15" s="385">
        <v>28503</v>
      </c>
      <c r="E15" s="368">
        <v>12</v>
      </c>
      <c r="F15" s="368"/>
      <c r="G15" s="368"/>
      <c r="H15" s="368"/>
      <c r="I15" s="391"/>
      <c r="J15" s="385">
        <f t="shared" si="0"/>
        <v>28503</v>
      </c>
      <c r="K15" s="385">
        <v>28503</v>
      </c>
      <c r="L15" s="368">
        <v>12</v>
      </c>
      <c r="M15" s="368"/>
      <c r="N15" s="368"/>
      <c r="O15" s="368"/>
    </row>
    <row r="16" spans="1:15" x14ac:dyDescent="0.25">
      <c r="A16" s="397">
        <v>12</v>
      </c>
      <c r="B16" s="398" t="s">
        <v>12</v>
      </c>
      <c r="C16" s="385">
        <v>5828</v>
      </c>
      <c r="D16" s="385">
        <v>5828</v>
      </c>
      <c r="E16" s="368">
        <v>21</v>
      </c>
      <c r="F16" s="368"/>
      <c r="G16" s="368"/>
      <c r="H16" s="368"/>
      <c r="I16" s="391"/>
      <c r="J16" s="385">
        <f t="shared" si="0"/>
        <v>5828</v>
      </c>
      <c r="K16" s="385">
        <v>5828</v>
      </c>
      <c r="L16" s="368">
        <v>21</v>
      </c>
      <c r="M16" s="368"/>
      <c r="N16" s="368"/>
      <c r="O16" s="368"/>
    </row>
    <row r="17" spans="1:15" x14ac:dyDescent="0.25">
      <c r="A17" s="397">
        <v>13</v>
      </c>
      <c r="B17" s="398" t="s">
        <v>13</v>
      </c>
      <c r="C17" s="385">
        <v>16463</v>
      </c>
      <c r="D17" s="385">
        <v>16463</v>
      </c>
      <c r="E17" s="368">
        <v>10</v>
      </c>
      <c r="F17" s="368"/>
      <c r="G17" s="368"/>
      <c r="H17" s="368"/>
      <c r="I17" s="391"/>
      <c r="J17" s="385">
        <f t="shared" si="0"/>
        <v>16463</v>
      </c>
      <c r="K17" s="385">
        <v>16463</v>
      </c>
      <c r="L17" s="368">
        <v>10</v>
      </c>
      <c r="M17" s="368"/>
      <c r="N17" s="368"/>
      <c r="O17" s="368"/>
    </row>
    <row r="18" spans="1:15" x14ac:dyDescent="0.25">
      <c r="A18" s="397">
        <v>14</v>
      </c>
      <c r="B18" s="398" t="s">
        <v>15</v>
      </c>
      <c r="C18" s="385">
        <v>13558</v>
      </c>
      <c r="D18" s="385">
        <v>13558</v>
      </c>
      <c r="E18" s="368">
        <v>3</v>
      </c>
      <c r="F18" s="368"/>
      <c r="G18" s="368"/>
      <c r="H18" s="368"/>
      <c r="I18" s="391"/>
      <c r="J18" s="385">
        <f t="shared" si="0"/>
        <v>13558</v>
      </c>
      <c r="K18" s="385">
        <v>13558</v>
      </c>
      <c r="L18" s="368">
        <v>3</v>
      </c>
      <c r="M18" s="368"/>
      <c r="N18" s="368"/>
      <c r="O18" s="368"/>
    </row>
    <row r="19" spans="1:15" x14ac:dyDescent="0.25">
      <c r="A19" s="397">
        <v>15</v>
      </c>
      <c r="B19" s="398" t="s">
        <v>185</v>
      </c>
      <c r="C19" s="385">
        <v>6108</v>
      </c>
      <c r="D19" s="385">
        <v>6108</v>
      </c>
      <c r="E19" s="368">
        <v>4</v>
      </c>
      <c r="F19" s="368"/>
      <c r="G19" s="368"/>
      <c r="H19" s="368"/>
      <c r="I19" s="391"/>
      <c r="J19" s="385">
        <f t="shared" si="0"/>
        <v>6108</v>
      </c>
      <c r="K19" s="385">
        <v>6108</v>
      </c>
      <c r="L19" s="368">
        <v>4</v>
      </c>
      <c r="M19" s="368"/>
      <c r="N19" s="368"/>
      <c r="O19" s="368"/>
    </row>
    <row r="20" spans="1:15" x14ac:dyDescent="0.25">
      <c r="A20" s="397">
        <v>16</v>
      </c>
      <c r="B20" s="398" t="s">
        <v>16</v>
      </c>
      <c r="C20" s="385">
        <v>7506</v>
      </c>
      <c r="D20" s="385">
        <v>6850</v>
      </c>
      <c r="E20" s="368">
        <v>5</v>
      </c>
      <c r="F20" s="368">
        <v>656</v>
      </c>
      <c r="G20" s="368"/>
      <c r="H20" s="368"/>
      <c r="I20" s="391"/>
      <c r="J20" s="385">
        <f t="shared" si="0"/>
        <v>7506</v>
      </c>
      <c r="K20" s="385">
        <v>6850</v>
      </c>
      <c r="L20" s="368">
        <v>5</v>
      </c>
      <c r="M20" s="368">
        <v>656</v>
      </c>
      <c r="N20" s="368"/>
      <c r="O20" s="368"/>
    </row>
    <row r="21" spans="1:15" x14ac:dyDescent="0.25">
      <c r="A21" s="397">
        <v>17</v>
      </c>
      <c r="B21" s="398" t="s">
        <v>17</v>
      </c>
      <c r="C21" s="385">
        <v>6115</v>
      </c>
      <c r="D21" s="385">
        <v>6114</v>
      </c>
      <c r="E21" s="368">
        <v>14</v>
      </c>
      <c r="F21" s="368">
        <v>1</v>
      </c>
      <c r="G21" s="368"/>
      <c r="H21" s="368"/>
      <c r="I21" s="391"/>
      <c r="J21" s="385">
        <f t="shared" si="0"/>
        <v>6115</v>
      </c>
      <c r="K21" s="385">
        <v>6114</v>
      </c>
      <c r="L21" s="368">
        <v>14</v>
      </c>
      <c r="M21" s="368">
        <v>1</v>
      </c>
      <c r="N21" s="368"/>
      <c r="O21" s="368"/>
    </row>
    <row r="22" spans="1:15" x14ac:dyDescent="0.25">
      <c r="A22" s="397">
        <v>18</v>
      </c>
      <c r="B22" s="398" t="s">
        <v>18</v>
      </c>
      <c r="C22" s="385">
        <v>4742</v>
      </c>
      <c r="D22" s="385">
        <v>4742</v>
      </c>
      <c r="E22" s="368">
        <v>4</v>
      </c>
      <c r="F22" s="368"/>
      <c r="G22" s="368"/>
      <c r="H22" s="368"/>
      <c r="I22" s="391"/>
      <c r="J22" s="385">
        <f t="shared" si="0"/>
        <v>4742</v>
      </c>
      <c r="K22" s="385">
        <v>4742</v>
      </c>
      <c r="L22" s="368">
        <v>4</v>
      </c>
      <c r="M22" s="368"/>
      <c r="N22" s="368"/>
      <c r="O22" s="368"/>
    </row>
    <row r="23" spans="1:15" x14ac:dyDescent="0.25">
      <c r="A23" s="397">
        <v>19</v>
      </c>
      <c r="B23" s="398" t="s">
        <v>45</v>
      </c>
      <c r="C23" s="385">
        <v>6558</v>
      </c>
      <c r="D23" s="385">
        <v>6558</v>
      </c>
      <c r="E23" s="368">
        <v>5</v>
      </c>
      <c r="F23" s="368"/>
      <c r="G23" s="368"/>
      <c r="H23" s="368"/>
      <c r="I23" s="391"/>
      <c r="J23" s="385">
        <f>C23+I23</f>
        <v>6558</v>
      </c>
      <c r="K23" s="385">
        <v>6558</v>
      </c>
      <c r="L23" s="368">
        <v>5</v>
      </c>
      <c r="M23" s="368"/>
      <c r="N23" s="368"/>
      <c r="O23" s="368"/>
    </row>
    <row r="24" spans="1:15" x14ac:dyDescent="0.25">
      <c r="A24" s="397">
        <v>20</v>
      </c>
      <c r="B24" s="398" t="s">
        <v>28</v>
      </c>
      <c r="C24" s="385">
        <v>8848</v>
      </c>
      <c r="D24" s="385">
        <v>8848</v>
      </c>
      <c r="E24" s="368">
        <v>8</v>
      </c>
      <c r="F24" s="368"/>
      <c r="G24" s="368"/>
      <c r="H24" s="368"/>
      <c r="I24" s="391"/>
      <c r="J24" s="385">
        <f t="shared" si="0"/>
        <v>8848</v>
      </c>
      <c r="K24" s="385">
        <v>8848</v>
      </c>
      <c r="L24" s="368">
        <v>8</v>
      </c>
      <c r="M24" s="368"/>
      <c r="N24" s="368"/>
      <c r="O24" s="368"/>
    </row>
    <row r="25" spans="1:15" x14ac:dyDescent="0.25">
      <c r="A25" s="397">
        <v>21</v>
      </c>
      <c r="B25" s="398" t="s">
        <v>724</v>
      </c>
      <c r="C25" s="385">
        <v>29735</v>
      </c>
      <c r="D25" s="385">
        <v>29735</v>
      </c>
      <c r="E25" s="368">
        <v>20</v>
      </c>
      <c r="F25" s="368"/>
      <c r="G25" s="368"/>
      <c r="H25" s="368"/>
      <c r="I25" s="391"/>
      <c r="J25" s="385">
        <f t="shared" si="0"/>
        <v>29735</v>
      </c>
      <c r="K25" s="385">
        <v>29735</v>
      </c>
      <c r="L25" s="368">
        <v>20</v>
      </c>
      <c r="M25" s="368"/>
      <c r="N25" s="368"/>
      <c r="O25" s="368"/>
    </row>
    <row r="26" spans="1:15" ht="48.75" customHeight="1" x14ac:dyDescent="0.25">
      <c r="A26" s="397">
        <v>22</v>
      </c>
      <c r="B26" s="400" t="s">
        <v>725</v>
      </c>
      <c r="C26" s="385">
        <v>17086</v>
      </c>
      <c r="D26" s="385">
        <v>17086</v>
      </c>
      <c r="E26" s="368">
        <v>12</v>
      </c>
      <c r="F26" s="368"/>
      <c r="G26" s="368"/>
      <c r="H26" s="368"/>
      <c r="I26" s="391"/>
      <c r="J26" s="385">
        <f t="shared" si="0"/>
        <v>17086</v>
      </c>
      <c r="K26" s="385">
        <v>17086</v>
      </c>
      <c r="L26" s="368">
        <v>12</v>
      </c>
      <c r="M26" s="368"/>
      <c r="N26" s="368"/>
      <c r="O26" s="368"/>
    </row>
    <row r="27" spans="1:15" ht="54.75" customHeight="1" x14ac:dyDescent="0.25">
      <c r="A27" s="397">
        <v>23</v>
      </c>
      <c r="B27" s="400" t="s">
        <v>726</v>
      </c>
      <c r="C27" s="385">
        <v>6671</v>
      </c>
      <c r="D27" s="385">
        <v>6671</v>
      </c>
      <c r="E27" s="368">
        <v>8</v>
      </c>
      <c r="F27" s="368"/>
      <c r="G27" s="368"/>
      <c r="H27" s="368"/>
      <c r="I27" s="391"/>
      <c r="J27" s="385">
        <f t="shared" si="0"/>
        <v>6671</v>
      </c>
      <c r="K27" s="385">
        <v>6671</v>
      </c>
      <c r="L27" s="368">
        <v>8</v>
      </c>
      <c r="M27" s="368"/>
      <c r="N27" s="368"/>
      <c r="O27" s="368"/>
    </row>
    <row r="28" spans="1:15" x14ac:dyDescent="0.25">
      <c r="A28" s="397">
        <v>24</v>
      </c>
      <c r="B28" s="398" t="s">
        <v>727</v>
      </c>
      <c r="C28" s="385">
        <v>51419</v>
      </c>
      <c r="D28" s="368">
        <v>51102</v>
      </c>
      <c r="E28" s="368">
        <v>36</v>
      </c>
      <c r="F28" s="368">
        <v>317</v>
      </c>
      <c r="G28" s="368">
        <v>2</v>
      </c>
      <c r="H28" s="368"/>
      <c r="I28" s="391"/>
      <c r="J28" s="385">
        <f t="shared" si="0"/>
        <v>51419</v>
      </c>
      <c r="K28" s="368">
        <v>51102</v>
      </c>
      <c r="L28" s="368">
        <v>36</v>
      </c>
      <c r="M28" s="368">
        <v>317</v>
      </c>
      <c r="N28" s="368">
        <v>2</v>
      </c>
      <c r="O28" s="368"/>
    </row>
    <row r="29" spans="1:15" x14ac:dyDescent="0.25">
      <c r="A29" s="397">
        <v>25</v>
      </c>
      <c r="B29" s="398" t="s">
        <v>728</v>
      </c>
      <c r="C29" s="385">
        <v>38946</v>
      </c>
      <c r="D29" s="385">
        <v>31911</v>
      </c>
      <c r="E29" s="368">
        <v>0</v>
      </c>
      <c r="F29" s="385">
        <v>7035</v>
      </c>
      <c r="G29" s="368"/>
      <c r="H29" s="368"/>
      <c r="I29" s="391"/>
      <c r="J29" s="385">
        <f t="shared" si="0"/>
        <v>38946</v>
      </c>
      <c r="K29" s="385">
        <v>31911</v>
      </c>
      <c r="L29" s="368">
        <v>0</v>
      </c>
      <c r="M29" s="385">
        <v>7035</v>
      </c>
      <c r="N29" s="368"/>
      <c r="O29" s="368"/>
    </row>
    <row r="30" spans="1:15" x14ac:dyDescent="0.25">
      <c r="A30" s="397">
        <v>26</v>
      </c>
      <c r="B30" s="398" t="s">
        <v>20</v>
      </c>
      <c r="C30" s="385">
        <v>10415</v>
      </c>
      <c r="D30" s="385">
        <v>10415</v>
      </c>
      <c r="E30" s="368">
        <v>1</v>
      </c>
      <c r="F30" s="368"/>
      <c r="G30" s="368"/>
      <c r="H30" s="368"/>
      <c r="I30" s="391"/>
      <c r="J30" s="385">
        <f t="shared" si="0"/>
        <v>10415</v>
      </c>
      <c r="K30" s="385">
        <v>10415</v>
      </c>
      <c r="L30" s="368">
        <v>1</v>
      </c>
      <c r="M30" s="368"/>
      <c r="N30" s="368"/>
      <c r="O30" s="368"/>
    </row>
    <row r="31" spans="1:15" x14ac:dyDescent="0.25">
      <c r="A31" s="397">
        <v>27</v>
      </c>
      <c r="B31" s="398" t="s">
        <v>22</v>
      </c>
      <c r="C31" s="385">
        <v>16258</v>
      </c>
      <c r="D31" s="385">
        <v>16258</v>
      </c>
      <c r="E31" s="368">
        <v>22</v>
      </c>
      <c r="F31" s="368"/>
      <c r="G31" s="368"/>
      <c r="H31" s="368"/>
      <c r="I31" s="391"/>
      <c r="J31" s="385">
        <f t="shared" si="0"/>
        <v>16258</v>
      </c>
      <c r="K31" s="385">
        <v>16258</v>
      </c>
      <c r="L31" s="368">
        <v>22</v>
      </c>
      <c r="M31" s="368"/>
      <c r="N31" s="368"/>
      <c r="O31" s="368"/>
    </row>
    <row r="32" spans="1:15" x14ac:dyDescent="0.25">
      <c r="A32" s="397">
        <v>28</v>
      </c>
      <c r="B32" s="398" t="s">
        <v>24</v>
      </c>
      <c r="C32" s="385">
        <v>3681</v>
      </c>
      <c r="D32" s="385">
        <v>3681</v>
      </c>
      <c r="E32" s="368">
        <v>10</v>
      </c>
      <c r="F32" s="368"/>
      <c r="G32" s="368"/>
      <c r="H32" s="368"/>
      <c r="I32" s="391"/>
      <c r="J32" s="385">
        <f t="shared" si="0"/>
        <v>3681</v>
      </c>
      <c r="K32" s="385">
        <v>3681</v>
      </c>
      <c r="L32" s="368">
        <v>10</v>
      </c>
      <c r="M32" s="368"/>
      <c r="N32" s="368"/>
      <c r="O32" s="368"/>
    </row>
    <row r="33" spans="1:15" x14ac:dyDescent="0.25">
      <c r="A33" s="397">
        <v>29</v>
      </c>
      <c r="B33" s="398" t="s">
        <v>26</v>
      </c>
      <c r="C33" s="385">
        <v>3929</v>
      </c>
      <c r="D33" s="385">
        <v>3929</v>
      </c>
      <c r="E33" s="368">
        <v>3</v>
      </c>
      <c r="F33" s="368"/>
      <c r="G33" s="368"/>
      <c r="H33" s="368"/>
      <c r="I33" s="391"/>
      <c r="J33" s="385">
        <f t="shared" si="0"/>
        <v>3929</v>
      </c>
      <c r="K33" s="385">
        <v>3929</v>
      </c>
      <c r="L33" s="368">
        <v>3</v>
      </c>
      <c r="M33" s="368"/>
      <c r="N33" s="368"/>
      <c r="O33" s="368"/>
    </row>
    <row r="34" spans="1:15" x14ac:dyDescent="0.25">
      <c r="A34" s="397">
        <v>30</v>
      </c>
      <c r="B34" s="398" t="s">
        <v>27</v>
      </c>
      <c r="C34" s="385">
        <v>14635</v>
      </c>
      <c r="D34" s="385">
        <v>11515</v>
      </c>
      <c r="E34" s="368">
        <v>8</v>
      </c>
      <c r="F34" s="385">
        <v>3120</v>
      </c>
      <c r="G34" s="368"/>
      <c r="H34" s="368"/>
      <c r="I34" s="391"/>
      <c r="J34" s="385">
        <f t="shared" si="0"/>
        <v>14635</v>
      </c>
      <c r="K34" s="385">
        <v>11515</v>
      </c>
      <c r="L34" s="368">
        <v>8</v>
      </c>
      <c r="M34" s="385">
        <v>3120</v>
      </c>
      <c r="N34" s="368"/>
      <c r="O34" s="368"/>
    </row>
    <row r="35" spans="1:15" x14ac:dyDescent="0.25">
      <c r="A35" s="397">
        <v>31</v>
      </c>
      <c r="B35" s="398" t="s">
        <v>25</v>
      </c>
      <c r="C35" s="385">
        <v>7130</v>
      </c>
      <c r="D35" s="385">
        <v>7130</v>
      </c>
      <c r="E35" s="368">
        <v>5</v>
      </c>
      <c r="F35" s="368"/>
      <c r="G35" s="368"/>
      <c r="H35" s="368"/>
      <c r="I35" s="391"/>
      <c r="J35" s="385">
        <f t="shared" si="0"/>
        <v>7130</v>
      </c>
      <c r="K35" s="385">
        <v>7130</v>
      </c>
      <c r="L35" s="368">
        <v>5</v>
      </c>
      <c r="M35" s="368"/>
      <c r="N35" s="368"/>
      <c r="O35" s="368"/>
    </row>
    <row r="36" spans="1:15" ht="15.75" customHeight="1" x14ac:dyDescent="0.25">
      <c r="A36" s="397">
        <v>32</v>
      </c>
      <c r="B36" s="400" t="s">
        <v>29</v>
      </c>
      <c r="C36" s="385">
        <v>23518</v>
      </c>
      <c r="D36" s="385">
        <v>20816</v>
      </c>
      <c r="E36" s="368">
        <v>3</v>
      </c>
      <c r="F36" s="385">
        <v>2702</v>
      </c>
      <c r="G36" s="368">
        <v>2</v>
      </c>
      <c r="H36" s="368"/>
      <c r="I36" s="391"/>
      <c r="J36" s="385">
        <f t="shared" si="0"/>
        <v>23518</v>
      </c>
      <c r="K36" s="385">
        <v>20816</v>
      </c>
      <c r="L36" s="368">
        <v>3</v>
      </c>
      <c r="M36" s="385">
        <v>2702</v>
      </c>
      <c r="N36" s="368">
        <v>2</v>
      </c>
      <c r="O36" s="368"/>
    </row>
    <row r="37" spans="1:15" x14ac:dyDescent="0.25">
      <c r="A37" s="397">
        <v>33</v>
      </c>
      <c r="B37" s="398" t="s">
        <v>30</v>
      </c>
      <c r="C37" s="385">
        <v>6857</v>
      </c>
      <c r="D37" s="385">
        <v>6857</v>
      </c>
      <c r="E37" s="368">
        <v>5</v>
      </c>
      <c r="F37" s="368"/>
      <c r="G37" s="368"/>
      <c r="H37" s="368"/>
      <c r="I37" s="391"/>
      <c r="J37" s="385">
        <f t="shared" si="0"/>
        <v>6857</v>
      </c>
      <c r="K37" s="385">
        <v>6857</v>
      </c>
      <c r="L37" s="368">
        <v>5</v>
      </c>
      <c r="M37" s="368"/>
      <c r="N37" s="368"/>
      <c r="O37" s="368"/>
    </row>
    <row r="38" spans="1:15" x14ac:dyDescent="0.25">
      <c r="A38" s="397">
        <v>34</v>
      </c>
      <c r="B38" s="398" t="s">
        <v>31</v>
      </c>
      <c r="C38" s="385">
        <v>6286</v>
      </c>
      <c r="D38" s="385">
        <v>6286</v>
      </c>
      <c r="E38" s="368">
        <v>3</v>
      </c>
      <c r="F38" s="368"/>
      <c r="G38" s="368"/>
      <c r="H38" s="368"/>
      <c r="I38" s="391"/>
      <c r="J38" s="385">
        <f t="shared" si="0"/>
        <v>6286</v>
      </c>
      <c r="K38" s="385">
        <v>6286</v>
      </c>
      <c r="L38" s="368">
        <v>3</v>
      </c>
      <c r="M38" s="368"/>
      <c r="N38" s="368"/>
      <c r="O38" s="368"/>
    </row>
    <row r="39" spans="1:15" ht="17.25" customHeight="1" x14ac:dyDescent="0.25">
      <c r="A39" s="401">
        <v>35</v>
      </c>
      <c r="B39" s="400" t="s">
        <v>32</v>
      </c>
      <c r="C39" s="385">
        <v>12838</v>
      </c>
      <c r="D39" s="385">
        <v>12838</v>
      </c>
      <c r="E39" s="368">
        <v>1</v>
      </c>
      <c r="F39" s="368"/>
      <c r="G39" s="368"/>
      <c r="H39" s="368"/>
      <c r="I39" s="391"/>
      <c r="J39" s="385">
        <f t="shared" si="0"/>
        <v>12838</v>
      </c>
      <c r="K39" s="385">
        <v>12838</v>
      </c>
      <c r="L39" s="368">
        <v>1</v>
      </c>
      <c r="M39" s="368"/>
      <c r="N39" s="368"/>
      <c r="O39" s="368"/>
    </row>
    <row r="40" spans="1:15" x14ac:dyDescent="0.25">
      <c r="A40" s="397">
        <v>36</v>
      </c>
      <c r="B40" s="398" t="s">
        <v>33</v>
      </c>
      <c r="C40" s="385">
        <v>4577</v>
      </c>
      <c r="D40" s="385">
        <v>4577</v>
      </c>
      <c r="E40" s="368">
        <v>5</v>
      </c>
      <c r="F40" s="368"/>
      <c r="G40" s="368"/>
      <c r="H40" s="368"/>
      <c r="I40" s="385">
        <v>-4196</v>
      </c>
      <c r="J40" s="385">
        <f>C40+I40</f>
        <v>381</v>
      </c>
      <c r="K40" s="385">
        <v>381</v>
      </c>
      <c r="L40" s="368">
        <v>0</v>
      </c>
      <c r="M40" s="368"/>
      <c r="N40" s="368"/>
      <c r="O40" s="368"/>
    </row>
    <row r="41" spans="1:15" x14ac:dyDescent="0.25">
      <c r="A41" s="397">
        <v>37</v>
      </c>
      <c r="B41" s="398" t="s">
        <v>19</v>
      </c>
      <c r="C41" s="385">
        <v>8898</v>
      </c>
      <c r="D41" s="385">
        <v>8898</v>
      </c>
      <c r="E41" s="368">
        <v>4</v>
      </c>
      <c r="F41" s="368"/>
      <c r="G41" s="368"/>
      <c r="H41" s="368"/>
      <c r="I41" s="391"/>
      <c r="J41" s="385">
        <f t="shared" ref="J41:J64" si="1">C41+I41</f>
        <v>8898</v>
      </c>
      <c r="K41" s="385">
        <v>8898</v>
      </c>
      <c r="L41" s="368">
        <v>4</v>
      </c>
      <c r="M41" s="368"/>
      <c r="N41" s="368"/>
      <c r="O41" s="368"/>
    </row>
    <row r="42" spans="1:15" x14ac:dyDescent="0.25">
      <c r="A42" s="397">
        <v>38</v>
      </c>
      <c r="B42" s="398" t="s">
        <v>36</v>
      </c>
      <c r="C42" s="385">
        <v>7134</v>
      </c>
      <c r="D42" s="385">
        <v>7134</v>
      </c>
      <c r="E42" s="368">
        <v>1</v>
      </c>
      <c r="F42" s="368"/>
      <c r="G42" s="368"/>
      <c r="H42" s="368"/>
      <c r="I42" s="391"/>
      <c r="J42" s="385">
        <f t="shared" si="1"/>
        <v>7134</v>
      </c>
      <c r="K42" s="385">
        <v>7134</v>
      </c>
      <c r="L42" s="368">
        <v>1</v>
      </c>
      <c r="M42" s="368"/>
      <c r="N42" s="368"/>
      <c r="O42" s="368"/>
    </row>
    <row r="43" spans="1:15" x14ac:dyDescent="0.25">
      <c r="A43" s="397">
        <v>39</v>
      </c>
      <c r="B43" s="398" t="s">
        <v>43</v>
      </c>
      <c r="C43" s="385">
        <v>6923</v>
      </c>
      <c r="D43" s="385">
        <v>6923</v>
      </c>
      <c r="E43" s="368">
        <v>2</v>
      </c>
      <c r="F43" s="368"/>
      <c r="G43" s="368"/>
      <c r="H43" s="368"/>
      <c r="I43" s="385"/>
      <c r="J43" s="385">
        <f t="shared" si="1"/>
        <v>6923</v>
      </c>
      <c r="K43" s="385">
        <v>6923</v>
      </c>
      <c r="L43" s="368">
        <v>2</v>
      </c>
      <c r="M43" s="368"/>
      <c r="N43" s="368"/>
      <c r="O43" s="368"/>
    </row>
    <row r="44" spans="1:15" x14ac:dyDescent="0.25">
      <c r="A44" s="397">
        <v>40</v>
      </c>
      <c r="B44" s="398" t="s">
        <v>38</v>
      </c>
      <c r="C44" s="385">
        <v>22733</v>
      </c>
      <c r="D44" s="385">
        <v>22733</v>
      </c>
      <c r="E44" s="368">
        <v>40</v>
      </c>
      <c r="F44" s="368"/>
      <c r="G44" s="368"/>
      <c r="H44" s="368"/>
      <c r="I44" s="391"/>
      <c r="J44" s="385">
        <f t="shared" si="1"/>
        <v>22733</v>
      </c>
      <c r="K44" s="385">
        <v>22733</v>
      </c>
      <c r="L44" s="368">
        <v>40</v>
      </c>
      <c r="M44" s="368"/>
      <c r="N44" s="368"/>
      <c r="O44" s="368"/>
    </row>
    <row r="45" spans="1:15" x14ac:dyDescent="0.25">
      <c r="A45" s="397">
        <v>41</v>
      </c>
      <c r="B45" s="398" t="s">
        <v>21</v>
      </c>
      <c r="C45" s="385">
        <v>8006</v>
      </c>
      <c r="D45" s="385">
        <v>8006</v>
      </c>
      <c r="E45" s="368">
        <v>5</v>
      </c>
      <c r="F45" s="368"/>
      <c r="G45" s="368"/>
      <c r="H45" s="368"/>
      <c r="I45" s="385">
        <v>4196</v>
      </c>
      <c r="J45" s="385">
        <f t="shared" si="1"/>
        <v>12202</v>
      </c>
      <c r="K45" s="385">
        <v>12202</v>
      </c>
      <c r="L45" s="368">
        <v>10</v>
      </c>
      <c r="M45" s="368"/>
      <c r="N45" s="368"/>
      <c r="O45" s="368"/>
    </row>
    <row r="46" spans="1:15" x14ac:dyDescent="0.25">
      <c r="A46" s="397">
        <v>42</v>
      </c>
      <c r="B46" s="398" t="s">
        <v>40</v>
      </c>
      <c r="C46" s="385">
        <v>6234</v>
      </c>
      <c r="D46" s="385">
        <v>6234</v>
      </c>
      <c r="E46" s="368">
        <v>6</v>
      </c>
      <c r="F46" s="368"/>
      <c r="G46" s="368"/>
      <c r="H46" s="368"/>
      <c r="I46" s="391"/>
      <c r="J46" s="385">
        <f t="shared" si="1"/>
        <v>6234</v>
      </c>
      <c r="K46" s="385">
        <v>6234</v>
      </c>
      <c r="L46" s="368">
        <v>6</v>
      </c>
      <c r="M46" s="368"/>
      <c r="N46" s="368"/>
      <c r="O46" s="368"/>
    </row>
    <row r="47" spans="1:15" x14ac:dyDescent="0.25">
      <c r="A47" s="397">
        <v>43</v>
      </c>
      <c r="B47" s="398" t="s">
        <v>41</v>
      </c>
      <c r="C47" s="385">
        <v>7263</v>
      </c>
      <c r="D47" s="385">
        <v>7263</v>
      </c>
      <c r="E47" s="368">
        <v>2</v>
      </c>
      <c r="F47" s="368"/>
      <c r="G47" s="368"/>
      <c r="H47" s="368"/>
      <c r="I47" s="391"/>
      <c r="J47" s="385">
        <f t="shared" si="1"/>
        <v>7263</v>
      </c>
      <c r="K47" s="385">
        <v>7263</v>
      </c>
      <c r="L47" s="368">
        <v>2</v>
      </c>
      <c r="M47" s="368"/>
      <c r="N47" s="368"/>
      <c r="O47" s="368"/>
    </row>
    <row r="48" spans="1:15" x14ac:dyDescent="0.25">
      <c r="A48" s="397">
        <v>44</v>
      </c>
      <c r="B48" s="398" t="s">
        <v>35</v>
      </c>
      <c r="C48" s="385">
        <v>8222</v>
      </c>
      <c r="D48" s="385">
        <v>8222</v>
      </c>
      <c r="E48" s="368">
        <v>3</v>
      </c>
      <c r="F48" s="368"/>
      <c r="G48" s="368"/>
      <c r="H48" s="368"/>
      <c r="I48" s="391"/>
      <c r="J48" s="385">
        <f t="shared" si="1"/>
        <v>8222</v>
      </c>
      <c r="K48" s="385">
        <v>8222</v>
      </c>
      <c r="L48" s="368">
        <v>3</v>
      </c>
      <c r="M48" s="368"/>
      <c r="N48" s="368"/>
      <c r="O48" s="368"/>
    </row>
    <row r="49" spans="1:15" x14ac:dyDescent="0.25">
      <c r="A49" s="397">
        <v>45</v>
      </c>
      <c r="B49" s="398" t="s">
        <v>42</v>
      </c>
      <c r="C49" s="385">
        <v>5262</v>
      </c>
      <c r="D49" s="385">
        <v>5262</v>
      </c>
      <c r="E49" s="368">
        <v>1</v>
      </c>
      <c r="F49" s="368"/>
      <c r="G49" s="368"/>
      <c r="H49" s="368"/>
      <c r="I49" s="391"/>
      <c r="J49" s="385">
        <f t="shared" si="1"/>
        <v>5262</v>
      </c>
      <c r="K49" s="385">
        <v>5262</v>
      </c>
      <c r="L49" s="368">
        <v>1</v>
      </c>
      <c r="M49" s="368"/>
      <c r="N49" s="368"/>
      <c r="O49" s="368"/>
    </row>
    <row r="50" spans="1:15" x14ac:dyDescent="0.25">
      <c r="A50" s="397">
        <v>46</v>
      </c>
      <c r="B50" s="398" t="s">
        <v>2</v>
      </c>
      <c r="C50" s="385">
        <v>10792</v>
      </c>
      <c r="D50" s="385">
        <v>10792</v>
      </c>
      <c r="E50" s="368">
        <v>10</v>
      </c>
      <c r="F50" s="368"/>
      <c r="G50" s="368"/>
      <c r="H50" s="368"/>
      <c r="I50" s="391"/>
      <c r="J50" s="385">
        <f t="shared" si="1"/>
        <v>10792</v>
      </c>
      <c r="K50" s="385">
        <v>10792</v>
      </c>
      <c r="L50" s="368">
        <v>10</v>
      </c>
      <c r="M50" s="368"/>
      <c r="N50" s="368"/>
      <c r="O50" s="368"/>
    </row>
    <row r="51" spans="1:15" x14ac:dyDescent="0.25">
      <c r="A51" s="397">
        <v>47</v>
      </c>
      <c r="B51" s="398" t="s">
        <v>729</v>
      </c>
      <c r="C51" s="385">
        <v>91657</v>
      </c>
      <c r="D51" s="385">
        <v>90357</v>
      </c>
      <c r="E51" s="368">
        <v>15</v>
      </c>
      <c r="F51" s="385">
        <v>1300</v>
      </c>
      <c r="G51" s="78"/>
      <c r="H51" s="368"/>
      <c r="I51" s="391"/>
      <c r="J51" s="385">
        <f t="shared" si="1"/>
        <v>91657</v>
      </c>
      <c r="K51" s="385">
        <v>90357</v>
      </c>
      <c r="L51" s="368">
        <v>15</v>
      </c>
      <c r="M51" s="385">
        <v>1300</v>
      </c>
      <c r="N51" s="78"/>
      <c r="O51" s="368"/>
    </row>
    <row r="52" spans="1:15" x14ac:dyDescent="0.25">
      <c r="A52" s="397">
        <v>48</v>
      </c>
      <c r="B52" s="398" t="s">
        <v>44</v>
      </c>
      <c r="C52" s="385">
        <v>5285</v>
      </c>
      <c r="D52" s="385">
        <v>5285</v>
      </c>
      <c r="E52" s="368">
        <v>8</v>
      </c>
      <c r="F52" s="368"/>
      <c r="G52" s="368"/>
      <c r="H52" s="368"/>
      <c r="I52" s="391"/>
      <c r="J52" s="385">
        <f t="shared" si="1"/>
        <v>5285</v>
      </c>
      <c r="K52" s="385">
        <v>5285</v>
      </c>
      <c r="L52" s="368">
        <v>8</v>
      </c>
      <c r="M52" s="368"/>
      <c r="N52" s="368"/>
      <c r="O52" s="368"/>
    </row>
    <row r="53" spans="1:15" x14ac:dyDescent="0.25">
      <c r="A53" s="397">
        <v>49</v>
      </c>
      <c r="B53" s="398" t="s">
        <v>5</v>
      </c>
      <c r="C53" s="385">
        <v>9181</v>
      </c>
      <c r="D53" s="385">
        <v>9181</v>
      </c>
      <c r="E53" s="368">
        <v>10</v>
      </c>
      <c r="F53" s="368"/>
      <c r="G53" s="368"/>
      <c r="H53" s="368"/>
      <c r="I53" s="391"/>
      <c r="J53" s="385">
        <f t="shared" si="1"/>
        <v>9181</v>
      </c>
      <c r="K53" s="385">
        <v>9181</v>
      </c>
      <c r="L53" s="368">
        <v>10</v>
      </c>
      <c r="M53" s="368"/>
      <c r="N53" s="368"/>
      <c r="O53" s="368"/>
    </row>
    <row r="54" spans="1:15" x14ac:dyDescent="0.25">
      <c r="A54" s="397">
        <v>50</v>
      </c>
      <c r="B54" s="398" t="s">
        <v>46</v>
      </c>
      <c r="C54" s="385">
        <v>36467</v>
      </c>
      <c r="D54" s="385">
        <v>35671</v>
      </c>
      <c r="E54" s="368">
        <v>30</v>
      </c>
      <c r="F54" s="385">
        <v>796</v>
      </c>
      <c r="G54" s="368">
        <v>12</v>
      </c>
      <c r="H54" s="368"/>
      <c r="I54" s="391"/>
      <c r="J54" s="385">
        <f t="shared" si="1"/>
        <v>36467</v>
      </c>
      <c r="K54" s="385">
        <v>35671</v>
      </c>
      <c r="L54" s="368">
        <v>30</v>
      </c>
      <c r="M54" s="385">
        <v>796</v>
      </c>
      <c r="N54" s="368">
        <v>12</v>
      </c>
      <c r="O54" s="368"/>
    </row>
    <row r="55" spans="1:15" x14ac:dyDescent="0.25">
      <c r="A55" s="397">
        <v>51</v>
      </c>
      <c r="B55" s="398" t="s">
        <v>48</v>
      </c>
      <c r="C55" s="385">
        <v>4284</v>
      </c>
      <c r="D55" s="385">
        <v>4284</v>
      </c>
      <c r="E55" s="368">
        <v>4</v>
      </c>
      <c r="F55" s="368"/>
      <c r="G55" s="368"/>
      <c r="H55" s="368"/>
      <c r="I55" s="391"/>
      <c r="J55" s="385">
        <f t="shared" si="1"/>
        <v>4284</v>
      </c>
      <c r="K55" s="385">
        <v>4284</v>
      </c>
      <c r="L55" s="368">
        <v>4</v>
      </c>
      <c r="M55" s="368"/>
      <c r="N55" s="368"/>
      <c r="O55" s="368"/>
    </row>
    <row r="56" spans="1:15" x14ac:dyDescent="0.25">
      <c r="A56" s="397">
        <v>52</v>
      </c>
      <c r="B56" s="398" t="s">
        <v>730</v>
      </c>
      <c r="C56" s="385">
        <v>17435</v>
      </c>
      <c r="D56" s="385">
        <v>17435</v>
      </c>
      <c r="E56" s="368">
        <v>5</v>
      </c>
      <c r="F56" s="368"/>
      <c r="G56" s="368"/>
      <c r="H56" s="368"/>
      <c r="I56" s="391"/>
      <c r="J56" s="385">
        <f t="shared" si="1"/>
        <v>17435</v>
      </c>
      <c r="K56" s="385">
        <v>17435</v>
      </c>
      <c r="L56" s="368">
        <v>5</v>
      </c>
      <c r="M56" s="368"/>
      <c r="N56" s="368"/>
      <c r="O56" s="368"/>
    </row>
    <row r="57" spans="1:15" x14ac:dyDescent="0.25">
      <c r="A57" s="397">
        <v>53</v>
      </c>
      <c r="B57" s="398" t="s">
        <v>731</v>
      </c>
      <c r="C57" s="385">
        <v>7856</v>
      </c>
      <c r="D57" s="385">
        <v>7856</v>
      </c>
      <c r="E57" s="368">
        <v>5</v>
      </c>
      <c r="F57" s="368"/>
      <c r="G57" s="368"/>
      <c r="H57" s="368"/>
      <c r="I57" s="391"/>
      <c r="J57" s="385">
        <f t="shared" si="1"/>
        <v>7856</v>
      </c>
      <c r="K57" s="385">
        <v>7856</v>
      </c>
      <c r="L57" s="368">
        <v>5</v>
      </c>
      <c r="M57" s="368"/>
      <c r="N57" s="368"/>
      <c r="O57" s="368"/>
    </row>
    <row r="58" spans="1:15" x14ac:dyDescent="0.25">
      <c r="A58" s="397">
        <v>54</v>
      </c>
      <c r="B58" s="398" t="s">
        <v>51</v>
      </c>
      <c r="C58" s="385">
        <v>13220</v>
      </c>
      <c r="D58" s="385">
        <v>13220</v>
      </c>
      <c r="E58" s="368">
        <v>10</v>
      </c>
      <c r="F58" s="368"/>
      <c r="G58" s="368"/>
      <c r="H58" s="368"/>
      <c r="I58" s="391"/>
      <c r="J58" s="385">
        <f t="shared" si="1"/>
        <v>13220</v>
      </c>
      <c r="K58" s="385">
        <v>13220</v>
      </c>
      <c r="L58" s="368">
        <v>10</v>
      </c>
      <c r="M58" s="368"/>
      <c r="N58" s="368"/>
      <c r="O58" s="368"/>
    </row>
    <row r="59" spans="1:15" x14ac:dyDescent="0.25">
      <c r="A59" s="397">
        <v>55</v>
      </c>
      <c r="B59" s="398" t="s">
        <v>52</v>
      </c>
      <c r="C59" s="385">
        <v>5896</v>
      </c>
      <c r="D59" s="385">
        <v>5896</v>
      </c>
      <c r="E59" s="368">
        <v>10</v>
      </c>
      <c r="F59" s="368"/>
      <c r="G59" s="368"/>
      <c r="H59" s="368"/>
      <c r="I59" s="391"/>
      <c r="J59" s="385">
        <f t="shared" si="1"/>
        <v>5896</v>
      </c>
      <c r="K59" s="385">
        <v>5896</v>
      </c>
      <c r="L59" s="368">
        <v>10</v>
      </c>
      <c r="M59" s="368"/>
      <c r="N59" s="368"/>
      <c r="O59" s="368"/>
    </row>
    <row r="60" spans="1:15" x14ac:dyDescent="0.25">
      <c r="A60" s="397">
        <v>56</v>
      </c>
      <c r="B60" s="398" t="s">
        <v>14</v>
      </c>
      <c r="C60" s="385">
        <v>6240</v>
      </c>
      <c r="D60" s="385">
        <v>6240</v>
      </c>
      <c r="E60" s="368">
        <v>4</v>
      </c>
      <c r="F60" s="368"/>
      <c r="G60" s="368"/>
      <c r="H60" s="368"/>
      <c r="I60" s="391"/>
      <c r="J60" s="385">
        <f t="shared" si="1"/>
        <v>6240</v>
      </c>
      <c r="K60" s="385">
        <v>6240</v>
      </c>
      <c r="L60" s="368">
        <v>4</v>
      </c>
      <c r="M60" s="368"/>
      <c r="N60" s="368"/>
      <c r="O60" s="368"/>
    </row>
    <row r="61" spans="1:15" x14ac:dyDescent="0.25">
      <c r="A61" s="397">
        <v>57</v>
      </c>
      <c r="B61" s="398" t="s">
        <v>53</v>
      </c>
      <c r="C61" s="385">
        <v>12437</v>
      </c>
      <c r="D61" s="385">
        <v>12437</v>
      </c>
      <c r="E61" s="368">
        <v>20</v>
      </c>
      <c r="F61" s="368"/>
      <c r="G61" s="368"/>
      <c r="H61" s="368"/>
      <c r="I61" s="391"/>
      <c r="J61" s="385">
        <f t="shared" si="1"/>
        <v>12437</v>
      </c>
      <c r="K61" s="385">
        <v>12437</v>
      </c>
      <c r="L61" s="368">
        <v>20</v>
      </c>
      <c r="M61" s="368"/>
      <c r="N61" s="368"/>
      <c r="O61" s="368"/>
    </row>
    <row r="62" spans="1:15" x14ac:dyDescent="0.25">
      <c r="A62" s="397">
        <v>58</v>
      </c>
      <c r="B62" s="398" t="s">
        <v>732</v>
      </c>
      <c r="C62" s="385">
        <v>378559</v>
      </c>
      <c r="D62" s="385">
        <v>312824</v>
      </c>
      <c r="E62" s="368">
        <v>10</v>
      </c>
      <c r="F62" s="385">
        <v>42000</v>
      </c>
      <c r="G62" s="368">
        <v>10</v>
      </c>
      <c r="H62" s="385">
        <v>23735</v>
      </c>
      <c r="I62" s="391"/>
      <c r="J62" s="385">
        <f t="shared" si="1"/>
        <v>378559</v>
      </c>
      <c r="K62" s="385">
        <v>312824</v>
      </c>
      <c r="L62" s="368">
        <v>10</v>
      </c>
      <c r="M62" s="385">
        <v>42000</v>
      </c>
      <c r="N62" s="368">
        <v>10</v>
      </c>
      <c r="O62" s="385">
        <v>23735</v>
      </c>
    </row>
    <row r="63" spans="1:15" x14ac:dyDescent="0.25">
      <c r="A63" s="397">
        <v>59</v>
      </c>
      <c r="B63" s="398" t="s">
        <v>733</v>
      </c>
      <c r="C63" s="385">
        <v>3930</v>
      </c>
      <c r="D63" s="385">
        <v>1553</v>
      </c>
      <c r="E63" s="368">
        <v>10</v>
      </c>
      <c r="F63" s="385">
        <v>2377</v>
      </c>
      <c r="G63" s="368">
        <v>3</v>
      </c>
      <c r="H63" s="368"/>
      <c r="I63" s="391"/>
      <c r="J63" s="385">
        <f t="shared" si="1"/>
        <v>3930</v>
      </c>
      <c r="K63" s="385">
        <v>1553</v>
      </c>
      <c r="L63" s="368">
        <v>10</v>
      </c>
      <c r="M63" s="385">
        <v>2377</v>
      </c>
      <c r="N63" s="368">
        <v>3</v>
      </c>
      <c r="O63" s="368"/>
    </row>
    <row r="64" spans="1:15" x14ac:dyDescent="0.25">
      <c r="A64" s="402"/>
      <c r="B64" s="398" t="s">
        <v>734</v>
      </c>
      <c r="C64" s="385">
        <v>16617</v>
      </c>
      <c r="D64" s="368"/>
      <c r="E64" s="368"/>
      <c r="F64" s="368"/>
      <c r="G64" s="368"/>
      <c r="H64" s="368"/>
      <c r="I64" s="391"/>
      <c r="J64" s="385">
        <f t="shared" si="1"/>
        <v>16617</v>
      </c>
      <c r="K64" s="403"/>
      <c r="M64" s="368"/>
      <c r="N64" s="368"/>
      <c r="O64" s="368"/>
    </row>
    <row r="65" spans="1:16" s="408" customFormat="1" ht="17.25" customHeight="1" x14ac:dyDescent="0.25">
      <c r="A65" s="404"/>
      <c r="B65" s="405" t="s">
        <v>735</v>
      </c>
      <c r="C65" s="406">
        <f>SUM(C5:C64)</f>
        <v>1168055</v>
      </c>
      <c r="D65" s="406">
        <f t="shared" ref="D65:H65" si="2">SUM(D5:D64)</f>
        <v>1067399</v>
      </c>
      <c r="E65" s="406">
        <f t="shared" si="2"/>
        <v>511</v>
      </c>
      <c r="F65" s="406">
        <f t="shared" si="2"/>
        <v>60304</v>
      </c>
      <c r="G65" s="406">
        <f t="shared" si="2"/>
        <v>29</v>
      </c>
      <c r="H65" s="406">
        <f t="shared" si="2"/>
        <v>23735</v>
      </c>
      <c r="I65" s="392"/>
      <c r="J65" s="385">
        <f>SUM(J5:J64)</f>
        <v>1168055</v>
      </c>
      <c r="K65" s="385">
        <f>SUM(K5:K64)</f>
        <v>1067399</v>
      </c>
      <c r="L65" s="385">
        <f t="shared" ref="L65:O65" si="3">SUM(L5:L64)</f>
        <v>511</v>
      </c>
      <c r="M65" s="385">
        <f t="shared" si="3"/>
        <v>60304</v>
      </c>
      <c r="N65" s="385">
        <f t="shared" si="3"/>
        <v>29</v>
      </c>
      <c r="O65" s="385">
        <f t="shared" si="3"/>
        <v>23735</v>
      </c>
      <c r="P65" s="407"/>
    </row>
    <row r="66" spans="1:16" x14ac:dyDescent="0.25">
      <c r="I66" s="409"/>
      <c r="P66" s="409"/>
    </row>
    <row r="67" spans="1:16" x14ac:dyDescent="0.25">
      <c r="I67" s="409"/>
      <c r="P67" s="409"/>
    </row>
  </sheetData>
  <mergeCells count="5">
    <mergeCell ref="A1:H1"/>
    <mergeCell ref="A3:A4"/>
    <mergeCell ref="B3:B4"/>
    <mergeCell ref="D3:H3"/>
    <mergeCell ref="K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zoomScale="90" zoomScaleNormal="90" zoomScaleSheetLayoutView="70" workbookViewId="0">
      <pane xSplit="1" ySplit="2" topLeftCell="B60" activePane="bottomRight" state="frozen"/>
      <selection pane="topRight" activeCell="E1" sqref="E1"/>
      <selection pane="bottomLeft" activeCell="A4" sqref="A4"/>
      <selection pane="bottomRight" activeCell="A81" sqref="A81"/>
    </sheetView>
  </sheetViews>
  <sheetFormatPr defaultRowHeight="12.75" x14ac:dyDescent="0.2"/>
  <cols>
    <col min="1" max="1" width="20.7109375" style="281" customWidth="1"/>
    <col min="2" max="6" width="6.140625" style="282" customWidth="1"/>
    <col min="7" max="7" width="6.140625" style="253" customWidth="1"/>
    <col min="8" max="10" width="6.140625" style="282" customWidth="1"/>
    <col min="11" max="14" width="6.140625" style="253" customWidth="1"/>
    <col min="15" max="16" width="6.140625" style="282" customWidth="1"/>
    <col min="17" max="17" width="6.140625" style="253" customWidth="1"/>
    <col min="18" max="18" width="6.140625" style="282" customWidth="1"/>
    <col min="19" max="21" width="6.140625" style="253" customWidth="1"/>
    <col min="22" max="25" width="6.140625" style="282" customWidth="1"/>
    <col min="26" max="27" width="6.140625" style="253" customWidth="1"/>
    <col min="28" max="28" width="6.140625" style="282" customWidth="1"/>
    <col min="29" max="16384" width="9.140625" style="253"/>
  </cols>
  <sheetData>
    <row r="1" spans="1:28" ht="25.5" customHeight="1" x14ac:dyDescent="0.2">
      <c r="A1" s="433" t="s">
        <v>474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</row>
    <row r="2" spans="1:28" s="256" customFormat="1" ht="78" customHeight="1" x14ac:dyDescent="0.2">
      <c r="A2" s="254" t="s">
        <v>475</v>
      </c>
      <c r="B2" s="255" t="s">
        <v>190</v>
      </c>
      <c r="C2" s="255" t="s">
        <v>191</v>
      </c>
      <c r="D2" s="255" t="s">
        <v>152</v>
      </c>
      <c r="E2" s="255" t="s">
        <v>88</v>
      </c>
      <c r="F2" s="255" t="s">
        <v>142</v>
      </c>
      <c r="G2" s="255" t="s">
        <v>141</v>
      </c>
      <c r="H2" s="255" t="s">
        <v>155</v>
      </c>
      <c r="I2" s="255" t="s">
        <v>89</v>
      </c>
      <c r="J2" s="255" t="s">
        <v>476</v>
      </c>
      <c r="K2" s="255" t="s">
        <v>473</v>
      </c>
      <c r="L2" s="255" t="s">
        <v>477</v>
      </c>
      <c r="M2" s="255" t="s">
        <v>478</v>
      </c>
      <c r="N2" s="255" t="s">
        <v>479</v>
      </c>
      <c r="O2" s="255" t="s">
        <v>233</v>
      </c>
      <c r="P2" s="255" t="s">
        <v>480</v>
      </c>
      <c r="Q2" s="255" t="s">
        <v>481</v>
      </c>
      <c r="R2" s="255" t="s">
        <v>21</v>
      </c>
      <c r="S2" s="255" t="s">
        <v>482</v>
      </c>
      <c r="T2" s="255" t="s">
        <v>483</v>
      </c>
      <c r="U2" s="255" t="s">
        <v>484</v>
      </c>
      <c r="V2" s="255" t="s">
        <v>485</v>
      </c>
      <c r="W2" s="255" t="s">
        <v>486</v>
      </c>
      <c r="X2" s="255" t="s">
        <v>487</v>
      </c>
      <c r="Y2" s="255" t="s">
        <v>488</v>
      </c>
      <c r="Z2" s="255" t="s">
        <v>489</v>
      </c>
      <c r="AA2" s="255" t="s">
        <v>490</v>
      </c>
      <c r="AB2" s="255" t="s">
        <v>491</v>
      </c>
    </row>
    <row r="3" spans="1:28" s="256" customFormat="1" ht="11.25" customHeight="1" x14ac:dyDescent="0.2">
      <c r="A3" s="257">
        <v>1</v>
      </c>
      <c r="B3" s="257">
        <v>3</v>
      </c>
      <c r="C3" s="257">
        <v>5</v>
      </c>
      <c r="D3" s="257">
        <v>7</v>
      </c>
      <c r="E3" s="257">
        <v>9</v>
      </c>
      <c r="F3" s="257">
        <v>11</v>
      </c>
      <c r="G3" s="257">
        <v>13</v>
      </c>
      <c r="H3" s="257">
        <v>15</v>
      </c>
      <c r="I3" s="257">
        <v>17</v>
      </c>
      <c r="J3" s="257">
        <v>19</v>
      </c>
      <c r="K3" s="257">
        <v>21</v>
      </c>
      <c r="L3" s="257">
        <v>23</v>
      </c>
      <c r="M3" s="257">
        <v>25</v>
      </c>
      <c r="N3" s="257">
        <v>27</v>
      </c>
      <c r="O3" s="257">
        <v>29</v>
      </c>
      <c r="P3" s="257">
        <v>31</v>
      </c>
      <c r="Q3" s="257">
        <v>33</v>
      </c>
      <c r="R3" s="257">
        <v>35</v>
      </c>
      <c r="S3" s="257">
        <v>37</v>
      </c>
      <c r="T3" s="258"/>
      <c r="U3" s="257">
        <v>39</v>
      </c>
      <c r="V3" s="257">
        <v>41</v>
      </c>
      <c r="W3" s="257">
        <v>43</v>
      </c>
      <c r="X3" s="257">
        <v>45</v>
      </c>
      <c r="Y3" s="257">
        <v>47</v>
      </c>
      <c r="Z3" s="257">
        <v>49</v>
      </c>
      <c r="AA3" s="257">
        <v>51</v>
      </c>
      <c r="AB3" s="257">
        <v>53</v>
      </c>
    </row>
    <row r="4" spans="1:28" s="261" customFormat="1" ht="20.25" customHeight="1" x14ac:dyDescent="0.2">
      <c r="A4" s="259" t="s">
        <v>492</v>
      </c>
      <c r="B4" s="260">
        <f t="shared" ref="B4:AB4" si="0">B5+B6</f>
        <v>115</v>
      </c>
      <c r="C4" s="260">
        <f t="shared" si="0"/>
        <v>0</v>
      </c>
      <c r="D4" s="260">
        <f t="shared" si="0"/>
        <v>0</v>
      </c>
      <c r="E4" s="260">
        <f t="shared" si="0"/>
        <v>0</v>
      </c>
      <c r="F4" s="260">
        <f t="shared" si="0"/>
        <v>0</v>
      </c>
      <c r="G4" s="260">
        <f t="shared" si="0"/>
        <v>0</v>
      </c>
      <c r="H4" s="260">
        <f t="shared" si="0"/>
        <v>0</v>
      </c>
      <c r="I4" s="260">
        <f t="shared" si="0"/>
        <v>0</v>
      </c>
      <c r="J4" s="260">
        <f t="shared" si="0"/>
        <v>60</v>
      </c>
      <c r="K4" s="260">
        <f t="shared" si="0"/>
        <v>0</v>
      </c>
      <c r="L4" s="260">
        <f t="shared" si="0"/>
        <v>0</v>
      </c>
      <c r="M4" s="260">
        <f t="shared" si="0"/>
        <v>0</v>
      </c>
      <c r="N4" s="260">
        <f t="shared" si="0"/>
        <v>0</v>
      </c>
      <c r="O4" s="260">
        <f t="shared" si="0"/>
        <v>0</v>
      </c>
      <c r="P4" s="260">
        <f t="shared" si="0"/>
        <v>0</v>
      </c>
      <c r="Q4" s="260">
        <f t="shared" si="0"/>
        <v>0</v>
      </c>
      <c r="R4" s="260">
        <f t="shared" si="0"/>
        <v>0</v>
      </c>
      <c r="S4" s="260">
        <f t="shared" si="0"/>
        <v>0</v>
      </c>
      <c r="T4" s="260">
        <f t="shared" si="0"/>
        <v>0</v>
      </c>
      <c r="U4" s="260">
        <f t="shared" si="0"/>
        <v>0</v>
      </c>
      <c r="V4" s="260">
        <f t="shared" si="0"/>
        <v>0</v>
      </c>
      <c r="W4" s="260">
        <f t="shared" si="0"/>
        <v>0</v>
      </c>
      <c r="X4" s="260">
        <f t="shared" si="0"/>
        <v>20</v>
      </c>
      <c r="Y4" s="260">
        <f t="shared" si="0"/>
        <v>40</v>
      </c>
      <c r="Z4" s="260">
        <f t="shared" si="0"/>
        <v>235</v>
      </c>
      <c r="AA4" s="260">
        <f t="shared" si="0"/>
        <v>0</v>
      </c>
      <c r="AB4" s="260">
        <f t="shared" si="0"/>
        <v>235</v>
      </c>
    </row>
    <row r="5" spans="1:28" s="256" customFormat="1" ht="13.5" customHeight="1" x14ac:dyDescent="0.2">
      <c r="A5" s="262">
        <v>1</v>
      </c>
      <c r="B5" s="263">
        <v>110</v>
      </c>
      <c r="C5" s="263"/>
      <c r="D5" s="263"/>
      <c r="E5" s="263"/>
      <c r="F5" s="264"/>
      <c r="G5" s="263"/>
      <c r="H5" s="263"/>
      <c r="I5" s="263"/>
      <c r="J5" s="263">
        <v>60</v>
      </c>
      <c r="K5" s="263"/>
      <c r="L5" s="263"/>
      <c r="M5" s="263"/>
      <c r="N5" s="263"/>
      <c r="O5" s="263"/>
      <c r="P5" s="263"/>
      <c r="Q5" s="263"/>
      <c r="R5" s="263"/>
      <c r="S5" s="265"/>
      <c r="T5" s="265"/>
      <c r="U5" s="266"/>
      <c r="V5" s="265"/>
      <c r="W5" s="263"/>
      <c r="X5" s="263">
        <v>15</v>
      </c>
      <c r="Y5" s="263">
        <v>34</v>
      </c>
      <c r="Z5" s="263">
        <f>I5+K5+U5+Q5+M5+N5+O5+P5+J5+V5+R5+S5+W5+L5+X5+G5+B5+H5+C5+D5+F5+E5+Y5+T5</f>
        <v>219</v>
      </c>
      <c r="AA5" s="267"/>
      <c r="AB5" s="263">
        <f>Z5+AA5</f>
        <v>219</v>
      </c>
    </row>
    <row r="6" spans="1:28" s="256" customFormat="1" ht="13.5" customHeight="1" x14ac:dyDescent="0.2">
      <c r="A6" s="268">
        <v>2</v>
      </c>
      <c r="B6" s="265">
        <v>5</v>
      </c>
      <c r="C6" s="265"/>
      <c r="D6" s="265"/>
      <c r="E6" s="265"/>
      <c r="F6" s="266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6"/>
      <c r="V6" s="265"/>
      <c r="W6" s="265"/>
      <c r="X6" s="265">
        <v>5</v>
      </c>
      <c r="Y6" s="265">
        <v>6</v>
      </c>
      <c r="Z6" s="263">
        <f>I6+K6+U6+Q6+M6+N6+O6+P6+J6+V6+R6+S6+W6+L6+X6+G6+B6+H6+C6+D6+F6+E6+Y6+T6</f>
        <v>16</v>
      </c>
      <c r="AA6" s="267"/>
      <c r="AB6" s="263">
        <f>Z6+AA6</f>
        <v>16</v>
      </c>
    </row>
    <row r="7" spans="1:28" s="261" customFormat="1" ht="24" customHeight="1" x14ac:dyDescent="0.2">
      <c r="A7" s="259" t="s">
        <v>493</v>
      </c>
      <c r="B7" s="260">
        <f t="shared" ref="B7:AB7" si="1">B8+B9</f>
        <v>400</v>
      </c>
      <c r="C7" s="260">
        <f t="shared" si="1"/>
        <v>0</v>
      </c>
      <c r="D7" s="260">
        <f t="shared" si="1"/>
        <v>0</v>
      </c>
      <c r="E7" s="260">
        <f t="shared" si="1"/>
        <v>12</v>
      </c>
      <c r="F7" s="260">
        <f t="shared" si="1"/>
        <v>230</v>
      </c>
      <c r="G7" s="260">
        <f t="shared" si="1"/>
        <v>0</v>
      </c>
      <c r="H7" s="260">
        <f t="shared" si="1"/>
        <v>0</v>
      </c>
      <c r="I7" s="260">
        <f t="shared" si="1"/>
        <v>0</v>
      </c>
      <c r="J7" s="260">
        <f t="shared" si="1"/>
        <v>47</v>
      </c>
      <c r="K7" s="260">
        <f t="shared" si="1"/>
        <v>0</v>
      </c>
      <c r="L7" s="260">
        <f t="shared" si="1"/>
        <v>0</v>
      </c>
      <c r="M7" s="260">
        <f t="shared" si="1"/>
        <v>0</v>
      </c>
      <c r="N7" s="260">
        <f t="shared" si="1"/>
        <v>0</v>
      </c>
      <c r="O7" s="260">
        <f t="shared" si="1"/>
        <v>0</v>
      </c>
      <c r="P7" s="260">
        <f t="shared" si="1"/>
        <v>200</v>
      </c>
      <c r="Q7" s="260">
        <f t="shared" si="1"/>
        <v>40</v>
      </c>
      <c r="R7" s="260">
        <f t="shared" si="1"/>
        <v>0</v>
      </c>
      <c r="S7" s="260">
        <f t="shared" si="1"/>
        <v>0</v>
      </c>
      <c r="T7" s="260">
        <f t="shared" si="1"/>
        <v>0</v>
      </c>
      <c r="U7" s="260">
        <f t="shared" si="1"/>
        <v>0</v>
      </c>
      <c r="V7" s="260">
        <f t="shared" si="1"/>
        <v>0</v>
      </c>
      <c r="W7" s="260">
        <f t="shared" si="1"/>
        <v>0</v>
      </c>
      <c r="X7" s="260">
        <f t="shared" si="1"/>
        <v>190</v>
      </c>
      <c r="Y7" s="260">
        <f t="shared" si="1"/>
        <v>280</v>
      </c>
      <c r="Z7" s="260">
        <f t="shared" si="1"/>
        <v>1399</v>
      </c>
      <c r="AA7" s="260">
        <f t="shared" si="1"/>
        <v>0</v>
      </c>
      <c r="AB7" s="260">
        <f t="shared" si="1"/>
        <v>1399</v>
      </c>
    </row>
    <row r="8" spans="1:28" s="256" customFormat="1" ht="13.5" customHeight="1" x14ac:dyDescent="0.2">
      <c r="A8" s="268">
        <v>3</v>
      </c>
      <c r="B8" s="263">
        <v>280</v>
      </c>
      <c r="C8" s="263"/>
      <c r="D8" s="263"/>
      <c r="E8" s="263"/>
      <c r="F8" s="263">
        <v>150</v>
      </c>
      <c r="G8" s="263"/>
      <c r="H8" s="263"/>
      <c r="I8" s="263"/>
      <c r="J8" s="263">
        <v>12</v>
      </c>
      <c r="K8" s="263"/>
      <c r="L8" s="263"/>
      <c r="M8" s="263"/>
      <c r="N8" s="263"/>
      <c r="O8" s="263"/>
      <c r="P8" s="263">
        <v>100</v>
      </c>
      <c r="Q8" s="263">
        <v>40</v>
      </c>
      <c r="R8" s="263"/>
      <c r="S8" s="265"/>
      <c r="T8" s="265"/>
      <c r="U8" s="265"/>
      <c r="V8" s="265"/>
      <c r="W8" s="263"/>
      <c r="X8" s="263">
        <v>155</v>
      </c>
      <c r="Y8" s="263">
        <v>280</v>
      </c>
      <c r="Z8" s="263">
        <f>I8+K8+U8+Q8+M8+N8+O8+P8+J8+V8+R8+S8+W8+L8+X8+G8+B8+H8+C8+D8+F8+E8+Y8+T8</f>
        <v>1017</v>
      </c>
      <c r="AA8" s="267"/>
      <c r="AB8" s="269">
        <f>Z8+AA8</f>
        <v>1017</v>
      </c>
    </row>
    <row r="9" spans="1:28" s="256" customFormat="1" ht="13.5" customHeight="1" x14ac:dyDescent="0.2">
      <c r="A9" s="268">
        <v>4</v>
      </c>
      <c r="B9" s="265">
        <v>120</v>
      </c>
      <c r="C9" s="265"/>
      <c r="D9" s="265"/>
      <c r="E9" s="265">
        <v>12</v>
      </c>
      <c r="F9" s="266">
        <v>80</v>
      </c>
      <c r="G9" s="270"/>
      <c r="H9" s="265"/>
      <c r="I9" s="265"/>
      <c r="J9" s="265">
        <v>35</v>
      </c>
      <c r="K9" s="263"/>
      <c r="L9" s="270"/>
      <c r="M9" s="270"/>
      <c r="N9" s="270"/>
      <c r="O9" s="265"/>
      <c r="P9" s="265">
        <v>100</v>
      </c>
      <c r="Q9" s="270"/>
      <c r="R9" s="265"/>
      <c r="S9" s="265"/>
      <c r="T9" s="265"/>
      <c r="U9" s="271"/>
      <c r="V9" s="265"/>
      <c r="W9" s="265"/>
      <c r="X9" s="265">
        <v>35</v>
      </c>
      <c r="Y9" s="265"/>
      <c r="Z9" s="263">
        <f>I9+K9+U9+Q9+M9+N9+O9+P9+J9+V9+R9+S9+W9+L9+X9+G9+B9+H9+C9+D9+F9+E9+Y9+T9</f>
        <v>382</v>
      </c>
      <c r="AA9" s="267"/>
      <c r="AB9" s="269">
        <f>Z9+AA9</f>
        <v>382</v>
      </c>
    </row>
    <row r="10" spans="1:28" s="256" customFormat="1" ht="20.25" customHeight="1" x14ac:dyDescent="0.2">
      <c r="A10" s="259" t="s">
        <v>494</v>
      </c>
      <c r="B10" s="260">
        <f t="shared" ref="B10:AB10" si="2">B11</f>
        <v>50</v>
      </c>
      <c r="C10" s="260">
        <f t="shared" si="2"/>
        <v>0</v>
      </c>
      <c r="D10" s="260">
        <f t="shared" si="2"/>
        <v>0</v>
      </c>
      <c r="E10" s="260">
        <f t="shared" si="2"/>
        <v>30</v>
      </c>
      <c r="F10" s="260">
        <f t="shared" si="2"/>
        <v>0</v>
      </c>
      <c r="G10" s="260">
        <f t="shared" si="2"/>
        <v>0</v>
      </c>
      <c r="H10" s="260">
        <f t="shared" si="2"/>
        <v>0</v>
      </c>
      <c r="I10" s="260">
        <f t="shared" si="2"/>
        <v>0</v>
      </c>
      <c r="J10" s="260">
        <f t="shared" si="2"/>
        <v>60</v>
      </c>
      <c r="K10" s="260">
        <f t="shared" si="2"/>
        <v>0</v>
      </c>
      <c r="L10" s="260">
        <f t="shared" si="2"/>
        <v>0</v>
      </c>
      <c r="M10" s="260">
        <f t="shared" si="2"/>
        <v>0</v>
      </c>
      <c r="N10" s="260">
        <f t="shared" si="2"/>
        <v>0</v>
      </c>
      <c r="O10" s="260">
        <f t="shared" si="2"/>
        <v>0</v>
      </c>
      <c r="P10" s="260">
        <f t="shared" si="2"/>
        <v>0</v>
      </c>
      <c r="Q10" s="260">
        <f t="shared" si="2"/>
        <v>0</v>
      </c>
      <c r="R10" s="260">
        <f t="shared" si="2"/>
        <v>0</v>
      </c>
      <c r="S10" s="260">
        <f t="shared" si="2"/>
        <v>0</v>
      </c>
      <c r="T10" s="260">
        <f t="shared" si="2"/>
        <v>0</v>
      </c>
      <c r="U10" s="260">
        <f t="shared" si="2"/>
        <v>0</v>
      </c>
      <c r="V10" s="260">
        <f t="shared" si="2"/>
        <v>0</v>
      </c>
      <c r="W10" s="260">
        <f t="shared" si="2"/>
        <v>0</v>
      </c>
      <c r="X10" s="260">
        <f t="shared" si="2"/>
        <v>0</v>
      </c>
      <c r="Y10" s="260">
        <f t="shared" si="2"/>
        <v>40</v>
      </c>
      <c r="Z10" s="260">
        <f t="shared" si="2"/>
        <v>180</v>
      </c>
      <c r="AA10" s="260">
        <f t="shared" si="2"/>
        <v>0</v>
      </c>
      <c r="AB10" s="260">
        <f t="shared" si="2"/>
        <v>180</v>
      </c>
    </row>
    <row r="11" spans="1:28" s="256" customFormat="1" ht="15" customHeight="1" x14ac:dyDescent="0.2">
      <c r="A11" s="268">
        <v>5</v>
      </c>
      <c r="B11" s="265">
        <v>50</v>
      </c>
      <c r="C11" s="265"/>
      <c r="D11" s="265"/>
      <c r="E11" s="265">
        <v>30</v>
      </c>
      <c r="F11" s="266"/>
      <c r="G11" s="265"/>
      <c r="H11" s="265"/>
      <c r="I11" s="265"/>
      <c r="J11" s="265">
        <v>60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6"/>
      <c r="V11" s="265"/>
      <c r="W11" s="265"/>
      <c r="X11" s="265"/>
      <c r="Y11" s="265">
        <v>40</v>
      </c>
      <c r="Z11" s="263">
        <f>I11+K11+U11+Q11+M11+N11+O11+P11+J11+V11+R11+S11+W11+L11+X11+G11+B11+H11+C11+D11+F11+E11+Y11+T11</f>
        <v>180</v>
      </c>
      <c r="AA11" s="267"/>
      <c r="AB11" s="263">
        <f>Z11+AA11</f>
        <v>180</v>
      </c>
    </row>
    <row r="12" spans="1:28" s="256" customFormat="1" ht="20.25" customHeight="1" x14ac:dyDescent="0.2">
      <c r="A12" s="259" t="s">
        <v>495</v>
      </c>
      <c r="B12" s="260">
        <f t="shared" ref="B12:AB12" si="3">B13+B14</f>
        <v>40</v>
      </c>
      <c r="C12" s="260">
        <f t="shared" si="3"/>
        <v>0</v>
      </c>
      <c r="D12" s="260">
        <f t="shared" si="3"/>
        <v>0</v>
      </c>
      <c r="E12" s="260">
        <f t="shared" si="3"/>
        <v>25</v>
      </c>
      <c r="F12" s="260">
        <f t="shared" si="3"/>
        <v>0</v>
      </c>
      <c r="G12" s="260">
        <f t="shared" si="3"/>
        <v>0</v>
      </c>
      <c r="H12" s="260">
        <f t="shared" si="3"/>
        <v>0</v>
      </c>
      <c r="I12" s="260">
        <f t="shared" si="3"/>
        <v>0</v>
      </c>
      <c r="J12" s="260">
        <f t="shared" si="3"/>
        <v>0</v>
      </c>
      <c r="K12" s="260">
        <f t="shared" si="3"/>
        <v>0</v>
      </c>
      <c r="L12" s="260">
        <f t="shared" si="3"/>
        <v>0</v>
      </c>
      <c r="M12" s="260">
        <f t="shared" si="3"/>
        <v>0</v>
      </c>
      <c r="N12" s="260">
        <f t="shared" si="3"/>
        <v>22</v>
      </c>
      <c r="O12" s="260">
        <f t="shared" si="3"/>
        <v>0</v>
      </c>
      <c r="P12" s="260">
        <f t="shared" si="3"/>
        <v>0</v>
      </c>
      <c r="Q12" s="260">
        <f t="shared" si="3"/>
        <v>0</v>
      </c>
      <c r="R12" s="260">
        <f t="shared" si="3"/>
        <v>0</v>
      </c>
      <c r="S12" s="260">
        <f t="shared" si="3"/>
        <v>0</v>
      </c>
      <c r="T12" s="260">
        <f t="shared" si="3"/>
        <v>0</v>
      </c>
      <c r="U12" s="260">
        <f t="shared" si="3"/>
        <v>0</v>
      </c>
      <c r="V12" s="260">
        <f t="shared" si="3"/>
        <v>0</v>
      </c>
      <c r="W12" s="260">
        <f t="shared" si="3"/>
        <v>0</v>
      </c>
      <c r="X12" s="260">
        <f t="shared" si="3"/>
        <v>0</v>
      </c>
      <c r="Y12" s="260">
        <f t="shared" si="3"/>
        <v>50</v>
      </c>
      <c r="Z12" s="260">
        <f t="shared" si="3"/>
        <v>137</v>
      </c>
      <c r="AA12" s="260">
        <f t="shared" si="3"/>
        <v>0</v>
      </c>
      <c r="AB12" s="260">
        <f t="shared" si="3"/>
        <v>137</v>
      </c>
    </row>
    <row r="13" spans="1:28" s="256" customFormat="1" ht="12.75" customHeight="1" x14ac:dyDescent="0.2">
      <c r="A13" s="268">
        <v>6</v>
      </c>
      <c r="B13" s="265">
        <v>40</v>
      </c>
      <c r="C13" s="265"/>
      <c r="D13" s="265"/>
      <c r="E13" s="265">
        <v>25</v>
      </c>
      <c r="F13" s="266"/>
      <c r="G13" s="265"/>
      <c r="H13" s="265"/>
      <c r="I13" s="265"/>
      <c r="J13" s="265"/>
      <c r="K13" s="265"/>
      <c r="L13" s="265"/>
      <c r="M13" s="265"/>
      <c r="N13" s="265">
        <v>22</v>
      </c>
      <c r="O13" s="265"/>
      <c r="P13" s="265"/>
      <c r="Q13" s="265"/>
      <c r="R13" s="265"/>
      <c r="S13" s="265"/>
      <c r="T13" s="265"/>
      <c r="U13" s="266"/>
      <c r="V13" s="265"/>
      <c r="W13" s="265"/>
      <c r="X13" s="265"/>
      <c r="Y13" s="265">
        <v>50</v>
      </c>
      <c r="Z13" s="263">
        <f>I13+K13+U13+Q13+M13+N13+O13+P13+J13+V13+R13+S13+W13+L13+X13+G13+B13+H13+C13+D13+F13+E13+Y13+T13</f>
        <v>137</v>
      </c>
      <c r="AA13" s="267"/>
      <c r="AB13" s="263">
        <f>Z13+AA13</f>
        <v>137</v>
      </c>
    </row>
    <row r="14" spans="1:28" s="256" customFormat="1" ht="18.75" customHeight="1" x14ac:dyDescent="0.2">
      <c r="A14" s="268">
        <v>7</v>
      </c>
      <c r="B14" s="265"/>
      <c r="C14" s="265"/>
      <c r="D14" s="265"/>
      <c r="E14" s="265"/>
      <c r="F14" s="266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3">
        <f>I14+K14+U14+Q14+M14+N14+O14+P14+J14+V14+R14+S14+W14+L14+X14+G14+B14+H14+C14+D14+F14+E14+Y14+T14</f>
        <v>0</v>
      </c>
      <c r="AA14" s="267"/>
      <c r="AB14" s="263">
        <f>Z14+AA14</f>
        <v>0</v>
      </c>
    </row>
    <row r="15" spans="1:28" s="256" customFormat="1" ht="21.75" customHeight="1" x14ac:dyDescent="0.2">
      <c r="A15" s="259" t="s">
        <v>496</v>
      </c>
      <c r="B15" s="260">
        <f t="shared" ref="B15:AB15" si="4">B16</f>
        <v>0</v>
      </c>
      <c r="C15" s="260">
        <f t="shared" si="4"/>
        <v>0</v>
      </c>
      <c r="D15" s="260">
        <f t="shared" si="4"/>
        <v>0</v>
      </c>
      <c r="E15" s="260">
        <f t="shared" si="4"/>
        <v>10</v>
      </c>
      <c r="F15" s="260">
        <f t="shared" si="4"/>
        <v>0</v>
      </c>
      <c r="G15" s="260">
        <f t="shared" si="4"/>
        <v>0</v>
      </c>
      <c r="H15" s="260">
        <f t="shared" si="4"/>
        <v>0</v>
      </c>
      <c r="I15" s="260">
        <f t="shared" si="4"/>
        <v>0</v>
      </c>
      <c r="J15" s="260">
        <f t="shared" si="4"/>
        <v>0</v>
      </c>
      <c r="K15" s="260">
        <f t="shared" si="4"/>
        <v>0</v>
      </c>
      <c r="L15" s="260">
        <f t="shared" si="4"/>
        <v>0</v>
      </c>
      <c r="M15" s="260">
        <f t="shared" si="4"/>
        <v>0</v>
      </c>
      <c r="N15" s="260">
        <f t="shared" si="4"/>
        <v>0</v>
      </c>
      <c r="O15" s="260">
        <f t="shared" si="4"/>
        <v>0</v>
      </c>
      <c r="P15" s="260">
        <f t="shared" si="4"/>
        <v>0</v>
      </c>
      <c r="Q15" s="260">
        <f t="shared" si="4"/>
        <v>0</v>
      </c>
      <c r="R15" s="260">
        <f t="shared" si="4"/>
        <v>0</v>
      </c>
      <c r="S15" s="260">
        <f t="shared" si="4"/>
        <v>0</v>
      </c>
      <c r="T15" s="260">
        <f t="shared" si="4"/>
        <v>0</v>
      </c>
      <c r="U15" s="260">
        <f t="shared" si="4"/>
        <v>0</v>
      </c>
      <c r="V15" s="260">
        <f t="shared" si="4"/>
        <v>0</v>
      </c>
      <c r="W15" s="260">
        <f t="shared" si="4"/>
        <v>0</v>
      </c>
      <c r="X15" s="260">
        <f t="shared" si="4"/>
        <v>0</v>
      </c>
      <c r="Y15" s="260">
        <f t="shared" si="4"/>
        <v>0</v>
      </c>
      <c r="Z15" s="260">
        <f t="shared" si="4"/>
        <v>10</v>
      </c>
      <c r="AA15" s="260">
        <f t="shared" si="4"/>
        <v>0</v>
      </c>
      <c r="AB15" s="260">
        <f t="shared" si="4"/>
        <v>10</v>
      </c>
    </row>
    <row r="16" spans="1:28" s="256" customFormat="1" ht="14.25" customHeight="1" x14ac:dyDescent="0.2">
      <c r="A16" s="268">
        <v>8</v>
      </c>
      <c r="B16" s="265"/>
      <c r="C16" s="265"/>
      <c r="D16" s="265"/>
      <c r="E16" s="265">
        <v>10</v>
      </c>
      <c r="F16" s="266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6"/>
      <c r="V16" s="265"/>
      <c r="W16" s="265"/>
      <c r="X16" s="265"/>
      <c r="Y16" s="265"/>
      <c r="Z16" s="263">
        <f>I16+K16+U16+Q16+M16+N16+O16+P16+J16+V16+R16+S16+W16+L16+X16+G16+B16+H16+C16+D16+F16+E16+Y16+T16</f>
        <v>10</v>
      </c>
      <c r="AA16" s="267"/>
      <c r="AB16" s="263">
        <f>Z16+AA16</f>
        <v>10</v>
      </c>
    </row>
    <row r="17" spans="1:28" s="256" customFormat="1" ht="18" customHeight="1" x14ac:dyDescent="0.2">
      <c r="A17" s="259" t="s">
        <v>497</v>
      </c>
      <c r="B17" s="260">
        <f t="shared" ref="B17:AB17" si="5">B18</f>
        <v>0</v>
      </c>
      <c r="C17" s="260">
        <f t="shared" si="5"/>
        <v>0</v>
      </c>
      <c r="D17" s="260">
        <f t="shared" si="5"/>
        <v>0</v>
      </c>
      <c r="E17" s="260">
        <f t="shared" si="5"/>
        <v>0</v>
      </c>
      <c r="F17" s="260">
        <f t="shared" si="5"/>
        <v>0</v>
      </c>
      <c r="G17" s="260">
        <f t="shared" si="5"/>
        <v>52</v>
      </c>
      <c r="H17" s="260">
        <f t="shared" si="5"/>
        <v>0</v>
      </c>
      <c r="I17" s="260">
        <f t="shared" si="5"/>
        <v>0</v>
      </c>
      <c r="J17" s="260">
        <f t="shared" si="5"/>
        <v>0</v>
      </c>
      <c r="K17" s="260">
        <f t="shared" si="5"/>
        <v>0</v>
      </c>
      <c r="L17" s="260">
        <f t="shared" si="5"/>
        <v>0</v>
      </c>
      <c r="M17" s="260">
        <f t="shared" si="5"/>
        <v>0</v>
      </c>
      <c r="N17" s="260">
        <f t="shared" si="5"/>
        <v>0</v>
      </c>
      <c r="O17" s="260">
        <f t="shared" si="5"/>
        <v>0</v>
      </c>
      <c r="P17" s="260">
        <f t="shared" si="5"/>
        <v>0</v>
      </c>
      <c r="Q17" s="260">
        <f t="shared" si="5"/>
        <v>0</v>
      </c>
      <c r="R17" s="260">
        <f t="shared" si="5"/>
        <v>0</v>
      </c>
      <c r="S17" s="260">
        <f t="shared" si="5"/>
        <v>0</v>
      </c>
      <c r="T17" s="260">
        <f t="shared" si="5"/>
        <v>0</v>
      </c>
      <c r="U17" s="260">
        <f t="shared" si="5"/>
        <v>0</v>
      </c>
      <c r="V17" s="260">
        <f t="shared" si="5"/>
        <v>0</v>
      </c>
      <c r="W17" s="260">
        <f t="shared" si="5"/>
        <v>0</v>
      </c>
      <c r="X17" s="260">
        <f t="shared" si="5"/>
        <v>0</v>
      </c>
      <c r="Y17" s="260">
        <f t="shared" si="5"/>
        <v>0</v>
      </c>
      <c r="Z17" s="260">
        <f t="shared" si="5"/>
        <v>52</v>
      </c>
      <c r="AA17" s="260">
        <f t="shared" si="5"/>
        <v>0</v>
      </c>
      <c r="AB17" s="260">
        <f t="shared" si="5"/>
        <v>52</v>
      </c>
    </row>
    <row r="18" spans="1:28" s="256" customFormat="1" ht="15.75" customHeight="1" x14ac:dyDescent="0.2">
      <c r="A18" s="268">
        <v>9</v>
      </c>
      <c r="B18" s="265"/>
      <c r="C18" s="265"/>
      <c r="D18" s="265"/>
      <c r="E18" s="265"/>
      <c r="F18" s="266"/>
      <c r="G18" s="265">
        <v>52</v>
      </c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6"/>
      <c r="V18" s="265"/>
      <c r="W18" s="265"/>
      <c r="X18" s="265"/>
      <c r="Y18" s="265"/>
      <c r="Z18" s="263">
        <f>I18+K18+U18+Q18+M18+N18+O18+P18+J18+V18+R18+S18+W18+L18+X18+G18+B18+H18+C18+D18+F18+E18+Y18+T18</f>
        <v>52</v>
      </c>
      <c r="AA18" s="267"/>
      <c r="AB18" s="263">
        <f>Z18+AA18</f>
        <v>52</v>
      </c>
    </row>
    <row r="19" spans="1:28" s="256" customFormat="1" ht="12.75" customHeight="1" x14ac:dyDescent="0.2">
      <c r="A19" s="259" t="s">
        <v>498</v>
      </c>
      <c r="B19" s="260">
        <f t="shared" ref="B19:AB19" si="6">B20+B21</f>
        <v>0</v>
      </c>
      <c r="C19" s="260">
        <f t="shared" si="6"/>
        <v>0</v>
      </c>
      <c r="D19" s="260">
        <f t="shared" si="6"/>
        <v>0</v>
      </c>
      <c r="E19" s="260">
        <f t="shared" si="6"/>
        <v>0</v>
      </c>
      <c r="F19" s="260">
        <f t="shared" si="6"/>
        <v>0</v>
      </c>
      <c r="G19" s="260">
        <f t="shared" si="6"/>
        <v>0</v>
      </c>
      <c r="H19" s="260">
        <f t="shared" si="6"/>
        <v>0</v>
      </c>
      <c r="I19" s="260">
        <f t="shared" si="6"/>
        <v>0</v>
      </c>
      <c r="J19" s="260">
        <f t="shared" si="6"/>
        <v>0</v>
      </c>
      <c r="K19" s="260">
        <f t="shared" si="6"/>
        <v>0</v>
      </c>
      <c r="L19" s="260">
        <f t="shared" si="6"/>
        <v>0</v>
      </c>
      <c r="M19" s="260">
        <f t="shared" si="6"/>
        <v>0</v>
      </c>
      <c r="N19" s="260">
        <f t="shared" si="6"/>
        <v>0</v>
      </c>
      <c r="O19" s="260">
        <f t="shared" si="6"/>
        <v>0</v>
      </c>
      <c r="P19" s="260">
        <f t="shared" si="6"/>
        <v>100</v>
      </c>
      <c r="Q19" s="260">
        <f t="shared" si="6"/>
        <v>0</v>
      </c>
      <c r="R19" s="260">
        <f t="shared" si="6"/>
        <v>0</v>
      </c>
      <c r="S19" s="260">
        <f t="shared" si="6"/>
        <v>0</v>
      </c>
      <c r="T19" s="260">
        <f t="shared" si="6"/>
        <v>0</v>
      </c>
      <c r="U19" s="260">
        <f t="shared" si="6"/>
        <v>0</v>
      </c>
      <c r="V19" s="260">
        <f t="shared" si="6"/>
        <v>30</v>
      </c>
      <c r="W19" s="260">
        <f t="shared" si="6"/>
        <v>0</v>
      </c>
      <c r="X19" s="260">
        <f t="shared" si="6"/>
        <v>0</v>
      </c>
      <c r="Y19" s="260">
        <f t="shared" si="6"/>
        <v>0</v>
      </c>
      <c r="Z19" s="260">
        <f t="shared" si="6"/>
        <v>130</v>
      </c>
      <c r="AA19" s="260">
        <f t="shared" si="6"/>
        <v>0</v>
      </c>
      <c r="AB19" s="260">
        <f t="shared" si="6"/>
        <v>130</v>
      </c>
    </row>
    <row r="20" spans="1:28" s="256" customFormat="1" ht="14.25" customHeight="1" x14ac:dyDescent="0.2">
      <c r="A20" s="268">
        <v>10</v>
      </c>
      <c r="B20" s="265"/>
      <c r="C20" s="265"/>
      <c r="D20" s="265"/>
      <c r="E20" s="265"/>
      <c r="F20" s="266"/>
      <c r="G20" s="270"/>
      <c r="H20" s="265"/>
      <c r="I20" s="265"/>
      <c r="J20" s="265"/>
      <c r="K20" s="270"/>
      <c r="L20" s="270"/>
      <c r="M20" s="270"/>
      <c r="N20" s="270"/>
      <c r="O20" s="265"/>
      <c r="P20" s="265">
        <v>80</v>
      </c>
      <c r="Q20" s="270"/>
      <c r="R20" s="265"/>
      <c r="S20" s="265"/>
      <c r="T20" s="265"/>
      <c r="U20" s="271"/>
      <c r="V20" s="265">
        <v>30</v>
      </c>
      <c r="W20" s="265"/>
      <c r="X20" s="265"/>
      <c r="Y20" s="265"/>
      <c r="Z20" s="263">
        <f>I20+K20+U20+Q20+M20+N20+O20+P20+J20+V20+R20+S20+W20+L20+X20+G20+B20+H20+C20+D20+F20+E20+Y20+T20</f>
        <v>110</v>
      </c>
      <c r="AA20" s="267"/>
      <c r="AB20" s="263">
        <f>Z20+AA20</f>
        <v>110</v>
      </c>
    </row>
    <row r="21" spans="1:28" s="256" customFormat="1" ht="14.25" customHeight="1" x14ac:dyDescent="0.2">
      <c r="A21" s="268">
        <v>11</v>
      </c>
      <c r="B21" s="272"/>
      <c r="C21" s="272"/>
      <c r="D21" s="272"/>
      <c r="E21" s="272"/>
      <c r="F21" s="273"/>
      <c r="G21" s="274"/>
      <c r="H21" s="272"/>
      <c r="I21" s="272"/>
      <c r="J21" s="272"/>
      <c r="K21" s="274"/>
      <c r="L21" s="274"/>
      <c r="M21" s="274"/>
      <c r="N21" s="274"/>
      <c r="O21" s="272"/>
      <c r="P21" s="272">
        <v>20</v>
      </c>
      <c r="Q21" s="274"/>
      <c r="R21" s="272"/>
      <c r="S21" s="265"/>
      <c r="T21" s="265"/>
      <c r="U21" s="271"/>
      <c r="V21" s="265"/>
      <c r="W21" s="272"/>
      <c r="X21" s="272"/>
      <c r="Y21" s="272"/>
      <c r="Z21" s="263">
        <f>I21+K21+U21+Q21+M21+N21+O21+P21+J21+V21+R21+S21+W21+L21+X21+G21+B21+H21+C21+D21+F21+E21+Y21+T21</f>
        <v>20</v>
      </c>
      <c r="AA21" s="267"/>
      <c r="AB21" s="263">
        <f>Z21+AA21</f>
        <v>20</v>
      </c>
    </row>
    <row r="22" spans="1:28" s="256" customFormat="1" ht="21" customHeight="1" x14ac:dyDescent="0.2">
      <c r="A22" s="259" t="s">
        <v>499</v>
      </c>
      <c r="B22" s="260">
        <f t="shared" ref="B22:AB22" si="7">SUM(B23:B28)</f>
        <v>355</v>
      </c>
      <c r="C22" s="260">
        <f t="shared" si="7"/>
        <v>0</v>
      </c>
      <c r="D22" s="260">
        <f t="shared" si="7"/>
        <v>0</v>
      </c>
      <c r="E22" s="260">
        <f t="shared" si="7"/>
        <v>125</v>
      </c>
      <c r="F22" s="260">
        <f t="shared" si="7"/>
        <v>0</v>
      </c>
      <c r="G22" s="260">
        <f t="shared" si="7"/>
        <v>0</v>
      </c>
      <c r="H22" s="260">
        <f t="shared" si="7"/>
        <v>0</v>
      </c>
      <c r="I22" s="260">
        <f t="shared" si="7"/>
        <v>78</v>
      </c>
      <c r="J22" s="260">
        <f t="shared" si="7"/>
        <v>142</v>
      </c>
      <c r="K22" s="260">
        <f t="shared" si="7"/>
        <v>0</v>
      </c>
      <c r="L22" s="260">
        <f t="shared" si="7"/>
        <v>0</v>
      </c>
      <c r="M22" s="260">
        <f t="shared" si="7"/>
        <v>0</v>
      </c>
      <c r="N22" s="260">
        <f t="shared" si="7"/>
        <v>0</v>
      </c>
      <c r="O22" s="260">
        <f t="shared" si="7"/>
        <v>22</v>
      </c>
      <c r="P22" s="260">
        <f t="shared" si="7"/>
        <v>0</v>
      </c>
      <c r="Q22" s="260">
        <f t="shared" si="7"/>
        <v>0</v>
      </c>
      <c r="R22" s="260">
        <f t="shared" si="7"/>
        <v>5</v>
      </c>
      <c r="S22" s="260">
        <f t="shared" si="7"/>
        <v>19</v>
      </c>
      <c r="T22" s="260">
        <f t="shared" si="7"/>
        <v>0</v>
      </c>
      <c r="U22" s="260">
        <f t="shared" si="7"/>
        <v>0</v>
      </c>
      <c r="V22" s="260">
        <f t="shared" si="7"/>
        <v>192</v>
      </c>
      <c r="W22" s="260">
        <f t="shared" si="7"/>
        <v>0</v>
      </c>
      <c r="X22" s="260">
        <f t="shared" si="7"/>
        <v>0</v>
      </c>
      <c r="Y22" s="260">
        <f t="shared" si="7"/>
        <v>60</v>
      </c>
      <c r="Z22" s="260">
        <f t="shared" si="7"/>
        <v>998</v>
      </c>
      <c r="AA22" s="260">
        <f t="shared" si="7"/>
        <v>0</v>
      </c>
      <c r="AB22" s="260">
        <f t="shared" si="7"/>
        <v>998</v>
      </c>
    </row>
    <row r="23" spans="1:28" s="256" customFormat="1" ht="14.25" customHeight="1" x14ac:dyDescent="0.2">
      <c r="A23" s="268">
        <v>12</v>
      </c>
      <c r="B23" s="263">
        <v>305</v>
      </c>
      <c r="C23" s="263"/>
      <c r="D23" s="263"/>
      <c r="E23" s="263">
        <v>65</v>
      </c>
      <c r="F23" s="264"/>
      <c r="G23" s="263"/>
      <c r="H23" s="263"/>
      <c r="I23" s="263">
        <v>60</v>
      </c>
      <c r="J23" s="263">
        <v>124</v>
      </c>
      <c r="K23" s="263"/>
      <c r="L23" s="263"/>
      <c r="M23" s="263"/>
      <c r="N23" s="263"/>
      <c r="O23" s="263">
        <v>6</v>
      </c>
      <c r="P23" s="263"/>
      <c r="Q23" s="264"/>
      <c r="R23" s="265">
        <v>2</v>
      </c>
      <c r="S23" s="265">
        <v>9</v>
      </c>
      <c r="T23" s="265"/>
      <c r="U23" s="266"/>
      <c r="V23" s="265">
        <v>180</v>
      </c>
      <c r="W23" s="265"/>
      <c r="X23" s="265"/>
      <c r="Y23" s="263">
        <v>60</v>
      </c>
      <c r="Z23" s="263">
        <f t="shared" ref="Z23:Z28" si="8">I23+K23+U23+Q23+M23+N23+O23+P23+J23+V23+R23+S23+W23+L23+X23+G23+B23+H23+C23+D23+F23+E23+Y23+T23</f>
        <v>811</v>
      </c>
      <c r="AA23" s="267"/>
      <c r="AB23" s="263">
        <f t="shared" ref="AB23:AB28" si="9">Z23+AA23</f>
        <v>811</v>
      </c>
    </row>
    <row r="24" spans="1:28" s="256" customFormat="1" ht="14.25" customHeight="1" x14ac:dyDescent="0.2">
      <c r="A24" s="268">
        <v>13</v>
      </c>
      <c r="B24" s="263">
        <v>5</v>
      </c>
      <c r="C24" s="263"/>
      <c r="D24" s="263"/>
      <c r="E24" s="263"/>
      <c r="F24" s="263"/>
      <c r="G24" s="275"/>
      <c r="H24" s="263"/>
      <c r="I24" s="263"/>
      <c r="J24" s="263"/>
      <c r="K24" s="275"/>
      <c r="L24" s="275"/>
      <c r="M24" s="275"/>
      <c r="N24" s="275"/>
      <c r="O24" s="263"/>
      <c r="P24" s="263"/>
      <c r="Q24" s="275"/>
      <c r="R24" s="265">
        <v>3</v>
      </c>
      <c r="S24" s="265">
        <f>10-10</f>
        <v>0</v>
      </c>
      <c r="T24" s="265"/>
      <c r="U24" s="270"/>
      <c r="V24" s="265"/>
      <c r="W24" s="265"/>
      <c r="X24" s="265"/>
      <c r="Y24" s="263"/>
      <c r="Z24" s="263">
        <f t="shared" si="8"/>
        <v>8</v>
      </c>
      <c r="AA24" s="267"/>
      <c r="AB24" s="263">
        <f t="shared" si="9"/>
        <v>8</v>
      </c>
    </row>
    <row r="25" spans="1:28" s="256" customFormat="1" ht="14.25" customHeight="1" x14ac:dyDescent="0.2">
      <c r="A25" s="268">
        <v>14</v>
      </c>
      <c r="B25" s="265">
        <v>15</v>
      </c>
      <c r="C25" s="265"/>
      <c r="D25" s="265"/>
      <c r="E25" s="265"/>
      <c r="F25" s="266"/>
      <c r="G25" s="270"/>
      <c r="H25" s="265"/>
      <c r="I25" s="265">
        <v>3</v>
      </c>
      <c r="J25" s="265">
        <v>8</v>
      </c>
      <c r="K25" s="270"/>
      <c r="L25" s="270"/>
      <c r="M25" s="270"/>
      <c r="N25" s="270"/>
      <c r="O25" s="265"/>
      <c r="P25" s="265"/>
      <c r="Q25" s="270"/>
      <c r="R25" s="265"/>
      <c r="S25" s="265"/>
      <c r="T25" s="265"/>
      <c r="U25" s="271"/>
      <c r="V25" s="265">
        <v>12</v>
      </c>
      <c r="W25" s="265"/>
      <c r="X25" s="265"/>
      <c r="Y25" s="265"/>
      <c r="Z25" s="263">
        <f t="shared" si="8"/>
        <v>38</v>
      </c>
      <c r="AA25" s="267"/>
      <c r="AB25" s="263">
        <f t="shared" si="9"/>
        <v>38</v>
      </c>
    </row>
    <row r="26" spans="1:28" s="256" customFormat="1" ht="12.75" customHeight="1" x14ac:dyDescent="0.2">
      <c r="A26" s="268">
        <v>15</v>
      </c>
      <c r="B26" s="272"/>
      <c r="C26" s="272"/>
      <c r="D26" s="272"/>
      <c r="E26" s="272">
        <v>60</v>
      </c>
      <c r="F26" s="273"/>
      <c r="G26" s="274"/>
      <c r="H26" s="272"/>
      <c r="I26" s="272"/>
      <c r="J26" s="272"/>
      <c r="K26" s="274"/>
      <c r="L26" s="274"/>
      <c r="M26" s="274"/>
      <c r="N26" s="274"/>
      <c r="O26" s="265">
        <v>16</v>
      </c>
      <c r="P26" s="272"/>
      <c r="Q26" s="274"/>
      <c r="R26" s="265"/>
      <c r="S26" s="265"/>
      <c r="T26" s="265"/>
      <c r="U26" s="271"/>
      <c r="V26" s="265"/>
      <c r="W26" s="265"/>
      <c r="X26" s="265"/>
      <c r="Y26" s="272"/>
      <c r="Z26" s="263">
        <f t="shared" si="8"/>
        <v>76</v>
      </c>
      <c r="AA26" s="267"/>
      <c r="AB26" s="263">
        <f t="shared" si="9"/>
        <v>76</v>
      </c>
    </row>
    <row r="27" spans="1:28" s="256" customFormat="1" ht="14.25" customHeight="1" x14ac:dyDescent="0.2">
      <c r="A27" s="268">
        <v>16</v>
      </c>
      <c r="B27" s="265">
        <v>15</v>
      </c>
      <c r="C27" s="265"/>
      <c r="D27" s="265"/>
      <c r="E27" s="265"/>
      <c r="F27" s="266"/>
      <c r="G27" s="270"/>
      <c r="H27" s="265"/>
      <c r="I27" s="265"/>
      <c r="J27" s="265"/>
      <c r="K27" s="270"/>
      <c r="L27" s="270"/>
      <c r="M27" s="270"/>
      <c r="N27" s="270"/>
      <c r="O27" s="265"/>
      <c r="P27" s="265"/>
      <c r="Q27" s="270"/>
      <c r="R27" s="265"/>
      <c r="S27" s="265">
        <f>0+10</f>
        <v>10</v>
      </c>
      <c r="T27" s="265"/>
      <c r="U27" s="271"/>
      <c r="V27" s="265"/>
      <c r="W27" s="265"/>
      <c r="X27" s="265"/>
      <c r="Y27" s="265"/>
      <c r="Z27" s="263">
        <f t="shared" si="8"/>
        <v>25</v>
      </c>
      <c r="AA27" s="267"/>
      <c r="AB27" s="263">
        <f t="shared" si="9"/>
        <v>25</v>
      </c>
    </row>
    <row r="28" spans="1:28" s="256" customFormat="1" ht="14.25" customHeight="1" x14ac:dyDescent="0.2">
      <c r="A28" s="268">
        <v>17</v>
      </c>
      <c r="B28" s="272">
        <v>15</v>
      </c>
      <c r="C28" s="272"/>
      <c r="D28" s="272"/>
      <c r="E28" s="272"/>
      <c r="F28" s="273"/>
      <c r="G28" s="274"/>
      <c r="H28" s="272"/>
      <c r="I28" s="272">
        <v>15</v>
      </c>
      <c r="J28" s="272">
        <v>10</v>
      </c>
      <c r="K28" s="274"/>
      <c r="L28" s="274"/>
      <c r="M28" s="274"/>
      <c r="N28" s="274"/>
      <c r="O28" s="272"/>
      <c r="P28" s="272"/>
      <c r="Q28" s="274"/>
      <c r="R28" s="265"/>
      <c r="S28" s="265"/>
      <c r="T28" s="265"/>
      <c r="U28" s="271"/>
      <c r="V28" s="265"/>
      <c r="W28" s="265"/>
      <c r="X28" s="265"/>
      <c r="Y28" s="272"/>
      <c r="Z28" s="263">
        <f t="shared" si="8"/>
        <v>40</v>
      </c>
      <c r="AA28" s="267"/>
      <c r="AB28" s="263">
        <f t="shared" si="9"/>
        <v>40</v>
      </c>
    </row>
    <row r="29" spans="1:28" s="256" customFormat="1" ht="18.75" customHeight="1" x14ac:dyDescent="0.2">
      <c r="A29" s="259" t="s">
        <v>500</v>
      </c>
      <c r="B29" s="260">
        <f t="shared" ref="B29:AB29" si="10">B30+B31</f>
        <v>160</v>
      </c>
      <c r="C29" s="260">
        <f t="shared" si="10"/>
        <v>0</v>
      </c>
      <c r="D29" s="260">
        <f t="shared" si="10"/>
        <v>0</v>
      </c>
      <c r="E29" s="260">
        <f t="shared" si="10"/>
        <v>180</v>
      </c>
      <c r="F29" s="260">
        <f t="shared" si="10"/>
        <v>418</v>
      </c>
      <c r="G29" s="260">
        <f t="shared" si="10"/>
        <v>0</v>
      </c>
      <c r="H29" s="260">
        <f t="shared" si="10"/>
        <v>0</v>
      </c>
      <c r="I29" s="260">
        <f t="shared" si="10"/>
        <v>0</v>
      </c>
      <c r="J29" s="260">
        <f t="shared" si="10"/>
        <v>0</v>
      </c>
      <c r="K29" s="260">
        <f t="shared" si="10"/>
        <v>0</v>
      </c>
      <c r="L29" s="260">
        <f t="shared" si="10"/>
        <v>0</v>
      </c>
      <c r="M29" s="260">
        <f t="shared" si="10"/>
        <v>0</v>
      </c>
      <c r="N29" s="260">
        <f t="shared" si="10"/>
        <v>0</v>
      </c>
      <c r="O29" s="260">
        <f t="shared" si="10"/>
        <v>120</v>
      </c>
      <c r="P29" s="260">
        <f t="shared" si="10"/>
        <v>0</v>
      </c>
      <c r="Q29" s="260">
        <f t="shared" si="10"/>
        <v>0</v>
      </c>
      <c r="R29" s="260">
        <f t="shared" si="10"/>
        <v>0</v>
      </c>
      <c r="S29" s="260">
        <f t="shared" si="10"/>
        <v>0</v>
      </c>
      <c r="T29" s="260">
        <f t="shared" si="10"/>
        <v>0</v>
      </c>
      <c r="U29" s="260">
        <f t="shared" si="10"/>
        <v>0</v>
      </c>
      <c r="V29" s="260">
        <f t="shared" si="10"/>
        <v>0</v>
      </c>
      <c r="W29" s="260">
        <f t="shared" si="10"/>
        <v>0</v>
      </c>
      <c r="X29" s="260">
        <f t="shared" si="10"/>
        <v>0</v>
      </c>
      <c r="Y29" s="260">
        <f t="shared" si="10"/>
        <v>78</v>
      </c>
      <c r="Z29" s="260">
        <f t="shared" si="10"/>
        <v>956</v>
      </c>
      <c r="AA29" s="260">
        <f t="shared" si="10"/>
        <v>0</v>
      </c>
      <c r="AB29" s="260">
        <f t="shared" si="10"/>
        <v>956</v>
      </c>
    </row>
    <row r="30" spans="1:28" s="256" customFormat="1" ht="14.25" customHeight="1" x14ac:dyDescent="0.2">
      <c r="A30" s="268">
        <v>18</v>
      </c>
      <c r="B30" s="263">
        <v>105</v>
      </c>
      <c r="C30" s="263"/>
      <c r="D30" s="263"/>
      <c r="E30" s="263">
        <v>134</v>
      </c>
      <c r="F30" s="263">
        <v>230</v>
      </c>
      <c r="G30" s="263"/>
      <c r="H30" s="263"/>
      <c r="I30" s="263"/>
      <c r="J30" s="263"/>
      <c r="K30" s="263"/>
      <c r="L30" s="263"/>
      <c r="M30" s="263"/>
      <c r="N30" s="263"/>
      <c r="O30" s="263">
        <v>100</v>
      </c>
      <c r="P30" s="263"/>
      <c r="Q30" s="263"/>
      <c r="R30" s="263"/>
      <c r="S30" s="263"/>
      <c r="T30" s="263"/>
      <c r="U30" s="263"/>
      <c r="V30" s="263"/>
      <c r="W30" s="263"/>
      <c r="X30" s="263"/>
      <c r="Y30" s="263">
        <v>61</v>
      </c>
      <c r="Z30" s="263">
        <f>I30+K30+U30+Q30+M30+N30+O30+P30+J30+V30+R30+S30+W30+L30+X30+G30+B30+H30+C30+D30+F30+E30+Y30+T30</f>
        <v>630</v>
      </c>
      <c r="AA30" s="267"/>
      <c r="AB30" s="263">
        <f>Z30+AA30</f>
        <v>630</v>
      </c>
    </row>
    <row r="31" spans="1:28" s="256" customFormat="1" ht="14.25" customHeight="1" x14ac:dyDescent="0.2">
      <c r="A31" s="268">
        <v>19</v>
      </c>
      <c r="B31" s="263">
        <v>55</v>
      </c>
      <c r="C31" s="263"/>
      <c r="D31" s="263"/>
      <c r="E31" s="263">
        <v>46</v>
      </c>
      <c r="F31" s="263">
        <v>188</v>
      </c>
      <c r="G31" s="263"/>
      <c r="H31" s="263"/>
      <c r="I31" s="263"/>
      <c r="J31" s="263"/>
      <c r="K31" s="263"/>
      <c r="L31" s="263"/>
      <c r="M31" s="263"/>
      <c r="N31" s="263"/>
      <c r="O31" s="263">
        <v>20</v>
      </c>
      <c r="P31" s="263"/>
      <c r="Q31" s="263"/>
      <c r="R31" s="263"/>
      <c r="S31" s="263"/>
      <c r="T31" s="263"/>
      <c r="U31" s="263"/>
      <c r="V31" s="263"/>
      <c r="W31" s="263"/>
      <c r="X31" s="263"/>
      <c r="Y31" s="263">
        <v>17</v>
      </c>
      <c r="Z31" s="263">
        <f>I31+K31+U31+Q31+M31+N31+O31+P31+J31+V31+R31+S31+W31+L31+X31+G31+B31+H31+C31+D31+F31+E31+Y31+T31</f>
        <v>326</v>
      </c>
      <c r="AA31" s="267"/>
      <c r="AB31" s="263">
        <f>Z31+AA31</f>
        <v>326</v>
      </c>
    </row>
    <row r="32" spans="1:28" s="256" customFormat="1" ht="18.75" customHeight="1" x14ac:dyDescent="0.2">
      <c r="A32" s="259" t="s">
        <v>501</v>
      </c>
      <c r="B32" s="260">
        <f t="shared" ref="B32" si="11">B33+B34+B35+B36+B37+B38</f>
        <v>130</v>
      </c>
      <c r="C32" s="260">
        <f>C33+C34+C35+C36+C37+C38</f>
        <v>1450</v>
      </c>
      <c r="D32" s="260">
        <f t="shared" ref="D32:AB32" si="12">D33+D34+D35+D36+D37+D38</f>
        <v>0</v>
      </c>
      <c r="E32" s="260">
        <f t="shared" si="12"/>
        <v>100</v>
      </c>
      <c r="F32" s="260">
        <f t="shared" si="12"/>
        <v>0</v>
      </c>
      <c r="G32" s="260">
        <f t="shared" si="12"/>
        <v>0</v>
      </c>
      <c r="H32" s="260">
        <f t="shared" si="12"/>
        <v>0</v>
      </c>
      <c r="I32" s="260">
        <f t="shared" si="12"/>
        <v>0</v>
      </c>
      <c r="J32" s="260">
        <f t="shared" si="12"/>
        <v>0</v>
      </c>
      <c r="K32" s="260">
        <f t="shared" si="12"/>
        <v>0</v>
      </c>
      <c r="L32" s="260">
        <f t="shared" si="12"/>
        <v>0</v>
      </c>
      <c r="M32" s="260">
        <f t="shared" si="12"/>
        <v>0</v>
      </c>
      <c r="N32" s="260">
        <f t="shared" si="12"/>
        <v>0</v>
      </c>
      <c r="O32" s="260">
        <f t="shared" si="12"/>
        <v>0</v>
      </c>
      <c r="P32" s="260">
        <f t="shared" si="12"/>
        <v>0</v>
      </c>
      <c r="Q32" s="260">
        <f t="shared" si="12"/>
        <v>0</v>
      </c>
      <c r="R32" s="260">
        <f t="shared" si="12"/>
        <v>0</v>
      </c>
      <c r="S32" s="260">
        <f t="shared" si="12"/>
        <v>0</v>
      </c>
      <c r="T32" s="260">
        <f t="shared" si="12"/>
        <v>0</v>
      </c>
      <c r="U32" s="260">
        <f t="shared" si="12"/>
        <v>0</v>
      </c>
      <c r="V32" s="260">
        <f t="shared" si="12"/>
        <v>89</v>
      </c>
      <c r="W32" s="260">
        <f t="shared" si="12"/>
        <v>5</v>
      </c>
      <c r="X32" s="260">
        <f t="shared" si="12"/>
        <v>0</v>
      </c>
      <c r="Y32" s="260">
        <f t="shared" si="12"/>
        <v>150</v>
      </c>
      <c r="Z32" s="260">
        <f t="shared" si="12"/>
        <v>1924</v>
      </c>
      <c r="AA32" s="260">
        <f t="shared" si="12"/>
        <v>0</v>
      </c>
      <c r="AB32" s="260">
        <f t="shared" si="12"/>
        <v>1924</v>
      </c>
    </row>
    <row r="33" spans="1:28" s="256" customFormat="1" ht="14.25" customHeight="1" x14ac:dyDescent="0.2">
      <c r="A33" s="268">
        <v>20</v>
      </c>
      <c r="B33" s="265">
        <f>70</f>
        <v>70</v>
      </c>
      <c r="C33" s="265">
        <v>1100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>
        <f>77+12</f>
        <v>89</v>
      </c>
      <c r="W33" s="265">
        <v>5</v>
      </c>
      <c r="X33" s="265"/>
      <c r="Y33" s="265">
        <v>100</v>
      </c>
      <c r="Z33" s="265">
        <f t="shared" ref="Z33:Z38" si="13">I33+K33+U33+Q33+M33+N33+O33+P33+J33+V33+R33+S33+W33+L33+X33+G33+B33+H33+C33+D33+F33+E33+Y33+T33</f>
        <v>1364</v>
      </c>
      <c r="AA33" s="267"/>
      <c r="AB33" s="263">
        <f t="shared" ref="AB33:AB38" si="14">Z33+AA33</f>
        <v>1364</v>
      </c>
    </row>
    <row r="34" spans="1:28" s="256" customFormat="1" ht="14.25" customHeight="1" x14ac:dyDescent="0.2">
      <c r="A34" s="268">
        <v>21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>
        <f t="shared" si="13"/>
        <v>0</v>
      </c>
      <c r="AA34" s="267"/>
      <c r="AB34" s="263">
        <f t="shared" si="14"/>
        <v>0</v>
      </c>
    </row>
    <row r="35" spans="1:28" s="256" customFormat="1" ht="14.25" customHeight="1" x14ac:dyDescent="0.2">
      <c r="A35" s="268">
        <v>22</v>
      </c>
      <c r="B35" s="265">
        <v>60</v>
      </c>
      <c r="C35" s="265">
        <v>250</v>
      </c>
      <c r="D35" s="265"/>
      <c r="E35" s="265">
        <v>100</v>
      </c>
      <c r="F35" s="265"/>
      <c r="G35" s="270"/>
      <c r="H35" s="265"/>
      <c r="I35" s="265"/>
      <c r="J35" s="265"/>
      <c r="K35" s="265"/>
      <c r="L35" s="270"/>
      <c r="M35" s="270"/>
      <c r="N35" s="270"/>
      <c r="O35" s="265"/>
      <c r="P35" s="265"/>
      <c r="Q35" s="270"/>
      <c r="R35" s="265"/>
      <c r="S35" s="265"/>
      <c r="T35" s="265"/>
      <c r="U35" s="270"/>
      <c r="V35" s="265"/>
      <c r="W35" s="265"/>
      <c r="X35" s="265"/>
      <c r="Y35" s="265">
        <v>50</v>
      </c>
      <c r="Z35" s="265">
        <f t="shared" si="13"/>
        <v>460</v>
      </c>
      <c r="AA35" s="267"/>
      <c r="AB35" s="263">
        <f t="shared" si="14"/>
        <v>460</v>
      </c>
    </row>
    <row r="36" spans="1:28" s="256" customFormat="1" ht="14.25" customHeight="1" x14ac:dyDescent="0.2">
      <c r="A36" s="268">
        <v>23</v>
      </c>
      <c r="B36" s="265"/>
      <c r="C36" s="265"/>
      <c r="D36" s="265"/>
      <c r="E36" s="265"/>
      <c r="F36" s="265"/>
      <c r="G36" s="270"/>
      <c r="H36" s="265"/>
      <c r="I36" s="265"/>
      <c r="J36" s="265"/>
      <c r="K36" s="265"/>
      <c r="L36" s="270"/>
      <c r="M36" s="270"/>
      <c r="N36" s="270"/>
      <c r="O36" s="265"/>
      <c r="P36" s="265"/>
      <c r="Q36" s="270"/>
      <c r="R36" s="265"/>
      <c r="S36" s="265"/>
      <c r="T36" s="265"/>
      <c r="U36" s="270"/>
      <c r="V36" s="265"/>
      <c r="W36" s="265"/>
      <c r="X36" s="265"/>
      <c r="Y36" s="265"/>
      <c r="Z36" s="265">
        <f t="shared" si="13"/>
        <v>0</v>
      </c>
      <c r="AA36" s="267"/>
      <c r="AB36" s="263">
        <f t="shared" si="14"/>
        <v>0</v>
      </c>
    </row>
    <row r="37" spans="1:28" s="256" customFormat="1" ht="14.25" customHeight="1" x14ac:dyDescent="0.2">
      <c r="A37" s="268">
        <v>24</v>
      </c>
      <c r="B37" s="265"/>
      <c r="C37" s="265">
        <v>100</v>
      </c>
      <c r="D37" s="265"/>
      <c r="E37" s="265"/>
      <c r="F37" s="265"/>
      <c r="G37" s="270"/>
      <c r="H37" s="265"/>
      <c r="I37" s="265"/>
      <c r="J37" s="265"/>
      <c r="K37" s="265"/>
      <c r="L37" s="270"/>
      <c r="M37" s="270"/>
      <c r="N37" s="270"/>
      <c r="O37" s="265"/>
      <c r="P37" s="265"/>
      <c r="Q37" s="270"/>
      <c r="R37" s="265"/>
      <c r="S37" s="265"/>
      <c r="T37" s="265"/>
      <c r="U37" s="270"/>
      <c r="V37" s="265"/>
      <c r="W37" s="265"/>
      <c r="X37" s="265"/>
      <c r="Y37" s="265"/>
      <c r="Z37" s="265">
        <f t="shared" si="13"/>
        <v>100</v>
      </c>
      <c r="AA37" s="267"/>
      <c r="AB37" s="263">
        <f t="shared" si="14"/>
        <v>100</v>
      </c>
    </row>
    <row r="38" spans="1:28" s="256" customFormat="1" ht="14.25" customHeight="1" x14ac:dyDescent="0.2">
      <c r="A38" s="268">
        <v>25</v>
      </c>
      <c r="B38" s="265"/>
      <c r="C38" s="265"/>
      <c r="D38" s="265"/>
      <c r="E38" s="265"/>
      <c r="F38" s="265"/>
      <c r="G38" s="270"/>
      <c r="H38" s="265"/>
      <c r="I38" s="265"/>
      <c r="J38" s="265"/>
      <c r="K38" s="265"/>
      <c r="L38" s="270"/>
      <c r="M38" s="270"/>
      <c r="N38" s="270"/>
      <c r="O38" s="265"/>
      <c r="P38" s="265"/>
      <c r="Q38" s="270"/>
      <c r="R38" s="265"/>
      <c r="S38" s="265"/>
      <c r="T38" s="265"/>
      <c r="U38" s="270"/>
      <c r="V38" s="265"/>
      <c r="W38" s="265"/>
      <c r="X38" s="265"/>
      <c r="Y38" s="265"/>
      <c r="Z38" s="265">
        <f t="shared" si="13"/>
        <v>0</v>
      </c>
      <c r="AA38" s="267"/>
      <c r="AB38" s="263">
        <f t="shared" si="14"/>
        <v>0</v>
      </c>
    </row>
    <row r="39" spans="1:28" s="256" customFormat="1" ht="19.5" customHeight="1" x14ac:dyDescent="0.2">
      <c r="A39" s="276" t="s">
        <v>502</v>
      </c>
      <c r="B39" s="260">
        <f t="shared" ref="B39:AB39" si="15">B40+B41</f>
        <v>117</v>
      </c>
      <c r="C39" s="260">
        <f t="shared" si="15"/>
        <v>0</v>
      </c>
      <c r="D39" s="260">
        <f t="shared" si="15"/>
        <v>0</v>
      </c>
      <c r="E39" s="260">
        <f t="shared" si="15"/>
        <v>50</v>
      </c>
      <c r="F39" s="260">
        <f t="shared" si="15"/>
        <v>0</v>
      </c>
      <c r="G39" s="260">
        <f t="shared" si="15"/>
        <v>0</v>
      </c>
      <c r="H39" s="260">
        <f t="shared" si="15"/>
        <v>0</v>
      </c>
      <c r="I39" s="260">
        <f t="shared" si="15"/>
        <v>10</v>
      </c>
      <c r="J39" s="260">
        <f t="shared" si="15"/>
        <v>65</v>
      </c>
      <c r="K39" s="260">
        <f t="shared" si="15"/>
        <v>0</v>
      </c>
      <c r="L39" s="260">
        <f t="shared" si="15"/>
        <v>0</v>
      </c>
      <c r="M39" s="260">
        <f t="shared" si="15"/>
        <v>0</v>
      </c>
      <c r="N39" s="260">
        <f t="shared" si="15"/>
        <v>100</v>
      </c>
      <c r="O39" s="260">
        <f t="shared" si="15"/>
        <v>0</v>
      </c>
      <c r="P39" s="260">
        <f t="shared" si="15"/>
        <v>0</v>
      </c>
      <c r="Q39" s="260">
        <f t="shared" si="15"/>
        <v>0</v>
      </c>
      <c r="R39" s="260">
        <f t="shared" si="15"/>
        <v>0</v>
      </c>
      <c r="S39" s="260">
        <f t="shared" si="15"/>
        <v>0</v>
      </c>
      <c r="T39" s="260">
        <f t="shared" si="15"/>
        <v>0</v>
      </c>
      <c r="U39" s="260">
        <f t="shared" si="15"/>
        <v>0</v>
      </c>
      <c r="V39" s="260">
        <f t="shared" si="15"/>
        <v>0</v>
      </c>
      <c r="W39" s="260">
        <f t="shared" si="15"/>
        <v>0</v>
      </c>
      <c r="X39" s="260">
        <f t="shared" si="15"/>
        <v>0</v>
      </c>
      <c r="Y39" s="260">
        <f t="shared" si="15"/>
        <v>0</v>
      </c>
      <c r="Z39" s="260">
        <f t="shared" si="15"/>
        <v>342</v>
      </c>
      <c r="AA39" s="260">
        <f t="shared" si="15"/>
        <v>0</v>
      </c>
      <c r="AB39" s="260">
        <f t="shared" si="15"/>
        <v>342</v>
      </c>
    </row>
    <row r="40" spans="1:28" s="256" customFormat="1" ht="15" customHeight="1" x14ac:dyDescent="0.2">
      <c r="A40" s="268">
        <v>26</v>
      </c>
      <c r="B40" s="265">
        <v>92</v>
      </c>
      <c r="C40" s="265"/>
      <c r="D40" s="265"/>
      <c r="E40" s="265">
        <v>20</v>
      </c>
      <c r="F40" s="265"/>
      <c r="G40" s="265"/>
      <c r="H40" s="265"/>
      <c r="I40" s="265"/>
      <c r="J40" s="265">
        <v>25</v>
      </c>
      <c r="K40" s="265"/>
      <c r="L40" s="265"/>
      <c r="M40" s="265"/>
      <c r="N40" s="265">
        <v>55</v>
      </c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>
        <f>I40+K40+U40+Q40+M40+N40+O40+P40+J40+V40+R40+S40+W40+L40+X40+G40+B40+H40+C40+D40+F40+E40+Y40+T40</f>
        <v>192</v>
      </c>
      <c r="AA40" s="267"/>
      <c r="AB40" s="263">
        <f>Z40+AA40</f>
        <v>192</v>
      </c>
    </row>
    <row r="41" spans="1:28" s="256" customFormat="1" ht="15" customHeight="1" x14ac:dyDescent="0.2">
      <c r="A41" s="268">
        <v>27</v>
      </c>
      <c r="B41" s="265">
        <v>25</v>
      </c>
      <c r="C41" s="265"/>
      <c r="D41" s="265"/>
      <c r="E41" s="265">
        <v>30</v>
      </c>
      <c r="F41" s="265"/>
      <c r="G41" s="265"/>
      <c r="H41" s="265"/>
      <c r="I41" s="265">
        <v>10</v>
      </c>
      <c r="J41" s="265">
        <v>40</v>
      </c>
      <c r="K41" s="265"/>
      <c r="L41" s="265"/>
      <c r="M41" s="265"/>
      <c r="N41" s="265">
        <v>45</v>
      </c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>
        <f>I41+K41+U41+Q41+M41+N41+O41+P41+J41+V41+R41+S41+W41+L41+X41+G41+B41+H41+C41+D41+F41+E41+Y41+T41</f>
        <v>150</v>
      </c>
      <c r="AA41" s="267"/>
      <c r="AB41" s="263">
        <f>Z41+AA41</f>
        <v>150</v>
      </c>
    </row>
    <row r="42" spans="1:28" s="256" customFormat="1" ht="19.5" customHeight="1" x14ac:dyDescent="0.2">
      <c r="A42" s="276" t="s">
        <v>503</v>
      </c>
      <c r="B42" s="260">
        <f t="shared" ref="B42:AB42" si="16">B43+B44</f>
        <v>0</v>
      </c>
      <c r="C42" s="260">
        <f t="shared" si="16"/>
        <v>0</v>
      </c>
      <c r="D42" s="260">
        <f t="shared" si="16"/>
        <v>0</v>
      </c>
      <c r="E42" s="260">
        <f t="shared" si="16"/>
        <v>60</v>
      </c>
      <c r="F42" s="260">
        <f t="shared" si="16"/>
        <v>0</v>
      </c>
      <c r="G42" s="260">
        <f t="shared" si="16"/>
        <v>0</v>
      </c>
      <c r="H42" s="260">
        <f t="shared" si="16"/>
        <v>0</v>
      </c>
      <c r="I42" s="260">
        <f t="shared" si="16"/>
        <v>0</v>
      </c>
      <c r="J42" s="260">
        <f t="shared" si="16"/>
        <v>0</v>
      </c>
      <c r="K42" s="260">
        <f t="shared" si="16"/>
        <v>200</v>
      </c>
      <c r="L42" s="260">
        <f t="shared" si="16"/>
        <v>2400</v>
      </c>
      <c r="M42" s="260">
        <f t="shared" si="16"/>
        <v>200</v>
      </c>
      <c r="N42" s="260">
        <f t="shared" si="16"/>
        <v>0</v>
      </c>
      <c r="O42" s="260">
        <f t="shared" si="16"/>
        <v>0</v>
      </c>
      <c r="P42" s="260">
        <f t="shared" si="16"/>
        <v>0</v>
      </c>
      <c r="Q42" s="260">
        <f t="shared" si="16"/>
        <v>0</v>
      </c>
      <c r="R42" s="260">
        <f t="shared" si="16"/>
        <v>0</v>
      </c>
      <c r="S42" s="260">
        <f t="shared" si="16"/>
        <v>0</v>
      </c>
      <c r="T42" s="260">
        <f t="shared" si="16"/>
        <v>0</v>
      </c>
      <c r="U42" s="260">
        <f t="shared" si="16"/>
        <v>0</v>
      </c>
      <c r="V42" s="260">
        <f t="shared" si="16"/>
        <v>0</v>
      </c>
      <c r="W42" s="260">
        <f t="shared" si="16"/>
        <v>0</v>
      </c>
      <c r="X42" s="260">
        <f t="shared" si="16"/>
        <v>0</v>
      </c>
      <c r="Y42" s="260">
        <f t="shared" si="16"/>
        <v>0</v>
      </c>
      <c r="Z42" s="260">
        <f t="shared" si="16"/>
        <v>2860</v>
      </c>
      <c r="AA42" s="260">
        <f t="shared" si="16"/>
        <v>0</v>
      </c>
      <c r="AB42" s="260">
        <f t="shared" si="16"/>
        <v>2860</v>
      </c>
    </row>
    <row r="43" spans="1:28" s="256" customFormat="1" ht="14.25" customHeight="1" x14ac:dyDescent="0.2">
      <c r="A43" s="268">
        <v>28</v>
      </c>
      <c r="B43" s="265"/>
      <c r="C43" s="265"/>
      <c r="D43" s="265"/>
      <c r="E43" s="265">
        <v>60</v>
      </c>
      <c r="F43" s="265"/>
      <c r="G43" s="265"/>
      <c r="H43" s="265"/>
      <c r="I43" s="265"/>
      <c r="J43" s="265"/>
      <c r="K43" s="265">
        <v>190</v>
      </c>
      <c r="L43" s="265">
        <v>2380</v>
      </c>
      <c r="M43" s="265">
        <v>200</v>
      </c>
      <c r="N43" s="265"/>
      <c r="O43" s="265"/>
      <c r="P43" s="265"/>
      <c r="Q43" s="265"/>
      <c r="R43" s="265"/>
      <c r="S43" s="263"/>
      <c r="T43" s="263"/>
      <c r="U43" s="265"/>
      <c r="V43" s="265"/>
      <c r="W43" s="265"/>
      <c r="X43" s="265"/>
      <c r="Y43" s="265"/>
      <c r="Z43" s="263">
        <f>I43+K43+U43+Q43+M43+N43+O43+P43+J43+V43+R43+S43+W43+L43+X43+G43+B43+H43+C43+D43+F43+E43+Y43+T43</f>
        <v>2830</v>
      </c>
      <c r="AA43" s="267"/>
      <c r="AB43" s="263">
        <f>Z43+AA43</f>
        <v>2830</v>
      </c>
    </row>
    <row r="44" spans="1:28" s="256" customFormat="1" ht="14.25" customHeight="1" x14ac:dyDescent="0.2">
      <c r="A44" s="268">
        <v>29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>
        <v>10</v>
      </c>
      <c r="L44" s="265">
        <v>20</v>
      </c>
      <c r="M44" s="265"/>
      <c r="N44" s="265"/>
      <c r="O44" s="265"/>
      <c r="P44" s="265"/>
      <c r="Q44" s="265"/>
      <c r="R44" s="265"/>
      <c r="S44" s="263"/>
      <c r="T44" s="263"/>
      <c r="U44" s="265"/>
      <c r="V44" s="265"/>
      <c r="W44" s="265"/>
      <c r="X44" s="265"/>
      <c r="Y44" s="265"/>
      <c r="Z44" s="263">
        <f>I44+K44+U44+Q44+M44+N44+O44+P44+J44+V44+R44+S44+W44+L44+X44+G44+B44+H44+C44+D44+F44+E44+Y44+T44</f>
        <v>30</v>
      </c>
      <c r="AA44" s="267"/>
      <c r="AB44" s="263">
        <f>Z44+AA44</f>
        <v>30</v>
      </c>
    </row>
    <row r="45" spans="1:28" s="256" customFormat="1" ht="18.75" customHeight="1" x14ac:dyDescent="0.2">
      <c r="A45" s="259" t="s">
        <v>504</v>
      </c>
      <c r="B45" s="260">
        <f t="shared" ref="B45:AB45" si="17">B46+B47+B48</f>
        <v>0</v>
      </c>
      <c r="C45" s="260">
        <f t="shared" si="17"/>
        <v>0</v>
      </c>
      <c r="D45" s="260">
        <f t="shared" si="17"/>
        <v>0</v>
      </c>
      <c r="E45" s="260">
        <f t="shared" si="17"/>
        <v>42</v>
      </c>
      <c r="F45" s="260">
        <f t="shared" si="17"/>
        <v>0</v>
      </c>
      <c r="G45" s="260">
        <f t="shared" si="17"/>
        <v>0</v>
      </c>
      <c r="H45" s="260">
        <f t="shared" si="17"/>
        <v>0</v>
      </c>
      <c r="I45" s="260">
        <f t="shared" si="17"/>
        <v>0</v>
      </c>
      <c r="J45" s="260">
        <f t="shared" si="17"/>
        <v>0</v>
      </c>
      <c r="K45" s="260">
        <f t="shared" si="17"/>
        <v>0</v>
      </c>
      <c r="L45" s="260">
        <f t="shared" si="17"/>
        <v>0</v>
      </c>
      <c r="M45" s="260">
        <f t="shared" si="17"/>
        <v>0</v>
      </c>
      <c r="N45" s="260">
        <f t="shared" si="17"/>
        <v>0</v>
      </c>
      <c r="O45" s="260">
        <f t="shared" si="17"/>
        <v>0</v>
      </c>
      <c r="P45" s="260">
        <f t="shared" si="17"/>
        <v>0</v>
      </c>
      <c r="Q45" s="260">
        <f t="shared" si="17"/>
        <v>0</v>
      </c>
      <c r="R45" s="260">
        <f t="shared" si="17"/>
        <v>0</v>
      </c>
      <c r="S45" s="260">
        <f t="shared" si="17"/>
        <v>0</v>
      </c>
      <c r="T45" s="260">
        <f t="shared" si="17"/>
        <v>0</v>
      </c>
      <c r="U45" s="260">
        <f t="shared" si="17"/>
        <v>0</v>
      </c>
      <c r="V45" s="260">
        <f t="shared" si="17"/>
        <v>0</v>
      </c>
      <c r="W45" s="260">
        <f t="shared" si="17"/>
        <v>0</v>
      </c>
      <c r="X45" s="260">
        <f t="shared" si="17"/>
        <v>0</v>
      </c>
      <c r="Y45" s="260">
        <f t="shared" si="17"/>
        <v>0</v>
      </c>
      <c r="Z45" s="260">
        <f t="shared" si="17"/>
        <v>42</v>
      </c>
      <c r="AA45" s="260">
        <f t="shared" si="17"/>
        <v>0</v>
      </c>
      <c r="AB45" s="260">
        <f t="shared" si="17"/>
        <v>42</v>
      </c>
    </row>
    <row r="46" spans="1:28" s="256" customFormat="1" ht="15" customHeight="1" x14ac:dyDescent="0.2">
      <c r="A46" s="268">
        <v>30</v>
      </c>
      <c r="B46" s="263"/>
      <c r="C46" s="263"/>
      <c r="D46" s="263"/>
      <c r="E46" s="263">
        <v>5</v>
      </c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5"/>
      <c r="T46" s="265"/>
      <c r="U46" s="265"/>
      <c r="V46" s="265"/>
      <c r="W46" s="263"/>
      <c r="X46" s="263"/>
      <c r="Y46" s="263"/>
      <c r="Z46" s="263">
        <f>I46+K46+U46+Q46+M46+N46+O46+P46+J46+V46+R46+S46+W46+L46+X46+G46+B46+H46+C46+D46+F46+E46+Y46+T46</f>
        <v>5</v>
      </c>
      <c r="AA46" s="267"/>
      <c r="AB46" s="263">
        <f>Z46+AA46</f>
        <v>5</v>
      </c>
    </row>
    <row r="47" spans="1:28" s="256" customFormat="1" ht="13.5" customHeight="1" x14ac:dyDescent="0.2">
      <c r="A47" s="268">
        <v>31</v>
      </c>
      <c r="B47" s="265"/>
      <c r="C47" s="265"/>
      <c r="D47" s="265"/>
      <c r="E47" s="265">
        <v>37</v>
      </c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3">
        <f>I47+K47+U47+Q47+M47+N47+O47+P47+J47+V47+R47+S47+W47+L47+X47+G47+B47+H47+C47+D47+F47+E47+Y47+T47</f>
        <v>37</v>
      </c>
      <c r="AA47" s="267"/>
      <c r="AB47" s="263">
        <f>Z47+AA47</f>
        <v>37</v>
      </c>
    </row>
    <row r="48" spans="1:28" s="256" customFormat="1" ht="15" customHeight="1" x14ac:dyDescent="0.2">
      <c r="A48" s="262">
        <v>32</v>
      </c>
      <c r="B48" s="272"/>
      <c r="C48" s="272"/>
      <c r="D48" s="272"/>
      <c r="E48" s="272"/>
      <c r="F48" s="272"/>
      <c r="G48" s="274"/>
      <c r="H48" s="272"/>
      <c r="I48" s="272"/>
      <c r="J48" s="272"/>
      <c r="K48" s="274"/>
      <c r="L48" s="274"/>
      <c r="M48" s="274"/>
      <c r="N48" s="274"/>
      <c r="O48" s="272"/>
      <c r="P48" s="272"/>
      <c r="Q48" s="274"/>
      <c r="R48" s="272"/>
      <c r="S48" s="265"/>
      <c r="T48" s="265"/>
      <c r="U48" s="270"/>
      <c r="V48" s="265"/>
      <c r="W48" s="272"/>
      <c r="X48" s="272"/>
      <c r="Y48" s="272"/>
      <c r="Z48" s="263">
        <f>I48+K48+U48+Q48+M48+N48+O48+P48+J48+V48+R48+S48+W48+L48+X48+G48+B48+H48+C48+D48+F48+E48+Y48+T48</f>
        <v>0</v>
      </c>
      <c r="AA48" s="267"/>
      <c r="AB48" s="263">
        <f>Z48+AA48</f>
        <v>0</v>
      </c>
    </row>
    <row r="49" spans="1:28" s="256" customFormat="1" ht="17.25" customHeight="1" x14ac:dyDescent="0.2">
      <c r="A49" s="259" t="s">
        <v>505</v>
      </c>
      <c r="B49" s="260">
        <f t="shared" ref="B49:AB49" si="18">B50</f>
        <v>200</v>
      </c>
      <c r="C49" s="260">
        <f t="shared" si="18"/>
        <v>0</v>
      </c>
      <c r="D49" s="260">
        <f t="shared" si="18"/>
        <v>0</v>
      </c>
      <c r="E49" s="260">
        <f t="shared" si="18"/>
        <v>0</v>
      </c>
      <c r="F49" s="260">
        <f t="shared" si="18"/>
        <v>0</v>
      </c>
      <c r="G49" s="260">
        <f t="shared" si="18"/>
        <v>0</v>
      </c>
      <c r="H49" s="260">
        <f t="shared" si="18"/>
        <v>0</v>
      </c>
      <c r="I49" s="260">
        <f t="shared" si="18"/>
        <v>0</v>
      </c>
      <c r="J49" s="260">
        <f t="shared" si="18"/>
        <v>0</v>
      </c>
      <c r="K49" s="260">
        <f t="shared" si="18"/>
        <v>0</v>
      </c>
      <c r="L49" s="260">
        <f t="shared" si="18"/>
        <v>0</v>
      </c>
      <c r="M49" s="260">
        <f t="shared" si="18"/>
        <v>0</v>
      </c>
      <c r="N49" s="260">
        <f t="shared" si="18"/>
        <v>100</v>
      </c>
      <c r="O49" s="260">
        <f t="shared" si="18"/>
        <v>0</v>
      </c>
      <c r="P49" s="260">
        <f t="shared" si="18"/>
        <v>0</v>
      </c>
      <c r="Q49" s="260">
        <f t="shared" si="18"/>
        <v>0</v>
      </c>
      <c r="R49" s="260">
        <f t="shared" si="18"/>
        <v>0</v>
      </c>
      <c r="S49" s="260">
        <f t="shared" si="18"/>
        <v>0</v>
      </c>
      <c r="T49" s="260">
        <f t="shared" si="18"/>
        <v>0</v>
      </c>
      <c r="U49" s="260">
        <f t="shared" si="18"/>
        <v>0</v>
      </c>
      <c r="V49" s="260">
        <f t="shared" si="18"/>
        <v>60</v>
      </c>
      <c r="W49" s="260">
        <f t="shared" si="18"/>
        <v>0</v>
      </c>
      <c r="X49" s="260">
        <f t="shared" si="18"/>
        <v>0</v>
      </c>
      <c r="Y49" s="260">
        <f t="shared" si="18"/>
        <v>40</v>
      </c>
      <c r="Z49" s="260">
        <f t="shared" si="18"/>
        <v>400</v>
      </c>
      <c r="AA49" s="260">
        <f t="shared" si="18"/>
        <v>0</v>
      </c>
      <c r="AB49" s="260">
        <f t="shared" si="18"/>
        <v>400</v>
      </c>
    </row>
    <row r="50" spans="1:28" s="256" customFormat="1" ht="14.25" customHeight="1" x14ac:dyDescent="0.2">
      <c r="A50" s="277">
        <v>33</v>
      </c>
      <c r="B50" s="263">
        <v>200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>
        <v>100</v>
      </c>
      <c r="O50" s="263"/>
      <c r="P50" s="263"/>
      <c r="Q50" s="263"/>
      <c r="R50" s="263"/>
      <c r="S50" s="265"/>
      <c r="T50" s="265"/>
      <c r="U50" s="265"/>
      <c r="V50" s="265">
        <v>60</v>
      </c>
      <c r="W50" s="263"/>
      <c r="X50" s="263"/>
      <c r="Y50" s="263">
        <v>40</v>
      </c>
      <c r="Z50" s="263">
        <f>I50+K50+U50+Q50+M50+N50+O50+P50+J50+V50+R50+S50+W50+L50+X50+G50+B50+H50+C50+D50+F50+E50+Y50+T50</f>
        <v>400</v>
      </c>
      <c r="AA50" s="267"/>
      <c r="AB50" s="263">
        <f>Z50+AA50</f>
        <v>400</v>
      </c>
    </row>
    <row r="51" spans="1:28" s="256" customFormat="1" ht="26.25" customHeight="1" x14ac:dyDescent="0.2">
      <c r="A51" s="259" t="s">
        <v>506</v>
      </c>
      <c r="B51" s="260">
        <f t="shared" ref="B51:I51" si="19">SUM(B52:B62)</f>
        <v>323</v>
      </c>
      <c r="C51" s="260">
        <f t="shared" si="19"/>
        <v>0</v>
      </c>
      <c r="D51" s="260">
        <f t="shared" si="19"/>
        <v>3435</v>
      </c>
      <c r="E51" s="260">
        <f t="shared" si="19"/>
        <v>0</v>
      </c>
      <c r="F51" s="260">
        <f t="shared" si="19"/>
        <v>0</v>
      </c>
      <c r="G51" s="260">
        <f t="shared" si="19"/>
        <v>0</v>
      </c>
      <c r="H51" s="260">
        <f t="shared" si="19"/>
        <v>0</v>
      </c>
      <c r="I51" s="260">
        <f t="shared" si="19"/>
        <v>764</v>
      </c>
      <c r="J51" s="260">
        <f t="shared" ref="J51:AB51" si="20">SUM(J52:J62)</f>
        <v>575</v>
      </c>
      <c r="K51" s="260">
        <f t="shared" si="20"/>
        <v>0</v>
      </c>
      <c r="L51" s="260">
        <f t="shared" si="20"/>
        <v>0</v>
      </c>
      <c r="M51" s="260">
        <f t="shared" si="20"/>
        <v>0</v>
      </c>
      <c r="N51" s="260">
        <f t="shared" si="20"/>
        <v>0</v>
      </c>
      <c r="O51" s="260">
        <f t="shared" si="20"/>
        <v>0</v>
      </c>
      <c r="P51" s="260">
        <f t="shared" si="20"/>
        <v>230</v>
      </c>
      <c r="Q51" s="260">
        <f t="shared" si="20"/>
        <v>0</v>
      </c>
      <c r="R51" s="260">
        <f t="shared" si="20"/>
        <v>213</v>
      </c>
      <c r="S51" s="260">
        <f t="shared" si="20"/>
        <v>0</v>
      </c>
      <c r="T51" s="260">
        <f t="shared" si="20"/>
        <v>133</v>
      </c>
      <c r="U51" s="260">
        <f t="shared" si="20"/>
        <v>0</v>
      </c>
      <c r="V51" s="260">
        <f t="shared" si="20"/>
        <v>345</v>
      </c>
      <c r="W51" s="260">
        <f t="shared" si="20"/>
        <v>222</v>
      </c>
      <c r="X51" s="260">
        <f t="shared" si="20"/>
        <v>0</v>
      </c>
      <c r="Y51" s="260">
        <f t="shared" si="20"/>
        <v>550</v>
      </c>
      <c r="Z51" s="260">
        <f t="shared" si="20"/>
        <v>6790</v>
      </c>
      <c r="AA51" s="260">
        <f t="shared" si="20"/>
        <v>50</v>
      </c>
      <c r="AB51" s="260">
        <f t="shared" si="20"/>
        <v>6840</v>
      </c>
    </row>
    <row r="52" spans="1:28" s="256" customFormat="1" ht="14.25" customHeight="1" x14ac:dyDescent="0.2">
      <c r="A52" s="268">
        <v>34</v>
      </c>
      <c r="B52" s="278">
        <v>41</v>
      </c>
      <c r="C52" s="278"/>
      <c r="D52" s="278">
        <f>339</f>
        <v>339</v>
      </c>
      <c r="E52" s="278"/>
      <c r="F52" s="278"/>
      <c r="G52" s="279"/>
      <c r="H52" s="278"/>
      <c r="I52" s="278">
        <v>253</v>
      </c>
      <c r="J52" s="278">
        <v>254</v>
      </c>
      <c r="K52" s="279"/>
      <c r="L52" s="279"/>
      <c r="M52" s="279"/>
      <c r="N52" s="279"/>
      <c r="O52" s="278"/>
      <c r="P52" s="278"/>
      <c r="Q52" s="279"/>
      <c r="R52" s="278">
        <f>85-47</f>
        <v>38</v>
      </c>
      <c r="S52" s="265"/>
      <c r="T52" s="265">
        <v>20</v>
      </c>
      <c r="U52" s="270"/>
      <c r="V52" s="265">
        <f>233-12</f>
        <v>221</v>
      </c>
      <c r="W52" s="278">
        <f>80+12</f>
        <v>92</v>
      </c>
      <c r="X52" s="278"/>
      <c r="Y52" s="278">
        <v>105</v>
      </c>
      <c r="Z52" s="263">
        <f t="shared" ref="Z52:Z62" si="21">I52+K52+U52+Q52+M52+N52+O52+P52+J52+V52+R52+S52+W52+L52+X52+G52+B52+H52+C52+D52+F52+E52+Y52+T52</f>
        <v>1363</v>
      </c>
      <c r="AA52" s="280">
        <v>10</v>
      </c>
      <c r="AB52" s="263">
        <f t="shared" ref="AB52:AB62" si="22">Z52+AA52</f>
        <v>1373</v>
      </c>
    </row>
    <row r="53" spans="1:28" s="256" customFormat="1" ht="14.25" customHeight="1" x14ac:dyDescent="0.2">
      <c r="A53" s="268">
        <v>35</v>
      </c>
      <c r="B53" s="265">
        <v>50</v>
      </c>
      <c r="C53" s="265"/>
      <c r="D53" s="265">
        <f>139</f>
        <v>139</v>
      </c>
      <c r="E53" s="265"/>
      <c r="F53" s="265"/>
      <c r="G53" s="265"/>
      <c r="H53" s="265"/>
      <c r="I53" s="265">
        <v>80</v>
      </c>
      <c r="J53" s="265">
        <v>78</v>
      </c>
      <c r="K53" s="265"/>
      <c r="L53" s="265"/>
      <c r="M53" s="265"/>
      <c r="N53" s="265"/>
      <c r="O53" s="265"/>
      <c r="P53" s="265"/>
      <c r="Q53" s="265"/>
      <c r="R53" s="265">
        <f>95-62</f>
        <v>33</v>
      </c>
      <c r="S53" s="265"/>
      <c r="T53" s="265">
        <v>10</v>
      </c>
      <c r="U53" s="265"/>
      <c r="V53" s="265">
        <f>25-5</f>
        <v>20</v>
      </c>
      <c r="W53" s="265">
        <f>47+5</f>
        <v>52</v>
      </c>
      <c r="X53" s="265"/>
      <c r="Y53" s="265">
        <v>38</v>
      </c>
      <c r="Z53" s="263">
        <f t="shared" si="21"/>
        <v>500</v>
      </c>
      <c r="AA53" s="280">
        <v>15</v>
      </c>
      <c r="AB53" s="263">
        <f t="shared" si="22"/>
        <v>515</v>
      </c>
    </row>
    <row r="54" spans="1:28" s="256" customFormat="1" ht="14.25" customHeight="1" x14ac:dyDescent="0.2">
      <c r="A54" s="268">
        <v>36</v>
      </c>
      <c r="B54" s="265">
        <v>11</v>
      </c>
      <c r="C54" s="265"/>
      <c r="D54" s="265">
        <f>39</f>
        <v>39</v>
      </c>
      <c r="E54" s="265"/>
      <c r="F54" s="265"/>
      <c r="G54" s="270"/>
      <c r="H54" s="265"/>
      <c r="I54" s="265">
        <v>18</v>
      </c>
      <c r="J54" s="265">
        <v>9</v>
      </c>
      <c r="K54" s="270"/>
      <c r="L54" s="270"/>
      <c r="M54" s="270"/>
      <c r="N54" s="270"/>
      <c r="O54" s="265"/>
      <c r="P54" s="265">
        <v>87</v>
      </c>
      <c r="Q54" s="270"/>
      <c r="R54" s="265">
        <f>33-13</f>
        <v>20</v>
      </c>
      <c r="S54" s="263"/>
      <c r="T54" s="263">
        <v>3</v>
      </c>
      <c r="U54" s="270"/>
      <c r="V54" s="265">
        <v>2</v>
      </c>
      <c r="W54" s="265">
        <v>22</v>
      </c>
      <c r="X54" s="265"/>
      <c r="Y54" s="265">
        <v>10</v>
      </c>
      <c r="Z54" s="263">
        <f t="shared" si="21"/>
        <v>221</v>
      </c>
      <c r="AA54" s="280"/>
      <c r="AB54" s="263">
        <f t="shared" si="22"/>
        <v>221</v>
      </c>
    </row>
    <row r="55" spans="1:28" s="256" customFormat="1" ht="14.25" customHeight="1" x14ac:dyDescent="0.2">
      <c r="A55" s="268">
        <v>37</v>
      </c>
      <c r="B55" s="265">
        <v>118</v>
      </c>
      <c r="C55" s="265"/>
      <c r="D55" s="265">
        <f>680</f>
        <v>680</v>
      </c>
      <c r="E55" s="265"/>
      <c r="F55" s="265"/>
      <c r="G55" s="270"/>
      <c r="H55" s="265"/>
      <c r="I55" s="265">
        <v>279</v>
      </c>
      <c r="J55" s="265">
        <v>192</v>
      </c>
      <c r="K55" s="270"/>
      <c r="L55" s="270"/>
      <c r="M55" s="270"/>
      <c r="N55" s="270"/>
      <c r="O55" s="265"/>
      <c r="P55" s="265"/>
      <c r="Q55" s="270"/>
      <c r="R55" s="265">
        <f>0+47</f>
        <v>47</v>
      </c>
      <c r="S55" s="263"/>
      <c r="T55" s="263">
        <v>70</v>
      </c>
      <c r="U55" s="270"/>
      <c r="V55" s="265">
        <f>95-3</f>
        <v>92</v>
      </c>
      <c r="W55" s="265">
        <f>20+3</f>
        <v>23</v>
      </c>
      <c r="X55" s="265"/>
      <c r="Y55" s="265">
        <v>239</v>
      </c>
      <c r="Z55" s="263">
        <f t="shared" si="21"/>
        <v>1740</v>
      </c>
      <c r="AA55" s="280">
        <v>10</v>
      </c>
      <c r="AB55" s="263">
        <f t="shared" si="22"/>
        <v>1750</v>
      </c>
    </row>
    <row r="56" spans="1:28" s="256" customFormat="1" ht="14.25" customHeight="1" x14ac:dyDescent="0.2">
      <c r="A56" s="268">
        <v>38</v>
      </c>
      <c r="B56" s="265">
        <v>72</v>
      </c>
      <c r="C56" s="265"/>
      <c r="D56" s="265">
        <f>239</f>
        <v>239</v>
      </c>
      <c r="E56" s="265"/>
      <c r="F56" s="265"/>
      <c r="G56" s="265"/>
      <c r="H56" s="265"/>
      <c r="I56" s="265">
        <v>74</v>
      </c>
      <c r="J56" s="265">
        <v>36</v>
      </c>
      <c r="K56" s="265"/>
      <c r="L56" s="265"/>
      <c r="M56" s="265"/>
      <c r="N56" s="265"/>
      <c r="O56" s="265"/>
      <c r="P56" s="265"/>
      <c r="Q56" s="265"/>
      <c r="R56" s="265">
        <f>0+62</f>
        <v>62</v>
      </c>
      <c r="S56" s="263"/>
      <c r="T56" s="263">
        <v>20</v>
      </c>
      <c r="U56" s="265"/>
      <c r="V56" s="265">
        <v>10</v>
      </c>
      <c r="W56" s="265">
        <v>23</v>
      </c>
      <c r="X56" s="265"/>
      <c r="Y56" s="265">
        <v>48</v>
      </c>
      <c r="Z56" s="263">
        <f t="shared" si="21"/>
        <v>584</v>
      </c>
      <c r="AA56" s="280">
        <v>15</v>
      </c>
      <c r="AB56" s="263">
        <f t="shared" si="22"/>
        <v>599</v>
      </c>
    </row>
    <row r="57" spans="1:28" s="256" customFormat="1" ht="14.25" customHeight="1" x14ac:dyDescent="0.2">
      <c r="A57" s="268">
        <v>39</v>
      </c>
      <c r="B57" s="265">
        <v>31</v>
      </c>
      <c r="C57" s="265"/>
      <c r="D57" s="265">
        <f>74</f>
        <v>74</v>
      </c>
      <c r="E57" s="265"/>
      <c r="F57" s="265"/>
      <c r="G57" s="265"/>
      <c r="H57" s="265"/>
      <c r="I57" s="265">
        <v>40</v>
      </c>
      <c r="J57" s="265">
        <v>6</v>
      </c>
      <c r="K57" s="265"/>
      <c r="L57" s="265"/>
      <c r="M57" s="265"/>
      <c r="N57" s="265"/>
      <c r="O57" s="265"/>
      <c r="P57" s="265">
        <v>113</v>
      </c>
      <c r="Q57" s="265"/>
      <c r="R57" s="265">
        <f>0+13</f>
        <v>13</v>
      </c>
      <c r="S57" s="263"/>
      <c r="T57" s="263">
        <v>10</v>
      </c>
      <c r="U57" s="265"/>
      <c r="V57" s="265"/>
      <c r="W57" s="265">
        <v>10</v>
      </c>
      <c r="X57" s="265"/>
      <c r="Y57" s="265">
        <v>10</v>
      </c>
      <c r="Z57" s="263">
        <f t="shared" si="21"/>
        <v>307</v>
      </c>
      <c r="AA57" s="280"/>
      <c r="AB57" s="263">
        <f t="shared" si="22"/>
        <v>307</v>
      </c>
    </row>
    <row r="58" spans="1:28" s="256" customFormat="1" ht="14.25" customHeight="1" x14ac:dyDescent="0.2">
      <c r="A58" s="268">
        <v>40</v>
      </c>
      <c r="B58" s="265"/>
      <c r="C58" s="265"/>
      <c r="D58" s="265">
        <f>391</f>
        <v>391</v>
      </c>
      <c r="E58" s="265"/>
      <c r="F58" s="265"/>
      <c r="G58" s="270"/>
      <c r="H58" s="265"/>
      <c r="I58" s="265">
        <v>20</v>
      </c>
      <c r="J58" s="265"/>
      <c r="K58" s="270"/>
      <c r="L58" s="270"/>
      <c r="M58" s="270"/>
      <c r="N58" s="270"/>
      <c r="O58" s="265"/>
      <c r="P58" s="265"/>
      <c r="Q58" s="270"/>
      <c r="R58" s="265"/>
      <c r="S58" s="263"/>
      <c r="T58" s="263"/>
      <c r="U58" s="270"/>
      <c r="V58" s="265"/>
      <c r="W58" s="265"/>
      <c r="X58" s="265"/>
      <c r="Y58" s="265"/>
      <c r="Z58" s="263">
        <f t="shared" si="21"/>
        <v>411</v>
      </c>
      <c r="AA58" s="267"/>
      <c r="AB58" s="263">
        <f t="shared" si="22"/>
        <v>411</v>
      </c>
    </row>
    <row r="59" spans="1:28" s="256" customFormat="1" ht="14.25" customHeight="1" x14ac:dyDescent="0.2">
      <c r="A59" s="268">
        <v>41</v>
      </c>
      <c r="B59" s="265"/>
      <c r="C59" s="265"/>
      <c r="D59" s="265">
        <v>300</v>
      </c>
      <c r="E59" s="265"/>
      <c r="F59" s="265"/>
      <c r="G59" s="270"/>
      <c r="H59" s="265"/>
      <c r="I59" s="265"/>
      <c r="J59" s="265"/>
      <c r="K59" s="270"/>
      <c r="L59" s="270"/>
      <c r="M59" s="270"/>
      <c r="N59" s="270"/>
      <c r="O59" s="265"/>
      <c r="P59" s="265">
        <v>20</v>
      </c>
      <c r="Q59" s="270"/>
      <c r="R59" s="265"/>
      <c r="S59" s="263"/>
      <c r="T59" s="263"/>
      <c r="U59" s="270"/>
      <c r="V59" s="265"/>
      <c r="W59" s="265"/>
      <c r="X59" s="265"/>
      <c r="Y59" s="265">
        <v>7</v>
      </c>
      <c r="Z59" s="263">
        <f t="shared" si="21"/>
        <v>327</v>
      </c>
      <c r="AA59" s="267"/>
      <c r="AB59" s="263">
        <f t="shared" si="22"/>
        <v>327</v>
      </c>
    </row>
    <row r="60" spans="1:28" s="256" customFormat="1" ht="14.25" customHeight="1" x14ac:dyDescent="0.2">
      <c r="A60" s="268">
        <v>42</v>
      </c>
      <c r="B60" s="265"/>
      <c r="C60" s="265"/>
      <c r="D60" s="265">
        <v>2</v>
      </c>
      <c r="E60" s="265"/>
      <c r="F60" s="265"/>
      <c r="G60" s="270"/>
      <c r="H60" s="265"/>
      <c r="I60" s="265"/>
      <c r="J60" s="265"/>
      <c r="K60" s="270"/>
      <c r="L60" s="270"/>
      <c r="M60" s="270"/>
      <c r="N60" s="270"/>
      <c r="O60" s="265"/>
      <c r="P60" s="265"/>
      <c r="Q60" s="270"/>
      <c r="R60" s="265"/>
      <c r="S60" s="263"/>
      <c r="T60" s="263"/>
      <c r="U60" s="270"/>
      <c r="V60" s="265"/>
      <c r="W60" s="265"/>
      <c r="X60" s="265"/>
      <c r="Y60" s="265"/>
      <c r="Z60" s="263">
        <f t="shared" si="21"/>
        <v>2</v>
      </c>
      <c r="AA60" s="267"/>
      <c r="AB60" s="263">
        <f t="shared" si="22"/>
        <v>2</v>
      </c>
    </row>
    <row r="61" spans="1:28" s="256" customFormat="1" ht="14.25" customHeight="1" x14ac:dyDescent="0.2">
      <c r="A61" s="268">
        <v>43</v>
      </c>
      <c r="B61" s="265"/>
      <c r="C61" s="265"/>
      <c r="D61" s="265">
        <v>810</v>
      </c>
      <c r="E61" s="265"/>
      <c r="F61" s="265"/>
      <c r="G61" s="270"/>
      <c r="H61" s="265"/>
      <c r="I61" s="265"/>
      <c r="J61" s="265"/>
      <c r="K61" s="270"/>
      <c r="L61" s="270"/>
      <c r="M61" s="270"/>
      <c r="N61" s="270"/>
      <c r="O61" s="265"/>
      <c r="P61" s="265">
        <v>10</v>
      </c>
      <c r="Q61" s="270"/>
      <c r="R61" s="265"/>
      <c r="S61" s="263"/>
      <c r="T61" s="263"/>
      <c r="U61" s="270"/>
      <c r="V61" s="265"/>
      <c r="W61" s="265"/>
      <c r="X61" s="265"/>
      <c r="Y61" s="265">
        <v>7</v>
      </c>
      <c r="Z61" s="263">
        <f t="shared" si="21"/>
        <v>827</v>
      </c>
      <c r="AA61" s="267"/>
      <c r="AB61" s="263">
        <f t="shared" si="22"/>
        <v>827</v>
      </c>
    </row>
    <row r="62" spans="1:28" s="256" customFormat="1" ht="14.25" customHeight="1" x14ac:dyDescent="0.2">
      <c r="A62" s="268">
        <v>44</v>
      </c>
      <c r="B62" s="263"/>
      <c r="C62" s="263"/>
      <c r="D62" s="263">
        <v>422</v>
      </c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>
        <v>86</v>
      </c>
      <c r="Z62" s="263">
        <f t="shared" si="21"/>
        <v>508</v>
      </c>
      <c r="AA62" s="267"/>
      <c r="AB62" s="263">
        <f t="shared" si="22"/>
        <v>508</v>
      </c>
    </row>
    <row r="63" spans="1:28" s="256" customFormat="1" ht="19.5" customHeight="1" x14ac:dyDescent="0.2">
      <c r="A63" s="259" t="s">
        <v>507</v>
      </c>
      <c r="B63" s="260">
        <f t="shared" ref="B63:AB63" si="23">B64+B65</f>
        <v>20</v>
      </c>
      <c r="C63" s="260">
        <f t="shared" si="23"/>
        <v>0</v>
      </c>
      <c r="D63" s="260">
        <f t="shared" si="23"/>
        <v>0</v>
      </c>
      <c r="E63" s="260">
        <f t="shared" si="23"/>
        <v>0</v>
      </c>
      <c r="F63" s="260">
        <f t="shared" si="23"/>
        <v>0</v>
      </c>
      <c r="G63" s="260">
        <f t="shared" si="23"/>
        <v>0</v>
      </c>
      <c r="H63" s="260">
        <f t="shared" si="23"/>
        <v>0</v>
      </c>
      <c r="I63" s="260">
        <f t="shared" si="23"/>
        <v>0</v>
      </c>
      <c r="J63" s="260">
        <f t="shared" si="23"/>
        <v>0</v>
      </c>
      <c r="K63" s="260">
        <f t="shared" si="23"/>
        <v>0</v>
      </c>
      <c r="L63" s="260">
        <f t="shared" si="23"/>
        <v>0</v>
      </c>
      <c r="M63" s="260">
        <f t="shared" si="23"/>
        <v>0</v>
      </c>
      <c r="N63" s="260">
        <f t="shared" si="23"/>
        <v>0</v>
      </c>
      <c r="O63" s="260">
        <f t="shared" si="23"/>
        <v>0</v>
      </c>
      <c r="P63" s="260">
        <f t="shared" si="23"/>
        <v>0</v>
      </c>
      <c r="Q63" s="260">
        <f t="shared" si="23"/>
        <v>0</v>
      </c>
      <c r="R63" s="260">
        <f t="shared" si="23"/>
        <v>0</v>
      </c>
      <c r="S63" s="260">
        <f t="shared" si="23"/>
        <v>0</v>
      </c>
      <c r="T63" s="260">
        <f t="shared" si="23"/>
        <v>0</v>
      </c>
      <c r="U63" s="260">
        <f t="shared" si="23"/>
        <v>0</v>
      </c>
      <c r="V63" s="260">
        <f t="shared" si="23"/>
        <v>0</v>
      </c>
      <c r="W63" s="260">
        <f t="shared" si="23"/>
        <v>0</v>
      </c>
      <c r="X63" s="260">
        <f t="shared" si="23"/>
        <v>0</v>
      </c>
      <c r="Y63" s="260">
        <f t="shared" si="23"/>
        <v>60</v>
      </c>
      <c r="Z63" s="260">
        <f t="shared" si="23"/>
        <v>80</v>
      </c>
      <c r="AA63" s="260">
        <f t="shared" si="23"/>
        <v>0</v>
      </c>
      <c r="AB63" s="260">
        <f t="shared" si="23"/>
        <v>80</v>
      </c>
    </row>
    <row r="64" spans="1:28" s="256" customFormat="1" ht="15.75" customHeight="1" x14ac:dyDescent="0.2">
      <c r="A64" s="268">
        <v>45</v>
      </c>
      <c r="B64" s="265">
        <v>10</v>
      </c>
      <c r="C64" s="265"/>
      <c r="D64" s="265"/>
      <c r="E64" s="265"/>
      <c r="F64" s="265"/>
      <c r="G64" s="270"/>
      <c r="H64" s="265"/>
      <c r="I64" s="265"/>
      <c r="J64" s="265"/>
      <c r="K64" s="270"/>
      <c r="L64" s="270"/>
      <c r="M64" s="270"/>
      <c r="N64" s="270"/>
      <c r="O64" s="265"/>
      <c r="P64" s="265"/>
      <c r="Q64" s="270"/>
      <c r="R64" s="265"/>
      <c r="S64" s="263"/>
      <c r="T64" s="263"/>
      <c r="U64" s="270"/>
      <c r="V64" s="265"/>
      <c r="W64" s="265"/>
      <c r="X64" s="265"/>
      <c r="Y64" s="265">
        <v>60</v>
      </c>
      <c r="Z64" s="263">
        <f>I64+K64+U64+Q64+M64+N64+O64+P64+J64+V64+R64+S64+W64+L64+X64+G64+B64+H64+C64+D64+F64+E64+Y64+T64</f>
        <v>70</v>
      </c>
      <c r="AA64" s="267"/>
      <c r="AB64" s="263">
        <f>Z64+AA64</f>
        <v>70</v>
      </c>
    </row>
    <row r="65" spans="1:28" s="256" customFormat="1" ht="14.25" customHeight="1" x14ac:dyDescent="0.2">
      <c r="A65" s="268">
        <v>46</v>
      </c>
      <c r="B65" s="263">
        <v>10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>
        <f>I65+K65+U65+Q65+M65+N65+O65+P65+J65+V65+R65+S65+W65+L65+X65+G65+B65+H65+C65+D65+F65+E65+Y65+T65</f>
        <v>10</v>
      </c>
      <c r="AA65" s="267"/>
      <c r="AB65" s="263">
        <f>Z65+AA65</f>
        <v>10</v>
      </c>
    </row>
    <row r="66" spans="1:28" s="256" customFormat="1" ht="24" customHeight="1" x14ac:dyDescent="0.2">
      <c r="A66" s="259" t="s">
        <v>508</v>
      </c>
      <c r="B66" s="260">
        <f t="shared" ref="B66:AB66" si="24">SUM(B67:B72)</f>
        <v>355</v>
      </c>
      <c r="C66" s="260">
        <f t="shared" si="24"/>
        <v>0</v>
      </c>
      <c r="D66" s="260">
        <f t="shared" si="24"/>
        <v>0</v>
      </c>
      <c r="E66" s="260">
        <f t="shared" si="24"/>
        <v>60</v>
      </c>
      <c r="F66" s="260">
        <f t="shared" si="24"/>
        <v>0</v>
      </c>
      <c r="G66" s="260">
        <f t="shared" si="24"/>
        <v>0</v>
      </c>
      <c r="H66" s="260">
        <f t="shared" si="24"/>
        <v>210</v>
      </c>
      <c r="I66" s="260">
        <f t="shared" si="24"/>
        <v>200</v>
      </c>
      <c r="J66" s="260">
        <f t="shared" si="24"/>
        <v>200</v>
      </c>
      <c r="K66" s="260">
        <f t="shared" si="24"/>
        <v>0</v>
      </c>
      <c r="L66" s="260">
        <f t="shared" si="24"/>
        <v>0</v>
      </c>
      <c r="M66" s="260">
        <f t="shared" si="24"/>
        <v>0</v>
      </c>
      <c r="N66" s="260">
        <f t="shared" si="24"/>
        <v>79</v>
      </c>
      <c r="O66" s="260">
        <f t="shared" si="24"/>
        <v>229</v>
      </c>
      <c r="P66" s="260">
        <f t="shared" si="24"/>
        <v>224</v>
      </c>
      <c r="Q66" s="260">
        <f t="shared" si="24"/>
        <v>0</v>
      </c>
      <c r="R66" s="260">
        <f t="shared" si="24"/>
        <v>24</v>
      </c>
      <c r="S66" s="260">
        <f t="shared" si="24"/>
        <v>40</v>
      </c>
      <c r="T66" s="260">
        <f t="shared" si="24"/>
        <v>0</v>
      </c>
      <c r="U66" s="260">
        <f t="shared" si="24"/>
        <v>20</v>
      </c>
      <c r="V66" s="260">
        <f t="shared" si="24"/>
        <v>119</v>
      </c>
      <c r="W66" s="260">
        <f t="shared" si="24"/>
        <v>8</v>
      </c>
      <c r="X66" s="260">
        <f t="shared" si="24"/>
        <v>0</v>
      </c>
      <c r="Y66" s="260">
        <f t="shared" si="24"/>
        <v>50</v>
      </c>
      <c r="Z66" s="260">
        <f t="shared" si="24"/>
        <v>1818</v>
      </c>
      <c r="AA66" s="260">
        <f t="shared" si="24"/>
        <v>0</v>
      </c>
      <c r="AB66" s="260">
        <f t="shared" si="24"/>
        <v>1818</v>
      </c>
    </row>
    <row r="67" spans="1:28" s="256" customFormat="1" ht="15.75" customHeight="1" x14ac:dyDescent="0.2">
      <c r="A67" s="262">
        <v>47</v>
      </c>
      <c r="B67" s="263">
        <v>70</v>
      </c>
      <c r="C67" s="263"/>
      <c r="D67" s="263"/>
      <c r="E67" s="263">
        <v>55</v>
      </c>
      <c r="F67" s="263"/>
      <c r="G67" s="263"/>
      <c r="H67" s="263">
        <v>50</v>
      </c>
      <c r="I67" s="263">
        <v>65</v>
      </c>
      <c r="J67" s="263">
        <v>55</v>
      </c>
      <c r="K67" s="263"/>
      <c r="L67" s="263"/>
      <c r="M67" s="263"/>
      <c r="N67" s="263">
        <v>16</v>
      </c>
      <c r="O67" s="263">
        <v>215</v>
      </c>
      <c r="P67" s="263">
        <v>10</v>
      </c>
      <c r="Q67" s="263"/>
      <c r="R67" s="263">
        <v>8</v>
      </c>
      <c r="S67" s="263">
        <v>26</v>
      </c>
      <c r="T67" s="263"/>
      <c r="U67" s="263"/>
      <c r="V67" s="263">
        <v>42</v>
      </c>
      <c r="W67" s="263"/>
      <c r="X67" s="263"/>
      <c r="Y67" s="263"/>
      <c r="Z67" s="263">
        <f t="shared" ref="Z67:Z72" si="25">I67+K67+U67+Q67+M67+N67+O67+P67+J67+V67+R67+S67+W67+L67+X67+G67+B67+H67+C67+D67+F67+E67+Y67+T67</f>
        <v>612</v>
      </c>
      <c r="AA67" s="267"/>
      <c r="AB67" s="263">
        <f t="shared" ref="AB67:AB72" si="26">Z67+AA67</f>
        <v>612</v>
      </c>
    </row>
    <row r="68" spans="1:28" s="256" customFormat="1" ht="15.75" customHeight="1" x14ac:dyDescent="0.2">
      <c r="A68" s="262">
        <v>48</v>
      </c>
      <c r="B68" s="263">
        <v>30</v>
      </c>
      <c r="C68" s="263"/>
      <c r="D68" s="263"/>
      <c r="E68" s="263"/>
      <c r="F68" s="263"/>
      <c r="G68" s="263"/>
      <c r="H68" s="263"/>
      <c r="I68" s="263">
        <v>35</v>
      </c>
      <c r="J68" s="263">
        <v>20</v>
      </c>
      <c r="K68" s="263"/>
      <c r="L68" s="263"/>
      <c r="M68" s="263"/>
      <c r="N68" s="263">
        <v>25</v>
      </c>
      <c r="O68" s="263">
        <v>4</v>
      </c>
      <c r="P68" s="263"/>
      <c r="Q68" s="263"/>
      <c r="R68" s="263">
        <v>8</v>
      </c>
      <c r="S68" s="263">
        <v>11</v>
      </c>
      <c r="T68" s="263"/>
      <c r="U68" s="263">
        <v>20</v>
      </c>
      <c r="V68" s="263">
        <v>57</v>
      </c>
      <c r="W68" s="263"/>
      <c r="X68" s="263"/>
      <c r="Y68" s="263"/>
      <c r="Z68" s="263">
        <f t="shared" si="25"/>
        <v>210</v>
      </c>
      <c r="AA68" s="267"/>
      <c r="AB68" s="263">
        <f t="shared" si="26"/>
        <v>210</v>
      </c>
    </row>
    <row r="69" spans="1:28" s="256" customFormat="1" ht="15.75" customHeight="1" x14ac:dyDescent="0.2">
      <c r="A69" s="262">
        <v>49</v>
      </c>
      <c r="B69" s="263"/>
      <c r="C69" s="263"/>
      <c r="D69" s="263"/>
      <c r="E69" s="263">
        <v>5</v>
      </c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>
        <f>0+2</f>
        <v>2</v>
      </c>
      <c r="S69" s="263">
        <v>3</v>
      </c>
      <c r="T69" s="263"/>
      <c r="U69" s="263"/>
      <c r="V69" s="263"/>
      <c r="W69" s="263"/>
      <c r="X69" s="263"/>
      <c r="Y69" s="263"/>
      <c r="Z69" s="263">
        <f t="shared" si="25"/>
        <v>10</v>
      </c>
      <c r="AA69" s="267"/>
      <c r="AB69" s="263">
        <f t="shared" si="26"/>
        <v>10</v>
      </c>
    </row>
    <row r="70" spans="1:28" s="256" customFormat="1" ht="15.75" customHeight="1" x14ac:dyDescent="0.2">
      <c r="A70" s="262">
        <v>50</v>
      </c>
      <c r="B70" s="263">
        <v>150</v>
      </c>
      <c r="C70" s="263"/>
      <c r="D70" s="263"/>
      <c r="E70" s="263"/>
      <c r="F70" s="263"/>
      <c r="G70" s="275"/>
      <c r="H70" s="263">
        <v>160</v>
      </c>
      <c r="I70" s="263">
        <v>93</v>
      </c>
      <c r="J70" s="263">
        <v>125</v>
      </c>
      <c r="K70" s="275"/>
      <c r="L70" s="275"/>
      <c r="M70" s="275"/>
      <c r="N70" s="263">
        <v>38</v>
      </c>
      <c r="O70" s="263"/>
      <c r="P70" s="263">
        <v>174</v>
      </c>
      <c r="Q70" s="275"/>
      <c r="R70" s="263">
        <f>9-3</f>
        <v>6</v>
      </c>
      <c r="S70" s="263"/>
      <c r="T70" s="263"/>
      <c r="U70" s="275"/>
      <c r="V70" s="263">
        <f>30-10</f>
        <v>20</v>
      </c>
      <c r="W70" s="263">
        <v>8</v>
      </c>
      <c r="X70" s="263"/>
      <c r="Y70" s="263">
        <v>50</v>
      </c>
      <c r="Z70" s="263">
        <f t="shared" si="25"/>
        <v>824</v>
      </c>
      <c r="AA70" s="267"/>
      <c r="AB70" s="263">
        <f t="shared" si="26"/>
        <v>824</v>
      </c>
    </row>
    <row r="71" spans="1:28" s="256" customFormat="1" ht="15.75" customHeight="1" x14ac:dyDescent="0.2">
      <c r="A71" s="262">
        <v>51</v>
      </c>
      <c r="B71" s="263">
        <v>105</v>
      </c>
      <c r="C71" s="263"/>
      <c r="D71" s="263"/>
      <c r="E71" s="263"/>
      <c r="F71" s="263"/>
      <c r="G71" s="263"/>
      <c r="H71" s="263"/>
      <c r="I71" s="263">
        <v>7</v>
      </c>
      <c r="J71" s="263"/>
      <c r="K71" s="263"/>
      <c r="L71" s="263"/>
      <c r="M71" s="263"/>
      <c r="N71" s="263"/>
      <c r="O71" s="263"/>
      <c r="P71" s="263">
        <v>40</v>
      </c>
      <c r="Q71" s="263"/>
      <c r="R71" s="263"/>
      <c r="S71" s="263"/>
      <c r="T71" s="263"/>
      <c r="U71" s="263"/>
      <c r="V71" s="263"/>
      <c r="W71" s="263"/>
      <c r="X71" s="263"/>
      <c r="Y71" s="263"/>
      <c r="Z71" s="263">
        <f t="shared" si="25"/>
        <v>152</v>
      </c>
      <c r="AA71" s="267"/>
      <c r="AB71" s="263">
        <f t="shared" si="26"/>
        <v>152</v>
      </c>
    </row>
    <row r="72" spans="1:28" s="256" customFormat="1" ht="15.75" customHeight="1" x14ac:dyDescent="0.2">
      <c r="A72" s="262">
        <v>52</v>
      </c>
      <c r="B72" s="265"/>
      <c r="C72" s="265"/>
      <c r="D72" s="265"/>
      <c r="E72" s="265"/>
      <c r="F72" s="265"/>
      <c r="G72" s="270"/>
      <c r="H72" s="265"/>
      <c r="I72" s="265"/>
      <c r="J72" s="265"/>
      <c r="K72" s="270"/>
      <c r="L72" s="270"/>
      <c r="M72" s="270"/>
      <c r="N72" s="270"/>
      <c r="O72" s="265">
        <v>10</v>
      </c>
      <c r="P72" s="265"/>
      <c r="Q72" s="270"/>
      <c r="R72" s="265"/>
      <c r="S72" s="263"/>
      <c r="T72" s="263"/>
      <c r="U72" s="270"/>
      <c r="V72" s="265"/>
      <c r="W72" s="265"/>
      <c r="X72" s="265"/>
      <c r="Y72" s="265"/>
      <c r="Z72" s="263">
        <f t="shared" si="25"/>
        <v>10</v>
      </c>
      <c r="AA72" s="267"/>
      <c r="AB72" s="263">
        <f t="shared" si="26"/>
        <v>10</v>
      </c>
    </row>
    <row r="73" spans="1:28" s="256" customFormat="1" ht="18.75" customHeight="1" x14ac:dyDescent="0.2">
      <c r="A73" s="259" t="s">
        <v>509</v>
      </c>
      <c r="B73" s="260">
        <f t="shared" ref="B73:AB73" si="27">B74+B75</f>
        <v>120</v>
      </c>
      <c r="C73" s="260">
        <f t="shared" si="27"/>
        <v>0</v>
      </c>
      <c r="D73" s="260">
        <f t="shared" si="27"/>
        <v>0</v>
      </c>
      <c r="E73" s="260">
        <f t="shared" si="27"/>
        <v>140</v>
      </c>
      <c r="F73" s="260">
        <f t="shared" si="27"/>
        <v>0</v>
      </c>
      <c r="G73" s="260">
        <f t="shared" si="27"/>
        <v>0</v>
      </c>
      <c r="H73" s="260">
        <f t="shared" si="27"/>
        <v>0</v>
      </c>
      <c r="I73" s="260">
        <f t="shared" si="27"/>
        <v>30</v>
      </c>
      <c r="J73" s="260">
        <f t="shared" si="27"/>
        <v>10</v>
      </c>
      <c r="K73" s="260">
        <f t="shared" si="27"/>
        <v>0</v>
      </c>
      <c r="L73" s="260">
        <f t="shared" si="27"/>
        <v>0</v>
      </c>
      <c r="M73" s="260">
        <f t="shared" si="27"/>
        <v>0</v>
      </c>
      <c r="N73" s="260">
        <f t="shared" si="27"/>
        <v>0</v>
      </c>
      <c r="O73" s="260">
        <f t="shared" si="27"/>
        <v>36</v>
      </c>
      <c r="P73" s="260">
        <f t="shared" si="27"/>
        <v>0</v>
      </c>
      <c r="Q73" s="260">
        <f t="shared" si="27"/>
        <v>0</v>
      </c>
      <c r="R73" s="260">
        <f t="shared" si="27"/>
        <v>0</v>
      </c>
      <c r="S73" s="260">
        <f t="shared" si="27"/>
        <v>0</v>
      </c>
      <c r="T73" s="260">
        <f t="shared" si="27"/>
        <v>0</v>
      </c>
      <c r="U73" s="260">
        <f t="shared" si="27"/>
        <v>0</v>
      </c>
      <c r="V73" s="260">
        <f t="shared" si="27"/>
        <v>0</v>
      </c>
      <c r="W73" s="260">
        <f t="shared" si="27"/>
        <v>7</v>
      </c>
      <c r="X73" s="260">
        <f t="shared" si="27"/>
        <v>40</v>
      </c>
      <c r="Y73" s="260">
        <f t="shared" si="27"/>
        <v>130</v>
      </c>
      <c r="Z73" s="260">
        <f t="shared" si="27"/>
        <v>513</v>
      </c>
      <c r="AA73" s="260">
        <f t="shared" si="27"/>
        <v>0</v>
      </c>
      <c r="AB73" s="260">
        <f t="shared" si="27"/>
        <v>513</v>
      </c>
    </row>
    <row r="74" spans="1:28" s="256" customFormat="1" ht="18" customHeight="1" x14ac:dyDescent="0.2">
      <c r="A74" s="268">
        <v>53</v>
      </c>
      <c r="B74" s="263">
        <v>100</v>
      </c>
      <c r="C74" s="263"/>
      <c r="D74" s="263"/>
      <c r="E74" s="263">
        <v>140</v>
      </c>
      <c r="F74" s="263"/>
      <c r="G74" s="263"/>
      <c r="H74" s="263"/>
      <c r="I74" s="263">
        <v>30</v>
      </c>
      <c r="J74" s="263">
        <v>10</v>
      </c>
      <c r="K74" s="263"/>
      <c r="L74" s="263"/>
      <c r="M74" s="263"/>
      <c r="N74" s="263"/>
      <c r="O74" s="263">
        <v>36</v>
      </c>
      <c r="P74" s="263"/>
      <c r="Q74" s="263"/>
      <c r="R74" s="263"/>
      <c r="S74" s="263"/>
      <c r="T74" s="263"/>
      <c r="U74" s="263"/>
      <c r="V74" s="263"/>
      <c r="W74" s="263">
        <v>7</v>
      </c>
      <c r="X74" s="263">
        <v>30</v>
      </c>
      <c r="Y74" s="263">
        <v>130</v>
      </c>
      <c r="Z74" s="263">
        <f>I74+K74+U74+Q74+M74+N74+O74+P74+J74+V74+R74+S74+W74+L74+X74+G74+B74+H74+C74+D74+F74+E74+Y74+T74</f>
        <v>483</v>
      </c>
      <c r="AA74" s="267"/>
      <c r="AB74" s="263">
        <f>Z74+AA74</f>
        <v>483</v>
      </c>
    </row>
    <row r="75" spans="1:28" s="256" customFormat="1" ht="12.75" customHeight="1" x14ac:dyDescent="0.2">
      <c r="A75" s="268">
        <v>54</v>
      </c>
      <c r="B75" s="263">
        <v>20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>
        <v>10</v>
      </c>
      <c r="Y75" s="263"/>
      <c r="Z75" s="263">
        <f>I75+K75+U75+Q75+M75+N75+O75+P75+J75+V75+R75+S75+W75+L75+X75+G75+B75+H75+C75+D75+F75+E75+Y75+T75</f>
        <v>30</v>
      </c>
      <c r="AA75" s="267"/>
      <c r="AB75" s="263">
        <f>Z75+AA75</f>
        <v>30</v>
      </c>
    </row>
    <row r="76" spans="1:28" s="256" customFormat="1" ht="24.75" customHeight="1" x14ac:dyDescent="0.2">
      <c r="A76" s="259" t="s">
        <v>510</v>
      </c>
      <c r="B76" s="260">
        <f t="shared" ref="B76:AB76" si="28">B77</f>
        <v>0</v>
      </c>
      <c r="C76" s="260">
        <f t="shared" si="28"/>
        <v>0</v>
      </c>
      <c r="D76" s="260">
        <f t="shared" si="28"/>
        <v>0</v>
      </c>
      <c r="E76" s="260">
        <f t="shared" si="28"/>
        <v>45</v>
      </c>
      <c r="F76" s="260">
        <f t="shared" si="28"/>
        <v>0</v>
      </c>
      <c r="G76" s="260">
        <f t="shared" si="28"/>
        <v>0</v>
      </c>
      <c r="H76" s="260">
        <f t="shared" si="28"/>
        <v>0</v>
      </c>
      <c r="I76" s="260">
        <f t="shared" si="28"/>
        <v>0</v>
      </c>
      <c r="J76" s="260">
        <f t="shared" si="28"/>
        <v>70</v>
      </c>
      <c r="K76" s="260">
        <f t="shared" si="28"/>
        <v>0</v>
      </c>
      <c r="L76" s="260">
        <f t="shared" si="28"/>
        <v>0</v>
      </c>
      <c r="M76" s="260">
        <f t="shared" si="28"/>
        <v>0</v>
      </c>
      <c r="N76" s="260">
        <f t="shared" si="28"/>
        <v>0</v>
      </c>
      <c r="O76" s="260">
        <f t="shared" si="28"/>
        <v>0</v>
      </c>
      <c r="P76" s="260">
        <f t="shared" si="28"/>
        <v>0</v>
      </c>
      <c r="Q76" s="260">
        <f t="shared" si="28"/>
        <v>0</v>
      </c>
      <c r="R76" s="260">
        <f t="shared" si="28"/>
        <v>0</v>
      </c>
      <c r="S76" s="260">
        <f t="shared" si="28"/>
        <v>0</v>
      </c>
      <c r="T76" s="260">
        <f t="shared" si="28"/>
        <v>0</v>
      </c>
      <c r="U76" s="260">
        <f t="shared" si="28"/>
        <v>0</v>
      </c>
      <c r="V76" s="260">
        <f t="shared" si="28"/>
        <v>10</v>
      </c>
      <c r="W76" s="260">
        <f t="shared" si="28"/>
        <v>0</v>
      </c>
      <c r="X76" s="260">
        <f t="shared" si="28"/>
        <v>0</v>
      </c>
      <c r="Y76" s="260">
        <f t="shared" si="28"/>
        <v>0</v>
      </c>
      <c r="Z76" s="260">
        <f t="shared" si="28"/>
        <v>125</v>
      </c>
      <c r="AA76" s="260">
        <f t="shared" si="28"/>
        <v>0</v>
      </c>
      <c r="AB76" s="260">
        <f t="shared" si="28"/>
        <v>125</v>
      </c>
    </row>
    <row r="77" spans="1:28" s="256" customFormat="1" ht="16.5" customHeight="1" x14ac:dyDescent="0.2">
      <c r="A77" s="268">
        <v>55</v>
      </c>
      <c r="B77" s="263"/>
      <c r="C77" s="263"/>
      <c r="D77" s="263"/>
      <c r="E77" s="263">
        <v>45</v>
      </c>
      <c r="F77" s="263"/>
      <c r="G77" s="263"/>
      <c r="H77" s="263"/>
      <c r="I77" s="263"/>
      <c r="J77" s="263">
        <v>70</v>
      </c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>
        <v>10</v>
      </c>
      <c r="W77" s="263"/>
      <c r="X77" s="263"/>
      <c r="Y77" s="263"/>
      <c r="Z77" s="263">
        <f>I77+K77+U77+Q77+M77+N77+O77+P77+J77+V77+R77+S77+W77+L77+X77+G77+B77+H77+C77+D77+F77+E77+Y77+T77</f>
        <v>125</v>
      </c>
      <c r="AA77" s="267"/>
      <c r="AB77" s="263">
        <f>Z77+AA77</f>
        <v>125</v>
      </c>
    </row>
    <row r="78" spans="1:28" s="256" customFormat="1" ht="18.75" customHeight="1" x14ac:dyDescent="0.2">
      <c r="A78" s="259" t="s">
        <v>511</v>
      </c>
      <c r="B78" s="260">
        <f t="shared" ref="B78:AB78" si="29">B79+B80</f>
        <v>10</v>
      </c>
      <c r="C78" s="260">
        <f t="shared" si="29"/>
        <v>0</v>
      </c>
      <c r="D78" s="260">
        <f t="shared" si="29"/>
        <v>0</v>
      </c>
      <c r="E78" s="260">
        <f t="shared" si="29"/>
        <v>25</v>
      </c>
      <c r="F78" s="260">
        <f t="shared" si="29"/>
        <v>0</v>
      </c>
      <c r="G78" s="260">
        <f t="shared" si="29"/>
        <v>0</v>
      </c>
      <c r="H78" s="260">
        <f t="shared" si="29"/>
        <v>0</v>
      </c>
      <c r="I78" s="260">
        <f t="shared" si="29"/>
        <v>0</v>
      </c>
      <c r="J78" s="260">
        <f t="shared" si="29"/>
        <v>20</v>
      </c>
      <c r="K78" s="260">
        <f t="shared" si="29"/>
        <v>0</v>
      </c>
      <c r="L78" s="260">
        <f t="shared" si="29"/>
        <v>0</v>
      </c>
      <c r="M78" s="260">
        <f t="shared" si="29"/>
        <v>0</v>
      </c>
      <c r="N78" s="260">
        <f t="shared" si="29"/>
        <v>0</v>
      </c>
      <c r="O78" s="260">
        <f t="shared" si="29"/>
        <v>0</v>
      </c>
      <c r="P78" s="260">
        <f t="shared" si="29"/>
        <v>0</v>
      </c>
      <c r="Q78" s="260">
        <f t="shared" si="29"/>
        <v>0</v>
      </c>
      <c r="R78" s="260">
        <f t="shared" si="29"/>
        <v>0</v>
      </c>
      <c r="S78" s="260">
        <f t="shared" si="29"/>
        <v>0</v>
      </c>
      <c r="T78" s="260">
        <f t="shared" si="29"/>
        <v>0</v>
      </c>
      <c r="U78" s="260">
        <f t="shared" si="29"/>
        <v>0</v>
      </c>
      <c r="V78" s="260">
        <f t="shared" si="29"/>
        <v>0</v>
      </c>
      <c r="W78" s="260">
        <f t="shared" si="29"/>
        <v>0</v>
      </c>
      <c r="X78" s="260">
        <f t="shared" si="29"/>
        <v>0</v>
      </c>
      <c r="Y78" s="260">
        <f t="shared" si="29"/>
        <v>40</v>
      </c>
      <c r="Z78" s="260">
        <f t="shared" si="29"/>
        <v>95</v>
      </c>
      <c r="AA78" s="260">
        <f t="shared" si="29"/>
        <v>0</v>
      </c>
      <c r="AB78" s="260">
        <f t="shared" si="29"/>
        <v>95</v>
      </c>
    </row>
    <row r="79" spans="1:28" s="256" customFormat="1" ht="15.75" customHeight="1" x14ac:dyDescent="0.2">
      <c r="A79" s="268">
        <v>56</v>
      </c>
      <c r="B79" s="263">
        <v>10</v>
      </c>
      <c r="C79" s="263"/>
      <c r="D79" s="263"/>
      <c r="E79" s="263">
        <v>25</v>
      </c>
      <c r="F79" s="263"/>
      <c r="G79" s="263"/>
      <c r="H79" s="263"/>
      <c r="I79" s="263"/>
      <c r="J79" s="263">
        <v>20</v>
      </c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>
        <v>40</v>
      </c>
      <c r="Z79" s="263">
        <f>I79+K79+U79+Q79+M79+N79+O79+P79+J79+V79+R79+S79+W79+L79+X79+G79+B79+H79+C79+D79+F79+E79+Y79+T79</f>
        <v>95</v>
      </c>
      <c r="AA79" s="267"/>
      <c r="AB79" s="263">
        <f>Z79+AA79</f>
        <v>95</v>
      </c>
    </row>
    <row r="80" spans="1:28" s="256" customFormat="1" ht="17.25" customHeight="1" x14ac:dyDescent="0.2">
      <c r="A80" s="268">
        <v>57</v>
      </c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>
        <f>I80+K80+U80+Q80+M80+N80+O80+P80+J80+V80+R80+S80+W80+L80+X80+G80+B80+H80+C80+D80+F80+E80+Y80+T80</f>
        <v>0</v>
      </c>
      <c r="AA80" s="267"/>
      <c r="AB80" s="263">
        <f>Z80+AA80</f>
        <v>0</v>
      </c>
    </row>
    <row r="81" spans="1:28" s="256" customFormat="1" ht="18.75" customHeight="1" x14ac:dyDescent="0.2">
      <c r="A81" s="259" t="s">
        <v>95</v>
      </c>
      <c r="B81" s="260">
        <f t="shared" ref="B81:AB81" si="30">B4+B7+B10+B12+B15+B17+B19+B22+B29+B32+B39+B42+B49+B51+B63+B66+B73+B76+B78+B45</f>
        <v>2395</v>
      </c>
      <c r="C81" s="260">
        <f t="shared" si="30"/>
        <v>1450</v>
      </c>
      <c r="D81" s="260">
        <f t="shared" si="30"/>
        <v>3435</v>
      </c>
      <c r="E81" s="260">
        <f t="shared" si="30"/>
        <v>904</v>
      </c>
      <c r="F81" s="260">
        <f t="shared" si="30"/>
        <v>648</v>
      </c>
      <c r="G81" s="260">
        <f t="shared" si="30"/>
        <v>52</v>
      </c>
      <c r="H81" s="260">
        <f t="shared" si="30"/>
        <v>210</v>
      </c>
      <c r="I81" s="260">
        <f t="shared" si="30"/>
        <v>1082</v>
      </c>
      <c r="J81" s="260">
        <f t="shared" si="30"/>
        <v>1249</v>
      </c>
      <c r="K81" s="260">
        <f t="shared" si="30"/>
        <v>200</v>
      </c>
      <c r="L81" s="260">
        <f t="shared" si="30"/>
        <v>2400</v>
      </c>
      <c r="M81" s="260">
        <f t="shared" si="30"/>
        <v>200</v>
      </c>
      <c r="N81" s="260">
        <f t="shared" si="30"/>
        <v>301</v>
      </c>
      <c r="O81" s="260">
        <f t="shared" si="30"/>
        <v>407</v>
      </c>
      <c r="P81" s="260">
        <f t="shared" si="30"/>
        <v>754</v>
      </c>
      <c r="Q81" s="260">
        <f t="shared" si="30"/>
        <v>40</v>
      </c>
      <c r="R81" s="260">
        <f t="shared" si="30"/>
        <v>242</v>
      </c>
      <c r="S81" s="260">
        <f t="shared" si="30"/>
        <v>59</v>
      </c>
      <c r="T81" s="260">
        <f t="shared" si="30"/>
        <v>133</v>
      </c>
      <c r="U81" s="260">
        <f t="shared" si="30"/>
        <v>20</v>
      </c>
      <c r="V81" s="260">
        <f t="shared" si="30"/>
        <v>845</v>
      </c>
      <c r="W81" s="260">
        <f t="shared" si="30"/>
        <v>242</v>
      </c>
      <c r="X81" s="260">
        <f t="shared" si="30"/>
        <v>250</v>
      </c>
      <c r="Y81" s="260">
        <f>Y4+Y7+Y10+Y12+Y15+Y17+Y19+Y22+Y29+Y32+Y39+Y42+Y49+Y51+Y63+Y66+Y73+Y76+Y78+Y45</f>
        <v>1568</v>
      </c>
      <c r="Z81" s="260">
        <f t="shared" si="30"/>
        <v>19086</v>
      </c>
      <c r="AA81" s="260">
        <f t="shared" si="30"/>
        <v>50</v>
      </c>
      <c r="AB81" s="260">
        <f t="shared" si="30"/>
        <v>19136</v>
      </c>
    </row>
    <row r="84" spans="1:28" x14ac:dyDescent="0.2"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</row>
  </sheetData>
  <mergeCells count="1">
    <mergeCell ref="A1:AB1"/>
  </mergeCells>
  <pageMargins left="0" right="0" top="0" bottom="0" header="0.31496062992125984" footer="0.31496062992125984"/>
  <pageSetup paperSize="9" scale="75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zoomScale="90" zoomScaleNormal="90" workbookViewId="0">
      <pane xSplit="2" ySplit="6" topLeftCell="K119" activePane="bottomRight" state="frozen"/>
      <selection pane="topRight" activeCell="C1" sqref="C1"/>
      <selection pane="bottomLeft" activeCell="A7" sqref="A7"/>
      <selection pane="bottomRight" activeCell="L146" sqref="L146"/>
    </sheetView>
  </sheetViews>
  <sheetFormatPr defaultRowHeight="12.75" x14ac:dyDescent="0.25"/>
  <cols>
    <col min="1" max="1" width="5.5703125" style="60" customWidth="1"/>
    <col min="2" max="2" width="38.7109375" style="77" customWidth="1"/>
    <col min="3" max="3" width="12.28515625" style="60" customWidth="1"/>
    <col min="4" max="4" width="11.42578125" style="60" customWidth="1"/>
    <col min="5" max="5" width="11.28515625" style="60" customWidth="1"/>
    <col min="6" max="6" width="13.5703125" style="60" customWidth="1"/>
    <col min="7" max="7" width="7" style="60" customWidth="1"/>
    <col min="8" max="8" width="10.5703125" style="60" customWidth="1"/>
    <col min="9" max="9" width="9" style="60" customWidth="1"/>
    <col min="10" max="10" width="8.5703125" style="60" customWidth="1"/>
    <col min="11" max="11" width="10.85546875" style="60" customWidth="1"/>
    <col min="12" max="12" width="9.28515625" style="60" customWidth="1"/>
    <col min="13" max="13" width="12.28515625" style="60" customWidth="1"/>
    <col min="14" max="16384" width="9.140625" style="60"/>
  </cols>
  <sheetData>
    <row r="1" spans="1:13" ht="18.75" x14ac:dyDescent="0.25">
      <c r="A1" s="435" t="s">
        <v>315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6"/>
    </row>
    <row r="2" spans="1:13" ht="14.25" customHeight="1" x14ac:dyDescent="0.25">
      <c r="A2" s="61"/>
      <c r="B2" s="62"/>
      <c r="C2" s="61"/>
      <c r="D2" s="61"/>
      <c r="E2" s="61"/>
      <c r="F2" s="61"/>
      <c r="G2" s="62"/>
      <c r="H2" s="62"/>
      <c r="I2" s="62"/>
      <c r="J2" s="62"/>
      <c r="L2" s="437" t="s">
        <v>316</v>
      </c>
      <c r="M2" s="438"/>
    </row>
    <row r="3" spans="1:13" ht="13.5" customHeight="1" x14ac:dyDescent="0.25">
      <c r="A3" s="434" t="s">
        <v>0</v>
      </c>
      <c r="B3" s="434" t="s">
        <v>317</v>
      </c>
      <c r="C3" s="434" t="s">
        <v>176</v>
      </c>
      <c r="D3" s="63"/>
      <c r="E3" s="439" t="s">
        <v>318</v>
      </c>
      <c r="F3" s="439"/>
      <c r="G3" s="439"/>
      <c r="H3" s="439"/>
      <c r="I3" s="439"/>
      <c r="J3" s="439"/>
      <c r="K3" s="439"/>
      <c r="L3" s="439"/>
      <c r="M3" s="440"/>
    </row>
    <row r="4" spans="1:13" ht="13.5" customHeight="1" x14ac:dyDescent="0.25">
      <c r="A4" s="434"/>
      <c r="B4" s="434"/>
      <c r="C4" s="434"/>
      <c r="D4" s="441" t="s">
        <v>319</v>
      </c>
      <c r="E4" s="441" t="s">
        <v>177</v>
      </c>
      <c r="F4" s="434" t="s">
        <v>96</v>
      </c>
      <c r="G4" s="434"/>
      <c r="H4" s="434"/>
      <c r="I4" s="434"/>
      <c r="J4" s="434"/>
      <c r="K4" s="434"/>
      <c r="L4" s="434"/>
      <c r="M4" s="444" t="s">
        <v>320</v>
      </c>
    </row>
    <row r="5" spans="1:13" ht="30.75" customHeight="1" x14ac:dyDescent="0.25">
      <c r="A5" s="434"/>
      <c r="B5" s="434"/>
      <c r="C5" s="434"/>
      <c r="D5" s="442"/>
      <c r="E5" s="442"/>
      <c r="F5" s="434" t="s">
        <v>321</v>
      </c>
      <c r="G5" s="434" t="s">
        <v>322</v>
      </c>
      <c r="H5" s="434" t="s">
        <v>323</v>
      </c>
      <c r="I5" s="434" t="s">
        <v>324</v>
      </c>
      <c r="J5" s="434"/>
      <c r="K5" s="434" t="s">
        <v>325</v>
      </c>
      <c r="L5" s="434" t="s">
        <v>326</v>
      </c>
      <c r="M5" s="442"/>
    </row>
    <row r="6" spans="1:13" ht="21.75" customHeight="1" x14ac:dyDescent="0.25">
      <c r="A6" s="434"/>
      <c r="B6" s="434"/>
      <c r="C6" s="434"/>
      <c r="D6" s="443"/>
      <c r="E6" s="443"/>
      <c r="F6" s="434"/>
      <c r="G6" s="434"/>
      <c r="H6" s="434"/>
      <c r="I6" s="82" t="s">
        <v>327</v>
      </c>
      <c r="J6" s="82" t="s">
        <v>328</v>
      </c>
      <c r="K6" s="434"/>
      <c r="L6" s="434"/>
      <c r="M6" s="443"/>
    </row>
    <row r="7" spans="1:13" ht="16.5" customHeight="1" x14ac:dyDescent="0.25">
      <c r="A7" s="78">
        <v>1</v>
      </c>
      <c r="B7" s="64" t="s">
        <v>110</v>
      </c>
      <c r="C7" s="65">
        <f>D7+E7+M7</f>
        <v>207</v>
      </c>
      <c r="D7" s="65"/>
      <c r="E7" s="65">
        <v>207</v>
      </c>
      <c r="F7" s="65"/>
      <c r="G7" s="65"/>
      <c r="H7" s="65"/>
      <c r="I7" s="65"/>
      <c r="J7" s="65"/>
      <c r="K7" s="65"/>
      <c r="L7" s="65"/>
      <c r="M7" s="66"/>
    </row>
    <row r="8" spans="1:13" ht="16.5" customHeight="1" x14ac:dyDescent="0.25">
      <c r="A8" s="78">
        <v>2</v>
      </c>
      <c r="B8" s="64" t="s">
        <v>108</v>
      </c>
      <c r="C8" s="65">
        <f t="shared" ref="C8:C71" si="0">D8+E8+M8</f>
        <v>294</v>
      </c>
      <c r="D8" s="65"/>
      <c r="E8" s="65">
        <v>294</v>
      </c>
      <c r="F8" s="65"/>
      <c r="G8" s="65"/>
      <c r="H8" s="65"/>
      <c r="I8" s="65"/>
      <c r="J8" s="65"/>
      <c r="K8" s="65"/>
      <c r="L8" s="65"/>
      <c r="M8" s="66"/>
    </row>
    <row r="9" spans="1:13" ht="15.75" customHeight="1" x14ac:dyDescent="0.25">
      <c r="A9" s="78">
        <v>3</v>
      </c>
      <c r="B9" s="64" t="s">
        <v>329</v>
      </c>
      <c r="C9" s="65">
        <f t="shared" si="0"/>
        <v>432</v>
      </c>
      <c r="D9" s="65"/>
      <c r="E9" s="65">
        <v>432</v>
      </c>
      <c r="F9" s="65"/>
      <c r="G9" s="65"/>
      <c r="H9" s="65"/>
      <c r="I9" s="65"/>
      <c r="J9" s="65">
        <v>432</v>
      </c>
      <c r="K9" s="65"/>
      <c r="L9" s="65"/>
      <c r="M9" s="66"/>
    </row>
    <row r="10" spans="1:13" s="68" customFormat="1" ht="15.75" customHeight="1" x14ac:dyDescent="0.25">
      <c r="A10" s="78">
        <v>4</v>
      </c>
      <c r="B10" s="64" t="s">
        <v>49</v>
      </c>
      <c r="C10" s="65">
        <f t="shared" si="0"/>
        <v>1489</v>
      </c>
      <c r="D10" s="65"/>
      <c r="E10" s="65">
        <v>1489</v>
      </c>
      <c r="F10" s="65">
        <v>133</v>
      </c>
      <c r="G10" s="65"/>
      <c r="H10" s="65"/>
      <c r="I10" s="65"/>
      <c r="J10" s="65"/>
      <c r="K10" s="65"/>
      <c r="L10" s="65"/>
      <c r="M10" s="67"/>
    </row>
    <row r="11" spans="1:13" s="68" customFormat="1" ht="17.25" customHeight="1" x14ac:dyDescent="0.25">
      <c r="A11" s="78">
        <v>5</v>
      </c>
      <c r="B11" s="64" t="s">
        <v>3</v>
      </c>
      <c r="C11" s="65">
        <f t="shared" si="0"/>
        <v>866</v>
      </c>
      <c r="D11" s="65"/>
      <c r="E11" s="65">
        <v>866</v>
      </c>
      <c r="F11" s="65">
        <v>69</v>
      </c>
      <c r="G11" s="65"/>
      <c r="H11" s="65"/>
      <c r="I11" s="65"/>
      <c r="J11" s="65"/>
      <c r="K11" s="65"/>
      <c r="L11" s="65"/>
      <c r="M11" s="67"/>
    </row>
    <row r="12" spans="1:13" s="68" customFormat="1" ht="16.5" customHeight="1" x14ac:dyDescent="0.25">
      <c r="A12" s="78">
        <v>6</v>
      </c>
      <c r="B12" s="64" t="s">
        <v>1</v>
      </c>
      <c r="C12" s="65">
        <f t="shared" si="0"/>
        <v>2058</v>
      </c>
      <c r="D12" s="65"/>
      <c r="E12" s="65">
        <v>2058</v>
      </c>
      <c r="F12" s="65">
        <v>203</v>
      </c>
      <c r="G12" s="65"/>
      <c r="H12" s="65"/>
      <c r="I12" s="65"/>
      <c r="J12" s="65"/>
      <c r="K12" s="65"/>
      <c r="L12" s="65"/>
      <c r="M12" s="67"/>
    </row>
    <row r="13" spans="1:13" s="68" customFormat="1" ht="16.5" customHeight="1" x14ac:dyDescent="0.25">
      <c r="A13" s="78">
        <v>7</v>
      </c>
      <c r="B13" s="64" t="s">
        <v>4</v>
      </c>
      <c r="C13" s="65">
        <f t="shared" si="0"/>
        <v>980</v>
      </c>
      <c r="D13" s="65"/>
      <c r="E13" s="65">
        <v>980</v>
      </c>
      <c r="F13" s="65">
        <v>80</v>
      </c>
      <c r="G13" s="65"/>
      <c r="H13" s="65"/>
      <c r="I13" s="65"/>
      <c r="J13" s="65"/>
      <c r="K13" s="65"/>
      <c r="L13" s="65"/>
      <c r="M13" s="67"/>
    </row>
    <row r="14" spans="1:13" ht="18" customHeight="1" x14ac:dyDescent="0.25">
      <c r="A14" s="78">
        <v>8</v>
      </c>
      <c r="B14" s="64" t="s">
        <v>6</v>
      </c>
      <c r="C14" s="65">
        <f t="shared" si="0"/>
        <v>2778</v>
      </c>
      <c r="D14" s="65"/>
      <c r="E14" s="65">
        <v>2778</v>
      </c>
      <c r="F14" s="65">
        <v>265</v>
      </c>
      <c r="G14" s="65"/>
      <c r="H14" s="65"/>
      <c r="I14" s="65"/>
      <c r="J14" s="65"/>
      <c r="K14" s="65"/>
      <c r="L14" s="65"/>
      <c r="M14" s="66"/>
    </row>
    <row r="15" spans="1:13" ht="17.25" customHeight="1" x14ac:dyDescent="0.25">
      <c r="A15" s="78">
        <v>9</v>
      </c>
      <c r="B15" s="64" t="s">
        <v>7</v>
      </c>
      <c r="C15" s="65">
        <f t="shared" si="0"/>
        <v>1340</v>
      </c>
      <c r="D15" s="65"/>
      <c r="E15" s="65">
        <v>1340</v>
      </c>
      <c r="F15" s="65">
        <v>100</v>
      </c>
      <c r="G15" s="65"/>
      <c r="H15" s="65"/>
      <c r="I15" s="65"/>
      <c r="J15" s="65"/>
      <c r="K15" s="65"/>
      <c r="L15" s="65"/>
      <c r="M15" s="66"/>
    </row>
    <row r="16" spans="1:13" ht="16.5" customHeight="1" x14ac:dyDescent="0.25">
      <c r="A16" s="78">
        <v>10</v>
      </c>
      <c r="B16" s="64" t="s">
        <v>8</v>
      </c>
      <c r="C16" s="65">
        <f t="shared" si="0"/>
        <v>977</v>
      </c>
      <c r="D16" s="65"/>
      <c r="E16" s="65">
        <v>977</v>
      </c>
      <c r="F16" s="65">
        <v>71</v>
      </c>
      <c r="G16" s="65"/>
      <c r="H16" s="65"/>
      <c r="I16" s="65"/>
      <c r="J16" s="65"/>
      <c r="K16" s="65"/>
      <c r="L16" s="65"/>
      <c r="M16" s="66"/>
    </row>
    <row r="17" spans="1:13" ht="15.75" customHeight="1" x14ac:dyDescent="0.25">
      <c r="A17" s="78">
        <v>11</v>
      </c>
      <c r="B17" s="64" t="s">
        <v>9</v>
      </c>
      <c r="C17" s="65">
        <f t="shared" si="0"/>
        <v>4963</v>
      </c>
      <c r="D17" s="65"/>
      <c r="E17" s="65">
        <v>4963</v>
      </c>
      <c r="F17" s="65">
        <v>343</v>
      </c>
      <c r="G17" s="65"/>
      <c r="H17" s="65">
        <v>406</v>
      </c>
      <c r="I17" s="65"/>
      <c r="J17" s="65"/>
      <c r="K17" s="65">
        <v>6</v>
      </c>
      <c r="L17" s="65"/>
      <c r="M17" s="66"/>
    </row>
    <row r="18" spans="1:13" ht="16.5" customHeight="1" x14ac:dyDescent="0.25">
      <c r="A18" s="78">
        <v>12</v>
      </c>
      <c r="B18" s="64" t="s">
        <v>10</v>
      </c>
      <c r="C18" s="65">
        <f t="shared" si="0"/>
        <v>910</v>
      </c>
      <c r="D18" s="65"/>
      <c r="E18" s="65">
        <v>910</v>
      </c>
      <c r="F18" s="65">
        <v>79</v>
      </c>
      <c r="G18" s="65"/>
      <c r="H18" s="65"/>
      <c r="I18" s="65"/>
      <c r="J18" s="65"/>
      <c r="K18" s="65"/>
      <c r="L18" s="65"/>
      <c r="M18" s="66"/>
    </row>
    <row r="19" spans="1:13" ht="18.75" customHeight="1" x14ac:dyDescent="0.25">
      <c r="A19" s="78">
        <v>13</v>
      </c>
      <c r="B19" s="64" t="s">
        <v>11</v>
      </c>
      <c r="C19" s="65">
        <f t="shared" si="0"/>
        <v>5504</v>
      </c>
      <c r="D19" s="65"/>
      <c r="E19" s="65">
        <v>5504</v>
      </c>
      <c r="F19" s="65">
        <v>417</v>
      </c>
      <c r="G19" s="65"/>
      <c r="H19" s="65">
        <v>421</v>
      </c>
      <c r="I19" s="65"/>
      <c r="J19" s="65"/>
      <c r="K19" s="65">
        <v>8</v>
      </c>
      <c r="L19" s="65"/>
      <c r="M19" s="66"/>
    </row>
    <row r="20" spans="1:13" ht="19.5" customHeight="1" x14ac:dyDescent="0.25">
      <c r="A20" s="78">
        <v>14</v>
      </c>
      <c r="B20" s="64" t="s">
        <v>12</v>
      </c>
      <c r="C20" s="65">
        <f t="shared" si="0"/>
        <v>1038</v>
      </c>
      <c r="D20" s="65"/>
      <c r="E20" s="65">
        <v>1038</v>
      </c>
      <c r="F20" s="65">
        <v>78</v>
      </c>
      <c r="G20" s="65"/>
      <c r="H20" s="65"/>
      <c r="I20" s="65"/>
      <c r="J20" s="65"/>
      <c r="K20" s="65"/>
      <c r="L20" s="65"/>
      <c r="M20" s="66"/>
    </row>
    <row r="21" spans="1:13" ht="20.25" customHeight="1" x14ac:dyDescent="0.25">
      <c r="A21" s="78">
        <v>15</v>
      </c>
      <c r="B21" s="64" t="s">
        <v>13</v>
      </c>
      <c r="C21" s="65">
        <f t="shared" si="0"/>
        <v>3646</v>
      </c>
      <c r="D21" s="65"/>
      <c r="E21" s="65">
        <v>3646</v>
      </c>
      <c r="F21" s="65">
        <v>253</v>
      </c>
      <c r="G21" s="65"/>
      <c r="H21" s="65">
        <v>728</v>
      </c>
      <c r="I21" s="65"/>
      <c r="J21" s="65"/>
      <c r="K21" s="65">
        <v>4</v>
      </c>
      <c r="L21" s="65"/>
      <c r="M21" s="66"/>
    </row>
    <row r="22" spans="1:13" ht="17.25" customHeight="1" x14ac:dyDescent="0.25">
      <c r="A22" s="78">
        <v>16</v>
      </c>
      <c r="B22" s="64" t="s">
        <v>15</v>
      </c>
      <c r="C22" s="65">
        <f t="shared" si="0"/>
        <v>2425</v>
      </c>
      <c r="D22" s="65"/>
      <c r="E22" s="65">
        <v>2425</v>
      </c>
      <c r="F22" s="65">
        <v>215</v>
      </c>
      <c r="G22" s="65"/>
      <c r="H22" s="65"/>
      <c r="I22" s="65"/>
      <c r="J22" s="65"/>
      <c r="K22" s="65"/>
      <c r="L22" s="65"/>
      <c r="M22" s="66"/>
    </row>
    <row r="23" spans="1:13" ht="19.5" customHeight="1" x14ac:dyDescent="0.25">
      <c r="A23" s="78">
        <v>17</v>
      </c>
      <c r="B23" s="64" t="s">
        <v>39</v>
      </c>
      <c r="C23" s="65">
        <f t="shared" si="0"/>
        <v>1090</v>
      </c>
      <c r="D23" s="65"/>
      <c r="E23" s="65">
        <v>1090</v>
      </c>
      <c r="F23" s="65">
        <v>90</v>
      </c>
      <c r="G23" s="65"/>
      <c r="H23" s="65"/>
      <c r="I23" s="65"/>
      <c r="J23" s="65"/>
      <c r="K23" s="65"/>
      <c r="L23" s="65"/>
      <c r="M23" s="66"/>
    </row>
    <row r="24" spans="1:13" ht="17.25" customHeight="1" x14ac:dyDescent="0.25">
      <c r="A24" s="78">
        <v>18</v>
      </c>
      <c r="B24" s="64" t="s">
        <v>16</v>
      </c>
      <c r="C24" s="65">
        <f t="shared" si="0"/>
        <v>1333</v>
      </c>
      <c r="D24" s="65"/>
      <c r="E24" s="65">
        <v>1333</v>
      </c>
      <c r="F24" s="65">
        <v>92</v>
      </c>
      <c r="G24" s="65"/>
      <c r="H24" s="65"/>
      <c r="I24" s="65"/>
      <c r="J24" s="65"/>
      <c r="K24" s="65"/>
      <c r="L24" s="65"/>
      <c r="M24" s="66"/>
    </row>
    <row r="25" spans="1:13" ht="17.25" customHeight="1" x14ac:dyDescent="0.25">
      <c r="A25" s="78">
        <v>19</v>
      </c>
      <c r="B25" s="64" t="s">
        <v>17</v>
      </c>
      <c r="C25" s="65">
        <f t="shared" si="0"/>
        <v>1084</v>
      </c>
      <c r="D25" s="65"/>
      <c r="E25" s="65">
        <v>1084</v>
      </c>
      <c r="F25" s="65">
        <v>70</v>
      </c>
      <c r="G25" s="65"/>
      <c r="H25" s="65"/>
      <c r="I25" s="65"/>
      <c r="J25" s="65"/>
      <c r="K25" s="65"/>
      <c r="L25" s="65"/>
      <c r="M25" s="66"/>
    </row>
    <row r="26" spans="1:13" ht="17.25" customHeight="1" x14ac:dyDescent="0.25">
      <c r="A26" s="78">
        <v>20</v>
      </c>
      <c r="B26" s="64" t="s">
        <v>18</v>
      </c>
      <c r="C26" s="65">
        <f t="shared" si="0"/>
        <v>855</v>
      </c>
      <c r="D26" s="65"/>
      <c r="E26" s="65">
        <v>855</v>
      </c>
      <c r="F26" s="65">
        <v>91</v>
      </c>
      <c r="G26" s="65"/>
      <c r="H26" s="65"/>
      <c r="I26" s="65"/>
      <c r="J26" s="65"/>
      <c r="K26" s="65"/>
      <c r="L26" s="65"/>
      <c r="M26" s="66"/>
    </row>
    <row r="27" spans="1:13" ht="18" customHeight="1" x14ac:dyDescent="0.25">
      <c r="A27" s="78">
        <v>21</v>
      </c>
      <c r="B27" s="64" t="s">
        <v>45</v>
      </c>
      <c r="C27" s="65">
        <f t="shared" si="0"/>
        <v>1168</v>
      </c>
      <c r="D27" s="65"/>
      <c r="E27" s="65">
        <v>1168</v>
      </c>
      <c r="F27" s="65">
        <v>91</v>
      </c>
      <c r="G27" s="65"/>
      <c r="H27" s="65"/>
      <c r="I27" s="65"/>
      <c r="J27" s="65"/>
      <c r="K27" s="65"/>
      <c r="L27" s="65"/>
      <c r="M27" s="66"/>
    </row>
    <row r="28" spans="1:13" ht="18" customHeight="1" x14ac:dyDescent="0.25">
      <c r="A28" s="78">
        <v>22</v>
      </c>
      <c r="B28" s="64" t="s">
        <v>28</v>
      </c>
      <c r="C28" s="65">
        <f t="shared" si="0"/>
        <v>1554</v>
      </c>
      <c r="D28" s="65"/>
      <c r="E28" s="65">
        <v>1554</v>
      </c>
      <c r="F28" s="65">
        <v>118</v>
      </c>
      <c r="G28" s="65"/>
      <c r="H28" s="65"/>
      <c r="I28" s="65"/>
      <c r="J28" s="65"/>
      <c r="K28" s="65"/>
      <c r="L28" s="65"/>
      <c r="M28" s="66"/>
    </row>
    <row r="29" spans="1:13" ht="17.25" customHeight="1" x14ac:dyDescent="0.25">
      <c r="A29" s="78">
        <v>23</v>
      </c>
      <c r="B29" s="64" t="s">
        <v>37</v>
      </c>
      <c r="C29" s="65">
        <f t="shared" si="0"/>
        <v>3694</v>
      </c>
      <c r="D29" s="65"/>
      <c r="E29" s="65">
        <v>3694</v>
      </c>
      <c r="F29" s="65">
        <v>210</v>
      </c>
      <c r="G29" s="65"/>
      <c r="H29" s="65">
        <v>679</v>
      </c>
      <c r="I29" s="65"/>
      <c r="J29" s="65"/>
      <c r="K29" s="65">
        <v>4</v>
      </c>
      <c r="L29" s="65"/>
      <c r="M29" s="66"/>
    </row>
    <row r="30" spans="1:13" ht="17.25" customHeight="1" x14ac:dyDescent="0.25">
      <c r="A30" s="78">
        <v>24</v>
      </c>
      <c r="B30" s="64" t="s">
        <v>330</v>
      </c>
      <c r="C30" s="65">
        <f t="shared" si="0"/>
        <v>7370</v>
      </c>
      <c r="D30" s="65"/>
      <c r="E30" s="65">
        <v>7370</v>
      </c>
      <c r="F30" s="65">
        <v>1291</v>
      </c>
      <c r="G30" s="65"/>
      <c r="H30" s="65">
        <v>450</v>
      </c>
      <c r="I30" s="65"/>
      <c r="J30" s="65"/>
      <c r="K30" s="65">
        <v>8</v>
      </c>
      <c r="L30" s="65"/>
      <c r="M30" s="66"/>
    </row>
    <row r="31" spans="1:13" ht="16.5" customHeight="1" x14ac:dyDescent="0.25">
      <c r="A31" s="78">
        <v>25</v>
      </c>
      <c r="B31" s="64" t="s">
        <v>57</v>
      </c>
      <c r="C31" s="65">
        <f t="shared" si="0"/>
        <v>4096</v>
      </c>
      <c r="D31" s="65"/>
      <c r="E31" s="65">
        <v>4096</v>
      </c>
      <c r="F31" s="65"/>
      <c r="G31" s="65"/>
      <c r="H31" s="65">
        <v>690</v>
      </c>
      <c r="I31" s="65"/>
      <c r="J31" s="65"/>
      <c r="K31" s="65">
        <v>6</v>
      </c>
      <c r="L31" s="65"/>
      <c r="M31" s="66"/>
    </row>
    <row r="32" spans="1:13" s="68" customFormat="1" ht="21" customHeight="1" x14ac:dyDescent="0.25">
      <c r="A32" s="78">
        <v>26</v>
      </c>
      <c r="B32" s="64" t="s">
        <v>179</v>
      </c>
      <c r="C32" s="65">
        <f t="shared" si="0"/>
        <v>3300</v>
      </c>
      <c r="D32" s="65"/>
      <c r="E32" s="65">
        <v>3300</v>
      </c>
      <c r="F32" s="65"/>
      <c r="G32" s="65"/>
      <c r="H32" s="65">
        <v>507</v>
      </c>
      <c r="I32" s="65"/>
      <c r="J32" s="65"/>
      <c r="K32" s="65"/>
      <c r="L32" s="65"/>
      <c r="M32" s="67"/>
    </row>
    <row r="33" spans="1:13" ht="16.5" customHeight="1" x14ac:dyDescent="0.25">
      <c r="A33" s="78">
        <v>27</v>
      </c>
      <c r="B33" s="64" t="s">
        <v>331</v>
      </c>
      <c r="C33" s="65">
        <f t="shared" si="0"/>
        <v>2960</v>
      </c>
      <c r="D33" s="65"/>
      <c r="E33" s="65">
        <v>2960</v>
      </c>
      <c r="F33" s="65"/>
      <c r="G33" s="65"/>
      <c r="H33" s="65"/>
      <c r="I33" s="65"/>
      <c r="J33" s="65"/>
      <c r="K33" s="65"/>
      <c r="L33" s="65"/>
      <c r="M33" s="66"/>
    </row>
    <row r="34" spans="1:13" ht="16.5" customHeight="1" x14ac:dyDescent="0.25">
      <c r="A34" s="78">
        <v>28</v>
      </c>
      <c r="B34" s="69" t="s">
        <v>332</v>
      </c>
      <c r="C34" s="65">
        <f t="shared" si="0"/>
        <v>3211</v>
      </c>
      <c r="D34" s="65"/>
      <c r="E34" s="65">
        <v>3211</v>
      </c>
      <c r="F34" s="65">
        <v>301</v>
      </c>
      <c r="G34" s="65"/>
      <c r="H34" s="65"/>
      <c r="I34" s="65"/>
      <c r="J34" s="65"/>
      <c r="K34" s="65"/>
      <c r="L34" s="65"/>
      <c r="M34" s="66"/>
    </row>
    <row r="35" spans="1:13" ht="23.25" customHeight="1" x14ac:dyDescent="0.25">
      <c r="A35" s="78">
        <v>29</v>
      </c>
      <c r="B35" s="64" t="s">
        <v>333</v>
      </c>
      <c r="C35" s="65">
        <f t="shared" si="0"/>
        <v>1532</v>
      </c>
      <c r="D35" s="65"/>
      <c r="E35" s="65">
        <v>1532</v>
      </c>
      <c r="F35" s="65">
        <v>251</v>
      </c>
      <c r="G35" s="65"/>
      <c r="H35" s="65"/>
      <c r="I35" s="65"/>
      <c r="J35" s="65"/>
      <c r="K35" s="65"/>
      <c r="L35" s="65"/>
      <c r="M35" s="66"/>
    </row>
    <row r="36" spans="1:13" ht="18.75" customHeight="1" x14ac:dyDescent="0.25">
      <c r="A36" s="78">
        <v>30</v>
      </c>
      <c r="B36" s="64" t="s">
        <v>334</v>
      </c>
      <c r="C36" s="65">
        <f t="shared" si="0"/>
        <v>5894</v>
      </c>
      <c r="D36" s="65"/>
      <c r="E36" s="65">
        <v>5894</v>
      </c>
      <c r="F36" s="65">
        <v>1046</v>
      </c>
      <c r="G36" s="65"/>
      <c r="H36" s="65">
        <v>590</v>
      </c>
      <c r="I36" s="65"/>
      <c r="J36" s="65">
        <v>30</v>
      </c>
      <c r="K36" s="65">
        <v>12</v>
      </c>
      <c r="L36" s="65"/>
      <c r="M36" s="66"/>
    </row>
    <row r="37" spans="1:13" ht="18.75" customHeight="1" x14ac:dyDescent="0.25">
      <c r="A37" s="78">
        <v>31</v>
      </c>
      <c r="B37" s="64" t="s">
        <v>335</v>
      </c>
      <c r="C37" s="65">
        <f t="shared" si="0"/>
        <v>329</v>
      </c>
      <c r="D37" s="65"/>
      <c r="E37" s="65">
        <v>329</v>
      </c>
      <c r="F37" s="65"/>
      <c r="G37" s="65"/>
      <c r="H37" s="65"/>
      <c r="I37" s="65"/>
      <c r="J37" s="65"/>
      <c r="K37" s="65"/>
      <c r="L37" s="65"/>
      <c r="M37" s="66"/>
    </row>
    <row r="38" spans="1:13" ht="20.25" customHeight="1" x14ac:dyDescent="0.25">
      <c r="A38" s="78">
        <v>32</v>
      </c>
      <c r="B38" s="64" t="s">
        <v>336</v>
      </c>
      <c r="C38" s="65">
        <f t="shared" si="0"/>
        <v>2191</v>
      </c>
      <c r="D38" s="65"/>
      <c r="E38" s="65">
        <v>2191</v>
      </c>
      <c r="F38" s="65">
        <v>2191</v>
      </c>
      <c r="G38" s="65"/>
      <c r="H38" s="65"/>
      <c r="I38" s="65"/>
      <c r="J38" s="65"/>
      <c r="K38" s="65">
        <v>20</v>
      </c>
      <c r="L38" s="65"/>
      <c r="M38" s="66"/>
    </row>
    <row r="39" spans="1:13" ht="17.25" customHeight="1" x14ac:dyDescent="0.25">
      <c r="A39" s="78">
        <v>33</v>
      </c>
      <c r="B39" s="69" t="s">
        <v>20</v>
      </c>
      <c r="C39" s="65">
        <f t="shared" si="0"/>
        <v>1856</v>
      </c>
      <c r="D39" s="65"/>
      <c r="E39" s="65">
        <v>1856</v>
      </c>
      <c r="F39" s="65">
        <v>146</v>
      </c>
      <c r="G39" s="65"/>
      <c r="H39" s="65"/>
      <c r="I39" s="65"/>
      <c r="J39" s="65"/>
      <c r="K39" s="65"/>
      <c r="L39" s="65"/>
      <c r="M39" s="66"/>
    </row>
    <row r="40" spans="1:13" ht="18" customHeight="1" x14ac:dyDescent="0.25">
      <c r="A40" s="78">
        <v>34</v>
      </c>
      <c r="B40" s="64" t="s">
        <v>22</v>
      </c>
      <c r="C40" s="65">
        <f t="shared" si="0"/>
        <v>2896</v>
      </c>
      <c r="D40" s="65"/>
      <c r="E40" s="65">
        <v>2896</v>
      </c>
      <c r="F40" s="65">
        <v>225</v>
      </c>
      <c r="G40" s="65"/>
      <c r="H40" s="65"/>
      <c r="I40" s="65"/>
      <c r="J40" s="65"/>
      <c r="K40" s="65">
        <v>4</v>
      </c>
      <c r="L40" s="65"/>
      <c r="M40" s="66"/>
    </row>
    <row r="41" spans="1:13" ht="17.25" customHeight="1" x14ac:dyDescent="0.25">
      <c r="A41" s="78">
        <v>35</v>
      </c>
      <c r="B41" s="64" t="s">
        <v>24</v>
      </c>
      <c r="C41" s="65">
        <f t="shared" si="0"/>
        <v>652</v>
      </c>
      <c r="D41" s="65"/>
      <c r="E41" s="65">
        <v>652</v>
      </c>
      <c r="F41" s="65">
        <v>41</v>
      </c>
      <c r="G41" s="65"/>
      <c r="H41" s="65"/>
      <c r="I41" s="65"/>
      <c r="J41" s="65"/>
      <c r="K41" s="65"/>
      <c r="L41" s="65"/>
      <c r="M41" s="66"/>
    </row>
    <row r="42" spans="1:13" ht="17.25" customHeight="1" x14ac:dyDescent="0.25">
      <c r="A42" s="78">
        <v>36</v>
      </c>
      <c r="B42" s="64" t="s">
        <v>26</v>
      </c>
      <c r="C42" s="65">
        <f t="shared" si="0"/>
        <v>702</v>
      </c>
      <c r="D42" s="65"/>
      <c r="E42" s="65">
        <v>702</v>
      </c>
      <c r="F42" s="65">
        <v>59</v>
      </c>
      <c r="G42" s="65"/>
      <c r="H42" s="65"/>
      <c r="I42" s="65"/>
      <c r="J42" s="65"/>
      <c r="K42" s="65"/>
      <c r="L42" s="65"/>
      <c r="M42" s="66"/>
    </row>
    <row r="43" spans="1:13" ht="18" customHeight="1" x14ac:dyDescent="0.25">
      <c r="A43" s="78">
        <v>37</v>
      </c>
      <c r="B43" s="64" t="s">
        <v>27</v>
      </c>
      <c r="C43" s="65">
        <f t="shared" si="0"/>
        <v>2628</v>
      </c>
      <c r="D43" s="65"/>
      <c r="E43" s="65">
        <v>2628</v>
      </c>
      <c r="F43" s="65">
        <v>249</v>
      </c>
      <c r="G43" s="65"/>
      <c r="H43" s="65"/>
      <c r="I43" s="65"/>
      <c r="J43" s="65"/>
      <c r="K43" s="65"/>
      <c r="L43" s="65"/>
      <c r="M43" s="66"/>
    </row>
    <row r="44" spans="1:13" ht="19.5" customHeight="1" x14ac:dyDescent="0.25">
      <c r="A44" s="78">
        <v>38</v>
      </c>
      <c r="B44" s="64" t="s">
        <v>25</v>
      </c>
      <c r="C44" s="65">
        <f t="shared" si="0"/>
        <v>1275</v>
      </c>
      <c r="D44" s="65"/>
      <c r="E44" s="65">
        <v>1275</v>
      </c>
      <c r="F44" s="65">
        <v>112</v>
      </c>
      <c r="G44" s="65"/>
      <c r="H44" s="65"/>
      <c r="I44" s="65"/>
      <c r="J44" s="65"/>
      <c r="K44" s="65"/>
      <c r="L44" s="65"/>
      <c r="M44" s="66"/>
    </row>
    <row r="45" spans="1:13" ht="20.25" customHeight="1" x14ac:dyDescent="0.25">
      <c r="A45" s="78">
        <v>39</v>
      </c>
      <c r="B45" s="64" t="s">
        <v>29</v>
      </c>
      <c r="C45" s="65">
        <f t="shared" si="0"/>
        <v>4196</v>
      </c>
      <c r="D45" s="65"/>
      <c r="E45" s="65">
        <v>4196</v>
      </c>
      <c r="F45" s="65">
        <v>337</v>
      </c>
      <c r="G45" s="70"/>
      <c r="H45" s="70"/>
      <c r="I45" s="70"/>
      <c r="J45" s="70"/>
      <c r="K45" s="70"/>
      <c r="L45" s="70"/>
      <c r="M45" s="66"/>
    </row>
    <row r="46" spans="1:13" ht="18" customHeight="1" x14ac:dyDescent="0.25">
      <c r="A46" s="78">
        <v>40</v>
      </c>
      <c r="B46" s="64" t="s">
        <v>30</v>
      </c>
      <c r="C46" s="65">
        <f t="shared" si="0"/>
        <v>1223</v>
      </c>
      <c r="D46" s="65"/>
      <c r="E46" s="65">
        <v>1223</v>
      </c>
      <c r="F46" s="65">
        <v>98</v>
      </c>
      <c r="G46" s="65"/>
      <c r="H46" s="65"/>
      <c r="I46" s="65"/>
      <c r="J46" s="65"/>
      <c r="K46" s="65"/>
      <c r="L46" s="65"/>
      <c r="M46" s="66"/>
    </row>
    <row r="47" spans="1:13" ht="18.75" customHeight="1" x14ac:dyDescent="0.25">
      <c r="A47" s="78">
        <v>41</v>
      </c>
      <c r="B47" s="64" t="s">
        <v>31</v>
      </c>
      <c r="C47" s="65">
        <f t="shared" si="0"/>
        <v>1118</v>
      </c>
      <c r="D47" s="65"/>
      <c r="E47" s="65">
        <v>1118</v>
      </c>
      <c r="F47" s="65">
        <v>82</v>
      </c>
      <c r="G47" s="65"/>
      <c r="H47" s="65"/>
      <c r="I47" s="65"/>
      <c r="J47" s="65"/>
      <c r="K47" s="65"/>
      <c r="L47" s="65"/>
      <c r="M47" s="66"/>
    </row>
    <row r="48" spans="1:13" ht="18" customHeight="1" x14ac:dyDescent="0.25">
      <c r="A48" s="78">
        <v>42</v>
      </c>
      <c r="B48" s="64" t="s">
        <v>32</v>
      </c>
      <c r="C48" s="65">
        <f t="shared" si="0"/>
        <v>2293</v>
      </c>
      <c r="D48" s="65"/>
      <c r="E48" s="65">
        <v>2293</v>
      </c>
      <c r="F48" s="65">
        <v>192</v>
      </c>
      <c r="G48" s="65"/>
      <c r="H48" s="65"/>
      <c r="I48" s="65"/>
      <c r="J48" s="65"/>
      <c r="K48" s="65"/>
      <c r="L48" s="65"/>
      <c r="M48" s="66"/>
    </row>
    <row r="49" spans="1:13" ht="18" customHeight="1" x14ac:dyDescent="0.25">
      <c r="A49" s="78">
        <v>43</v>
      </c>
      <c r="B49" s="64" t="s">
        <v>33</v>
      </c>
      <c r="C49" s="65">
        <f t="shared" si="0"/>
        <v>815</v>
      </c>
      <c r="D49" s="65"/>
      <c r="E49" s="65">
        <v>815</v>
      </c>
      <c r="F49" s="65">
        <v>69</v>
      </c>
      <c r="G49" s="65"/>
      <c r="H49" s="65"/>
      <c r="I49" s="65"/>
      <c r="J49" s="65"/>
      <c r="K49" s="65"/>
      <c r="L49" s="65"/>
      <c r="M49" s="66"/>
    </row>
    <row r="50" spans="1:13" ht="18.75" customHeight="1" x14ac:dyDescent="0.25">
      <c r="A50" s="78">
        <v>44</v>
      </c>
      <c r="B50" s="64" t="s">
        <v>34</v>
      </c>
      <c r="C50" s="65">
        <f t="shared" si="0"/>
        <v>1345</v>
      </c>
      <c r="D50" s="65"/>
      <c r="E50" s="65">
        <v>1345</v>
      </c>
      <c r="F50" s="65">
        <v>93</v>
      </c>
      <c r="G50" s="70"/>
      <c r="H50" s="70"/>
      <c r="I50" s="70"/>
      <c r="J50" s="70"/>
      <c r="K50" s="70"/>
      <c r="L50" s="70"/>
      <c r="M50" s="66"/>
    </row>
    <row r="51" spans="1:13" ht="15" customHeight="1" x14ac:dyDescent="0.25">
      <c r="A51" s="78">
        <v>45</v>
      </c>
      <c r="B51" s="64" t="s">
        <v>19</v>
      </c>
      <c r="C51" s="65">
        <f t="shared" si="0"/>
        <v>1592</v>
      </c>
      <c r="D51" s="65"/>
      <c r="E51" s="65">
        <v>1592</v>
      </c>
      <c r="F51" s="65">
        <v>137</v>
      </c>
      <c r="G51" s="65"/>
      <c r="H51" s="65"/>
      <c r="I51" s="65"/>
      <c r="J51" s="65"/>
      <c r="K51" s="65"/>
      <c r="L51" s="65"/>
      <c r="M51" s="66"/>
    </row>
    <row r="52" spans="1:13" ht="18" customHeight="1" x14ac:dyDescent="0.25">
      <c r="A52" s="78">
        <v>46</v>
      </c>
      <c r="B52" s="64" t="s">
        <v>36</v>
      </c>
      <c r="C52" s="65">
        <f t="shared" si="0"/>
        <v>1269</v>
      </c>
      <c r="D52" s="65"/>
      <c r="E52" s="65">
        <v>1269</v>
      </c>
      <c r="F52" s="65">
        <v>96</v>
      </c>
      <c r="G52" s="65"/>
      <c r="H52" s="65"/>
      <c r="I52" s="65"/>
      <c r="J52" s="65"/>
      <c r="K52" s="65"/>
      <c r="L52" s="65"/>
      <c r="M52" s="66"/>
    </row>
    <row r="53" spans="1:13" ht="18" customHeight="1" x14ac:dyDescent="0.25">
      <c r="A53" s="78">
        <v>47</v>
      </c>
      <c r="B53" s="64" t="s">
        <v>43</v>
      </c>
      <c r="C53" s="65">
        <f t="shared" si="0"/>
        <v>1239</v>
      </c>
      <c r="D53" s="65"/>
      <c r="E53" s="65">
        <v>1239</v>
      </c>
      <c r="F53" s="65">
        <v>109</v>
      </c>
      <c r="G53" s="65"/>
      <c r="H53" s="65"/>
      <c r="I53" s="65"/>
      <c r="J53" s="65"/>
      <c r="K53" s="65"/>
      <c r="L53" s="65"/>
      <c r="M53" s="66"/>
    </row>
    <row r="54" spans="1:13" ht="20.25" customHeight="1" x14ac:dyDescent="0.25">
      <c r="A54" s="78">
        <v>48</v>
      </c>
      <c r="B54" s="64" t="s">
        <v>38</v>
      </c>
      <c r="C54" s="65">
        <f t="shared" si="0"/>
        <v>4124</v>
      </c>
      <c r="D54" s="65"/>
      <c r="E54" s="65">
        <v>4124</v>
      </c>
      <c r="F54" s="65">
        <v>337</v>
      </c>
      <c r="G54" s="65"/>
      <c r="H54" s="65">
        <v>64</v>
      </c>
      <c r="I54" s="65"/>
      <c r="J54" s="65"/>
      <c r="K54" s="65">
        <f>0+5</f>
        <v>5</v>
      </c>
      <c r="L54" s="65"/>
      <c r="M54" s="66"/>
    </row>
    <row r="55" spans="1:13" ht="20.25" customHeight="1" x14ac:dyDescent="0.25">
      <c r="A55" s="78">
        <v>49</v>
      </c>
      <c r="B55" s="64" t="s">
        <v>21</v>
      </c>
      <c r="C55" s="65">
        <f t="shared" si="0"/>
        <v>1795</v>
      </c>
      <c r="D55" s="65"/>
      <c r="E55" s="65">
        <v>1795</v>
      </c>
      <c r="F55" s="65">
        <v>132</v>
      </c>
      <c r="G55" s="65"/>
      <c r="H55" s="65">
        <v>365</v>
      </c>
      <c r="I55" s="65"/>
      <c r="J55" s="65">
        <v>50</v>
      </c>
      <c r="K55" s="65">
        <v>4</v>
      </c>
      <c r="L55" s="65"/>
      <c r="M55" s="66"/>
    </row>
    <row r="56" spans="1:13" ht="19.5" customHeight="1" x14ac:dyDescent="0.25">
      <c r="A56" s="78">
        <v>50</v>
      </c>
      <c r="B56" s="64" t="s">
        <v>40</v>
      </c>
      <c r="C56" s="65">
        <f t="shared" si="0"/>
        <v>1114</v>
      </c>
      <c r="D56" s="65"/>
      <c r="E56" s="65">
        <v>1114</v>
      </c>
      <c r="F56" s="65">
        <v>95</v>
      </c>
      <c r="G56" s="65"/>
      <c r="H56" s="65"/>
      <c r="I56" s="65"/>
      <c r="J56" s="65"/>
      <c r="K56" s="65"/>
      <c r="L56" s="65"/>
      <c r="M56" s="66"/>
    </row>
    <row r="57" spans="1:13" ht="19.5" customHeight="1" x14ac:dyDescent="0.25">
      <c r="A57" s="78">
        <v>51</v>
      </c>
      <c r="B57" s="64" t="s">
        <v>41</v>
      </c>
      <c r="C57" s="65">
        <f t="shared" si="0"/>
        <v>1292</v>
      </c>
      <c r="D57" s="65"/>
      <c r="E57" s="65">
        <v>1292</v>
      </c>
      <c r="F57" s="65">
        <v>95</v>
      </c>
      <c r="G57" s="65"/>
      <c r="H57" s="65"/>
      <c r="I57" s="65"/>
      <c r="J57" s="65"/>
      <c r="K57" s="65"/>
      <c r="L57" s="65"/>
      <c r="M57" s="66"/>
    </row>
    <row r="58" spans="1:13" ht="19.5" customHeight="1" x14ac:dyDescent="0.25">
      <c r="A58" s="78">
        <v>52</v>
      </c>
      <c r="B58" s="64" t="s">
        <v>35</v>
      </c>
      <c r="C58" s="65">
        <f t="shared" si="0"/>
        <v>1468</v>
      </c>
      <c r="D58" s="65"/>
      <c r="E58" s="65">
        <v>1468</v>
      </c>
      <c r="F58" s="65">
        <v>123</v>
      </c>
      <c r="G58" s="65"/>
      <c r="H58" s="65"/>
      <c r="I58" s="65"/>
      <c r="J58" s="65"/>
      <c r="K58" s="65"/>
      <c r="L58" s="65"/>
      <c r="M58" s="66"/>
    </row>
    <row r="59" spans="1:13" ht="19.5" customHeight="1" x14ac:dyDescent="0.25">
      <c r="A59" s="78">
        <v>53</v>
      </c>
      <c r="B59" s="64" t="s">
        <v>42</v>
      </c>
      <c r="C59" s="65">
        <f t="shared" si="0"/>
        <v>939</v>
      </c>
      <c r="D59" s="65"/>
      <c r="E59" s="65">
        <v>939</v>
      </c>
      <c r="F59" s="65">
        <v>81</v>
      </c>
      <c r="G59" s="65"/>
      <c r="H59" s="65"/>
      <c r="I59" s="65"/>
      <c r="J59" s="65"/>
      <c r="K59" s="65"/>
      <c r="L59" s="65"/>
      <c r="M59" s="66"/>
    </row>
    <row r="60" spans="1:13" ht="19.5" customHeight="1" x14ac:dyDescent="0.25">
      <c r="A60" s="78">
        <v>54</v>
      </c>
      <c r="B60" s="64" t="s">
        <v>2</v>
      </c>
      <c r="C60" s="65">
        <f t="shared" si="0"/>
        <v>1922</v>
      </c>
      <c r="D60" s="65"/>
      <c r="E60" s="65">
        <v>1922</v>
      </c>
      <c r="F60" s="65">
        <v>146</v>
      </c>
      <c r="G60" s="65"/>
      <c r="H60" s="65"/>
      <c r="I60" s="65"/>
      <c r="J60" s="65"/>
      <c r="K60" s="65"/>
      <c r="L60" s="65"/>
      <c r="M60" s="66"/>
    </row>
    <row r="61" spans="1:13" ht="18.75" customHeight="1" x14ac:dyDescent="0.25">
      <c r="A61" s="78">
        <v>55</v>
      </c>
      <c r="B61" s="64" t="s">
        <v>44</v>
      </c>
      <c r="C61" s="65">
        <f t="shared" si="0"/>
        <v>939</v>
      </c>
      <c r="D61" s="65"/>
      <c r="E61" s="65">
        <v>939</v>
      </c>
      <c r="F61" s="65">
        <v>66</v>
      </c>
      <c r="G61" s="65"/>
      <c r="H61" s="65"/>
      <c r="I61" s="65"/>
      <c r="J61" s="65"/>
      <c r="K61" s="65"/>
      <c r="L61" s="65"/>
      <c r="M61" s="66"/>
    </row>
    <row r="62" spans="1:13" ht="18.75" customHeight="1" x14ac:dyDescent="0.25">
      <c r="A62" s="78">
        <v>56</v>
      </c>
      <c r="B62" s="64" t="s">
        <v>5</v>
      </c>
      <c r="C62" s="65">
        <f t="shared" si="0"/>
        <v>1628</v>
      </c>
      <c r="D62" s="65"/>
      <c r="E62" s="65">
        <v>1628</v>
      </c>
      <c r="F62" s="65">
        <v>113</v>
      </c>
      <c r="G62" s="65"/>
      <c r="H62" s="65"/>
      <c r="I62" s="65"/>
      <c r="J62" s="65"/>
      <c r="K62" s="65"/>
      <c r="L62" s="65"/>
      <c r="M62" s="66"/>
    </row>
    <row r="63" spans="1:13" ht="19.5" customHeight="1" x14ac:dyDescent="0.25">
      <c r="A63" s="78">
        <v>57</v>
      </c>
      <c r="B63" s="64" t="s">
        <v>46</v>
      </c>
      <c r="C63" s="65">
        <f t="shared" si="0"/>
        <v>6514</v>
      </c>
      <c r="D63" s="65"/>
      <c r="E63" s="65">
        <v>6514</v>
      </c>
      <c r="F63" s="65">
        <v>543</v>
      </c>
      <c r="G63" s="65"/>
      <c r="H63" s="65"/>
      <c r="I63" s="65"/>
      <c r="J63" s="65">
        <v>30</v>
      </c>
      <c r="K63" s="65">
        <v>8</v>
      </c>
      <c r="L63" s="65"/>
      <c r="M63" s="66"/>
    </row>
    <row r="64" spans="1:13" s="68" customFormat="1" ht="16.5" customHeight="1" x14ac:dyDescent="0.25">
      <c r="A64" s="78">
        <v>58</v>
      </c>
      <c r="B64" s="64" t="s">
        <v>47</v>
      </c>
      <c r="C64" s="65">
        <f t="shared" si="0"/>
        <v>3579</v>
      </c>
      <c r="D64" s="65"/>
      <c r="E64" s="65">
        <v>3579</v>
      </c>
      <c r="F64" s="65">
        <v>303</v>
      </c>
      <c r="G64" s="65"/>
      <c r="H64" s="65"/>
      <c r="I64" s="65"/>
      <c r="J64" s="65"/>
      <c r="K64" s="65"/>
      <c r="L64" s="65"/>
      <c r="M64" s="67"/>
    </row>
    <row r="65" spans="1:13" ht="18" customHeight="1" x14ac:dyDescent="0.25">
      <c r="A65" s="78">
        <v>59</v>
      </c>
      <c r="B65" s="64" t="s">
        <v>48</v>
      </c>
      <c r="C65" s="65">
        <f t="shared" si="0"/>
        <v>756</v>
      </c>
      <c r="D65" s="65"/>
      <c r="E65" s="65">
        <v>756</v>
      </c>
      <c r="F65" s="65">
        <v>48</v>
      </c>
      <c r="G65" s="65"/>
      <c r="H65" s="65"/>
      <c r="I65" s="65"/>
      <c r="J65" s="65"/>
      <c r="K65" s="65"/>
      <c r="L65" s="65"/>
      <c r="M65" s="66"/>
    </row>
    <row r="66" spans="1:13" ht="19.5" customHeight="1" x14ac:dyDescent="0.25">
      <c r="A66" s="78">
        <v>60</v>
      </c>
      <c r="B66" s="64" t="s">
        <v>55</v>
      </c>
      <c r="C66" s="65">
        <f t="shared" si="0"/>
        <v>3123</v>
      </c>
      <c r="D66" s="65"/>
      <c r="E66" s="65">
        <v>3123</v>
      </c>
      <c r="F66" s="65">
        <v>711</v>
      </c>
      <c r="G66" s="65"/>
      <c r="H66" s="65"/>
      <c r="I66" s="65"/>
      <c r="J66" s="65">
        <v>8</v>
      </c>
      <c r="K66" s="65">
        <v>6</v>
      </c>
      <c r="L66" s="65"/>
      <c r="M66" s="66"/>
    </row>
    <row r="67" spans="1:13" ht="16.5" customHeight="1" x14ac:dyDescent="0.25">
      <c r="A67" s="78">
        <v>61</v>
      </c>
      <c r="B67" s="64" t="s">
        <v>50</v>
      </c>
      <c r="C67" s="65">
        <f t="shared" si="0"/>
        <v>1395</v>
      </c>
      <c r="D67" s="65"/>
      <c r="E67" s="65">
        <v>1395</v>
      </c>
      <c r="F67" s="65">
        <v>104</v>
      </c>
      <c r="G67" s="65"/>
      <c r="H67" s="65"/>
      <c r="I67" s="65"/>
      <c r="J67" s="65"/>
      <c r="K67" s="65">
        <f>0+4</f>
        <v>4</v>
      </c>
      <c r="L67" s="65"/>
      <c r="M67" s="66"/>
    </row>
    <row r="68" spans="1:13" ht="16.5" customHeight="1" x14ac:dyDescent="0.25">
      <c r="A68" s="78">
        <v>62</v>
      </c>
      <c r="B68" s="64" t="s">
        <v>51</v>
      </c>
      <c r="C68" s="65">
        <f t="shared" si="0"/>
        <v>2356</v>
      </c>
      <c r="D68" s="65"/>
      <c r="E68" s="65">
        <v>2356</v>
      </c>
      <c r="F68" s="65">
        <v>183</v>
      </c>
      <c r="G68" s="65"/>
      <c r="H68" s="65"/>
      <c r="I68" s="65"/>
      <c r="J68" s="65"/>
      <c r="K68" s="65"/>
      <c r="L68" s="65"/>
      <c r="M68" s="66"/>
    </row>
    <row r="69" spans="1:13" ht="16.5" customHeight="1" x14ac:dyDescent="0.25">
      <c r="A69" s="78">
        <v>63</v>
      </c>
      <c r="B69" s="64" t="s">
        <v>52</v>
      </c>
      <c r="C69" s="65">
        <f t="shared" si="0"/>
        <v>1049</v>
      </c>
      <c r="D69" s="65"/>
      <c r="E69" s="65">
        <v>1049</v>
      </c>
      <c r="F69" s="65">
        <v>79</v>
      </c>
      <c r="G69" s="65"/>
      <c r="H69" s="65"/>
      <c r="I69" s="65"/>
      <c r="J69" s="65"/>
      <c r="K69" s="65"/>
      <c r="L69" s="65"/>
      <c r="M69" s="66"/>
    </row>
    <row r="70" spans="1:13" ht="16.5" customHeight="1" x14ac:dyDescent="0.25">
      <c r="A70" s="78">
        <v>64</v>
      </c>
      <c r="B70" s="64" t="s">
        <v>14</v>
      </c>
      <c r="C70" s="65">
        <f t="shared" si="0"/>
        <v>1112</v>
      </c>
      <c r="D70" s="65"/>
      <c r="E70" s="65">
        <v>1112</v>
      </c>
      <c r="F70" s="65">
        <v>86</v>
      </c>
      <c r="G70" s="65"/>
      <c r="H70" s="65"/>
      <c r="I70" s="65"/>
      <c r="J70" s="65"/>
      <c r="K70" s="65"/>
      <c r="L70" s="65"/>
      <c r="M70" s="66"/>
    </row>
    <row r="71" spans="1:13" ht="16.5" customHeight="1" x14ac:dyDescent="0.25">
      <c r="A71" s="78">
        <v>65</v>
      </c>
      <c r="B71" s="64" t="s">
        <v>53</v>
      </c>
      <c r="C71" s="65">
        <f t="shared" si="0"/>
        <v>2217</v>
      </c>
      <c r="D71" s="65"/>
      <c r="E71" s="65">
        <v>2217</v>
      </c>
      <c r="F71" s="65">
        <v>172</v>
      </c>
      <c r="G71" s="65"/>
      <c r="H71" s="65"/>
      <c r="I71" s="65"/>
      <c r="J71" s="65"/>
      <c r="K71" s="65"/>
      <c r="L71" s="65"/>
      <c r="M71" s="66"/>
    </row>
    <row r="72" spans="1:13" ht="30" customHeight="1" x14ac:dyDescent="0.25">
      <c r="A72" s="78">
        <v>66</v>
      </c>
      <c r="B72" s="64" t="s">
        <v>337</v>
      </c>
      <c r="C72" s="65">
        <f t="shared" ref="C72:C135" si="1">D72+E72+M72</f>
        <v>910</v>
      </c>
      <c r="D72" s="65"/>
      <c r="E72" s="65">
        <v>910</v>
      </c>
      <c r="F72" s="65">
        <v>145</v>
      </c>
      <c r="G72" s="65"/>
      <c r="H72" s="65"/>
      <c r="I72" s="65"/>
      <c r="J72" s="65"/>
      <c r="K72" s="65"/>
      <c r="L72" s="65"/>
      <c r="M72" s="66"/>
    </row>
    <row r="73" spans="1:13" ht="39" customHeight="1" x14ac:dyDescent="0.25">
      <c r="A73" s="78">
        <v>67</v>
      </c>
      <c r="B73" s="64" t="s">
        <v>338</v>
      </c>
      <c r="C73" s="65">
        <f t="shared" si="1"/>
        <v>1195</v>
      </c>
      <c r="D73" s="65"/>
      <c r="E73" s="65">
        <v>1195</v>
      </c>
      <c r="F73" s="65">
        <v>106</v>
      </c>
      <c r="G73" s="65"/>
      <c r="H73" s="65"/>
      <c r="I73" s="65"/>
      <c r="J73" s="65"/>
      <c r="K73" s="65"/>
      <c r="L73" s="65"/>
      <c r="M73" s="66"/>
    </row>
    <row r="74" spans="1:13" ht="37.5" customHeight="1" x14ac:dyDescent="0.25">
      <c r="A74" s="78">
        <v>68</v>
      </c>
      <c r="B74" s="64" t="s">
        <v>339</v>
      </c>
      <c r="C74" s="65">
        <f t="shared" si="1"/>
        <v>1544</v>
      </c>
      <c r="D74" s="65"/>
      <c r="E74" s="65">
        <v>1544</v>
      </c>
      <c r="F74" s="65">
        <v>1544</v>
      </c>
      <c r="G74" s="65"/>
      <c r="H74" s="65"/>
      <c r="I74" s="65"/>
      <c r="J74" s="65"/>
      <c r="K74" s="65"/>
      <c r="L74" s="65"/>
      <c r="M74" s="66"/>
    </row>
    <row r="75" spans="1:13" ht="24" customHeight="1" x14ac:dyDescent="0.25">
      <c r="A75" s="78">
        <v>69</v>
      </c>
      <c r="B75" s="79" t="s">
        <v>340</v>
      </c>
      <c r="C75" s="65">
        <f t="shared" si="1"/>
        <v>1000</v>
      </c>
      <c r="D75" s="65"/>
      <c r="E75" s="65">
        <v>1000</v>
      </c>
      <c r="F75" s="65"/>
      <c r="G75" s="65"/>
      <c r="H75" s="65"/>
      <c r="I75" s="65"/>
      <c r="J75" s="65"/>
      <c r="K75" s="65"/>
      <c r="L75" s="65"/>
      <c r="M75" s="66"/>
    </row>
    <row r="76" spans="1:13" ht="37.5" customHeight="1" x14ac:dyDescent="0.25">
      <c r="A76" s="78">
        <v>70</v>
      </c>
      <c r="B76" s="64" t="s">
        <v>341</v>
      </c>
      <c r="C76" s="65">
        <f t="shared" si="1"/>
        <v>2265</v>
      </c>
      <c r="D76" s="65"/>
      <c r="E76" s="65">
        <v>2265</v>
      </c>
      <c r="F76" s="65">
        <v>359</v>
      </c>
      <c r="G76" s="65"/>
      <c r="H76" s="65"/>
      <c r="I76" s="65"/>
      <c r="J76" s="65"/>
      <c r="K76" s="65"/>
      <c r="L76" s="65"/>
      <c r="M76" s="66"/>
    </row>
    <row r="77" spans="1:13" ht="27" customHeight="1" x14ac:dyDescent="0.25">
      <c r="A77" s="78">
        <v>71</v>
      </c>
      <c r="B77" s="64" t="s">
        <v>342</v>
      </c>
      <c r="C77" s="65">
        <f t="shared" si="1"/>
        <v>3826</v>
      </c>
      <c r="D77" s="65"/>
      <c r="E77" s="65">
        <v>3826</v>
      </c>
      <c r="F77" s="65">
        <v>493</v>
      </c>
      <c r="G77" s="65"/>
      <c r="H77" s="65"/>
      <c r="I77" s="65"/>
      <c r="J77" s="65"/>
      <c r="K77" s="65"/>
      <c r="L77" s="65"/>
      <c r="M77" s="66"/>
    </row>
    <row r="78" spans="1:13" ht="17.25" customHeight="1" x14ac:dyDescent="0.25">
      <c r="A78" s="78">
        <v>72</v>
      </c>
      <c r="B78" s="64" t="s">
        <v>343</v>
      </c>
      <c r="C78" s="65">
        <f t="shared" si="1"/>
        <v>747</v>
      </c>
      <c r="D78" s="65"/>
      <c r="E78" s="65">
        <f>506+241</f>
        <v>747</v>
      </c>
      <c r="F78" s="65"/>
      <c r="G78" s="65">
        <f>506+241</f>
        <v>747</v>
      </c>
      <c r="H78" s="65"/>
      <c r="I78" s="65"/>
      <c r="J78" s="65"/>
      <c r="K78" s="65"/>
      <c r="L78" s="65"/>
      <c r="M78" s="66"/>
    </row>
    <row r="79" spans="1:13" ht="16.5" customHeight="1" x14ac:dyDescent="0.25">
      <c r="A79" s="78">
        <v>73</v>
      </c>
      <c r="B79" s="64" t="s">
        <v>344</v>
      </c>
      <c r="C79" s="65">
        <f t="shared" si="1"/>
        <v>20</v>
      </c>
      <c r="D79" s="65"/>
      <c r="E79" s="65">
        <v>20</v>
      </c>
      <c r="F79" s="65"/>
      <c r="G79" s="65"/>
      <c r="H79" s="65"/>
      <c r="I79" s="65"/>
      <c r="J79" s="65"/>
      <c r="K79" s="65"/>
      <c r="L79" s="65"/>
      <c r="M79" s="66"/>
    </row>
    <row r="80" spans="1:13" ht="17.25" customHeight="1" x14ac:dyDescent="0.25">
      <c r="A80" s="78">
        <v>74</v>
      </c>
      <c r="B80" s="64" t="s">
        <v>345</v>
      </c>
      <c r="C80" s="65">
        <f t="shared" si="1"/>
        <v>20</v>
      </c>
      <c r="D80" s="65"/>
      <c r="E80" s="65">
        <v>20</v>
      </c>
      <c r="F80" s="65"/>
      <c r="G80" s="65"/>
      <c r="H80" s="65"/>
      <c r="I80" s="65"/>
      <c r="J80" s="65"/>
      <c r="K80" s="65"/>
      <c r="L80" s="65"/>
      <c r="M80" s="66"/>
    </row>
    <row r="81" spans="1:13" ht="18" customHeight="1" x14ac:dyDescent="0.25">
      <c r="A81" s="78">
        <v>75</v>
      </c>
      <c r="B81" s="71" t="s">
        <v>346</v>
      </c>
      <c r="C81" s="65">
        <f t="shared" si="1"/>
        <v>20</v>
      </c>
      <c r="D81" s="65"/>
      <c r="E81" s="65">
        <v>20</v>
      </c>
      <c r="F81" s="65"/>
      <c r="G81" s="65"/>
      <c r="H81" s="65"/>
      <c r="I81" s="65"/>
      <c r="J81" s="65"/>
      <c r="K81" s="65"/>
      <c r="L81" s="65"/>
      <c r="M81" s="66"/>
    </row>
    <row r="82" spans="1:13" ht="21" customHeight="1" x14ac:dyDescent="0.25">
      <c r="A82" s="78">
        <v>76</v>
      </c>
      <c r="B82" s="64" t="s">
        <v>347</v>
      </c>
      <c r="C82" s="65">
        <f t="shared" si="1"/>
        <v>150</v>
      </c>
      <c r="D82" s="65"/>
      <c r="E82" s="65">
        <v>150</v>
      </c>
      <c r="F82" s="65"/>
      <c r="G82" s="65"/>
      <c r="H82" s="65"/>
      <c r="I82" s="65"/>
      <c r="J82" s="65"/>
      <c r="K82" s="65"/>
      <c r="L82" s="65">
        <v>150</v>
      </c>
      <c r="M82" s="66"/>
    </row>
    <row r="83" spans="1:13" ht="16.5" customHeight="1" x14ac:dyDescent="0.25">
      <c r="A83" s="78">
        <v>77</v>
      </c>
      <c r="B83" s="64" t="s">
        <v>180</v>
      </c>
      <c r="C83" s="65">
        <f t="shared" si="1"/>
        <v>294</v>
      </c>
      <c r="D83" s="65"/>
      <c r="E83" s="65">
        <v>294</v>
      </c>
      <c r="F83" s="65"/>
      <c r="G83" s="65"/>
      <c r="H83" s="65"/>
      <c r="I83" s="65"/>
      <c r="J83" s="65"/>
      <c r="K83" s="65"/>
      <c r="L83" s="65">
        <v>80</v>
      </c>
      <c r="M83" s="66"/>
    </row>
    <row r="84" spans="1:13" ht="15" customHeight="1" x14ac:dyDescent="0.25">
      <c r="A84" s="78">
        <v>78</v>
      </c>
      <c r="B84" s="64" t="s">
        <v>348</v>
      </c>
      <c r="C84" s="65">
        <f t="shared" si="1"/>
        <v>20</v>
      </c>
      <c r="D84" s="65"/>
      <c r="E84" s="65">
        <v>20</v>
      </c>
      <c r="F84" s="65"/>
      <c r="G84" s="65"/>
      <c r="H84" s="65"/>
      <c r="I84" s="65"/>
      <c r="J84" s="65"/>
      <c r="K84" s="65"/>
      <c r="L84" s="65"/>
      <c r="M84" s="66"/>
    </row>
    <row r="85" spans="1:13" ht="18.75" customHeight="1" x14ac:dyDescent="0.25">
      <c r="A85" s="78">
        <v>79</v>
      </c>
      <c r="B85" s="64" t="s">
        <v>349</v>
      </c>
      <c r="C85" s="65">
        <f t="shared" si="1"/>
        <v>932</v>
      </c>
      <c r="D85" s="65"/>
      <c r="E85" s="65">
        <f>906+26</f>
        <v>932</v>
      </c>
      <c r="F85" s="65"/>
      <c r="G85" s="65">
        <f>506+26</f>
        <v>532</v>
      </c>
      <c r="H85" s="65">
        <v>400</v>
      </c>
      <c r="I85" s="65"/>
      <c r="J85" s="65"/>
      <c r="K85" s="65"/>
      <c r="L85" s="65"/>
      <c r="M85" s="66"/>
    </row>
    <row r="86" spans="1:13" ht="24" customHeight="1" x14ac:dyDescent="0.25">
      <c r="A86" s="78">
        <v>80</v>
      </c>
      <c r="B86" s="64" t="s">
        <v>350</v>
      </c>
      <c r="C86" s="65">
        <f t="shared" si="1"/>
        <v>20</v>
      </c>
      <c r="D86" s="65"/>
      <c r="E86" s="65">
        <v>20</v>
      </c>
      <c r="F86" s="65"/>
      <c r="G86" s="65"/>
      <c r="H86" s="65"/>
      <c r="I86" s="65"/>
      <c r="J86" s="65"/>
      <c r="K86" s="65"/>
      <c r="L86" s="65"/>
      <c r="M86" s="66"/>
    </row>
    <row r="87" spans="1:13" ht="15.75" customHeight="1" x14ac:dyDescent="0.25">
      <c r="A87" s="78">
        <v>81</v>
      </c>
      <c r="B87" s="64" t="s">
        <v>351</v>
      </c>
      <c r="C87" s="65">
        <f t="shared" si="1"/>
        <v>30</v>
      </c>
      <c r="D87" s="65"/>
      <c r="E87" s="65">
        <v>30</v>
      </c>
      <c r="F87" s="65"/>
      <c r="G87" s="65"/>
      <c r="H87" s="65"/>
      <c r="I87" s="65"/>
      <c r="J87" s="65"/>
      <c r="K87" s="65"/>
      <c r="L87" s="65"/>
      <c r="M87" s="66"/>
    </row>
    <row r="88" spans="1:13" ht="17.25" customHeight="1" x14ac:dyDescent="0.25">
      <c r="A88" s="78">
        <v>82</v>
      </c>
      <c r="B88" s="64" t="s">
        <v>352</v>
      </c>
      <c r="C88" s="65">
        <f t="shared" si="1"/>
        <v>20</v>
      </c>
      <c r="D88" s="65"/>
      <c r="E88" s="65">
        <v>20</v>
      </c>
      <c r="F88" s="65"/>
      <c r="G88" s="65"/>
      <c r="H88" s="65"/>
      <c r="I88" s="65"/>
      <c r="J88" s="65"/>
      <c r="K88" s="65"/>
      <c r="L88" s="65"/>
      <c r="M88" s="66"/>
    </row>
    <row r="89" spans="1:13" ht="18.75" customHeight="1" x14ac:dyDescent="0.25">
      <c r="A89" s="78">
        <v>83</v>
      </c>
      <c r="B89" s="64" t="s">
        <v>353</v>
      </c>
      <c r="C89" s="65">
        <f t="shared" si="1"/>
        <v>20</v>
      </c>
      <c r="D89" s="65"/>
      <c r="E89" s="65">
        <v>20</v>
      </c>
      <c r="F89" s="65"/>
      <c r="G89" s="65"/>
      <c r="H89" s="65"/>
      <c r="I89" s="65"/>
      <c r="J89" s="65"/>
      <c r="K89" s="65"/>
      <c r="L89" s="65"/>
      <c r="M89" s="66"/>
    </row>
    <row r="90" spans="1:13" ht="15.75" customHeight="1" x14ac:dyDescent="0.25">
      <c r="A90" s="78">
        <v>84</v>
      </c>
      <c r="B90" s="64" t="s">
        <v>354</v>
      </c>
      <c r="C90" s="65">
        <f t="shared" si="1"/>
        <v>478</v>
      </c>
      <c r="D90" s="65"/>
      <c r="E90" s="65">
        <f>586-108</f>
        <v>478</v>
      </c>
      <c r="F90" s="65"/>
      <c r="G90" s="65">
        <f>506-108</f>
        <v>398</v>
      </c>
      <c r="H90" s="65"/>
      <c r="I90" s="65"/>
      <c r="J90" s="65"/>
      <c r="K90" s="65"/>
      <c r="L90" s="65"/>
      <c r="M90" s="66"/>
    </row>
    <row r="91" spans="1:13" ht="15.75" customHeight="1" x14ac:dyDescent="0.25">
      <c r="A91" s="80">
        <v>85</v>
      </c>
      <c r="B91" s="64" t="s">
        <v>355</v>
      </c>
      <c r="C91" s="65">
        <f t="shared" si="1"/>
        <v>20</v>
      </c>
      <c r="D91" s="65"/>
      <c r="E91" s="65">
        <v>20</v>
      </c>
      <c r="F91" s="65"/>
      <c r="G91" s="65"/>
      <c r="H91" s="65"/>
      <c r="I91" s="65"/>
      <c r="J91" s="65"/>
      <c r="K91" s="65"/>
      <c r="L91" s="65"/>
      <c r="M91" s="66"/>
    </row>
    <row r="92" spans="1:13" ht="17.25" customHeight="1" x14ac:dyDescent="0.25">
      <c r="A92" s="78">
        <v>86</v>
      </c>
      <c r="B92" s="64" t="s">
        <v>356</v>
      </c>
      <c r="C92" s="65">
        <f t="shared" si="1"/>
        <v>276</v>
      </c>
      <c r="D92" s="65"/>
      <c r="E92" s="65">
        <v>276</v>
      </c>
      <c r="F92" s="65"/>
      <c r="G92" s="65"/>
      <c r="H92" s="65"/>
      <c r="I92" s="65"/>
      <c r="J92" s="65"/>
      <c r="K92" s="65"/>
      <c r="L92" s="65"/>
      <c r="M92" s="66"/>
    </row>
    <row r="93" spans="1:13" ht="39" customHeight="1" x14ac:dyDescent="0.25">
      <c r="A93" s="78">
        <v>87</v>
      </c>
      <c r="B93" s="64" t="s">
        <v>357</v>
      </c>
      <c r="C93" s="65">
        <f t="shared" si="1"/>
        <v>869</v>
      </c>
      <c r="D93" s="65"/>
      <c r="E93" s="65">
        <v>869</v>
      </c>
      <c r="F93" s="65"/>
      <c r="G93" s="65"/>
      <c r="H93" s="65"/>
      <c r="I93" s="65"/>
      <c r="J93" s="65"/>
      <c r="K93" s="65"/>
      <c r="L93" s="65"/>
      <c r="M93" s="66"/>
    </row>
    <row r="94" spans="1:13" ht="18.75" customHeight="1" x14ac:dyDescent="0.25">
      <c r="A94" s="78">
        <v>88</v>
      </c>
      <c r="B94" s="64" t="s">
        <v>358</v>
      </c>
      <c r="C94" s="65">
        <f t="shared" si="1"/>
        <v>382</v>
      </c>
      <c r="D94" s="65"/>
      <c r="E94" s="65">
        <v>382</v>
      </c>
      <c r="F94" s="65"/>
      <c r="G94" s="65"/>
      <c r="H94" s="65"/>
      <c r="I94" s="65"/>
      <c r="J94" s="65"/>
      <c r="K94" s="65"/>
      <c r="L94" s="65"/>
      <c r="M94" s="66"/>
    </row>
    <row r="95" spans="1:13" ht="19.5" customHeight="1" x14ac:dyDescent="0.25">
      <c r="A95" s="78">
        <v>89</v>
      </c>
      <c r="B95" s="64" t="s">
        <v>178</v>
      </c>
      <c r="C95" s="65">
        <f t="shared" si="1"/>
        <v>1139</v>
      </c>
      <c r="D95" s="65"/>
      <c r="E95" s="65">
        <v>1139</v>
      </c>
      <c r="F95" s="65"/>
      <c r="G95" s="65"/>
      <c r="H95" s="65"/>
      <c r="I95" s="65">
        <v>168</v>
      </c>
      <c r="J95" s="65"/>
      <c r="K95" s="65"/>
      <c r="L95" s="65"/>
      <c r="M95" s="66"/>
    </row>
    <row r="96" spans="1:13" ht="15" customHeight="1" x14ac:dyDescent="0.25">
      <c r="A96" s="78">
        <v>90</v>
      </c>
      <c r="B96" s="64" t="s">
        <v>359</v>
      </c>
      <c r="C96" s="65">
        <f t="shared" si="1"/>
        <v>2269</v>
      </c>
      <c r="D96" s="65"/>
      <c r="E96" s="65">
        <v>2269</v>
      </c>
      <c r="F96" s="65">
        <v>2269</v>
      </c>
      <c r="G96" s="65"/>
      <c r="H96" s="65"/>
      <c r="I96" s="65"/>
      <c r="J96" s="65">
        <v>50</v>
      </c>
      <c r="K96" s="65"/>
      <c r="L96" s="65"/>
      <c r="M96" s="66"/>
    </row>
    <row r="97" spans="1:13" ht="15" customHeight="1" x14ac:dyDescent="0.25">
      <c r="A97" s="78">
        <v>91</v>
      </c>
      <c r="B97" s="64" t="s">
        <v>360</v>
      </c>
      <c r="C97" s="65">
        <f t="shared" si="1"/>
        <v>1939</v>
      </c>
      <c r="D97" s="65"/>
      <c r="E97" s="65">
        <v>1939</v>
      </c>
      <c r="F97" s="65">
        <v>1939</v>
      </c>
      <c r="G97" s="65"/>
      <c r="H97" s="65"/>
      <c r="I97" s="65"/>
      <c r="J97" s="65">
        <v>40</v>
      </c>
      <c r="K97" s="65"/>
      <c r="L97" s="65"/>
      <c r="M97" s="66"/>
    </row>
    <row r="98" spans="1:13" ht="15" customHeight="1" x14ac:dyDescent="0.25">
      <c r="A98" s="78">
        <v>92</v>
      </c>
      <c r="B98" s="64" t="s">
        <v>361</v>
      </c>
      <c r="C98" s="65">
        <f t="shared" si="1"/>
        <v>2673</v>
      </c>
      <c r="D98" s="65"/>
      <c r="E98" s="65">
        <v>2673</v>
      </c>
      <c r="F98" s="65">
        <v>2673</v>
      </c>
      <c r="G98" s="65"/>
      <c r="H98" s="65"/>
      <c r="I98" s="65"/>
      <c r="J98" s="65">
        <v>30</v>
      </c>
      <c r="K98" s="65"/>
      <c r="L98" s="65"/>
      <c r="M98" s="66"/>
    </row>
    <row r="99" spans="1:13" ht="15" customHeight="1" x14ac:dyDescent="0.25">
      <c r="A99" s="78">
        <v>93</v>
      </c>
      <c r="B99" s="64" t="s">
        <v>362</v>
      </c>
      <c r="C99" s="65">
        <f t="shared" si="1"/>
        <v>3257</v>
      </c>
      <c r="D99" s="65"/>
      <c r="E99" s="65">
        <v>3257</v>
      </c>
      <c r="F99" s="65">
        <v>3257</v>
      </c>
      <c r="G99" s="65"/>
      <c r="H99" s="65"/>
      <c r="I99" s="65"/>
      <c r="J99" s="65">
        <v>100</v>
      </c>
      <c r="K99" s="65"/>
      <c r="L99" s="65"/>
      <c r="M99" s="66"/>
    </row>
    <row r="100" spans="1:13" ht="15" customHeight="1" x14ac:dyDescent="0.25">
      <c r="A100" s="78">
        <v>94</v>
      </c>
      <c r="B100" s="64" t="s">
        <v>363</v>
      </c>
      <c r="C100" s="65">
        <f t="shared" si="1"/>
        <v>1219</v>
      </c>
      <c r="D100" s="65"/>
      <c r="E100" s="65">
        <v>1219</v>
      </c>
      <c r="F100" s="65">
        <v>1219</v>
      </c>
      <c r="G100" s="65"/>
      <c r="H100" s="65"/>
      <c r="I100" s="65"/>
      <c r="J100" s="65">
        <v>80</v>
      </c>
      <c r="K100" s="65"/>
      <c r="L100" s="65"/>
      <c r="M100" s="66"/>
    </row>
    <row r="101" spans="1:13" ht="18.75" customHeight="1" x14ac:dyDescent="0.25">
      <c r="A101" s="78">
        <v>95</v>
      </c>
      <c r="B101" s="64" t="s">
        <v>364</v>
      </c>
      <c r="C101" s="65">
        <f t="shared" si="1"/>
        <v>3623</v>
      </c>
      <c r="D101" s="65"/>
      <c r="E101" s="65">
        <v>3623</v>
      </c>
      <c r="F101" s="65"/>
      <c r="G101" s="70"/>
      <c r="H101" s="65">
        <v>454</v>
      </c>
      <c r="I101" s="65"/>
      <c r="J101" s="70"/>
      <c r="K101" s="70"/>
      <c r="L101" s="70"/>
      <c r="M101" s="66"/>
    </row>
    <row r="102" spans="1:13" ht="18.75" customHeight="1" x14ac:dyDescent="0.25">
      <c r="A102" s="78">
        <v>96</v>
      </c>
      <c r="B102" s="64" t="s">
        <v>365</v>
      </c>
      <c r="C102" s="65">
        <f t="shared" si="1"/>
        <v>1703</v>
      </c>
      <c r="D102" s="65"/>
      <c r="E102" s="65">
        <v>1703</v>
      </c>
      <c r="F102" s="65"/>
      <c r="G102" s="65"/>
      <c r="H102" s="65"/>
      <c r="I102" s="65"/>
      <c r="J102" s="65"/>
      <c r="K102" s="65"/>
      <c r="L102" s="65"/>
      <c r="M102" s="66"/>
    </row>
    <row r="103" spans="1:13" ht="18.75" customHeight="1" x14ac:dyDescent="0.25">
      <c r="A103" s="78">
        <v>97</v>
      </c>
      <c r="B103" s="64" t="s">
        <v>366</v>
      </c>
      <c r="C103" s="65">
        <f t="shared" si="1"/>
        <v>2986</v>
      </c>
      <c r="D103" s="65"/>
      <c r="E103" s="65">
        <v>2986</v>
      </c>
      <c r="F103" s="65"/>
      <c r="G103" s="65"/>
      <c r="H103" s="65">
        <v>1412</v>
      </c>
      <c r="I103" s="65"/>
      <c r="J103" s="65"/>
      <c r="K103" s="65"/>
      <c r="L103" s="65"/>
      <c r="M103" s="66"/>
    </row>
    <row r="104" spans="1:13" ht="18.75" customHeight="1" x14ac:dyDescent="0.25">
      <c r="A104" s="81">
        <v>98</v>
      </c>
      <c r="B104" s="64" t="s">
        <v>367</v>
      </c>
      <c r="C104" s="65">
        <f t="shared" si="1"/>
        <v>1226</v>
      </c>
      <c r="D104" s="65"/>
      <c r="E104" s="65">
        <v>1226</v>
      </c>
      <c r="F104" s="65"/>
      <c r="G104" s="65"/>
      <c r="H104" s="65"/>
      <c r="I104" s="65"/>
      <c r="J104" s="65"/>
      <c r="K104" s="65"/>
      <c r="L104" s="65"/>
      <c r="M104" s="66"/>
    </row>
    <row r="105" spans="1:13" s="68" customFormat="1" ht="18.75" customHeight="1" x14ac:dyDescent="0.25">
      <c r="A105" s="81">
        <v>99</v>
      </c>
      <c r="B105" s="64" t="s">
        <v>368</v>
      </c>
      <c r="C105" s="65">
        <f t="shared" si="1"/>
        <v>4220</v>
      </c>
      <c r="D105" s="65"/>
      <c r="E105" s="65">
        <v>4220</v>
      </c>
      <c r="F105" s="65"/>
      <c r="G105" s="65"/>
      <c r="H105" s="65">
        <v>606</v>
      </c>
      <c r="I105" s="65"/>
      <c r="J105" s="65"/>
      <c r="K105" s="65"/>
      <c r="L105" s="65"/>
      <c r="M105" s="67"/>
    </row>
    <row r="106" spans="1:13" ht="18.75" customHeight="1" x14ac:dyDescent="0.25">
      <c r="A106" s="81">
        <v>100</v>
      </c>
      <c r="B106" s="64" t="s">
        <v>369</v>
      </c>
      <c r="C106" s="65">
        <f t="shared" si="1"/>
        <v>1961</v>
      </c>
      <c r="D106" s="65"/>
      <c r="E106" s="65">
        <v>1961</v>
      </c>
      <c r="F106" s="65"/>
      <c r="G106" s="65"/>
      <c r="H106" s="65"/>
      <c r="I106" s="65"/>
      <c r="J106" s="65"/>
      <c r="K106" s="65"/>
      <c r="L106" s="65"/>
      <c r="M106" s="66"/>
    </row>
    <row r="107" spans="1:13" ht="18.75" customHeight="1" x14ac:dyDescent="0.25">
      <c r="A107" s="81">
        <v>101</v>
      </c>
      <c r="B107" s="64" t="s">
        <v>370</v>
      </c>
      <c r="C107" s="65">
        <f t="shared" si="1"/>
        <v>1984</v>
      </c>
      <c r="D107" s="65"/>
      <c r="E107" s="65">
        <v>1984</v>
      </c>
      <c r="F107" s="65"/>
      <c r="G107" s="65"/>
      <c r="H107" s="65"/>
      <c r="I107" s="65"/>
      <c r="J107" s="65"/>
      <c r="K107" s="65"/>
      <c r="L107" s="65"/>
      <c r="M107" s="66"/>
    </row>
    <row r="108" spans="1:13" ht="18.75" customHeight="1" x14ac:dyDescent="0.25">
      <c r="A108" s="81">
        <v>102</v>
      </c>
      <c r="B108" s="64" t="s">
        <v>371</v>
      </c>
      <c r="C108" s="65">
        <f t="shared" si="1"/>
        <v>1175</v>
      </c>
      <c r="D108" s="65"/>
      <c r="E108" s="65">
        <v>1175</v>
      </c>
      <c r="F108" s="65"/>
      <c r="G108" s="65"/>
      <c r="H108" s="65"/>
      <c r="I108" s="65"/>
      <c r="J108" s="65"/>
      <c r="K108" s="65"/>
      <c r="L108" s="65"/>
      <c r="M108" s="66"/>
    </row>
    <row r="109" spans="1:13" ht="18.75" customHeight="1" x14ac:dyDescent="0.25">
      <c r="A109" s="81">
        <v>103</v>
      </c>
      <c r="B109" s="64" t="s">
        <v>372</v>
      </c>
      <c r="C109" s="65">
        <f t="shared" si="1"/>
        <v>4784</v>
      </c>
      <c r="D109" s="65"/>
      <c r="E109" s="65">
        <v>4784</v>
      </c>
      <c r="F109" s="65"/>
      <c r="G109" s="65"/>
      <c r="H109" s="65">
        <v>934</v>
      </c>
      <c r="I109" s="65"/>
      <c r="J109" s="65"/>
      <c r="K109" s="65"/>
      <c r="L109" s="65"/>
      <c r="M109" s="66"/>
    </row>
    <row r="110" spans="1:13" ht="18.75" customHeight="1" x14ac:dyDescent="0.25">
      <c r="A110" s="81">
        <v>104</v>
      </c>
      <c r="B110" s="64" t="s">
        <v>373</v>
      </c>
      <c r="C110" s="65">
        <f t="shared" si="1"/>
        <v>1580</v>
      </c>
      <c r="D110" s="65"/>
      <c r="E110" s="65">
        <v>1580</v>
      </c>
      <c r="F110" s="65"/>
      <c r="G110" s="65"/>
      <c r="H110" s="65"/>
      <c r="I110" s="65"/>
      <c r="J110" s="65"/>
      <c r="K110" s="65"/>
      <c r="L110" s="65"/>
      <c r="M110" s="66"/>
    </row>
    <row r="111" spans="1:13" ht="18.75" customHeight="1" x14ac:dyDescent="0.25">
      <c r="A111" s="81">
        <v>105</v>
      </c>
      <c r="B111" s="64" t="s">
        <v>374</v>
      </c>
      <c r="C111" s="65">
        <f t="shared" si="1"/>
        <v>1511</v>
      </c>
      <c r="D111" s="65"/>
      <c r="E111" s="65">
        <v>1511</v>
      </c>
      <c r="F111" s="65"/>
      <c r="G111" s="65"/>
      <c r="H111" s="65"/>
      <c r="I111" s="65"/>
      <c r="J111" s="65"/>
      <c r="K111" s="65"/>
      <c r="L111" s="65"/>
      <c r="M111" s="66"/>
    </row>
    <row r="112" spans="1:13" ht="21" customHeight="1" x14ac:dyDescent="0.25">
      <c r="A112" s="81">
        <v>106</v>
      </c>
      <c r="B112" s="64" t="s">
        <v>375</v>
      </c>
      <c r="C112" s="65">
        <f t="shared" si="1"/>
        <v>3372</v>
      </c>
      <c r="D112" s="65"/>
      <c r="E112" s="65">
        <v>3372</v>
      </c>
      <c r="F112" s="65">
        <v>642</v>
      </c>
      <c r="G112" s="65"/>
      <c r="H112" s="65"/>
      <c r="I112" s="65"/>
      <c r="J112" s="65">
        <v>40</v>
      </c>
      <c r="K112" s="65"/>
      <c r="L112" s="65"/>
      <c r="M112" s="66"/>
    </row>
    <row r="113" spans="1:13" ht="19.5" customHeight="1" x14ac:dyDescent="0.25">
      <c r="A113" s="81">
        <v>107</v>
      </c>
      <c r="B113" s="64" t="s">
        <v>376</v>
      </c>
      <c r="C113" s="65">
        <f t="shared" si="1"/>
        <v>2596</v>
      </c>
      <c r="D113" s="65"/>
      <c r="E113" s="65">
        <v>2596</v>
      </c>
      <c r="F113" s="65"/>
      <c r="G113" s="65"/>
      <c r="H113" s="65"/>
      <c r="I113" s="65">
        <v>259</v>
      </c>
      <c r="J113" s="65"/>
      <c r="K113" s="65"/>
      <c r="L113" s="65"/>
      <c r="M113" s="66"/>
    </row>
    <row r="114" spans="1:13" ht="18" customHeight="1" x14ac:dyDescent="0.25">
      <c r="A114" s="81">
        <v>108</v>
      </c>
      <c r="B114" s="64" t="s">
        <v>377</v>
      </c>
      <c r="C114" s="65">
        <f t="shared" si="1"/>
        <v>1826</v>
      </c>
      <c r="D114" s="65"/>
      <c r="E114" s="65">
        <v>1826</v>
      </c>
      <c r="F114" s="65"/>
      <c r="G114" s="65"/>
      <c r="H114" s="65"/>
      <c r="I114" s="65"/>
      <c r="J114" s="65"/>
      <c r="K114" s="65"/>
      <c r="L114" s="65"/>
      <c r="M114" s="66"/>
    </row>
    <row r="115" spans="1:13" ht="16.5" customHeight="1" x14ac:dyDescent="0.25">
      <c r="A115" s="81">
        <v>109</v>
      </c>
      <c r="B115" s="64" t="s">
        <v>378</v>
      </c>
      <c r="C115" s="65">
        <f t="shared" si="1"/>
        <v>1076</v>
      </c>
      <c r="D115" s="65"/>
      <c r="E115" s="65">
        <v>1076</v>
      </c>
      <c r="F115" s="65"/>
      <c r="G115" s="65"/>
      <c r="H115" s="65"/>
      <c r="I115" s="65"/>
      <c r="J115" s="65"/>
      <c r="K115" s="65"/>
      <c r="L115" s="65"/>
      <c r="M115" s="66"/>
    </row>
    <row r="116" spans="1:13" ht="18" customHeight="1" x14ac:dyDescent="0.25">
      <c r="A116" s="81">
        <v>110</v>
      </c>
      <c r="B116" s="64" t="s">
        <v>379</v>
      </c>
      <c r="C116" s="65">
        <f t="shared" si="1"/>
        <v>2119</v>
      </c>
      <c r="D116" s="65"/>
      <c r="E116" s="65">
        <v>2119</v>
      </c>
      <c r="F116" s="65"/>
      <c r="G116" s="65"/>
      <c r="H116" s="65"/>
      <c r="I116" s="65">
        <v>429</v>
      </c>
      <c r="J116" s="65"/>
      <c r="K116" s="65"/>
      <c r="L116" s="65"/>
      <c r="M116" s="66"/>
    </row>
    <row r="117" spans="1:13" ht="19.5" customHeight="1" x14ac:dyDescent="0.25">
      <c r="A117" s="81">
        <v>111</v>
      </c>
      <c r="B117" s="64" t="s">
        <v>380</v>
      </c>
      <c r="C117" s="65">
        <f t="shared" si="1"/>
        <v>141</v>
      </c>
      <c r="D117" s="65"/>
      <c r="E117" s="65">
        <f>845-704</f>
        <v>141</v>
      </c>
      <c r="F117" s="65"/>
      <c r="G117" s="65"/>
      <c r="H117" s="65"/>
      <c r="I117" s="65"/>
      <c r="J117" s="65"/>
      <c r="K117" s="65"/>
      <c r="L117" s="65"/>
      <c r="M117" s="66"/>
    </row>
    <row r="118" spans="1:13" ht="40.5" customHeight="1" x14ac:dyDescent="0.25">
      <c r="A118" s="81"/>
      <c r="B118" s="64" t="s">
        <v>450</v>
      </c>
      <c r="C118" s="65">
        <f t="shared" si="1"/>
        <v>704</v>
      </c>
      <c r="D118" s="65"/>
      <c r="E118" s="65">
        <f>0+704</f>
        <v>704</v>
      </c>
      <c r="F118" s="65"/>
      <c r="G118" s="65"/>
      <c r="H118" s="65"/>
      <c r="I118" s="65"/>
      <c r="J118" s="65"/>
      <c r="K118" s="65"/>
      <c r="L118" s="65"/>
      <c r="M118" s="66"/>
    </row>
    <row r="119" spans="1:13" ht="19.5" customHeight="1" x14ac:dyDescent="0.25">
      <c r="A119" s="81">
        <v>112</v>
      </c>
      <c r="B119" s="64" t="s">
        <v>181</v>
      </c>
      <c r="C119" s="65">
        <f t="shared" si="1"/>
        <v>6707</v>
      </c>
      <c r="D119" s="65"/>
      <c r="E119" s="65">
        <v>6707</v>
      </c>
      <c r="F119" s="65"/>
      <c r="G119" s="65"/>
      <c r="H119" s="65">
        <v>1220</v>
      </c>
      <c r="I119" s="65">
        <v>502</v>
      </c>
      <c r="J119" s="65"/>
      <c r="K119" s="65"/>
      <c r="L119" s="65"/>
      <c r="M119" s="66"/>
    </row>
    <row r="120" spans="1:13" ht="18.75" customHeight="1" x14ac:dyDescent="0.25">
      <c r="A120" s="81">
        <v>113</v>
      </c>
      <c r="B120" s="64" t="s">
        <v>381</v>
      </c>
      <c r="C120" s="65">
        <f t="shared" si="1"/>
        <v>1964</v>
      </c>
      <c r="D120" s="65"/>
      <c r="E120" s="65">
        <v>1964</v>
      </c>
      <c r="F120" s="65">
        <v>1964</v>
      </c>
      <c r="G120" s="65"/>
      <c r="H120" s="65"/>
      <c r="I120" s="65"/>
      <c r="J120" s="65">
        <v>200</v>
      </c>
      <c r="K120" s="65"/>
      <c r="L120" s="65"/>
      <c r="M120" s="66"/>
    </row>
    <row r="121" spans="1:13" ht="19.5" customHeight="1" x14ac:dyDescent="0.25">
      <c r="A121" s="81">
        <v>114</v>
      </c>
      <c r="B121" s="64" t="s">
        <v>382</v>
      </c>
      <c r="C121" s="65">
        <f t="shared" si="1"/>
        <v>2608</v>
      </c>
      <c r="D121" s="65"/>
      <c r="E121" s="65">
        <v>2608</v>
      </c>
      <c r="F121" s="65"/>
      <c r="G121" s="65"/>
      <c r="H121" s="65">
        <v>436</v>
      </c>
      <c r="I121" s="65">
        <v>175</v>
      </c>
      <c r="J121" s="65"/>
      <c r="K121" s="65"/>
      <c r="L121" s="65"/>
      <c r="M121" s="66"/>
    </row>
    <row r="122" spans="1:13" ht="15" customHeight="1" x14ac:dyDescent="0.25">
      <c r="A122" s="81">
        <v>115</v>
      </c>
      <c r="B122" s="64" t="s">
        <v>383</v>
      </c>
      <c r="C122" s="65">
        <f t="shared" si="1"/>
        <v>687</v>
      </c>
      <c r="D122" s="65"/>
      <c r="E122" s="65">
        <v>687</v>
      </c>
      <c r="F122" s="65"/>
      <c r="G122" s="65"/>
      <c r="H122" s="65"/>
      <c r="I122" s="65"/>
      <c r="J122" s="65"/>
      <c r="K122" s="65"/>
      <c r="L122" s="65"/>
      <c r="M122" s="66"/>
    </row>
    <row r="123" spans="1:13" ht="17.25" customHeight="1" x14ac:dyDescent="0.25">
      <c r="A123" s="72">
        <f t="shared" ref="A123:A136" si="2">A122+1</f>
        <v>116</v>
      </c>
      <c r="B123" s="64" t="s">
        <v>87</v>
      </c>
      <c r="C123" s="65">
        <f t="shared" si="1"/>
        <v>683</v>
      </c>
      <c r="D123" s="65"/>
      <c r="E123" s="65">
        <v>683</v>
      </c>
      <c r="F123" s="65"/>
      <c r="G123" s="65"/>
      <c r="H123" s="65">
        <v>268</v>
      </c>
      <c r="I123" s="65">
        <v>341</v>
      </c>
      <c r="J123" s="65"/>
      <c r="K123" s="65"/>
      <c r="L123" s="65"/>
      <c r="M123" s="66"/>
    </row>
    <row r="124" spans="1:13" ht="16.5" customHeight="1" x14ac:dyDescent="0.25">
      <c r="A124" s="72">
        <f t="shared" si="2"/>
        <v>117</v>
      </c>
      <c r="B124" s="64" t="s">
        <v>139</v>
      </c>
      <c r="C124" s="65">
        <f t="shared" si="1"/>
        <v>1232</v>
      </c>
      <c r="D124" s="65"/>
      <c r="E124" s="65">
        <v>1232</v>
      </c>
      <c r="F124" s="65"/>
      <c r="G124" s="65"/>
      <c r="H124" s="65"/>
      <c r="I124" s="65"/>
      <c r="J124" s="65"/>
      <c r="K124" s="65"/>
      <c r="L124" s="65">
        <v>70</v>
      </c>
      <c r="M124" s="66"/>
    </row>
    <row r="125" spans="1:13" ht="16.5" customHeight="1" x14ac:dyDescent="0.25">
      <c r="A125" s="72">
        <f t="shared" si="2"/>
        <v>118</v>
      </c>
      <c r="B125" s="64" t="s">
        <v>88</v>
      </c>
      <c r="C125" s="65">
        <f t="shared" si="1"/>
        <v>2852</v>
      </c>
      <c r="D125" s="65"/>
      <c r="E125" s="65">
        <v>2852</v>
      </c>
      <c r="F125" s="65">
        <v>2852</v>
      </c>
      <c r="G125" s="65"/>
      <c r="H125" s="65">
        <v>26</v>
      </c>
      <c r="I125" s="65"/>
      <c r="J125" s="65">
        <v>872</v>
      </c>
      <c r="K125" s="65">
        <v>10</v>
      </c>
      <c r="L125" s="65"/>
      <c r="M125" s="66"/>
    </row>
    <row r="126" spans="1:13" ht="18" customHeight="1" x14ac:dyDescent="0.25">
      <c r="A126" s="72">
        <f t="shared" si="2"/>
        <v>119</v>
      </c>
      <c r="B126" s="64" t="s">
        <v>384</v>
      </c>
      <c r="C126" s="65">
        <f t="shared" si="1"/>
        <v>11677</v>
      </c>
      <c r="D126" s="65"/>
      <c r="E126" s="65">
        <v>11677</v>
      </c>
      <c r="F126" s="65"/>
      <c r="G126" s="65"/>
      <c r="H126" s="65">
        <v>11677</v>
      </c>
      <c r="I126" s="65"/>
      <c r="J126" s="65"/>
      <c r="K126" s="65"/>
      <c r="L126" s="65"/>
      <c r="M126" s="66"/>
    </row>
    <row r="127" spans="1:13" ht="16.5" customHeight="1" x14ac:dyDescent="0.25">
      <c r="A127" s="72">
        <f t="shared" si="2"/>
        <v>120</v>
      </c>
      <c r="B127" s="64" t="s">
        <v>152</v>
      </c>
      <c r="C127" s="65">
        <f t="shared" si="1"/>
        <v>360</v>
      </c>
      <c r="D127" s="65"/>
      <c r="E127" s="65">
        <v>360</v>
      </c>
      <c r="F127" s="65"/>
      <c r="G127" s="65"/>
      <c r="H127" s="65"/>
      <c r="I127" s="65"/>
      <c r="J127" s="65"/>
      <c r="K127" s="65"/>
      <c r="L127" s="65"/>
      <c r="M127" s="66"/>
    </row>
    <row r="128" spans="1:13" ht="15.75" customHeight="1" x14ac:dyDescent="0.25">
      <c r="A128" s="72">
        <f t="shared" si="2"/>
        <v>121</v>
      </c>
      <c r="B128" s="64" t="s">
        <v>140</v>
      </c>
      <c r="C128" s="65">
        <f t="shared" si="1"/>
        <v>6960</v>
      </c>
      <c r="D128" s="65"/>
      <c r="E128" s="65">
        <v>6960</v>
      </c>
      <c r="F128" s="65"/>
      <c r="G128" s="65"/>
      <c r="H128" s="65"/>
      <c r="I128" s="65"/>
      <c r="J128" s="65"/>
      <c r="K128" s="65"/>
      <c r="L128" s="65"/>
      <c r="M128" s="66"/>
    </row>
    <row r="129" spans="1:13" ht="18" customHeight="1" x14ac:dyDescent="0.25">
      <c r="A129" s="72">
        <f t="shared" si="2"/>
        <v>122</v>
      </c>
      <c r="B129" s="64" t="s">
        <v>141</v>
      </c>
      <c r="C129" s="65">
        <f t="shared" si="1"/>
        <v>1724</v>
      </c>
      <c r="D129" s="65"/>
      <c r="E129" s="65">
        <v>1724</v>
      </c>
      <c r="F129" s="65"/>
      <c r="G129" s="65"/>
      <c r="H129" s="65"/>
      <c r="I129" s="65"/>
      <c r="J129" s="65"/>
      <c r="K129" s="65"/>
      <c r="L129" s="65"/>
      <c r="M129" s="66"/>
    </row>
    <row r="130" spans="1:13" ht="15.75" customHeight="1" x14ac:dyDescent="0.25">
      <c r="A130" s="72">
        <f t="shared" si="2"/>
        <v>123</v>
      </c>
      <c r="B130" s="64" t="s">
        <v>142</v>
      </c>
      <c r="C130" s="65">
        <f t="shared" si="1"/>
        <v>2914</v>
      </c>
      <c r="D130" s="65"/>
      <c r="E130" s="65">
        <v>2914</v>
      </c>
      <c r="F130" s="65"/>
      <c r="G130" s="65"/>
      <c r="H130" s="65"/>
      <c r="I130" s="65"/>
      <c r="J130" s="65"/>
      <c r="K130" s="65"/>
      <c r="L130" s="65"/>
      <c r="M130" s="66"/>
    </row>
    <row r="131" spans="1:13" ht="15" customHeight="1" x14ac:dyDescent="0.25">
      <c r="A131" s="72">
        <f t="shared" si="2"/>
        <v>124</v>
      </c>
      <c r="B131" s="64" t="s">
        <v>153</v>
      </c>
      <c r="C131" s="65">
        <f t="shared" si="1"/>
        <v>305</v>
      </c>
      <c r="D131" s="65"/>
      <c r="E131" s="65">
        <f>507-202</f>
        <v>305</v>
      </c>
      <c r="F131" s="65"/>
      <c r="G131" s="65">
        <f>507-202</f>
        <v>305</v>
      </c>
      <c r="H131" s="65"/>
      <c r="I131" s="65"/>
      <c r="J131" s="65"/>
      <c r="K131" s="65"/>
      <c r="L131" s="65"/>
      <c r="M131" s="66"/>
    </row>
    <row r="132" spans="1:13" ht="16.5" customHeight="1" x14ac:dyDescent="0.25">
      <c r="A132" s="72">
        <f t="shared" si="2"/>
        <v>125</v>
      </c>
      <c r="B132" s="64" t="s">
        <v>154</v>
      </c>
      <c r="C132" s="65">
        <f t="shared" si="1"/>
        <v>1362</v>
      </c>
      <c r="D132" s="65"/>
      <c r="E132" s="65">
        <v>1362</v>
      </c>
      <c r="F132" s="65"/>
      <c r="G132" s="65"/>
      <c r="H132" s="65"/>
      <c r="I132" s="65">
        <v>1362</v>
      </c>
      <c r="J132" s="65"/>
      <c r="K132" s="65"/>
      <c r="L132" s="65"/>
      <c r="M132" s="66"/>
    </row>
    <row r="133" spans="1:13" ht="16.5" customHeight="1" x14ac:dyDescent="0.25">
      <c r="A133" s="72">
        <f t="shared" si="2"/>
        <v>126</v>
      </c>
      <c r="B133" s="64" t="s">
        <v>155</v>
      </c>
      <c r="C133" s="65">
        <f t="shared" si="1"/>
        <v>1407</v>
      </c>
      <c r="D133" s="65"/>
      <c r="E133" s="65">
        <v>1407</v>
      </c>
      <c r="F133" s="65"/>
      <c r="G133" s="65"/>
      <c r="H133" s="65"/>
      <c r="I133" s="65">
        <v>707</v>
      </c>
      <c r="J133" s="65"/>
      <c r="K133" s="65"/>
      <c r="L133" s="65"/>
      <c r="M133" s="66"/>
    </row>
    <row r="134" spans="1:13" ht="17.25" customHeight="1" x14ac:dyDescent="0.25">
      <c r="A134" s="72">
        <f t="shared" si="2"/>
        <v>127</v>
      </c>
      <c r="B134" s="69" t="s">
        <v>182</v>
      </c>
      <c r="C134" s="65">
        <f t="shared" si="1"/>
        <v>3798</v>
      </c>
      <c r="D134" s="65"/>
      <c r="E134" s="65">
        <v>3798</v>
      </c>
      <c r="F134" s="65"/>
      <c r="G134" s="65"/>
      <c r="H134" s="65">
        <v>639</v>
      </c>
      <c r="I134" s="65">
        <v>68</v>
      </c>
      <c r="J134" s="65"/>
      <c r="K134" s="65"/>
      <c r="L134" s="65"/>
      <c r="M134" s="66"/>
    </row>
    <row r="135" spans="1:13" ht="14.25" customHeight="1" x14ac:dyDescent="0.25">
      <c r="A135" s="72">
        <f t="shared" si="2"/>
        <v>128</v>
      </c>
      <c r="B135" s="64" t="s">
        <v>385</v>
      </c>
      <c r="C135" s="65">
        <f t="shared" si="1"/>
        <v>235</v>
      </c>
      <c r="D135" s="65"/>
      <c r="E135" s="65">
        <v>235</v>
      </c>
      <c r="F135" s="65"/>
      <c r="G135" s="65"/>
      <c r="H135" s="65"/>
      <c r="I135" s="65"/>
      <c r="J135" s="65"/>
      <c r="K135" s="65"/>
      <c r="L135" s="65"/>
      <c r="M135" s="66"/>
    </row>
    <row r="136" spans="1:13" s="68" customFormat="1" ht="16.5" customHeight="1" x14ac:dyDescent="0.25">
      <c r="A136" s="72">
        <f t="shared" si="2"/>
        <v>129</v>
      </c>
      <c r="B136" s="73" t="s">
        <v>386</v>
      </c>
      <c r="C136" s="70">
        <f>SUM(C137:C139)</f>
        <v>5315</v>
      </c>
      <c r="D136" s="70">
        <f t="shared" ref="D136:M136" si="3">SUM(D137:D139)</f>
        <v>90</v>
      </c>
      <c r="E136" s="70">
        <f t="shared" si="3"/>
        <v>4790</v>
      </c>
      <c r="F136" s="70">
        <f t="shared" si="3"/>
        <v>0</v>
      </c>
      <c r="G136" s="70">
        <f t="shared" si="3"/>
        <v>0</v>
      </c>
      <c r="H136" s="70">
        <f t="shared" si="3"/>
        <v>4790</v>
      </c>
      <c r="I136" s="70">
        <f t="shared" si="3"/>
        <v>0</v>
      </c>
      <c r="J136" s="70">
        <f t="shared" si="3"/>
        <v>0</v>
      </c>
      <c r="K136" s="70">
        <f t="shared" si="3"/>
        <v>0</v>
      </c>
      <c r="L136" s="70">
        <f t="shared" si="3"/>
        <v>0</v>
      </c>
      <c r="M136" s="70">
        <f t="shared" si="3"/>
        <v>435</v>
      </c>
    </row>
    <row r="137" spans="1:13" ht="13.5" customHeight="1" x14ac:dyDescent="0.25">
      <c r="A137" s="82"/>
      <c r="B137" s="74" t="s">
        <v>387</v>
      </c>
      <c r="C137" s="65">
        <f>D137+E137+M137</f>
        <v>4880</v>
      </c>
      <c r="D137" s="65">
        <v>90</v>
      </c>
      <c r="E137" s="65">
        <v>4790</v>
      </c>
      <c r="F137" s="65"/>
      <c r="G137" s="65"/>
      <c r="H137" s="65">
        <v>4790</v>
      </c>
      <c r="I137" s="65"/>
      <c r="J137" s="65"/>
      <c r="K137" s="65"/>
      <c r="L137" s="65"/>
      <c r="M137" s="66"/>
    </row>
    <row r="138" spans="1:13" ht="24" customHeight="1" x14ac:dyDescent="0.25">
      <c r="A138" s="72"/>
      <c r="B138" s="75" t="s">
        <v>388</v>
      </c>
      <c r="C138" s="65">
        <f t="shared" ref="C138:C141" si="4">D138+E138+M138</f>
        <v>360</v>
      </c>
      <c r="D138" s="65"/>
      <c r="E138" s="65"/>
      <c r="F138" s="65"/>
      <c r="G138" s="65"/>
      <c r="H138" s="65"/>
      <c r="I138" s="65"/>
      <c r="J138" s="65"/>
      <c r="K138" s="65"/>
      <c r="L138" s="65"/>
      <c r="M138" s="66">
        <v>360</v>
      </c>
    </row>
    <row r="139" spans="1:13" ht="26.25" customHeight="1" x14ac:dyDescent="0.25">
      <c r="A139" s="82"/>
      <c r="B139" s="75" t="s">
        <v>389</v>
      </c>
      <c r="C139" s="65">
        <f t="shared" si="4"/>
        <v>75</v>
      </c>
      <c r="D139" s="65"/>
      <c r="E139" s="65"/>
      <c r="F139" s="65"/>
      <c r="G139" s="65"/>
      <c r="H139" s="65"/>
      <c r="I139" s="65"/>
      <c r="J139" s="65"/>
      <c r="K139" s="65"/>
      <c r="L139" s="65"/>
      <c r="M139" s="66">
        <v>75</v>
      </c>
    </row>
    <row r="140" spans="1:13" ht="13.5" customHeight="1" x14ac:dyDescent="0.25">
      <c r="A140" s="82">
        <v>130</v>
      </c>
      <c r="B140" s="75" t="s">
        <v>390</v>
      </c>
      <c r="C140" s="65">
        <f t="shared" si="4"/>
        <v>25</v>
      </c>
      <c r="D140" s="65"/>
      <c r="E140" s="65">
        <f>0+25</f>
        <v>25</v>
      </c>
      <c r="F140" s="65"/>
      <c r="G140" s="65">
        <f>0+25</f>
        <v>25</v>
      </c>
      <c r="H140" s="65"/>
      <c r="I140" s="65"/>
      <c r="J140" s="65"/>
      <c r="K140" s="65"/>
      <c r="L140" s="65"/>
      <c r="M140" s="66"/>
    </row>
    <row r="141" spans="1:13" ht="16.5" customHeight="1" x14ac:dyDescent="0.25">
      <c r="A141" s="82"/>
      <c r="B141" s="64" t="s">
        <v>91</v>
      </c>
      <c r="C141" s="65">
        <f t="shared" si="4"/>
        <v>1079</v>
      </c>
      <c r="D141" s="65"/>
      <c r="E141" s="65">
        <f>1061+18</f>
        <v>1079</v>
      </c>
      <c r="F141" s="65"/>
      <c r="G141" s="65">
        <f>0+18</f>
        <v>18</v>
      </c>
      <c r="H141" s="65">
        <v>105</v>
      </c>
      <c r="I141" s="65"/>
      <c r="J141" s="65"/>
      <c r="K141" s="65"/>
      <c r="L141" s="65"/>
      <c r="M141" s="66"/>
    </row>
    <row r="142" spans="1:13" x14ac:dyDescent="0.25">
      <c r="A142" s="82"/>
      <c r="B142" s="73" t="s">
        <v>92</v>
      </c>
      <c r="C142" s="70">
        <f t="shared" ref="C142:M142" si="5">SUM(C7:C141)-C136</f>
        <v>254024</v>
      </c>
      <c r="D142" s="70">
        <f t="shared" si="5"/>
        <v>90</v>
      </c>
      <c r="E142" s="70">
        <f t="shared" si="5"/>
        <v>253499</v>
      </c>
      <c r="F142" s="70">
        <f t="shared" si="5"/>
        <v>33072</v>
      </c>
      <c r="G142" s="70">
        <f t="shared" si="5"/>
        <v>2025</v>
      </c>
      <c r="H142" s="70">
        <f t="shared" si="5"/>
        <v>27867</v>
      </c>
      <c r="I142" s="70">
        <f t="shared" si="5"/>
        <v>4011</v>
      </c>
      <c r="J142" s="70">
        <f t="shared" si="5"/>
        <v>1962</v>
      </c>
      <c r="K142" s="70">
        <f t="shared" si="5"/>
        <v>109</v>
      </c>
      <c r="L142" s="70">
        <f t="shared" si="5"/>
        <v>300</v>
      </c>
      <c r="M142" s="70">
        <f t="shared" si="5"/>
        <v>435</v>
      </c>
    </row>
    <row r="143" spans="1:13" s="84" customFormat="1" x14ac:dyDescent="0.25">
      <c r="A143" s="76"/>
      <c r="B143" s="83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</row>
    <row r="144" spans="1:13" x14ac:dyDescent="0.25">
      <c r="E144" s="76"/>
    </row>
  </sheetData>
  <mergeCells count="16">
    <mergeCell ref="L5:L6"/>
    <mergeCell ref="A1:M1"/>
    <mergeCell ref="L2:M2"/>
    <mergeCell ref="A3:A6"/>
    <mergeCell ref="B3:B6"/>
    <mergeCell ref="C3:C6"/>
    <mergeCell ref="E3:M3"/>
    <mergeCell ref="D4:D6"/>
    <mergeCell ref="E4:E6"/>
    <mergeCell ref="F4:L4"/>
    <mergeCell ref="M4:M6"/>
    <mergeCell ref="F5:F6"/>
    <mergeCell ref="G5:G6"/>
    <mergeCell ref="H5:H6"/>
    <mergeCell ref="I5:J5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="90" zoomScaleNormal="9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C87" sqref="C87"/>
    </sheetView>
  </sheetViews>
  <sheetFormatPr defaultRowHeight="12.75" x14ac:dyDescent="0.25"/>
  <cols>
    <col min="1" max="1" width="4.5703125" style="85" customWidth="1"/>
    <col min="2" max="2" width="42" style="86" customWidth="1"/>
    <col min="3" max="3" width="15.140625" style="85" customWidth="1"/>
    <col min="4" max="4" width="16.28515625" style="85" customWidth="1"/>
    <col min="5" max="5" width="19.140625" style="85" customWidth="1"/>
    <col min="6" max="6" width="15.42578125" style="85" customWidth="1"/>
    <col min="7" max="249" width="9.140625" style="85"/>
    <col min="250" max="250" width="60.7109375" style="85" customWidth="1"/>
    <col min="251" max="251" width="17" style="85" customWidth="1"/>
    <col min="252" max="252" width="22.42578125" style="85" customWidth="1"/>
    <col min="253" max="253" width="18.140625" style="85" customWidth="1"/>
    <col min="254" max="254" width="19.42578125" style="85" customWidth="1"/>
    <col min="255" max="255" width="18.5703125" style="85" customWidth="1"/>
    <col min="256" max="256" width="13.7109375" style="85" customWidth="1"/>
    <col min="257" max="258" width="21" style="85" customWidth="1"/>
    <col min="259" max="259" width="28.28515625" style="85" customWidth="1"/>
    <col min="260" max="260" width="17.42578125" style="85" customWidth="1"/>
    <col min="261" max="505" width="9.140625" style="85"/>
    <col min="506" max="506" width="60.7109375" style="85" customWidth="1"/>
    <col min="507" max="507" width="17" style="85" customWidth="1"/>
    <col min="508" max="508" width="22.42578125" style="85" customWidth="1"/>
    <col min="509" max="509" width="18.140625" style="85" customWidth="1"/>
    <col min="510" max="510" width="19.42578125" style="85" customWidth="1"/>
    <col min="511" max="511" width="18.5703125" style="85" customWidth="1"/>
    <col min="512" max="512" width="13.7109375" style="85" customWidth="1"/>
    <col min="513" max="514" width="21" style="85" customWidth="1"/>
    <col min="515" max="515" width="28.28515625" style="85" customWidth="1"/>
    <col min="516" max="516" width="17.42578125" style="85" customWidth="1"/>
    <col min="517" max="761" width="9.140625" style="85"/>
    <col min="762" max="762" width="60.7109375" style="85" customWidth="1"/>
    <col min="763" max="763" width="17" style="85" customWidth="1"/>
    <col min="764" max="764" width="22.42578125" style="85" customWidth="1"/>
    <col min="765" max="765" width="18.140625" style="85" customWidth="1"/>
    <col min="766" max="766" width="19.42578125" style="85" customWidth="1"/>
    <col min="767" max="767" width="18.5703125" style="85" customWidth="1"/>
    <col min="768" max="768" width="13.7109375" style="85" customWidth="1"/>
    <col min="769" max="770" width="21" style="85" customWidth="1"/>
    <col min="771" max="771" width="28.28515625" style="85" customWidth="1"/>
    <col min="772" max="772" width="17.42578125" style="85" customWidth="1"/>
    <col min="773" max="1017" width="9.140625" style="85"/>
    <col min="1018" max="1018" width="60.7109375" style="85" customWidth="1"/>
    <col min="1019" max="1019" width="17" style="85" customWidth="1"/>
    <col min="1020" max="1020" width="22.42578125" style="85" customWidth="1"/>
    <col min="1021" max="1021" width="18.140625" style="85" customWidth="1"/>
    <col min="1022" max="1022" width="19.42578125" style="85" customWidth="1"/>
    <col min="1023" max="1023" width="18.5703125" style="85" customWidth="1"/>
    <col min="1024" max="1024" width="13.7109375" style="85" customWidth="1"/>
    <col min="1025" max="1026" width="21" style="85" customWidth="1"/>
    <col min="1027" max="1027" width="28.28515625" style="85" customWidth="1"/>
    <col min="1028" max="1028" width="17.42578125" style="85" customWidth="1"/>
    <col min="1029" max="1273" width="9.140625" style="85"/>
    <col min="1274" max="1274" width="60.7109375" style="85" customWidth="1"/>
    <col min="1275" max="1275" width="17" style="85" customWidth="1"/>
    <col min="1276" max="1276" width="22.42578125" style="85" customWidth="1"/>
    <col min="1277" max="1277" width="18.140625" style="85" customWidth="1"/>
    <col min="1278" max="1278" width="19.42578125" style="85" customWidth="1"/>
    <col min="1279" max="1279" width="18.5703125" style="85" customWidth="1"/>
    <col min="1280" max="1280" width="13.7109375" style="85" customWidth="1"/>
    <col min="1281" max="1282" width="21" style="85" customWidth="1"/>
    <col min="1283" max="1283" width="28.28515625" style="85" customWidth="1"/>
    <col min="1284" max="1284" width="17.42578125" style="85" customWidth="1"/>
    <col min="1285" max="1529" width="9.140625" style="85"/>
    <col min="1530" max="1530" width="60.7109375" style="85" customWidth="1"/>
    <col min="1531" max="1531" width="17" style="85" customWidth="1"/>
    <col min="1532" max="1532" width="22.42578125" style="85" customWidth="1"/>
    <col min="1533" max="1533" width="18.140625" style="85" customWidth="1"/>
    <col min="1534" max="1534" width="19.42578125" style="85" customWidth="1"/>
    <col min="1535" max="1535" width="18.5703125" style="85" customWidth="1"/>
    <col min="1536" max="1536" width="13.7109375" style="85" customWidth="1"/>
    <col min="1537" max="1538" width="21" style="85" customWidth="1"/>
    <col min="1539" max="1539" width="28.28515625" style="85" customWidth="1"/>
    <col min="1540" max="1540" width="17.42578125" style="85" customWidth="1"/>
    <col min="1541" max="1785" width="9.140625" style="85"/>
    <col min="1786" max="1786" width="60.7109375" style="85" customWidth="1"/>
    <col min="1787" max="1787" width="17" style="85" customWidth="1"/>
    <col min="1788" max="1788" width="22.42578125" style="85" customWidth="1"/>
    <col min="1789" max="1789" width="18.140625" style="85" customWidth="1"/>
    <col min="1790" max="1790" width="19.42578125" style="85" customWidth="1"/>
    <col min="1791" max="1791" width="18.5703125" style="85" customWidth="1"/>
    <col min="1792" max="1792" width="13.7109375" style="85" customWidth="1"/>
    <col min="1793" max="1794" width="21" style="85" customWidth="1"/>
    <col min="1795" max="1795" width="28.28515625" style="85" customWidth="1"/>
    <col min="1796" max="1796" width="17.42578125" style="85" customWidth="1"/>
    <col min="1797" max="2041" width="9.140625" style="85"/>
    <col min="2042" max="2042" width="60.7109375" style="85" customWidth="1"/>
    <col min="2043" max="2043" width="17" style="85" customWidth="1"/>
    <col min="2044" max="2044" width="22.42578125" style="85" customWidth="1"/>
    <col min="2045" max="2045" width="18.140625" style="85" customWidth="1"/>
    <col min="2046" max="2046" width="19.42578125" style="85" customWidth="1"/>
    <col min="2047" max="2047" width="18.5703125" style="85" customWidth="1"/>
    <col min="2048" max="2048" width="13.7109375" style="85" customWidth="1"/>
    <col min="2049" max="2050" width="21" style="85" customWidth="1"/>
    <col min="2051" max="2051" width="28.28515625" style="85" customWidth="1"/>
    <col min="2052" max="2052" width="17.42578125" style="85" customWidth="1"/>
    <col min="2053" max="2297" width="9.140625" style="85"/>
    <col min="2298" max="2298" width="60.7109375" style="85" customWidth="1"/>
    <col min="2299" max="2299" width="17" style="85" customWidth="1"/>
    <col min="2300" max="2300" width="22.42578125" style="85" customWidth="1"/>
    <col min="2301" max="2301" width="18.140625" style="85" customWidth="1"/>
    <col min="2302" max="2302" width="19.42578125" style="85" customWidth="1"/>
    <col min="2303" max="2303" width="18.5703125" style="85" customWidth="1"/>
    <col min="2304" max="2304" width="13.7109375" style="85" customWidth="1"/>
    <col min="2305" max="2306" width="21" style="85" customWidth="1"/>
    <col min="2307" max="2307" width="28.28515625" style="85" customWidth="1"/>
    <col min="2308" max="2308" width="17.42578125" style="85" customWidth="1"/>
    <col min="2309" max="2553" width="9.140625" style="85"/>
    <col min="2554" max="2554" width="60.7109375" style="85" customWidth="1"/>
    <col min="2555" max="2555" width="17" style="85" customWidth="1"/>
    <col min="2556" max="2556" width="22.42578125" style="85" customWidth="1"/>
    <col min="2557" max="2557" width="18.140625" style="85" customWidth="1"/>
    <col min="2558" max="2558" width="19.42578125" style="85" customWidth="1"/>
    <col min="2559" max="2559" width="18.5703125" style="85" customWidth="1"/>
    <col min="2560" max="2560" width="13.7109375" style="85" customWidth="1"/>
    <col min="2561" max="2562" width="21" style="85" customWidth="1"/>
    <col min="2563" max="2563" width="28.28515625" style="85" customWidth="1"/>
    <col min="2564" max="2564" width="17.42578125" style="85" customWidth="1"/>
    <col min="2565" max="2809" width="9.140625" style="85"/>
    <col min="2810" max="2810" width="60.7109375" style="85" customWidth="1"/>
    <col min="2811" max="2811" width="17" style="85" customWidth="1"/>
    <col min="2812" max="2812" width="22.42578125" style="85" customWidth="1"/>
    <col min="2813" max="2813" width="18.140625" style="85" customWidth="1"/>
    <col min="2814" max="2814" width="19.42578125" style="85" customWidth="1"/>
    <col min="2815" max="2815" width="18.5703125" style="85" customWidth="1"/>
    <col min="2816" max="2816" width="13.7109375" style="85" customWidth="1"/>
    <col min="2817" max="2818" width="21" style="85" customWidth="1"/>
    <col min="2819" max="2819" width="28.28515625" style="85" customWidth="1"/>
    <col min="2820" max="2820" width="17.42578125" style="85" customWidth="1"/>
    <col min="2821" max="3065" width="9.140625" style="85"/>
    <col min="3066" max="3066" width="60.7109375" style="85" customWidth="1"/>
    <col min="3067" max="3067" width="17" style="85" customWidth="1"/>
    <col min="3068" max="3068" width="22.42578125" style="85" customWidth="1"/>
    <col min="3069" max="3069" width="18.140625" style="85" customWidth="1"/>
    <col min="3070" max="3070" width="19.42578125" style="85" customWidth="1"/>
    <col min="3071" max="3071" width="18.5703125" style="85" customWidth="1"/>
    <col min="3072" max="3072" width="13.7109375" style="85" customWidth="1"/>
    <col min="3073" max="3074" width="21" style="85" customWidth="1"/>
    <col min="3075" max="3075" width="28.28515625" style="85" customWidth="1"/>
    <col min="3076" max="3076" width="17.42578125" style="85" customWidth="1"/>
    <col min="3077" max="3321" width="9.140625" style="85"/>
    <col min="3322" max="3322" width="60.7109375" style="85" customWidth="1"/>
    <col min="3323" max="3323" width="17" style="85" customWidth="1"/>
    <col min="3324" max="3324" width="22.42578125" style="85" customWidth="1"/>
    <col min="3325" max="3325" width="18.140625" style="85" customWidth="1"/>
    <col min="3326" max="3326" width="19.42578125" style="85" customWidth="1"/>
    <col min="3327" max="3327" width="18.5703125" style="85" customWidth="1"/>
    <col min="3328" max="3328" width="13.7109375" style="85" customWidth="1"/>
    <col min="3329" max="3330" width="21" style="85" customWidth="1"/>
    <col min="3331" max="3331" width="28.28515625" style="85" customWidth="1"/>
    <col min="3332" max="3332" width="17.42578125" style="85" customWidth="1"/>
    <col min="3333" max="3577" width="9.140625" style="85"/>
    <col min="3578" max="3578" width="60.7109375" style="85" customWidth="1"/>
    <col min="3579" max="3579" width="17" style="85" customWidth="1"/>
    <col min="3580" max="3580" width="22.42578125" style="85" customWidth="1"/>
    <col min="3581" max="3581" width="18.140625" style="85" customWidth="1"/>
    <col min="3582" max="3582" width="19.42578125" style="85" customWidth="1"/>
    <col min="3583" max="3583" width="18.5703125" style="85" customWidth="1"/>
    <col min="3584" max="3584" width="13.7109375" style="85" customWidth="1"/>
    <col min="3585" max="3586" width="21" style="85" customWidth="1"/>
    <col min="3587" max="3587" width="28.28515625" style="85" customWidth="1"/>
    <col min="3588" max="3588" width="17.42578125" style="85" customWidth="1"/>
    <col min="3589" max="3833" width="9.140625" style="85"/>
    <col min="3834" max="3834" width="60.7109375" style="85" customWidth="1"/>
    <col min="3835" max="3835" width="17" style="85" customWidth="1"/>
    <col min="3836" max="3836" width="22.42578125" style="85" customWidth="1"/>
    <col min="3837" max="3837" width="18.140625" style="85" customWidth="1"/>
    <col min="3838" max="3838" width="19.42578125" style="85" customWidth="1"/>
    <col min="3839" max="3839" width="18.5703125" style="85" customWidth="1"/>
    <col min="3840" max="3840" width="13.7109375" style="85" customWidth="1"/>
    <col min="3841" max="3842" width="21" style="85" customWidth="1"/>
    <col min="3843" max="3843" width="28.28515625" style="85" customWidth="1"/>
    <col min="3844" max="3844" width="17.42578125" style="85" customWidth="1"/>
    <col min="3845" max="4089" width="9.140625" style="85"/>
    <col min="4090" max="4090" width="60.7109375" style="85" customWidth="1"/>
    <col min="4091" max="4091" width="17" style="85" customWidth="1"/>
    <col min="4092" max="4092" width="22.42578125" style="85" customWidth="1"/>
    <col min="4093" max="4093" width="18.140625" style="85" customWidth="1"/>
    <col min="4094" max="4094" width="19.42578125" style="85" customWidth="1"/>
    <col min="4095" max="4095" width="18.5703125" style="85" customWidth="1"/>
    <col min="4096" max="4096" width="13.7109375" style="85" customWidth="1"/>
    <col min="4097" max="4098" width="21" style="85" customWidth="1"/>
    <col min="4099" max="4099" width="28.28515625" style="85" customWidth="1"/>
    <col min="4100" max="4100" width="17.42578125" style="85" customWidth="1"/>
    <col min="4101" max="4345" width="9.140625" style="85"/>
    <col min="4346" max="4346" width="60.7109375" style="85" customWidth="1"/>
    <col min="4347" max="4347" width="17" style="85" customWidth="1"/>
    <col min="4348" max="4348" width="22.42578125" style="85" customWidth="1"/>
    <col min="4349" max="4349" width="18.140625" style="85" customWidth="1"/>
    <col min="4350" max="4350" width="19.42578125" style="85" customWidth="1"/>
    <col min="4351" max="4351" width="18.5703125" style="85" customWidth="1"/>
    <col min="4352" max="4352" width="13.7109375" style="85" customWidth="1"/>
    <col min="4353" max="4354" width="21" style="85" customWidth="1"/>
    <col min="4355" max="4355" width="28.28515625" style="85" customWidth="1"/>
    <col min="4356" max="4356" width="17.42578125" style="85" customWidth="1"/>
    <col min="4357" max="4601" width="9.140625" style="85"/>
    <col min="4602" max="4602" width="60.7109375" style="85" customWidth="1"/>
    <col min="4603" max="4603" width="17" style="85" customWidth="1"/>
    <col min="4604" max="4604" width="22.42578125" style="85" customWidth="1"/>
    <col min="4605" max="4605" width="18.140625" style="85" customWidth="1"/>
    <col min="4606" max="4606" width="19.42578125" style="85" customWidth="1"/>
    <col min="4607" max="4607" width="18.5703125" style="85" customWidth="1"/>
    <col min="4608" max="4608" width="13.7109375" style="85" customWidth="1"/>
    <col min="4609" max="4610" width="21" style="85" customWidth="1"/>
    <col min="4611" max="4611" width="28.28515625" style="85" customWidth="1"/>
    <col min="4612" max="4612" width="17.42578125" style="85" customWidth="1"/>
    <col min="4613" max="4857" width="9.140625" style="85"/>
    <col min="4858" max="4858" width="60.7109375" style="85" customWidth="1"/>
    <col min="4859" max="4859" width="17" style="85" customWidth="1"/>
    <col min="4860" max="4860" width="22.42578125" style="85" customWidth="1"/>
    <col min="4861" max="4861" width="18.140625" style="85" customWidth="1"/>
    <col min="4862" max="4862" width="19.42578125" style="85" customWidth="1"/>
    <col min="4863" max="4863" width="18.5703125" style="85" customWidth="1"/>
    <col min="4864" max="4864" width="13.7109375" style="85" customWidth="1"/>
    <col min="4865" max="4866" width="21" style="85" customWidth="1"/>
    <col min="4867" max="4867" width="28.28515625" style="85" customWidth="1"/>
    <col min="4868" max="4868" width="17.42578125" style="85" customWidth="1"/>
    <col min="4869" max="5113" width="9.140625" style="85"/>
    <col min="5114" max="5114" width="60.7109375" style="85" customWidth="1"/>
    <col min="5115" max="5115" width="17" style="85" customWidth="1"/>
    <col min="5116" max="5116" width="22.42578125" style="85" customWidth="1"/>
    <col min="5117" max="5117" width="18.140625" style="85" customWidth="1"/>
    <col min="5118" max="5118" width="19.42578125" style="85" customWidth="1"/>
    <col min="5119" max="5119" width="18.5703125" style="85" customWidth="1"/>
    <col min="5120" max="5120" width="13.7109375" style="85" customWidth="1"/>
    <col min="5121" max="5122" width="21" style="85" customWidth="1"/>
    <col min="5123" max="5123" width="28.28515625" style="85" customWidth="1"/>
    <col min="5124" max="5124" width="17.42578125" style="85" customWidth="1"/>
    <col min="5125" max="5369" width="9.140625" style="85"/>
    <col min="5370" max="5370" width="60.7109375" style="85" customWidth="1"/>
    <col min="5371" max="5371" width="17" style="85" customWidth="1"/>
    <col min="5372" max="5372" width="22.42578125" style="85" customWidth="1"/>
    <col min="5373" max="5373" width="18.140625" style="85" customWidth="1"/>
    <col min="5374" max="5374" width="19.42578125" style="85" customWidth="1"/>
    <col min="5375" max="5375" width="18.5703125" style="85" customWidth="1"/>
    <col min="5376" max="5376" width="13.7109375" style="85" customWidth="1"/>
    <col min="5377" max="5378" width="21" style="85" customWidth="1"/>
    <col min="5379" max="5379" width="28.28515625" style="85" customWidth="1"/>
    <col min="5380" max="5380" width="17.42578125" style="85" customWidth="1"/>
    <col min="5381" max="5625" width="9.140625" style="85"/>
    <col min="5626" max="5626" width="60.7109375" style="85" customWidth="1"/>
    <col min="5627" max="5627" width="17" style="85" customWidth="1"/>
    <col min="5628" max="5628" width="22.42578125" style="85" customWidth="1"/>
    <col min="5629" max="5629" width="18.140625" style="85" customWidth="1"/>
    <col min="5630" max="5630" width="19.42578125" style="85" customWidth="1"/>
    <col min="5631" max="5631" width="18.5703125" style="85" customWidth="1"/>
    <col min="5632" max="5632" width="13.7109375" style="85" customWidth="1"/>
    <col min="5633" max="5634" width="21" style="85" customWidth="1"/>
    <col min="5635" max="5635" width="28.28515625" style="85" customWidth="1"/>
    <col min="5636" max="5636" width="17.42578125" style="85" customWidth="1"/>
    <col min="5637" max="5881" width="9.140625" style="85"/>
    <col min="5882" max="5882" width="60.7109375" style="85" customWidth="1"/>
    <col min="5883" max="5883" width="17" style="85" customWidth="1"/>
    <col min="5884" max="5884" width="22.42578125" style="85" customWidth="1"/>
    <col min="5885" max="5885" width="18.140625" style="85" customWidth="1"/>
    <col min="5886" max="5886" width="19.42578125" style="85" customWidth="1"/>
    <col min="5887" max="5887" width="18.5703125" style="85" customWidth="1"/>
    <col min="5888" max="5888" width="13.7109375" style="85" customWidth="1"/>
    <col min="5889" max="5890" width="21" style="85" customWidth="1"/>
    <col min="5891" max="5891" width="28.28515625" style="85" customWidth="1"/>
    <col min="5892" max="5892" width="17.42578125" style="85" customWidth="1"/>
    <col min="5893" max="6137" width="9.140625" style="85"/>
    <col min="6138" max="6138" width="60.7109375" style="85" customWidth="1"/>
    <col min="6139" max="6139" width="17" style="85" customWidth="1"/>
    <col min="6140" max="6140" width="22.42578125" style="85" customWidth="1"/>
    <col min="6141" max="6141" width="18.140625" style="85" customWidth="1"/>
    <col min="6142" max="6142" width="19.42578125" style="85" customWidth="1"/>
    <col min="6143" max="6143" width="18.5703125" style="85" customWidth="1"/>
    <col min="6144" max="6144" width="13.7109375" style="85" customWidth="1"/>
    <col min="6145" max="6146" width="21" style="85" customWidth="1"/>
    <col min="6147" max="6147" width="28.28515625" style="85" customWidth="1"/>
    <col min="6148" max="6148" width="17.42578125" style="85" customWidth="1"/>
    <col min="6149" max="6393" width="9.140625" style="85"/>
    <col min="6394" max="6394" width="60.7109375" style="85" customWidth="1"/>
    <col min="6395" max="6395" width="17" style="85" customWidth="1"/>
    <col min="6396" max="6396" width="22.42578125" style="85" customWidth="1"/>
    <col min="6397" max="6397" width="18.140625" style="85" customWidth="1"/>
    <col min="6398" max="6398" width="19.42578125" style="85" customWidth="1"/>
    <col min="6399" max="6399" width="18.5703125" style="85" customWidth="1"/>
    <col min="6400" max="6400" width="13.7109375" style="85" customWidth="1"/>
    <col min="6401" max="6402" width="21" style="85" customWidth="1"/>
    <col min="6403" max="6403" width="28.28515625" style="85" customWidth="1"/>
    <col min="6404" max="6404" width="17.42578125" style="85" customWidth="1"/>
    <col min="6405" max="6649" width="9.140625" style="85"/>
    <col min="6650" max="6650" width="60.7109375" style="85" customWidth="1"/>
    <col min="6651" max="6651" width="17" style="85" customWidth="1"/>
    <col min="6652" max="6652" width="22.42578125" style="85" customWidth="1"/>
    <col min="6653" max="6653" width="18.140625" style="85" customWidth="1"/>
    <col min="6654" max="6654" width="19.42578125" style="85" customWidth="1"/>
    <col min="6655" max="6655" width="18.5703125" style="85" customWidth="1"/>
    <col min="6656" max="6656" width="13.7109375" style="85" customWidth="1"/>
    <col min="6657" max="6658" width="21" style="85" customWidth="1"/>
    <col min="6659" max="6659" width="28.28515625" style="85" customWidth="1"/>
    <col min="6660" max="6660" width="17.42578125" style="85" customWidth="1"/>
    <col min="6661" max="6905" width="9.140625" style="85"/>
    <col min="6906" max="6906" width="60.7109375" style="85" customWidth="1"/>
    <col min="6907" max="6907" width="17" style="85" customWidth="1"/>
    <col min="6908" max="6908" width="22.42578125" style="85" customWidth="1"/>
    <col min="6909" max="6909" width="18.140625" style="85" customWidth="1"/>
    <col min="6910" max="6910" width="19.42578125" style="85" customWidth="1"/>
    <col min="6911" max="6911" width="18.5703125" style="85" customWidth="1"/>
    <col min="6912" max="6912" width="13.7109375" style="85" customWidth="1"/>
    <col min="6913" max="6914" width="21" style="85" customWidth="1"/>
    <col min="6915" max="6915" width="28.28515625" style="85" customWidth="1"/>
    <col min="6916" max="6916" width="17.42578125" style="85" customWidth="1"/>
    <col min="6917" max="7161" width="9.140625" style="85"/>
    <col min="7162" max="7162" width="60.7109375" style="85" customWidth="1"/>
    <col min="7163" max="7163" width="17" style="85" customWidth="1"/>
    <col min="7164" max="7164" width="22.42578125" style="85" customWidth="1"/>
    <col min="7165" max="7165" width="18.140625" style="85" customWidth="1"/>
    <col min="7166" max="7166" width="19.42578125" style="85" customWidth="1"/>
    <col min="7167" max="7167" width="18.5703125" style="85" customWidth="1"/>
    <col min="7168" max="7168" width="13.7109375" style="85" customWidth="1"/>
    <col min="7169" max="7170" width="21" style="85" customWidth="1"/>
    <col min="7171" max="7171" width="28.28515625" style="85" customWidth="1"/>
    <col min="7172" max="7172" width="17.42578125" style="85" customWidth="1"/>
    <col min="7173" max="7417" width="9.140625" style="85"/>
    <col min="7418" max="7418" width="60.7109375" style="85" customWidth="1"/>
    <col min="7419" max="7419" width="17" style="85" customWidth="1"/>
    <col min="7420" max="7420" width="22.42578125" style="85" customWidth="1"/>
    <col min="7421" max="7421" width="18.140625" style="85" customWidth="1"/>
    <col min="7422" max="7422" width="19.42578125" style="85" customWidth="1"/>
    <col min="7423" max="7423" width="18.5703125" style="85" customWidth="1"/>
    <col min="7424" max="7424" width="13.7109375" style="85" customWidth="1"/>
    <col min="7425" max="7426" width="21" style="85" customWidth="1"/>
    <col min="7427" max="7427" width="28.28515625" style="85" customWidth="1"/>
    <col min="7428" max="7428" width="17.42578125" style="85" customWidth="1"/>
    <col min="7429" max="7673" width="9.140625" style="85"/>
    <col min="7674" max="7674" width="60.7109375" style="85" customWidth="1"/>
    <col min="7675" max="7675" width="17" style="85" customWidth="1"/>
    <col min="7676" max="7676" width="22.42578125" style="85" customWidth="1"/>
    <col min="7677" max="7677" width="18.140625" style="85" customWidth="1"/>
    <col min="7678" max="7678" width="19.42578125" style="85" customWidth="1"/>
    <col min="7679" max="7679" width="18.5703125" style="85" customWidth="1"/>
    <col min="7680" max="7680" width="13.7109375" style="85" customWidth="1"/>
    <col min="7681" max="7682" width="21" style="85" customWidth="1"/>
    <col min="7683" max="7683" width="28.28515625" style="85" customWidth="1"/>
    <col min="7684" max="7684" width="17.42578125" style="85" customWidth="1"/>
    <col min="7685" max="7929" width="9.140625" style="85"/>
    <col min="7930" max="7930" width="60.7109375" style="85" customWidth="1"/>
    <col min="7931" max="7931" width="17" style="85" customWidth="1"/>
    <col min="7932" max="7932" width="22.42578125" style="85" customWidth="1"/>
    <col min="7933" max="7933" width="18.140625" style="85" customWidth="1"/>
    <col min="7934" max="7934" width="19.42578125" style="85" customWidth="1"/>
    <col min="7935" max="7935" width="18.5703125" style="85" customWidth="1"/>
    <col min="7936" max="7936" width="13.7109375" style="85" customWidth="1"/>
    <col min="7937" max="7938" width="21" style="85" customWidth="1"/>
    <col min="7939" max="7939" width="28.28515625" style="85" customWidth="1"/>
    <col min="7940" max="7940" width="17.42578125" style="85" customWidth="1"/>
    <col min="7941" max="8185" width="9.140625" style="85"/>
    <col min="8186" max="8186" width="60.7109375" style="85" customWidth="1"/>
    <col min="8187" max="8187" width="17" style="85" customWidth="1"/>
    <col min="8188" max="8188" width="22.42578125" style="85" customWidth="1"/>
    <col min="8189" max="8189" width="18.140625" style="85" customWidth="1"/>
    <col min="8190" max="8190" width="19.42578125" style="85" customWidth="1"/>
    <col min="8191" max="8191" width="18.5703125" style="85" customWidth="1"/>
    <col min="8192" max="8192" width="13.7109375" style="85" customWidth="1"/>
    <col min="8193" max="8194" width="21" style="85" customWidth="1"/>
    <col min="8195" max="8195" width="28.28515625" style="85" customWidth="1"/>
    <col min="8196" max="8196" width="17.42578125" style="85" customWidth="1"/>
    <col min="8197" max="8441" width="9.140625" style="85"/>
    <col min="8442" max="8442" width="60.7109375" style="85" customWidth="1"/>
    <col min="8443" max="8443" width="17" style="85" customWidth="1"/>
    <col min="8444" max="8444" width="22.42578125" style="85" customWidth="1"/>
    <col min="8445" max="8445" width="18.140625" style="85" customWidth="1"/>
    <col min="8446" max="8446" width="19.42578125" style="85" customWidth="1"/>
    <col min="8447" max="8447" width="18.5703125" style="85" customWidth="1"/>
    <col min="8448" max="8448" width="13.7109375" style="85" customWidth="1"/>
    <col min="8449" max="8450" width="21" style="85" customWidth="1"/>
    <col min="8451" max="8451" width="28.28515625" style="85" customWidth="1"/>
    <col min="8452" max="8452" width="17.42578125" style="85" customWidth="1"/>
    <col min="8453" max="8697" width="9.140625" style="85"/>
    <col min="8698" max="8698" width="60.7109375" style="85" customWidth="1"/>
    <col min="8699" max="8699" width="17" style="85" customWidth="1"/>
    <col min="8700" max="8700" width="22.42578125" style="85" customWidth="1"/>
    <col min="8701" max="8701" width="18.140625" style="85" customWidth="1"/>
    <col min="8702" max="8702" width="19.42578125" style="85" customWidth="1"/>
    <col min="8703" max="8703" width="18.5703125" style="85" customWidth="1"/>
    <col min="8704" max="8704" width="13.7109375" style="85" customWidth="1"/>
    <col min="8705" max="8706" width="21" style="85" customWidth="1"/>
    <col min="8707" max="8707" width="28.28515625" style="85" customWidth="1"/>
    <col min="8708" max="8708" width="17.42578125" style="85" customWidth="1"/>
    <col min="8709" max="8953" width="9.140625" style="85"/>
    <col min="8954" max="8954" width="60.7109375" style="85" customWidth="1"/>
    <col min="8955" max="8955" width="17" style="85" customWidth="1"/>
    <col min="8956" max="8956" width="22.42578125" style="85" customWidth="1"/>
    <col min="8957" max="8957" width="18.140625" style="85" customWidth="1"/>
    <col min="8958" max="8958" width="19.42578125" style="85" customWidth="1"/>
    <col min="8959" max="8959" width="18.5703125" style="85" customWidth="1"/>
    <col min="8960" max="8960" width="13.7109375" style="85" customWidth="1"/>
    <col min="8961" max="8962" width="21" style="85" customWidth="1"/>
    <col min="8963" max="8963" width="28.28515625" style="85" customWidth="1"/>
    <col min="8964" max="8964" width="17.42578125" style="85" customWidth="1"/>
    <col min="8965" max="9209" width="9.140625" style="85"/>
    <col min="9210" max="9210" width="60.7109375" style="85" customWidth="1"/>
    <col min="9211" max="9211" width="17" style="85" customWidth="1"/>
    <col min="9212" max="9212" width="22.42578125" style="85" customWidth="1"/>
    <col min="9213" max="9213" width="18.140625" style="85" customWidth="1"/>
    <col min="9214" max="9214" width="19.42578125" style="85" customWidth="1"/>
    <col min="9215" max="9215" width="18.5703125" style="85" customWidth="1"/>
    <col min="9216" max="9216" width="13.7109375" style="85" customWidth="1"/>
    <col min="9217" max="9218" width="21" style="85" customWidth="1"/>
    <col min="9219" max="9219" width="28.28515625" style="85" customWidth="1"/>
    <col min="9220" max="9220" width="17.42578125" style="85" customWidth="1"/>
    <col min="9221" max="9465" width="9.140625" style="85"/>
    <col min="9466" max="9466" width="60.7109375" style="85" customWidth="1"/>
    <col min="9467" max="9467" width="17" style="85" customWidth="1"/>
    <col min="9468" max="9468" width="22.42578125" style="85" customWidth="1"/>
    <col min="9469" max="9469" width="18.140625" style="85" customWidth="1"/>
    <col min="9470" max="9470" width="19.42578125" style="85" customWidth="1"/>
    <col min="9471" max="9471" width="18.5703125" style="85" customWidth="1"/>
    <col min="9472" max="9472" width="13.7109375" style="85" customWidth="1"/>
    <col min="9473" max="9474" width="21" style="85" customWidth="1"/>
    <col min="9475" max="9475" width="28.28515625" style="85" customWidth="1"/>
    <col min="9476" max="9476" width="17.42578125" style="85" customWidth="1"/>
    <col min="9477" max="9721" width="9.140625" style="85"/>
    <col min="9722" max="9722" width="60.7109375" style="85" customWidth="1"/>
    <col min="9723" max="9723" width="17" style="85" customWidth="1"/>
    <col min="9724" max="9724" width="22.42578125" style="85" customWidth="1"/>
    <col min="9725" max="9725" width="18.140625" style="85" customWidth="1"/>
    <col min="9726" max="9726" width="19.42578125" style="85" customWidth="1"/>
    <col min="9727" max="9727" width="18.5703125" style="85" customWidth="1"/>
    <col min="9728" max="9728" width="13.7109375" style="85" customWidth="1"/>
    <col min="9729" max="9730" width="21" style="85" customWidth="1"/>
    <col min="9731" max="9731" width="28.28515625" style="85" customWidth="1"/>
    <col min="9732" max="9732" width="17.42578125" style="85" customWidth="1"/>
    <col min="9733" max="9977" width="9.140625" style="85"/>
    <col min="9978" max="9978" width="60.7109375" style="85" customWidth="1"/>
    <col min="9979" max="9979" width="17" style="85" customWidth="1"/>
    <col min="9980" max="9980" width="22.42578125" style="85" customWidth="1"/>
    <col min="9981" max="9981" width="18.140625" style="85" customWidth="1"/>
    <col min="9982" max="9982" width="19.42578125" style="85" customWidth="1"/>
    <col min="9983" max="9983" width="18.5703125" style="85" customWidth="1"/>
    <col min="9984" max="9984" width="13.7109375" style="85" customWidth="1"/>
    <col min="9985" max="9986" width="21" style="85" customWidth="1"/>
    <col min="9987" max="9987" width="28.28515625" style="85" customWidth="1"/>
    <col min="9988" max="9988" width="17.42578125" style="85" customWidth="1"/>
    <col min="9989" max="10233" width="9.140625" style="85"/>
    <col min="10234" max="10234" width="60.7109375" style="85" customWidth="1"/>
    <col min="10235" max="10235" width="17" style="85" customWidth="1"/>
    <col min="10236" max="10236" width="22.42578125" style="85" customWidth="1"/>
    <col min="10237" max="10237" width="18.140625" style="85" customWidth="1"/>
    <col min="10238" max="10238" width="19.42578125" style="85" customWidth="1"/>
    <col min="10239" max="10239" width="18.5703125" style="85" customWidth="1"/>
    <col min="10240" max="10240" width="13.7109375" style="85" customWidth="1"/>
    <col min="10241" max="10242" width="21" style="85" customWidth="1"/>
    <col min="10243" max="10243" width="28.28515625" style="85" customWidth="1"/>
    <col min="10244" max="10244" width="17.42578125" style="85" customWidth="1"/>
    <col min="10245" max="10489" width="9.140625" style="85"/>
    <col min="10490" max="10490" width="60.7109375" style="85" customWidth="1"/>
    <col min="10491" max="10491" width="17" style="85" customWidth="1"/>
    <col min="10492" max="10492" width="22.42578125" style="85" customWidth="1"/>
    <col min="10493" max="10493" width="18.140625" style="85" customWidth="1"/>
    <col min="10494" max="10494" width="19.42578125" style="85" customWidth="1"/>
    <col min="10495" max="10495" width="18.5703125" style="85" customWidth="1"/>
    <col min="10496" max="10496" width="13.7109375" style="85" customWidth="1"/>
    <col min="10497" max="10498" width="21" style="85" customWidth="1"/>
    <col min="10499" max="10499" width="28.28515625" style="85" customWidth="1"/>
    <col min="10500" max="10500" width="17.42578125" style="85" customWidth="1"/>
    <col min="10501" max="10745" width="9.140625" style="85"/>
    <col min="10746" max="10746" width="60.7109375" style="85" customWidth="1"/>
    <col min="10747" max="10747" width="17" style="85" customWidth="1"/>
    <col min="10748" max="10748" width="22.42578125" style="85" customWidth="1"/>
    <col min="10749" max="10749" width="18.140625" style="85" customWidth="1"/>
    <col min="10750" max="10750" width="19.42578125" style="85" customWidth="1"/>
    <col min="10751" max="10751" width="18.5703125" style="85" customWidth="1"/>
    <col min="10752" max="10752" width="13.7109375" style="85" customWidth="1"/>
    <col min="10753" max="10754" width="21" style="85" customWidth="1"/>
    <col min="10755" max="10755" width="28.28515625" style="85" customWidth="1"/>
    <col min="10756" max="10756" width="17.42578125" style="85" customWidth="1"/>
    <col min="10757" max="11001" width="9.140625" style="85"/>
    <col min="11002" max="11002" width="60.7109375" style="85" customWidth="1"/>
    <col min="11003" max="11003" width="17" style="85" customWidth="1"/>
    <col min="11004" max="11004" width="22.42578125" style="85" customWidth="1"/>
    <col min="11005" max="11005" width="18.140625" style="85" customWidth="1"/>
    <col min="11006" max="11006" width="19.42578125" style="85" customWidth="1"/>
    <col min="11007" max="11007" width="18.5703125" style="85" customWidth="1"/>
    <col min="11008" max="11008" width="13.7109375" style="85" customWidth="1"/>
    <col min="11009" max="11010" width="21" style="85" customWidth="1"/>
    <col min="11011" max="11011" width="28.28515625" style="85" customWidth="1"/>
    <col min="11012" max="11012" width="17.42578125" style="85" customWidth="1"/>
    <col min="11013" max="11257" width="9.140625" style="85"/>
    <col min="11258" max="11258" width="60.7109375" style="85" customWidth="1"/>
    <col min="11259" max="11259" width="17" style="85" customWidth="1"/>
    <col min="11260" max="11260" width="22.42578125" style="85" customWidth="1"/>
    <col min="11261" max="11261" width="18.140625" style="85" customWidth="1"/>
    <col min="11262" max="11262" width="19.42578125" style="85" customWidth="1"/>
    <col min="11263" max="11263" width="18.5703125" style="85" customWidth="1"/>
    <col min="11264" max="11264" width="13.7109375" style="85" customWidth="1"/>
    <col min="11265" max="11266" width="21" style="85" customWidth="1"/>
    <col min="11267" max="11267" width="28.28515625" style="85" customWidth="1"/>
    <col min="11268" max="11268" width="17.42578125" style="85" customWidth="1"/>
    <col min="11269" max="11513" width="9.140625" style="85"/>
    <col min="11514" max="11514" width="60.7109375" style="85" customWidth="1"/>
    <col min="11515" max="11515" width="17" style="85" customWidth="1"/>
    <col min="11516" max="11516" width="22.42578125" style="85" customWidth="1"/>
    <col min="11517" max="11517" width="18.140625" style="85" customWidth="1"/>
    <col min="11518" max="11518" width="19.42578125" style="85" customWidth="1"/>
    <col min="11519" max="11519" width="18.5703125" style="85" customWidth="1"/>
    <col min="11520" max="11520" width="13.7109375" style="85" customWidth="1"/>
    <col min="11521" max="11522" width="21" style="85" customWidth="1"/>
    <col min="11523" max="11523" width="28.28515625" style="85" customWidth="1"/>
    <col min="11524" max="11524" width="17.42578125" style="85" customWidth="1"/>
    <col min="11525" max="11769" width="9.140625" style="85"/>
    <col min="11770" max="11770" width="60.7109375" style="85" customWidth="1"/>
    <col min="11771" max="11771" width="17" style="85" customWidth="1"/>
    <col min="11772" max="11772" width="22.42578125" style="85" customWidth="1"/>
    <col min="11773" max="11773" width="18.140625" style="85" customWidth="1"/>
    <col min="11774" max="11774" width="19.42578125" style="85" customWidth="1"/>
    <col min="11775" max="11775" width="18.5703125" style="85" customWidth="1"/>
    <col min="11776" max="11776" width="13.7109375" style="85" customWidth="1"/>
    <col min="11777" max="11778" width="21" style="85" customWidth="1"/>
    <col min="11779" max="11779" width="28.28515625" style="85" customWidth="1"/>
    <col min="11780" max="11780" width="17.42578125" style="85" customWidth="1"/>
    <col min="11781" max="12025" width="9.140625" style="85"/>
    <col min="12026" max="12026" width="60.7109375" style="85" customWidth="1"/>
    <col min="12027" max="12027" width="17" style="85" customWidth="1"/>
    <col min="12028" max="12028" width="22.42578125" style="85" customWidth="1"/>
    <col min="12029" max="12029" width="18.140625" style="85" customWidth="1"/>
    <col min="12030" max="12030" width="19.42578125" style="85" customWidth="1"/>
    <col min="12031" max="12031" width="18.5703125" style="85" customWidth="1"/>
    <col min="12032" max="12032" width="13.7109375" style="85" customWidth="1"/>
    <col min="12033" max="12034" width="21" style="85" customWidth="1"/>
    <col min="12035" max="12035" width="28.28515625" style="85" customWidth="1"/>
    <col min="12036" max="12036" width="17.42578125" style="85" customWidth="1"/>
    <col min="12037" max="12281" width="9.140625" style="85"/>
    <col min="12282" max="12282" width="60.7109375" style="85" customWidth="1"/>
    <col min="12283" max="12283" width="17" style="85" customWidth="1"/>
    <col min="12284" max="12284" width="22.42578125" style="85" customWidth="1"/>
    <col min="12285" max="12285" width="18.140625" style="85" customWidth="1"/>
    <col min="12286" max="12286" width="19.42578125" style="85" customWidth="1"/>
    <col min="12287" max="12287" width="18.5703125" style="85" customWidth="1"/>
    <col min="12288" max="12288" width="13.7109375" style="85" customWidth="1"/>
    <col min="12289" max="12290" width="21" style="85" customWidth="1"/>
    <col min="12291" max="12291" width="28.28515625" style="85" customWidth="1"/>
    <col min="12292" max="12292" width="17.42578125" style="85" customWidth="1"/>
    <col min="12293" max="12537" width="9.140625" style="85"/>
    <col min="12538" max="12538" width="60.7109375" style="85" customWidth="1"/>
    <col min="12539" max="12539" width="17" style="85" customWidth="1"/>
    <col min="12540" max="12540" width="22.42578125" style="85" customWidth="1"/>
    <col min="12541" max="12541" width="18.140625" style="85" customWidth="1"/>
    <col min="12542" max="12542" width="19.42578125" style="85" customWidth="1"/>
    <col min="12543" max="12543" width="18.5703125" style="85" customWidth="1"/>
    <col min="12544" max="12544" width="13.7109375" style="85" customWidth="1"/>
    <col min="12545" max="12546" width="21" style="85" customWidth="1"/>
    <col min="12547" max="12547" width="28.28515625" style="85" customWidth="1"/>
    <col min="12548" max="12548" width="17.42578125" style="85" customWidth="1"/>
    <col min="12549" max="12793" width="9.140625" style="85"/>
    <col min="12794" max="12794" width="60.7109375" style="85" customWidth="1"/>
    <col min="12795" max="12795" width="17" style="85" customWidth="1"/>
    <col min="12796" max="12796" width="22.42578125" style="85" customWidth="1"/>
    <col min="12797" max="12797" width="18.140625" style="85" customWidth="1"/>
    <col min="12798" max="12798" width="19.42578125" style="85" customWidth="1"/>
    <col min="12799" max="12799" width="18.5703125" style="85" customWidth="1"/>
    <col min="12800" max="12800" width="13.7109375" style="85" customWidth="1"/>
    <col min="12801" max="12802" width="21" style="85" customWidth="1"/>
    <col min="12803" max="12803" width="28.28515625" style="85" customWidth="1"/>
    <col min="12804" max="12804" width="17.42578125" style="85" customWidth="1"/>
    <col min="12805" max="13049" width="9.140625" style="85"/>
    <col min="13050" max="13050" width="60.7109375" style="85" customWidth="1"/>
    <col min="13051" max="13051" width="17" style="85" customWidth="1"/>
    <col min="13052" max="13052" width="22.42578125" style="85" customWidth="1"/>
    <col min="13053" max="13053" width="18.140625" style="85" customWidth="1"/>
    <col min="13054" max="13054" width="19.42578125" style="85" customWidth="1"/>
    <col min="13055" max="13055" width="18.5703125" style="85" customWidth="1"/>
    <col min="13056" max="13056" width="13.7109375" style="85" customWidth="1"/>
    <col min="13057" max="13058" width="21" style="85" customWidth="1"/>
    <col min="13059" max="13059" width="28.28515625" style="85" customWidth="1"/>
    <col min="13060" max="13060" width="17.42578125" style="85" customWidth="1"/>
    <col min="13061" max="13305" width="9.140625" style="85"/>
    <col min="13306" max="13306" width="60.7109375" style="85" customWidth="1"/>
    <col min="13307" max="13307" width="17" style="85" customWidth="1"/>
    <col min="13308" max="13308" width="22.42578125" style="85" customWidth="1"/>
    <col min="13309" max="13309" width="18.140625" style="85" customWidth="1"/>
    <col min="13310" max="13310" width="19.42578125" style="85" customWidth="1"/>
    <col min="13311" max="13311" width="18.5703125" style="85" customWidth="1"/>
    <col min="13312" max="13312" width="13.7109375" style="85" customWidth="1"/>
    <col min="13313" max="13314" width="21" style="85" customWidth="1"/>
    <col min="13315" max="13315" width="28.28515625" style="85" customWidth="1"/>
    <col min="13316" max="13316" width="17.42578125" style="85" customWidth="1"/>
    <col min="13317" max="13561" width="9.140625" style="85"/>
    <col min="13562" max="13562" width="60.7109375" style="85" customWidth="1"/>
    <col min="13563" max="13563" width="17" style="85" customWidth="1"/>
    <col min="13564" max="13564" width="22.42578125" style="85" customWidth="1"/>
    <col min="13565" max="13565" width="18.140625" style="85" customWidth="1"/>
    <col min="13566" max="13566" width="19.42578125" style="85" customWidth="1"/>
    <col min="13567" max="13567" width="18.5703125" style="85" customWidth="1"/>
    <col min="13568" max="13568" width="13.7109375" style="85" customWidth="1"/>
    <col min="13569" max="13570" width="21" style="85" customWidth="1"/>
    <col min="13571" max="13571" width="28.28515625" style="85" customWidth="1"/>
    <col min="13572" max="13572" width="17.42578125" style="85" customWidth="1"/>
    <col min="13573" max="13817" width="9.140625" style="85"/>
    <col min="13818" max="13818" width="60.7109375" style="85" customWidth="1"/>
    <col min="13819" max="13819" width="17" style="85" customWidth="1"/>
    <col min="13820" max="13820" width="22.42578125" style="85" customWidth="1"/>
    <col min="13821" max="13821" width="18.140625" style="85" customWidth="1"/>
    <col min="13822" max="13822" width="19.42578125" style="85" customWidth="1"/>
    <col min="13823" max="13823" width="18.5703125" style="85" customWidth="1"/>
    <col min="13824" max="13824" width="13.7109375" style="85" customWidth="1"/>
    <col min="13825" max="13826" width="21" style="85" customWidth="1"/>
    <col min="13827" max="13827" width="28.28515625" style="85" customWidth="1"/>
    <col min="13828" max="13828" width="17.42578125" style="85" customWidth="1"/>
    <col min="13829" max="14073" width="9.140625" style="85"/>
    <col min="14074" max="14074" width="60.7109375" style="85" customWidth="1"/>
    <col min="14075" max="14075" width="17" style="85" customWidth="1"/>
    <col min="14076" max="14076" width="22.42578125" style="85" customWidth="1"/>
    <col min="14077" max="14077" width="18.140625" style="85" customWidth="1"/>
    <col min="14078" max="14078" width="19.42578125" style="85" customWidth="1"/>
    <col min="14079" max="14079" width="18.5703125" style="85" customWidth="1"/>
    <col min="14080" max="14080" width="13.7109375" style="85" customWidth="1"/>
    <col min="14081" max="14082" width="21" style="85" customWidth="1"/>
    <col min="14083" max="14083" width="28.28515625" style="85" customWidth="1"/>
    <col min="14084" max="14084" width="17.42578125" style="85" customWidth="1"/>
    <col min="14085" max="14329" width="9.140625" style="85"/>
    <col min="14330" max="14330" width="60.7109375" style="85" customWidth="1"/>
    <col min="14331" max="14331" width="17" style="85" customWidth="1"/>
    <col min="14332" max="14332" width="22.42578125" style="85" customWidth="1"/>
    <col min="14333" max="14333" width="18.140625" style="85" customWidth="1"/>
    <col min="14334" max="14334" width="19.42578125" style="85" customWidth="1"/>
    <col min="14335" max="14335" width="18.5703125" style="85" customWidth="1"/>
    <col min="14336" max="14336" width="13.7109375" style="85" customWidth="1"/>
    <col min="14337" max="14338" width="21" style="85" customWidth="1"/>
    <col min="14339" max="14339" width="28.28515625" style="85" customWidth="1"/>
    <col min="14340" max="14340" width="17.42578125" style="85" customWidth="1"/>
    <col min="14341" max="14585" width="9.140625" style="85"/>
    <col min="14586" max="14586" width="60.7109375" style="85" customWidth="1"/>
    <col min="14587" max="14587" width="17" style="85" customWidth="1"/>
    <col min="14588" max="14588" width="22.42578125" style="85" customWidth="1"/>
    <col min="14589" max="14589" width="18.140625" style="85" customWidth="1"/>
    <col min="14590" max="14590" width="19.42578125" style="85" customWidth="1"/>
    <col min="14591" max="14591" width="18.5703125" style="85" customWidth="1"/>
    <col min="14592" max="14592" width="13.7109375" style="85" customWidth="1"/>
    <col min="14593" max="14594" width="21" style="85" customWidth="1"/>
    <col min="14595" max="14595" width="28.28515625" style="85" customWidth="1"/>
    <col min="14596" max="14596" width="17.42578125" style="85" customWidth="1"/>
    <col min="14597" max="14841" width="9.140625" style="85"/>
    <col min="14842" max="14842" width="60.7109375" style="85" customWidth="1"/>
    <col min="14843" max="14843" width="17" style="85" customWidth="1"/>
    <col min="14844" max="14844" width="22.42578125" style="85" customWidth="1"/>
    <col min="14845" max="14845" width="18.140625" style="85" customWidth="1"/>
    <col min="14846" max="14846" width="19.42578125" style="85" customWidth="1"/>
    <col min="14847" max="14847" width="18.5703125" style="85" customWidth="1"/>
    <col min="14848" max="14848" width="13.7109375" style="85" customWidth="1"/>
    <col min="14849" max="14850" width="21" style="85" customWidth="1"/>
    <col min="14851" max="14851" width="28.28515625" style="85" customWidth="1"/>
    <col min="14852" max="14852" width="17.42578125" style="85" customWidth="1"/>
    <col min="14853" max="15097" width="9.140625" style="85"/>
    <col min="15098" max="15098" width="60.7109375" style="85" customWidth="1"/>
    <col min="15099" max="15099" width="17" style="85" customWidth="1"/>
    <col min="15100" max="15100" width="22.42578125" style="85" customWidth="1"/>
    <col min="15101" max="15101" width="18.140625" style="85" customWidth="1"/>
    <col min="15102" max="15102" width="19.42578125" style="85" customWidth="1"/>
    <col min="15103" max="15103" width="18.5703125" style="85" customWidth="1"/>
    <col min="15104" max="15104" width="13.7109375" style="85" customWidth="1"/>
    <col min="15105" max="15106" width="21" style="85" customWidth="1"/>
    <col min="15107" max="15107" width="28.28515625" style="85" customWidth="1"/>
    <col min="15108" max="15108" width="17.42578125" style="85" customWidth="1"/>
    <col min="15109" max="15353" width="9.140625" style="85"/>
    <col min="15354" max="15354" width="60.7109375" style="85" customWidth="1"/>
    <col min="15355" max="15355" width="17" style="85" customWidth="1"/>
    <col min="15356" max="15356" width="22.42578125" style="85" customWidth="1"/>
    <col min="15357" max="15357" width="18.140625" style="85" customWidth="1"/>
    <col min="15358" max="15358" width="19.42578125" style="85" customWidth="1"/>
    <col min="15359" max="15359" width="18.5703125" style="85" customWidth="1"/>
    <col min="15360" max="15360" width="13.7109375" style="85" customWidth="1"/>
    <col min="15361" max="15362" width="21" style="85" customWidth="1"/>
    <col min="15363" max="15363" width="28.28515625" style="85" customWidth="1"/>
    <col min="15364" max="15364" width="17.42578125" style="85" customWidth="1"/>
    <col min="15365" max="15609" width="9.140625" style="85"/>
    <col min="15610" max="15610" width="60.7109375" style="85" customWidth="1"/>
    <col min="15611" max="15611" width="17" style="85" customWidth="1"/>
    <col min="15612" max="15612" width="22.42578125" style="85" customWidth="1"/>
    <col min="15613" max="15613" width="18.140625" style="85" customWidth="1"/>
    <col min="15614" max="15614" width="19.42578125" style="85" customWidth="1"/>
    <col min="15615" max="15615" width="18.5703125" style="85" customWidth="1"/>
    <col min="15616" max="15616" width="13.7109375" style="85" customWidth="1"/>
    <col min="15617" max="15618" width="21" style="85" customWidth="1"/>
    <col min="15619" max="15619" width="28.28515625" style="85" customWidth="1"/>
    <col min="15620" max="15620" width="17.42578125" style="85" customWidth="1"/>
    <col min="15621" max="15865" width="9.140625" style="85"/>
    <col min="15866" max="15866" width="60.7109375" style="85" customWidth="1"/>
    <col min="15867" max="15867" width="17" style="85" customWidth="1"/>
    <col min="15868" max="15868" width="22.42578125" style="85" customWidth="1"/>
    <col min="15869" max="15869" width="18.140625" style="85" customWidth="1"/>
    <col min="15870" max="15870" width="19.42578125" style="85" customWidth="1"/>
    <col min="15871" max="15871" width="18.5703125" style="85" customWidth="1"/>
    <col min="15872" max="15872" width="13.7109375" style="85" customWidth="1"/>
    <col min="15873" max="15874" width="21" style="85" customWidth="1"/>
    <col min="15875" max="15875" width="28.28515625" style="85" customWidth="1"/>
    <col min="15876" max="15876" width="17.42578125" style="85" customWidth="1"/>
    <col min="15877" max="16121" width="9.140625" style="85"/>
    <col min="16122" max="16122" width="60.7109375" style="85" customWidth="1"/>
    <col min="16123" max="16123" width="17" style="85" customWidth="1"/>
    <col min="16124" max="16124" width="22.42578125" style="85" customWidth="1"/>
    <col min="16125" max="16125" width="18.140625" style="85" customWidth="1"/>
    <col min="16126" max="16126" width="19.42578125" style="85" customWidth="1"/>
    <col min="16127" max="16127" width="18.5703125" style="85" customWidth="1"/>
    <col min="16128" max="16128" width="13.7109375" style="85" customWidth="1"/>
    <col min="16129" max="16130" width="21" style="85" customWidth="1"/>
    <col min="16131" max="16131" width="28.28515625" style="85" customWidth="1"/>
    <col min="16132" max="16132" width="17.42578125" style="85" customWidth="1"/>
    <col min="16133" max="16384" width="9.140625" style="85"/>
  </cols>
  <sheetData>
    <row r="1" spans="1:6" ht="43.5" customHeight="1" x14ac:dyDescent="0.25">
      <c r="A1" s="445" t="s">
        <v>192</v>
      </c>
      <c r="B1" s="446"/>
      <c r="C1" s="446"/>
      <c r="D1" s="446"/>
      <c r="E1" s="446"/>
      <c r="F1" s="446"/>
    </row>
    <row r="2" spans="1:6" ht="17.25" customHeight="1" thickBot="1" x14ac:dyDescent="0.3"/>
    <row r="3" spans="1:6" ht="23.25" customHeight="1" x14ac:dyDescent="0.25">
      <c r="A3" s="447" t="s">
        <v>0</v>
      </c>
      <c r="B3" s="449" t="s">
        <v>94</v>
      </c>
      <c r="C3" s="451" t="s">
        <v>193</v>
      </c>
      <c r="D3" s="452"/>
      <c r="E3" s="452"/>
      <c r="F3" s="453"/>
    </row>
    <row r="4" spans="1:6" ht="72.75" customHeight="1" thickBot="1" x14ac:dyDescent="0.3">
      <c r="A4" s="448"/>
      <c r="B4" s="450"/>
      <c r="C4" s="87" t="s">
        <v>194</v>
      </c>
      <c r="D4" s="88" t="s">
        <v>195</v>
      </c>
      <c r="E4" s="88" t="s">
        <v>196</v>
      </c>
      <c r="F4" s="89" t="s">
        <v>95</v>
      </c>
    </row>
    <row r="5" spans="1:6" x14ac:dyDescent="0.25">
      <c r="A5" s="90">
        <v>1</v>
      </c>
      <c r="B5" s="91" t="s">
        <v>4</v>
      </c>
      <c r="C5" s="92">
        <v>1144</v>
      </c>
      <c r="D5" s="93">
        <v>642</v>
      </c>
      <c r="E5" s="93">
        <v>364</v>
      </c>
      <c r="F5" s="94">
        <f t="shared" ref="F5:F76" si="0">SUM(C5:E5)</f>
        <v>2150</v>
      </c>
    </row>
    <row r="6" spans="1:6" x14ac:dyDescent="0.25">
      <c r="A6" s="95">
        <v>2</v>
      </c>
      <c r="B6" s="96" t="s">
        <v>3</v>
      </c>
      <c r="C6" s="97">
        <v>1012</v>
      </c>
      <c r="D6" s="98">
        <v>573</v>
      </c>
      <c r="E6" s="98">
        <v>325</v>
      </c>
      <c r="F6" s="99">
        <f>SUM(C6:E6)</f>
        <v>1910</v>
      </c>
    </row>
    <row r="7" spans="1:6" x14ac:dyDescent="0.25">
      <c r="A7" s="95">
        <v>3</v>
      </c>
      <c r="B7" s="96" t="s">
        <v>197</v>
      </c>
      <c r="C7" s="97">
        <v>3227</v>
      </c>
      <c r="D7" s="98">
        <v>1715</v>
      </c>
      <c r="E7" s="98">
        <v>972</v>
      </c>
      <c r="F7" s="99">
        <f>SUM(C7:E7)</f>
        <v>5914</v>
      </c>
    </row>
    <row r="8" spans="1:6" x14ac:dyDescent="0.25">
      <c r="A8" s="95">
        <v>4</v>
      </c>
      <c r="B8" s="96" t="s">
        <v>8</v>
      </c>
      <c r="C8" s="97">
        <v>1147</v>
      </c>
      <c r="D8" s="98">
        <v>667</v>
      </c>
      <c r="E8" s="98">
        <v>378</v>
      </c>
      <c r="F8" s="99">
        <f>SUM(C8:E8)</f>
        <v>2192</v>
      </c>
    </row>
    <row r="9" spans="1:6" x14ac:dyDescent="0.25">
      <c r="A9" s="95">
        <v>5</v>
      </c>
      <c r="B9" s="96" t="s">
        <v>9</v>
      </c>
      <c r="C9" s="97">
        <v>6928</v>
      </c>
      <c r="D9" s="98">
        <v>4230</v>
      </c>
      <c r="E9" s="98">
        <v>2397</v>
      </c>
      <c r="F9" s="99">
        <f>SUM(C9:E9)</f>
        <v>13555</v>
      </c>
    </row>
    <row r="10" spans="1:6" x14ac:dyDescent="0.25">
      <c r="A10" s="95">
        <v>6</v>
      </c>
      <c r="B10" s="96" t="s">
        <v>198</v>
      </c>
      <c r="C10" s="97">
        <v>9321</v>
      </c>
      <c r="D10" s="98">
        <v>5554</v>
      </c>
      <c r="E10" s="98">
        <v>3147</v>
      </c>
      <c r="F10" s="99">
        <f t="shared" si="0"/>
        <v>18022</v>
      </c>
    </row>
    <row r="11" spans="1:6" x14ac:dyDescent="0.25">
      <c r="A11" s="95">
        <v>7</v>
      </c>
      <c r="B11" s="96" t="s">
        <v>13</v>
      </c>
      <c r="C11" s="97">
        <v>4745</v>
      </c>
      <c r="D11" s="98">
        <v>2655</v>
      </c>
      <c r="E11" s="98">
        <v>1936</v>
      </c>
      <c r="F11" s="99">
        <f t="shared" si="0"/>
        <v>9336</v>
      </c>
    </row>
    <row r="12" spans="1:6" x14ac:dyDescent="0.25">
      <c r="A12" s="95">
        <v>8</v>
      </c>
      <c r="B12" s="96" t="s">
        <v>15</v>
      </c>
      <c r="C12" s="97">
        <v>2828</v>
      </c>
      <c r="D12" s="98">
        <v>1545</v>
      </c>
      <c r="E12" s="98">
        <v>876</v>
      </c>
      <c r="F12" s="99">
        <f t="shared" si="0"/>
        <v>5249</v>
      </c>
    </row>
    <row r="13" spans="1:6" x14ac:dyDescent="0.25">
      <c r="A13" s="95">
        <v>9</v>
      </c>
      <c r="B13" s="96" t="s">
        <v>16</v>
      </c>
      <c r="C13" s="97">
        <v>1566</v>
      </c>
      <c r="D13" s="98">
        <v>920</v>
      </c>
      <c r="E13" s="98">
        <v>521</v>
      </c>
      <c r="F13" s="99">
        <f t="shared" si="0"/>
        <v>3007</v>
      </c>
    </row>
    <row r="14" spans="1:6" x14ac:dyDescent="0.25">
      <c r="A14" s="95">
        <v>10</v>
      </c>
      <c r="B14" s="96" t="s">
        <v>17</v>
      </c>
      <c r="C14" s="97">
        <v>1042</v>
      </c>
      <c r="D14" s="98">
        <v>761</v>
      </c>
      <c r="E14" s="98">
        <v>0</v>
      </c>
      <c r="F14" s="99">
        <f t="shared" si="0"/>
        <v>1803</v>
      </c>
    </row>
    <row r="15" spans="1:6" x14ac:dyDescent="0.25">
      <c r="A15" s="95">
        <v>11</v>
      </c>
      <c r="B15" s="96" t="s">
        <v>45</v>
      </c>
      <c r="C15" s="97">
        <v>1368</v>
      </c>
      <c r="D15" s="98">
        <v>779</v>
      </c>
      <c r="E15" s="98">
        <v>0</v>
      </c>
      <c r="F15" s="99">
        <f t="shared" si="0"/>
        <v>2147</v>
      </c>
    </row>
    <row r="16" spans="1:6" x14ac:dyDescent="0.25">
      <c r="A16" s="95">
        <v>12</v>
      </c>
      <c r="B16" s="96" t="s">
        <v>28</v>
      </c>
      <c r="C16" s="97">
        <v>1454</v>
      </c>
      <c r="D16" s="98">
        <v>0</v>
      </c>
      <c r="E16" s="98">
        <v>0</v>
      </c>
      <c r="F16" s="99">
        <f t="shared" si="0"/>
        <v>1454</v>
      </c>
    </row>
    <row r="17" spans="1:6" x14ac:dyDescent="0.25">
      <c r="A17" s="95">
        <v>13</v>
      </c>
      <c r="B17" s="96" t="s">
        <v>37</v>
      </c>
      <c r="C17" s="97">
        <v>5849</v>
      </c>
      <c r="D17" s="98">
        <v>4345</v>
      </c>
      <c r="E17" s="98">
        <v>2462</v>
      </c>
      <c r="F17" s="99">
        <f t="shared" si="0"/>
        <v>12656</v>
      </c>
    </row>
    <row r="18" spans="1:6" x14ac:dyDescent="0.25">
      <c r="A18" s="95">
        <v>14</v>
      </c>
      <c r="B18" s="96" t="s">
        <v>184</v>
      </c>
      <c r="C18" s="97">
        <v>8110</v>
      </c>
      <c r="D18" s="98">
        <v>5927</v>
      </c>
      <c r="E18" s="98">
        <v>4196</v>
      </c>
      <c r="F18" s="99">
        <f t="shared" si="0"/>
        <v>18233</v>
      </c>
    </row>
    <row r="19" spans="1:6" x14ac:dyDescent="0.25">
      <c r="A19" s="95">
        <v>15</v>
      </c>
      <c r="B19" s="96" t="s">
        <v>199</v>
      </c>
      <c r="C19" s="97">
        <v>7192</v>
      </c>
      <c r="D19" s="98">
        <v>6804</v>
      </c>
      <c r="E19" s="98">
        <v>3855</v>
      </c>
      <c r="F19" s="99">
        <f t="shared" si="0"/>
        <v>17851</v>
      </c>
    </row>
    <row r="20" spans="1:6" x14ac:dyDescent="0.25">
      <c r="A20" s="95">
        <v>16</v>
      </c>
      <c r="B20" s="96" t="s">
        <v>200</v>
      </c>
      <c r="C20" s="97">
        <f>2080+3480</f>
        <v>5560</v>
      </c>
      <c r="D20" s="98">
        <v>4313</v>
      </c>
      <c r="E20" s="98">
        <v>2444</v>
      </c>
      <c r="F20" s="99">
        <f t="shared" si="0"/>
        <v>12317</v>
      </c>
    </row>
    <row r="21" spans="1:6" x14ac:dyDescent="0.25">
      <c r="A21" s="95">
        <v>17</v>
      </c>
      <c r="B21" s="96" t="s">
        <v>201</v>
      </c>
      <c r="C21" s="97">
        <v>3725</v>
      </c>
      <c r="D21" s="98">
        <v>2723</v>
      </c>
      <c r="E21" s="98">
        <v>1543</v>
      </c>
      <c r="F21" s="99">
        <f t="shared" si="0"/>
        <v>7991</v>
      </c>
    </row>
    <row r="22" spans="1:6" x14ac:dyDescent="0.25">
      <c r="A22" s="95">
        <v>18</v>
      </c>
      <c r="B22" s="96" t="s">
        <v>202</v>
      </c>
      <c r="C22" s="97">
        <v>3434</v>
      </c>
      <c r="D22" s="98">
        <v>2510</v>
      </c>
      <c r="E22" s="98">
        <v>1422</v>
      </c>
      <c r="F22" s="99">
        <f t="shared" si="0"/>
        <v>7366</v>
      </c>
    </row>
    <row r="23" spans="1:6" x14ac:dyDescent="0.25">
      <c r="A23" s="95">
        <v>19</v>
      </c>
      <c r="B23" s="96" t="s">
        <v>203</v>
      </c>
      <c r="C23" s="97">
        <v>3544</v>
      </c>
      <c r="D23" s="98">
        <v>2591</v>
      </c>
      <c r="E23" s="98">
        <v>1468</v>
      </c>
      <c r="F23" s="99">
        <f t="shared" si="0"/>
        <v>7603</v>
      </c>
    </row>
    <row r="24" spans="1:6" x14ac:dyDescent="0.25">
      <c r="A24" s="95">
        <v>20</v>
      </c>
      <c r="B24" s="96" t="s">
        <v>204</v>
      </c>
      <c r="C24" s="97">
        <v>6202</v>
      </c>
      <c r="D24" s="98">
        <v>3498</v>
      </c>
      <c r="E24" s="98">
        <v>1982</v>
      </c>
      <c r="F24" s="99">
        <f t="shared" si="0"/>
        <v>11682</v>
      </c>
    </row>
    <row r="25" spans="1:6" x14ac:dyDescent="0.25">
      <c r="A25" s="95">
        <v>21</v>
      </c>
      <c r="B25" s="96" t="s">
        <v>20</v>
      </c>
      <c r="C25" s="97">
        <v>2172</v>
      </c>
      <c r="D25" s="98">
        <v>1234</v>
      </c>
      <c r="E25" s="98">
        <v>700</v>
      </c>
      <c r="F25" s="99">
        <f t="shared" si="0"/>
        <v>4106</v>
      </c>
    </row>
    <row r="26" spans="1:6" x14ac:dyDescent="0.25">
      <c r="A26" s="95">
        <v>22</v>
      </c>
      <c r="B26" s="96" t="s">
        <v>205</v>
      </c>
      <c r="C26" s="97">
        <v>5362</v>
      </c>
      <c r="D26" s="98">
        <v>0</v>
      </c>
      <c r="E26" s="98">
        <v>0</v>
      </c>
      <c r="F26" s="99">
        <f t="shared" si="0"/>
        <v>5362</v>
      </c>
    </row>
    <row r="27" spans="1:6" x14ac:dyDescent="0.25">
      <c r="A27" s="95">
        <v>23</v>
      </c>
      <c r="B27" s="96" t="s">
        <v>25</v>
      </c>
      <c r="C27" s="97">
        <v>1487</v>
      </c>
      <c r="D27" s="98">
        <v>815</v>
      </c>
      <c r="E27" s="98">
        <v>462</v>
      </c>
      <c r="F27" s="99">
        <f t="shared" si="0"/>
        <v>2764</v>
      </c>
    </row>
    <row r="28" spans="1:6" x14ac:dyDescent="0.25">
      <c r="A28" s="95">
        <v>24</v>
      </c>
      <c r="B28" s="96" t="s">
        <v>29</v>
      </c>
      <c r="C28" s="97">
        <v>3786</v>
      </c>
      <c r="D28" s="98">
        <v>0</v>
      </c>
      <c r="E28" s="98">
        <v>0</v>
      </c>
      <c r="F28" s="99">
        <f t="shared" si="0"/>
        <v>3786</v>
      </c>
    </row>
    <row r="29" spans="1:6" x14ac:dyDescent="0.25">
      <c r="A29" s="95">
        <v>25</v>
      </c>
      <c r="B29" s="96" t="s">
        <v>33</v>
      </c>
      <c r="C29" s="97">
        <v>724</v>
      </c>
      <c r="D29" s="98">
        <v>0</v>
      </c>
      <c r="E29" s="98">
        <v>441</v>
      </c>
      <c r="F29" s="99">
        <f t="shared" si="0"/>
        <v>1165</v>
      </c>
    </row>
    <row r="30" spans="1:6" x14ac:dyDescent="0.25">
      <c r="A30" s="95">
        <v>26</v>
      </c>
      <c r="B30" s="96" t="s">
        <v>34</v>
      </c>
      <c r="C30" s="97">
        <v>1270</v>
      </c>
      <c r="D30" s="98">
        <v>928</v>
      </c>
      <c r="E30" s="98">
        <v>526</v>
      </c>
      <c r="F30" s="99">
        <f t="shared" si="0"/>
        <v>2724</v>
      </c>
    </row>
    <row r="31" spans="1:6" x14ac:dyDescent="0.25">
      <c r="A31" s="95">
        <v>27</v>
      </c>
      <c r="B31" s="96" t="s">
        <v>19</v>
      </c>
      <c r="C31" s="97">
        <v>1856</v>
      </c>
      <c r="D31" s="98">
        <v>1023</v>
      </c>
      <c r="E31" s="98">
        <v>580</v>
      </c>
      <c r="F31" s="99">
        <f t="shared" si="0"/>
        <v>3459</v>
      </c>
    </row>
    <row r="32" spans="1:6" x14ac:dyDescent="0.25">
      <c r="A32" s="95">
        <v>28</v>
      </c>
      <c r="B32" s="96" t="s">
        <v>43</v>
      </c>
      <c r="C32" s="97">
        <v>1444</v>
      </c>
      <c r="D32" s="98">
        <v>791</v>
      </c>
      <c r="E32" s="98">
        <v>448</v>
      </c>
      <c r="F32" s="99">
        <f t="shared" si="0"/>
        <v>2683</v>
      </c>
    </row>
    <row r="33" spans="1:6" x14ac:dyDescent="0.25">
      <c r="A33" s="95">
        <v>29</v>
      </c>
      <c r="B33" s="96" t="s">
        <v>38</v>
      </c>
      <c r="C33" s="97">
        <v>4742</v>
      </c>
      <c r="D33" s="98">
        <v>2648</v>
      </c>
      <c r="E33" s="98">
        <v>1501</v>
      </c>
      <c r="F33" s="99">
        <f t="shared" si="0"/>
        <v>8891</v>
      </c>
    </row>
    <row r="34" spans="1:6" x14ac:dyDescent="0.25">
      <c r="A34" s="95">
        <v>30</v>
      </c>
      <c r="B34" s="96" t="s">
        <v>21</v>
      </c>
      <c r="C34" s="97">
        <v>3743</v>
      </c>
      <c r="D34" s="98">
        <v>2727</v>
      </c>
      <c r="E34" s="98">
        <v>1545</v>
      </c>
      <c r="F34" s="99">
        <f t="shared" si="0"/>
        <v>8015</v>
      </c>
    </row>
    <row r="35" spans="1:6" x14ac:dyDescent="0.25">
      <c r="A35" s="95">
        <v>31</v>
      </c>
      <c r="B35" s="96" t="s">
        <v>41</v>
      </c>
      <c r="C35" s="97">
        <v>0</v>
      </c>
      <c r="D35" s="98">
        <v>876</v>
      </c>
      <c r="E35" s="98">
        <v>497</v>
      </c>
      <c r="F35" s="99">
        <f t="shared" si="0"/>
        <v>1373</v>
      </c>
    </row>
    <row r="36" spans="1:6" x14ac:dyDescent="0.25">
      <c r="A36" s="95">
        <v>32</v>
      </c>
      <c r="B36" s="96" t="s">
        <v>40</v>
      </c>
      <c r="C36" s="97">
        <v>1300</v>
      </c>
      <c r="D36" s="98">
        <v>720</v>
      </c>
      <c r="E36" s="98">
        <v>408</v>
      </c>
      <c r="F36" s="99">
        <f t="shared" si="0"/>
        <v>2428</v>
      </c>
    </row>
    <row r="37" spans="1:6" ht="14.25" customHeight="1" x14ac:dyDescent="0.25">
      <c r="A37" s="95">
        <v>33</v>
      </c>
      <c r="B37" s="96" t="s">
        <v>35</v>
      </c>
      <c r="C37" s="97">
        <v>1715</v>
      </c>
      <c r="D37" s="98">
        <v>0</v>
      </c>
      <c r="E37" s="98">
        <v>0</v>
      </c>
      <c r="F37" s="99">
        <f t="shared" si="0"/>
        <v>1715</v>
      </c>
    </row>
    <row r="38" spans="1:6" x14ac:dyDescent="0.25">
      <c r="A38" s="95">
        <v>34</v>
      </c>
      <c r="B38" s="96" t="s">
        <v>2</v>
      </c>
      <c r="C38" s="97">
        <v>2251</v>
      </c>
      <c r="D38" s="98">
        <v>1291</v>
      </c>
      <c r="E38" s="98">
        <v>732</v>
      </c>
      <c r="F38" s="99">
        <f t="shared" si="0"/>
        <v>4274</v>
      </c>
    </row>
    <row r="39" spans="1:6" x14ac:dyDescent="0.25">
      <c r="A39" s="95">
        <v>35</v>
      </c>
      <c r="B39" s="96" t="s">
        <v>5</v>
      </c>
      <c r="C39" s="97">
        <v>1539</v>
      </c>
      <c r="D39" s="98">
        <v>0</v>
      </c>
      <c r="E39" s="98">
        <v>0</v>
      </c>
      <c r="F39" s="99">
        <f t="shared" si="0"/>
        <v>1539</v>
      </c>
    </row>
    <row r="40" spans="1:6" x14ac:dyDescent="0.25">
      <c r="A40" s="95">
        <v>36</v>
      </c>
      <c r="B40" s="96" t="s">
        <v>46</v>
      </c>
      <c r="C40" s="97">
        <v>7041</v>
      </c>
      <c r="D40" s="98">
        <v>5147</v>
      </c>
      <c r="E40" s="98">
        <v>2917</v>
      </c>
      <c r="F40" s="99">
        <f t="shared" si="0"/>
        <v>15105</v>
      </c>
    </row>
    <row r="41" spans="1:6" x14ac:dyDescent="0.25">
      <c r="A41" s="95">
        <v>37</v>
      </c>
      <c r="B41" s="96" t="s">
        <v>206</v>
      </c>
      <c r="C41" s="97">
        <v>4178</v>
      </c>
      <c r="D41" s="98">
        <v>2319</v>
      </c>
      <c r="E41" s="98">
        <v>1314</v>
      </c>
      <c r="F41" s="99">
        <f t="shared" si="0"/>
        <v>7811</v>
      </c>
    </row>
    <row r="42" spans="1:6" x14ac:dyDescent="0.25">
      <c r="A42" s="95">
        <v>38</v>
      </c>
      <c r="B42" s="96" t="s">
        <v>207</v>
      </c>
      <c r="C42" s="97">
        <f>20178-14183</f>
        <v>5995</v>
      </c>
      <c r="D42" s="98">
        <v>3371</v>
      </c>
      <c r="E42" s="98">
        <v>1910</v>
      </c>
      <c r="F42" s="99">
        <f t="shared" si="0"/>
        <v>11276</v>
      </c>
    </row>
    <row r="43" spans="1:6" x14ac:dyDescent="0.25">
      <c r="A43" s="95">
        <v>39</v>
      </c>
      <c r="B43" s="96" t="s">
        <v>50</v>
      </c>
      <c r="C43" s="97">
        <v>1639</v>
      </c>
      <c r="D43" s="98">
        <v>944</v>
      </c>
      <c r="E43" s="98">
        <v>535</v>
      </c>
      <c r="F43" s="99">
        <f t="shared" si="0"/>
        <v>3118</v>
      </c>
    </row>
    <row r="44" spans="1:6" x14ac:dyDescent="0.25">
      <c r="A44" s="95">
        <v>40</v>
      </c>
      <c r="B44" s="96" t="s">
        <v>51</v>
      </c>
      <c r="C44" s="97">
        <v>3167</v>
      </c>
      <c r="D44" s="98">
        <v>2315</v>
      </c>
      <c r="E44" s="98">
        <v>1312</v>
      </c>
      <c r="F44" s="99">
        <f t="shared" si="0"/>
        <v>6794</v>
      </c>
    </row>
    <row r="45" spans="1:6" x14ac:dyDescent="0.25">
      <c r="A45" s="95">
        <v>41</v>
      </c>
      <c r="B45" s="96" t="s">
        <v>52</v>
      </c>
      <c r="C45" s="97">
        <v>1230</v>
      </c>
      <c r="D45" s="98">
        <v>708</v>
      </c>
      <c r="E45" s="98">
        <v>401</v>
      </c>
      <c r="F45" s="99">
        <f t="shared" si="0"/>
        <v>2339</v>
      </c>
    </row>
    <row r="46" spans="1:6" x14ac:dyDescent="0.25">
      <c r="A46" s="95">
        <v>42</v>
      </c>
      <c r="B46" s="96" t="s">
        <v>53</v>
      </c>
      <c r="C46" s="97">
        <v>2594</v>
      </c>
      <c r="D46" s="98">
        <v>1478</v>
      </c>
      <c r="E46" s="98">
        <v>0</v>
      </c>
      <c r="F46" s="99">
        <f t="shared" si="0"/>
        <v>4072</v>
      </c>
    </row>
    <row r="47" spans="1:6" x14ac:dyDescent="0.25">
      <c r="A47" s="95">
        <v>43</v>
      </c>
      <c r="B47" s="96" t="s">
        <v>208</v>
      </c>
      <c r="C47" s="97">
        <v>931</v>
      </c>
      <c r="D47" s="98">
        <v>681</v>
      </c>
      <c r="E47" s="98">
        <v>387</v>
      </c>
      <c r="F47" s="99">
        <f t="shared" si="0"/>
        <v>1999</v>
      </c>
    </row>
    <row r="48" spans="1:6" ht="15.75" customHeight="1" x14ac:dyDescent="0.25">
      <c r="A48" s="95">
        <v>44</v>
      </c>
      <c r="B48" s="100" t="s">
        <v>209</v>
      </c>
      <c r="C48" s="97">
        <v>389</v>
      </c>
      <c r="D48" s="98">
        <v>284</v>
      </c>
      <c r="E48" s="98">
        <v>161</v>
      </c>
      <c r="F48" s="99">
        <f t="shared" si="0"/>
        <v>834</v>
      </c>
    </row>
    <row r="49" spans="1:6" x14ac:dyDescent="0.25">
      <c r="A49" s="95">
        <v>45</v>
      </c>
      <c r="B49" s="96" t="s">
        <v>210</v>
      </c>
      <c r="C49" s="97">
        <v>641</v>
      </c>
      <c r="D49" s="98">
        <v>0</v>
      </c>
      <c r="E49" s="98">
        <v>0</v>
      </c>
      <c r="F49" s="99">
        <f t="shared" si="0"/>
        <v>641</v>
      </c>
    </row>
    <row r="50" spans="1:6" x14ac:dyDescent="0.25">
      <c r="A50" s="95">
        <v>46</v>
      </c>
      <c r="B50" s="96" t="s">
        <v>211</v>
      </c>
      <c r="C50" s="97">
        <v>485</v>
      </c>
      <c r="D50" s="98">
        <v>355</v>
      </c>
      <c r="E50" s="98">
        <v>201</v>
      </c>
      <c r="F50" s="99">
        <f t="shared" si="0"/>
        <v>1041</v>
      </c>
    </row>
    <row r="51" spans="1:6" ht="15.75" customHeight="1" x14ac:dyDescent="0.25">
      <c r="A51" s="95">
        <v>47</v>
      </c>
      <c r="B51" s="96" t="s">
        <v>212</v>
      </c>
      <c r="C51" s="97">
        <v>8692</v>
      </c>
      <c r="D51" s="98">
        <v>7416</v>
      </c>
      <c r="E51" s="98">
        <v>4201</v>
      </c>
      <c r="F51" s="99">
        <f t="shared" si="0"/>
        <v>20309</v>
      </c>
    </row>
    <row r="52" spans="1:6" x14ac:dyDescent="0.25">
      <c r="A52" s="95">
        <v>48</v>
      </c>
      <c r="B52" s="96" t="s">
        <v>213</v>
      </c>
      <c r="C52" s="97">
        <v>2388</v>
      </c>
      <c r="D52" s="98">
        <v>0</v>
      </c>
      <c r="E52" s="98">
        <v>0</v>
      </c>
      <c r="F52" s="99">
        <f t="shared" si="0"/>
        <v>2388</v>
      </c>
    </row>
    <row r="53" spans="1:6" x14ac:dyDescent="0.25">
      <c r="A53" s="95">
        <v>49</v>
      </c>
      <c r="B53" s="96" t="s">
        <v>214</v>
      </c>
      <c r="C53" s="97">
        <v>2040</v>
      </c>
      <c r="D53" s="98">
        <v>0</v>
      </c>
      <c r="E53" s="98">
        <v>0</v>
      </c>
      <c r="F53" s="99">
        <f t="shared" si="0"/>
        <v>2040</v>
      </c>
    </row>
    <row r="54" spans="1:6" x14ac:dyDescent="0.25">
      <c r="A54" s="90">
        <v>50</v>
      </c>
      <c r="B54" s="96" t="s">
        <v>215</v>
      </c>
      <c r="C54" s="97">
        <v>2812</v>
      </c>
      <c r="D54" s="98">
        <v>0</v>
      </c>
      <c r="E54" s="98">
        <v>0</v>
      </c>
      <c r="F54" s="99">
        <f t="shared" si="0"/>
        <v>2812</v>
      </c>
    </row>
    <row r="55" spans="1:6" x14ac:dyDescent="0.25">
      <c r="A55" s="90">
        <v>51</v>
      </c>
      <c r="B55" s="96" t="s">
        <v>216</v>
      </c>
      <c r="C55" s="97">
        <v>3426</v>
      </c>
      <c r="D55" s="98">
        <v>0</v>
      </c>
      <c r="E55" s="98">
        <v>0</v>
      </c>
      <c r="F55" s="99">
        <f t="shared" si="0"/>
        <v>3426</v>
      </c>
    </row>
    <row r="56" spans="1:6" x14ac:dyDescent="0.25">
      <c r="A56" s="90">
        <v>52</v>
      </c>
      <c r="B56" s="96" t="s">
        <v>217</v>
      </c>
      <c r="C56" s="97">
        <v>1282</v>
      </c>
      <c r="D56" s="98">
        <v>0</v>
      </c>
      <c r="E56" s="98">
        <v>0</v>
      </c>
      <c r="F56" s="99">
        <f t="shared" si="0"/>
        <v>1282</v>
      </c>
    </row>
    <row r="57" spans="1:6" x14ac:dyDescent="0.25">
      <c r="A57" s="95">
        <v>53</v>
      </c>
      <c r="B57" s="96" t="s">
        <v>218</v>
      </c>
      <c r="C57" s="97">
        <v>4447</v>
      </c>
      <c r="D57" s="98">
        <v>2970</v>
      </c>
      <c r="E57" s="98">
        <v>1683</v>
      </c>
      <c r="F57" s="99">
        <f t="shared" si="0"/>
        <v>9100</v>
      </c>
    </row>
    <row r="58" spans="1:6" x14ac:dyDescent="0.25">
      <c r="A58" s="95">
        <v>54</v>
      </c>
      <c r="B58" s="96" t="s">
        <v>219</v>
      </c>
      <c r="C58" s="97">
        <v>2626</v>
      </c>
      <c r="D58" s="98">
        <v>1920</v>
      </c>
      <c r="E58" s="98">
        <v>1088</v>
      </c>
      <c r="F58" s="99">
        <f t="shared" si="0"/>
        <v>5634</v>
      </c>
    </row>
    <row r="59" spans="1:6" x14ac:dyDescent="0.25">
      <c r="A59" s="95">
        <v>55</v>
      </c>
      <c r="B59" s="96" t="s">
        <v>220</v>
      </c>
      <c r="C59" s="97">
        <v>2531</v>
      </c>
      <c r="D59" s="98">
        <v>1850</v>
      </c>
      <c r="E59" s="98">
        <v>1048</v>
      </c>
      <c r="F59" s="99">
        <f t="shared" si="0"/>
        <v>5429</v>
      </c>
    </row>
    <row r="60" spans="1:6" x14ac:dyDescent="0.25">
      <c r="A60" s="95">
        <v>56</v>
      </c>
      <c r="B60" s="96" t="s">
        <v>221</v>
      </c>
      <c r="C60" s="97">
        <v>4975</v>
      </c>
      <c r="D60" s="98">
        <v>3636</v>
      </c>
      <c r="E60" s="98">
        <v>2061</v>
      </c>
      <c r="F60" s="99">
        <f t="shared" si="0"/>
        <v>10672</v>
      </c>
    </row>
    <row r="61" spans="1:6" x14ac:dyDescent="0.25">
      <c r="A61" s="95">
        <v>57</v>
      </c>
      <c r="B61" s="96" t="s">
        <v>222</v>
      </c>
      <c r="C61" s="97">
        <v>2536</v>
      </c>
      <c r="D61" s="98">
        <v>1854</v>
      </c>
      <c r="E61" s="98">
        <v>1050</v>
      </c>
      <c r="F61" s="99">
        <f t="shared" si="0"/>
        <v>5440</v>
      </c>
    </row>
    <row r="62" spans="1:6" x14ac:dyDescent="0.25">
      <c r="A62" s="95">
        <v>58</v>
      </c>
      <c r="B62" s="96" t="s">
        <v>223</v>
      </c>
      <c r="C62" s="97">
        <v>2867</v>
      </c>
      <c r="D62" s="98">
        <v>2096</v>
      </c>
      <c r="E62" s="98">
        <v>1188</v>
      </c>
      <c r="F62" s="99">
        <f t="shared" si="0"/>
        <v>6151</v>
      </c>
    </row>
    <row r="63" spans="1:6" x14ac:dyDescent="0.25">
      <c r="A63" s="95">
        <v>59</v>
      </c>
      <c r="B63" s="96" t="s">
        <v>224</v>
      </c>
      <c r="C63" s="97">
        <v>4857</v>
      </c>
      <c r="D63" s="98">
        <v>3550</v>
      </c>
      <c r="E63" s="98">
        <v>2012</v>
      </c>
      <c r="F63" s="99">
        <f t="shared" si="0"/>
        <v>10419</v>
      </c>
    </row>
    <row r="64" spans="1:6" x14ac:dyDescent="0.25">
      <c r="A64" s="95">
        <v>60</v>
      </c>
      <c r="B64" s="96" t="s">
        <v>225</v>
      </c>
      <c r="C64" s="97">
        <v>2238</v>
      </c>
      <c r="D64" s="98">
        <v>1636</v>
      </c>
      <c r="E64" s="98">
        <v>927</v>
      </c>
      <c r="F64" s="99">
        <f t="shared" si="0"/>
        <v>4801</v>
      </c>
    </row>
    <row r="65" spans="1:6" x14ac:dyDescent="0.25">
      <c r="A65" s="95">
        <v>61</v>
      </c>
      <c r="B65" s="96" t="s">
        <v>226</v>
      </c>
      <c r="C65" s="97">
        <v>2176</v>
      </c>
      <c r="D65" s="98">
        <v>1590</v>
      </c>
      <c r="E65" s="98">
        <v>901</v>
      </c>
      <c r="F65" s="99">
        <f t="shared" si="0"/>
        <v>4667</v>
      </c>
    </row>
    <row r="66" spans="1:6" x14ac:dyDescent="0.25">
      <c r="A66" s="95">
        <v>62</v>
      </c>
      <c r="B66" s="96" t="s">
        <v>227</v>
      </c>
      <c r="C66" s="97">
        <v>4151</v>
      </c>
      <c r="D66" s="98">
        <v>2132</v>
      </c>
      <c r="E66" s="98">
        <v>1208</v>
      </c>
      <c r="F66" s="99">
        <f t="shared" si="0"/>
        <v>7491</v>
      </c>
    </row>
    <row r="67" spans="1:6" x14ac:dyDescent="0.25">
      <c r="A67" s="95">
        <v>63</v>
      </c>
      <c r="B67" s="96" t="s">
        <v>228</v>
      </c>
      <c r="C67" s="97">
        <v>2806</v>
      </c>
      <c r="D67" s="98">
        <v>2051</v>
      </c>
      <c r="E67" s="98">
        <v>1162</v>
      </c>
      <c r="F67" s="99">
        <f t="shared" si="0"/>
        <v>6019</v>
      </c>
    </row>
    <row r="68" spans="1:6" x14ac:dyDescent="0.25">
      <c r="A68" s="95">
        <v>64</v>
      </c>
      <c r="B68" s="96" t="s">
        <v>229</v>
      </c>
      <c r="C68" s="97">
        <v>2437</v>
      </c>
      <c r="D68" s="98">
        <v>1782</v>
      </c>
      <c r="E68" s="98">
        <v>1010</v>
      </c>
      <c r="F68" s="99">
        <f t="shared" si="0"/>
        <v>5229</v>
      </c>
    </row>
    <row r="69" spans="1:6" x14ac:dyDescent="0.25">
      <c r="A69" s="95">
        <v>65</v>
      </c>
      <c r="B69" s="96" t="s">
        <v>230</v>
      </c>
      <c r="C69" s="97">
        <v>1397</v>
      </c>
      <c r="D69" s="98">
        <v>1021</v>
      </c>
      <c r="E69" s="98">
        <v>578</v>
      </c>
      <c r="F69" s="99">
        <f t="shared" si="0"/>
        <v>2996</v>
      </c>
    </row>
    <row r="70" spans="1:6" x14ac:dyDescent="0.25">
      <c r="A70" s="95">
        <v>66</v>
      </c>
      <c r="B70" s="96" t="s">
        <v>231</v>
      </c>
      <c r="C70" s="97">
        <v>647</v>
      </c>
      <c r="D70" s="98">
        <v>473</v>
      </c>
      <c r="E70" s="98">
        <v>268</v>
      </c>
      <c r="F70" s="99">
        <f t="shared" si="0"/>
        <v>1388</v>
      </c>
    </row>
    <row r="71" spans="1:6" x14ac:dyDescent="0.25">
      <c r="A71" s="95">
        <v>67</v>
      </c>
      <c r="B71" s="96" t="s">
        <v>232</v>
      </c>
      <c r="C71" s="97">
        <f>1167-973</f>
        <v>194</v>
      </c>
      <c r="D71" s="98">
        <v>0</v>
      </c>
      <c r="E71" s="98">
        <v>0</v>
      </c>
      <c r="F71" s="99">
        <f t="shared" si="0"/>
        <v>194</v>
      </c>
    </row>
    <row r="72" spans="1:6" ht="38.25" x14ac:dyDescent="0.25">
      <c r="A72" s="95"/>
      <c r="B72" s="100" t="s">
        <v>450</v>
      </c>
      <c r="C72" s="97">
        <f>0+973</f>
        <v>973</v>
      </c>
      <c r="D72" s="98">
        <v>0</v>
      </c>
      <c r="E72" s="98">
        <v>0</v>
      </c>
      <c r="F72" s="99">
        <f t="shared" si="0"/>
        <v>973</v>
      </c>
    </row>
    <row r="73" spans="1:6" x14ac:dyDescent="0.25">
      <c r="A73" s="95">
        <v>68</v>
      </c>
      <c r="B73" s="96" t="s">
        <v>181</v>
      </c>
      <c r="C73" s="97">
        <v>10437</v>
      </c>
      <c r="D73" s="98">
        <v>8482</v>
      </c>
      <c r="E73" s="98">
        <v>4806</v>
      </c>
      <c r="F73" s="99">
        <f t="shared" si="0"/>
        <v>23725</v>
      </c>
    </row>
    <row r="74" spans="1:6" x14ac:dyDescent="0.25">
      <c r="A74" s="95">
        <v>69</v>
      </c>
      <c r="B74" s="96" t="s">
        <v>233</v>
      </c>
      <c r="C74" s="97">
        <v>2067</v>
      </c>
      <c r="D74" s="98">
        <v>0</v>
      </c>
      <c r="E74" s="98">
        <v>0</v>
      </c>
      <c r="F74" s="99">
        <f>SUM(C74:E74)</f>
        <v>2067</v>
      </c>
    </row>
    <row r="75" spans="1:6" x14ac:dyDescent="0.25">
      <c r="A75" s="95">
        <v>70</v>
      </c>
      <c r="B75" s="96" t="s">
        <v>234</v>
      </c>
      <c r="C75" s="97">
        <v>2763</v>
      </c>
      <c r="D75" s="98">
        <v>2020</v>
      </c>
      <c r="E75" s="98">
        <v>1145</v>
      </c>
      <c r="F75" s="99">
        <f t="shared" si="0"/>
        <v>5928</v>
      </c>
    </row>
    <row r="76" spans="1:6" x14ac:dyDescent="0.25">
      <c r="A76" s="95">
        <v>71</v>
      </c>
      <c r="B76" s="96" t="s">
        <v>87</v>
      </c>
      <c r="C76" s="97">
        <v>445</v>
      </c>
      <c r="D76" s="98">
        <v>325</v>
      </c>
      <c r="E76" s="98">
        <v>184</v>
      </c>
      <c r="F76" s="99">
        <f t="shared" si="0"/>
        <v>954</v>
      </c>
    </row>
    <row r="77" spans="1:6" x14ac:dyDescent="0.25">
      <c r="A77" s="95">
        <v>72</v>
      </c>
      <c r="B77" s="101" t="s">
        <v>139</v>
      </c>
      <c r="C77" s="97">
        <v>2041</v>
      </c>
      <c r="D77" s="98">
        <v>1492</v>
      </c>
      <c r="E77" s="98">
        <v>845</v>
      </c>
      <c r="F77" s="99">
        <f>SUM(C77:E77)</f>
        <v>4378</v>
      </c>
    </row>
    <row r="78" spans="1:6" x14ac:dyDescent="0.25">
      <c r="A78" s="95">
        <v>73</v>
      </c>
      <c r="B78" s="96" t="s">
        <v>88</v>
      </c>
      <c r="C78" s="97">
        <v>11598</v>
      </c>
      <c r="D78" s="98">
        <v>0</v>
      </c>
      <c r="E78" s="98">
        <v>0</v>
      </c>
      <c r="F78" s="99">
        <f>SUM(C78:E78)</f>
        <v>11598</v>
      </c>
    </row>
    <row r="79" spans="1:6" ht="19.5" customHeight="1" thickBot="1" x14ac:dyDescent="0.3">
      <c r="A79" s="102">
        <v>74</v>
      </c>
      <c r="B79" s="103" t="s">
        <v>182</v>
      </c>
      <c r="C79" s="104">
        <v>7228</v>
      </c>
      <c r="D79" s="105">
        <v>4235</v>
      </c>
      <c r="E79" s="105">
        <v>2400</v>
      </c>
      <c r="F79" s="106">
        <f>SUM(C79:E79)</f>
        <v>13863</v>
      </c>
    </row>
    <row r="80" spans="1:6" ht="13.5" thickBot="1" x14ac:dyDescent="0.3">
      <c r="A80" s="107"/>
      <c r="B80" s="108" t="s">
        <v>146</v>
      </c>
      <c r="C80" s="109">
        <f>SUM(C5:C79)</f>
        <v>240156</v>
      </c>
      <c r="D80" s="110">
        <f t="shared" ref="D80:F80" si="1">SUM(D5:D79)</f>
        <v>135938</v>
      </c>
      <c r="E80" s="110">
        <f t="shared" si="1"/>
        <v>77031</v>
      </c>
      <c r="F80" s="111">
        <f t="shared" si="1"/>
        <v>453125</v>
      </c>
    </row>
  </sheetData>
  <mergeCells count="4">
    <mergeCell ref="A1:F1"/>
    <mergeCell ref="A3:A4"/>
    <mergeCell ref="B3:B4"/>
    <mergeCell ref="C3:F3"/>
  </mergeCells>
  <pageMargins left="0.51181102362204722" right="0.51181102362204722" top="0.55118110236220474" bottom="0.35433070866141736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workbookViewId="0">
      <pane xSplit="2" ySplit="4" topLeftCell="D83" activePane="bottomRight" state="frozen"/>
      <selection pane="topRight" activeCell="C1" sqref="C1"/>
      <selection pane="bottomLeft" activeCell="A5" sqref="A5"/>
      <selection pane="bottomRight" activeCell="E106" sqref="E106"/>
    </sheetView>
  </sheetViews>
  <sheetFormatPr defaultRowHeight="12" x14ac:dyDescent="0.25"/>
  <cols>
    <col min="1" max="1" width="3.85546875" style="21" customWidth="1"/>
    <col min="2" max="2" width="36" style="20" customWidth="1"/>
    <col min="3" max="3" width="12.140625" style="22" customWidth="1"/>
    <col min="4" max="4" width="12.85546875" style="22" customWidth="1"/>
    <col min="5" max="5" width="12.42578125" style="22" customWidth="1"/>
    <col min="6" max="6" width="10" style="22" customWidth="1"/>
    <col min="7" max="7" width="9.5703125" style="22" customWidth="1"/>
    <col min="8" max="8" width="13.140625" style="22" customWidth="1"/>
    <col min="9" max="9" width="12.42578125" style="21" customWidth="1"/>
    <col min="10" max="10" width="13.5703125" style="21" customWidth="1"/>
    <col min="11" max="12" width="13.28515625" style="21" customWidth="1"/>
    <col min="13" max="13" width="11.85546875" style="21" customWidth="1"/>
    <col min="14" max="14" width="16.85546875" style="21" customWidth="1"/>
    <col min="15" max="15" width="9.28515625" style="21" customWidth="1"/>
    <col min="16" max="16384" width="9.140625" style="20"/>
  </cols>
  <sheetData>
    <row r="1" spans="1:15" ht="26.25" customHeight="1" x14ac:dyDescent="0.25">
      <c r="A1" s="462" t="s">
        <v>235</v>
      </c>
      <c r="B1" s="462"/>
      <c r="C1" s="462"/>
      <c r="D1" s="462"/>
      <c r="E1" s="462"/>
      <c r="F1" s="462"/>
      <c r="G1" s="463"/>
      <c r="H1" s="463"/>
      <c r="I1" s="464"/>
      <c r="J1" s="464"/>
      <c r="K1" s="464"/>
      <c r="L1" s="464"/>
      <c r="M1" s="464"/>
      <c r="N1" s="464"/>
      <c r="O1" s="464"/>
    </row>
    <row r="2" spans="1:15" ht="16.5" customHeight="1" thickBot="1" x14ac:dyDescent="0.3"/>
    <row r="3" spans="1:15" s="21" customFormat="1" ht="18" customHeight="1" x14ac:dyDescent="0.25">
      <c r="A3" s="454" t="s">
        <v>0</v>
      </c>
      <c r="B3" s="456" t="s">
        <v>175</v>
      </c>
      <c r="C3" s="458" t="s">
        <v>236</v>
      </c>
      <c r="D3" s="459"/>
      <c r="E3" s="459"/>
      <c r="F3" s="459"/>
      <c r="G3" s="460" t="s">
        <v>391</v>
      </c>
      <c r="H3" s="465" t="s">
        <v>237</v>
      </c>
      <c r="I3" s="466"/>
      <c r="J3" s="466"/>
      <c r="K3" s="466"/>
      <c r="L3" s="466"/>
      <c r="M3" s="466"/>
      <c r="N3" s="466"/>
      <c r="O3" s="467"/>
    </row>
    <row r="4" spans="1:15" s="21" customFormat="1" ht="106.5" customHeight="1" thickBot="1" x14ac:dyDescent="0.3">
      <c r="A4" s="455"/>
      <c r="B4" s="457"/>
      <c r="C4" s="23" t="s">
        <v>248</v>
      </c>
      <c r="D4" s="24" t="s">
        <v>250</v>
      </c>
      <c r="E4" s="24" t="s">
        <v>249</v>
      </c>
      <c r="F4" s="25" t="s">
        <v>95</v>
      </c>
      <c r="G4" s="461"/>
      <c r="H4" s="128" t="s">
        <v>310</v>
      </c>
      <c r="I4" s="112" t="s">
        <v>311</v>
      </c>
      <c r="J4" s="112" t="s">
        <v>312</v>
      </c>
      <c r="K4" s="112" t="s">
        <v>313</v>
      </c>
      <c r="L4" s="112" t="s">
        <v>392</v>
      </c>
      <c r="M4" s="112" t="s">
        <v>314</v>
      </c>
      <c r="N4" s="112" t="s">
        <v>393</v>
      </c>
      <c r="O4" s="113" t="s">
        <v>95</v>
      </c>
    </row>
    <row r="5" spans="1:15" ht="12" customHeight="1" x14ac:dyDescent="0.25">
      <c r="A5" s="26">
        <v>1</v>
      </c>
      <c r="B5" s="27" t="s">
        <v>206</v>
      </c>
      <c r="C5" s="28">
        <v>77</v>
      </c>
      <c r="D5" s="29">
        <v>2153</v>
      </c>
      <c r="E5" s="29">
        <v>306</v>
      </c>
      <c r="F5" s="30">
        <f>C5+D5+E5</f>
        <v>2536</v>
      </c>
      <c r="G5" s="114">
        <v>3511</v>
      </c>
      <c r="H5" s="115"/>
      <c r="I5" s="116"/>
      <c r="J5" s="116"/>
      <c r="K5" s="116"/>
      <c r="L5" s="116"/>
      <c r="M5" s="116"/>
      <c r="N5" s="116"/>
      <c r="O5" s="117"/>
    </row>
    <row r="6" spans="1:15" ht="12" customHeight="1" x14ac:dyDescent="0.25">
      <c r="A6" s="31">
        <v>2</v>
      </c>
      <c r="B6" s="32" t="s">
        <v>49</v>
      </c>
      <c r="C6" s="33"/>
      <c r="D6" s="34">
        <v>878</v>
      </c>
      <c r="E6" s="34">
        <v>125</v>
      </c>
      <c r="F6" s="35">
        <f t="shared" ref="F6:F94" si="0">C6+D6+E6</f>
        <v>1003</v>
      </c>
      <c r="G6" s="118"/>
      <c r="H6" s="119"/>
      <c r="I6" s="59"/>
      <c r="J6" s="59"/>
      <c r="K6" s="59"/>
      <c r="L6" s="59"/>
      <c r="M6" s="59"/>
      <c r="N6" s="59"/>
      <c r="O6" s="120"/>
    </row>
    <row r="7" spans="1:15" ht="12" customHeight="1" x14ac:dyDescent="0.25">
      <c r="A7" s="31">
        <v>3</v>
      </c>
      <c r="B7" s="32" t="s">
        <v>1</v>
      </c>
      <c r="C7" s="33"/>
      <c r="D7" s="34">
        <v>1161</v>
      </c>
      <c r="E7" s="34">
        <v>165</v>
      </c>
      <c r="F7" s="35">
        <f t="shared" si="0"/>
        <v>1326</v>
      </c>
      <c r="G7" s="118"/>
      <c r="H7" s="119"/>
      <c r="I7" s="59"/>
      <c r="J7" s="59"/>
      <c r="K7" s="59"/>
      <c r="L7" s="59"/>
      <c r="M7" s="59"/>
      <c r="N7" s="59"/>
      <c r="O7" s="120"/>
    </row>
    <row r="8" spans="1:15" ht="12" customHeight="1" x14ac:dyDescent="0.25">
      <c r="A8" s="31">
        <v>4</v>
      </c>
      <c r="B8" s="32" t="s">
        <v>4</v>
      </c>
      <c r="C8" s="33"/>
      <c r="D8" s="34">
        <v>596</v>
      </c>
      <c r="E8" s="34"/>
      <c r="F8" s="35">
        <f t="shared" si="0"/>
        <v>596</v>
      </c>
      <c r="G8" s="118"/>
      <c r="H8" s="119"/>
      <c r="I8" s="59"/>
      <c r="J8" s="59"/>
      <c r="K8" s="59"/>
      <c r="L8" s="59"/>
      <c r="M8" s="59"/>
      <c r="N8" s="59"/>
      <c r="O8" s="120"/>
    </row>
    <row r="9" spans="1:15" x14ac:dyDescent="0.25">
      <c r="A9" s="31">
        <v>5</v>
      </c>
      <c r="B9" s="36" t="s">
        <v>3</v>
      </c>
      <c r="C9" s="37">
        <v>19</v>
      </c>
      <c r="D9" s="38">
        <v>532</v>
      </c>
      <c r="E9" s="39"/>
      <c r="F9" s="35">
        <f t="shared" si="0"/>
        <v>551</v>
      </c>
      <c r="G9" s="118"/>
      <c r="H9" s="119"/>
      <c r="I9" s="59"/>
      <c r="J9" s="59"/>
      <c r="K9" s="59"/>
      <c r="L9" s="59"/>
      <c r="M9" s="59"/>
      <c r="N9" s="59"/>
      <c r="O9" s="120"/>
    </row>
    <row r="10" spans="1:15" x14ac:dyDescent="0.25">
      <c r="A10" s="31">
        <v>6</v>
      </c>
      <c r="B10" s="40" t="s">
        <v>6</v>
      </c>
      <c r="C10" s="33">
        <v>58</v>
      </c>
      <c r="D10" s="34">
        <v>1592</v>
      </c>
      <c r="E10" s="34">
        <v>227</v>
      </c>
      <c r="F10" s="35">
        <f t="shared" si="0"/>
        <v>1877</v>
      </c>
      <c r="G10" s="118"/>
      <c r="H10" s="119"/>
      <c r="I10" s="59"/>
      <c r="J10" s="59"/>
      <c r="K10" s="59"/>
      <c r="L10" s="59"/>
      <c r="M10" s="59"/>
      <c r="N10" s="59"/>
      <c r="O10" s="120"/>
    </row>
    <row r="11" spans="1:15" x14ac:dyDescent="0.25">
      <c r="A11" s="31">
        <v>7</v>
      </c>
      <c r="B11" s="40" t="s">
        <v>7</v>
      </c>
      <c r="C11" s="33"/>
      <c r="D11" s="34">
        <v>840</v>
      </c>
      <c r="E11" s="34">
        <v>120</v>
      </c>
      <c r="F11" s="35">
        <f t="shared" si="0"/>
        <v>960</v>
      </c>
      <c r="G11" s="118"/>
      <c r="H11" s="119"/>
      <c r="I11" s="59"/>
      <c r="J11" s="59"/>
      <c r="K11" s="59"/>
      <c r="L11" s="59"/>
      <c r="M11" s="59"/>
      <c r="N11" s="59"/>
      <c r="O11" s="120"/>
    </row>
    <row r="12" spans="1:15" x14ac:dyDescent="0.25">
      <c r="A12" s="31">
        <v>8</v>
      </c>
      <c r="B12" s="40" t="s">
        <v>8</v>
      </c>
      <c r="C12" s="33"/>
      <c r="D12" s="34">
        <v>619</v>
      </c>
      <c r="E12" s="34"/>
      <c r="F12" s="35">
        <f t="shared" si="0"/>
        <v>619</v>
      </c>
      <c r="G12" s="118"/>
      <c r="H12" s="119"/>
      <c r="I12" s="59"/>
      <c r="J12" s="59"/>
      <c r="K12" s="59"/>
      <c r="L12" s="59"/>
      <c r="M12" s="59"/>
      <c r="N12" s="59"/>
      <c r="O12" s="120"/>
    </row>
    <row r="13" spans="1:15" x14ac:dyDescent="0.25">
      <c r="A13" s="31">
        <v>9</v>
      </c>
      <c r="B13" s="40" t="s">
        <v>9</v>
      </c>
      <c r="C13" s="33">
        <v>120</v>
      </c>
      <c r="D13" s="34">
        <v>2850</v>
      </c>
      <c r="E13" s="34">
        <v>405</v>
      </c>
      <c r="F13" s="35">
        <f t="shared" si="0"/>
        <v>3375</v>
      </c>
      <c r="G13" s="118">
        <v>5132</v>
      </c>
      <c r="H13" s="119"/>
      <c r="I13" s="59"/>
      <c r="J13" s="59"/>
      <c r="K13" s="59"/>
      <c r="L13" s="59"/>
      <c r="M13" s="59"/>
      <c r="N13" s="59"/>
      <c r="O13" s="120"/>
    </row>
    <row r="14" spans="1:15" x14ac:dyDescent="0.25">
      <c r="A14" s="31">
        <v>10</v>
      </c>
      <c r="B14" s="40" t="s">
        <v>10</v>
      </c>
      <c r="C14" s="33"/>
      <c r="D14" s="34">
        <v>542</v>
      </c>
      <c r="E14" s="34">
        <v>77</v>
      </c>
      <c r="F14" s="35">
        <f t="shared" si="0"/>
        <v>619</v>
      </c>
      <c r="G14" s="118"/>
      <c r="H14" s="119"/>
      <c r="I14" s="59"/>
      <c r="J14" s="59"/>
      <c r="K14" s="59"/>
      <c r="L14" s="59"/>
      <c r="M14" s="59"/>
      <c r="N14" s="59"/>
      <c r="O14" s="120"/>
    </row>
    <row r="15" spans="1:15" x14ac:dyDescent="0.25">
      <c r="A15" s="31">
        <v>11</v>
      </c>
      <c r="B15" s="40" t="s">
        <v>11</v>
      </c>
      <c r="C15" s="33">
        <v>171</v>
      </c>
      <c r="D15" s="34">
        <v>3096</v>
      </c>
      <c r="E15" s="34">
        <v>505</v>
      </c>
      <c r="F15" s="35">
        <f t="shared" si="0"/>
        <v>3772</v>
      </c>
      <c r="G15" s="118">
        <f>7707+831</f>
        <v>8538</v>
      </c>
      <c r="H15" s="119"/>
      <c r="I15" s="59"/>
      <c r="J15" s="59"/>
      <c r="K15" s="59"/>
      <c r="L15" s="59"/>
      <c r="M15" s="59"/>
      <c r="N15" s="59"/>
      <c r="O15" s="120"/>
    </row>
    <row r="16" spans="1:15" x14ac:dyDescent="0.25">
      <c r="A16" s="31">
        <v>12</v>
      </c>
      <c r="B16" s="40" t="s">
        <v>12</v>
      </c>
      <c r="C16" s="33"/>
      <c r="D16" s="34">
        <v>649</v>
      </c>
      <c r="E16" s="34">
        <v>92</v>
      </c>
      <c r="F16" s="35">
        <f t="shared" si="0"/>
        <v>741</v>
      </c>
      <c r="G16" s="118"/>
      <c r="H16" s="119"/>
      <c r="I16" s="59"/>
      <c r="J16" s="59"/>
      <c r="K16" s="59"/>
      <c r="L16" s="59"/>
      <c r="M16" s="59"/>
      <c r="N16" s="59"/>
      <c r="O16" s="120"/>
    </row>
    <row r="17" spans="1:15" x14ac:dyDescent="0.25">
      <c r="A17" s="31">
        <v>13</v>
      </c>
      <c r="B17" s="40" t="s">
        <v>13</v>
      </c>
      <c r="C17" s="33">
        <v>135</v>
      </c>
      <c r="D17" s="34">
        <v>1761</v>
      </c>
      <c r="E17" s="34">
        <v>424</v>
      </c>
      <c r="F17" s="35">
        <f t="shared" si="0"/>
        <v>2320</v>
      </c>
      <c r="G17" s="118">
        <v>5050</v>
      </c>
      <c r="H17" s="119"/>
      <c r="I17" s="59"/>
      <c r="J17" s="59"/>
      <c r="K17" s="59"/>
      <c r="L17" s="59"/>
      <c r="M17" s="59"/>
      <c r="N17" s="59"/>
      <c r="O17" s="120"/>
    </row>
    <row r="18" spans="1:15" x14ac:dyDescent="0.25">
      <c r="A18" s="31">
        <v>14</v>
      </c>
      <c r="B18" s="40" t="s">
        <v>15</v>
      </c>
      <c r="C18" s="33"/>
      <c r="D18" s="34">
        <v>1435</v>
      </c>
      <c r="E18" s="34">
        <v>204</v>
      </c>
      <c r="F18" s="35">
        <f t="shared" si="0"/>
        <v>1639</v>
      </c>
      <c r="G18" s="118"/>
      <c r="H18" s="119"/>
      <c r="I18" s="59"/>
      <c r="J18" s="59"/>
      <c r="K18" s="59"/>
      <c r="L18" s="59"/>
      <c r="M18" s="59"/>
      <c r="N18" s="59"/>
      <c r="O18" s="120"/>
    </row>
    <row r="19" spans="1:15" x14ac:dyDescent="0.25">
      <c r="A19" s="31">
        <v>15</v>
      </c>
      <c r="B19" s="40" t="s">
        <v>185</v>
      </c>
      <c r="C19" s="33">
        <v>24</v>
      </c>
      <c r="D19" s="34">
        <v>663</v>
      </c>
      <c r="E19" s="34">
        <v>94</v>
      </c>
      <c r="F19" s="35">
        <f t="shared" si="0"/>
        <v>781</v>
      </c>
      <c r="G19" s="118"/>
      <c r="H19" s="119"/>
      <c r="I19" s="59"/>
      <c r="J19" s="59"/>
      <c r="K19" s="59"/>
      <c r="L19" s="59"/>
      <c r="M19" s="59"/>
      <c r="N19" s="59"/>
      <c r="O19" s="120"/>
    </row>
    <row r="20" spans="1:15" x14ac:dyDescent="0.25">
      <c r="A20" s="31">
        <v>16</v>
      </c>
      <c r="B20" s="40" t="s">
        <v>16</v>
      </c>
      <c r="C20" s="33">
        <v>31</v>
      </c>
      <c r="D20" s="34">
        <v>854</v>
      </c>
      <c r="E20" s="34"/>
      <c r="F20" s="35">
        <f t="shared" si="0"/>
        <v>885</v>
      </c>
      <c r="G20" s="118"/>
      <c r="H20" s="119"/>
      <c r="I20" s="59"/>
      <c r="J20" s="59"/>
      <c r="K20" s="59"/>
      <c r="L20" s="59"/>
      <c r="M20" s="59"/>
      <c r="N20" s="59"/>
      <c r="O20" s="120"/>
    </row>
    <row r="21" spans="1:15" x14ac:dyDescent="0.25">
      <c r="A21" s="31">
        <v>17</v>
      </c>
      <c r="B21" s="40" t="s">
        <v>17</v>
      </c>
      <c r="C21" s="33"/>
      <c r="D21" s="34">
        <v>707</v>
      </c>
      <c r="E21" s="34"/>
      <c r="F21" s="35">
        <f t="shared" si="0"/>
        <v>707</v>
      </c>
      <c r="G21" s="118"/>
      <c r="H21" s="119"/>
      <c r="I21" s="59"/>
      <c r="J21" s="59"/>
      <c r="K21" s="59"/>
      <c r="L21" s="59"/>
      <c r="M21" s="59"/>
      <c r="N21" s="59"/>
      <c r="O21" s="120"/>
    </row>
    <row r="22" spans="1:15" x14ac:dyDescent="0.25">
      <c r="A22" s="31">
        <v>18</v>
      </c>
      <c r="B22" s="40" t="s">
        <v>18</v>
      </c>
      <c r="C22" s="33"/>
      <c r="D22" s="34">
        <v>465</v>
      </c>
      <c r="E22" s="34"/>
      <c r="F22" s="35">
        <f t="shared" si="0"/>
        <v>465</v>
      </c>
      <c r="G22" s="118"/>
      <c r="H22" s="119"/>
      <c r="I22" s="59"/>
      <c r="J22" s="59"/>
      <c r="K22" s="59"/>
      <c r="L22" s="59"/>
      <c r="M22" s="59"/>
      <c r="N22" s="59"/>
      <c r="O22" s="120"/>
    </row>
    <row r="23" spans="1:15" x14ac:dyDescent="0.25">
      <c r="A23" s="31">
        <v>19</v>
      </c>
      <c r="B23" s="40" t="s">
        <v>45</v>
      </c>
      <c r="C23" s="33">
        <v>26</v>
      </c>
      <c r="D23" s="34">
        <v>723</v>
      </c>
      <c r="E23" s="34">
        <v>103</v>
      </c>
      <c r="F23" s="35">
        <f t="shared" si="0"/>
        <v>852</v>
      </c>
      <c r="G23" s="118"/>
      <c r="H23" s="119"/>
      <c r="I23" s="59"/>
      <c r="J23" s="59"/>
      <c r="K23" s="59"/>
      <c r="L23" s="59"/>
      <c r="M23" s="59"/>
      <c r="N23" s="59"/>
      <c r="O23" s="120"/>
    </row>
    <row r="24" spans="1:15" x14ac:dyDescent="0.25">
      <c r="A24" s="31">
        <v>20</v>
      </c>
      <c r="B24" s="40" t="s">
        <v>28</v>
      </c>
      <c r="C24" s="33">
        <v>36</v>
      </c>
      <c r="D24" s="34">
        <v>987</v>
      </c>
      <c r="E24" s="34">
        <v>141</v>
      </c>
      <c r="F24" s="35">
        <f t="shared" si="0"/>
        <v>1164</v>
      </c>
      <c r="G24" s="118"/>
      <c r="H24" s="119"/>
      <c r="I24" s="59"/>
      <c r="J24" s="59"/>
      <c r="K24" s="59"/>
      <c r="L24" s="59"/>
      <c r="M24" s="59"/>
      <c r="N24" s="59"/>
      <c r="O24" s="120"/>
    </row>
    <row r="25" spans="1:15" x14ac:dyDescent="0.25">
      <c r="A25" s="31">
        <v>21</v>
      </c>
      <c r="B25" s="40" t="s">
        <v>37</v>
      </c>
      <c r="C25" s="33">
        <v>115</v>
      </c>
      <c r="D25" s="34">
        <v>3149</v>
      </c>
      <c r="E25" s="34">
        <v>448</v>
      </c>
      <c r="F25" s="35">
        <f>C25+D25+E25</f>
        <v>3712</v>
      </c>
      <c r="G25" s="118">
        <v>4164</v>
      </c>
      <c r="H25" s="119"/>
      <c r="I25" s="59"/>
      <c r="J25" s="59"/>
      <c r="K25" s="59"/>
      <c r="L25" s="59"/>
      <c r="M25" s="59"/>
      <c r="N25" s="59"/>
      <c r="O25" s="120"/>
    </row>
    <row r="26" spans="1:15" x14ac:dyDescent="0.25">
      <c r="A26" s="31">
        <v>22</v>
      </c>
      <c r="B26" s="40" t="s">
        <v>184</v>
      </c>
      <c r="C26" s="33">
        <v>231</v>
      </c>
      <c r="D26" s="34">
        <v>4755</v>
      </c>
      <c r="E26" s="34">
        <v>799</v>
      </c>
      <c r="F26" s="35">
        <f t="shared" si="0"/>
        <v>5785</v>
      </c>
      <c r="G26" s="118">
        <v>11191</v>
      </c>
      <c r="H26" s="119"/>
      <c r="I26" s="59"/>
      <c r="J26" s="59"/>
      <c r="K26" s="59"/>
      <c r="L26" s="59"/>
      <c r="M26" s="59"/>
      <c r="N26" s="59"/>
      <c r="O26" s="120"/>
    </row>
    <row r="27" spans="1:15" x14ac:dyDescent="0.25">
      <c r="A27" s="31">
        <v>23</v>
      </c>
      <c r="B27" s="41" t="s">
        <v>186</v>
      </c>
      <c r="C27" s="33">
        <v>149</v>
      </c>
      <c r="D27" s="34">
        <v>3248</v>
      </c>
      <c r="E27" s="34">
        <v>462</v>
      </c>
      <c r="F27" s="35">
        <f t="shared" si="0"/>
        <v>3859</v>
      </c>
      <c r="G27" s="118">
        <v>5211</v>
      </c>
      <c r="H27" s="119"/>
      <c r="I27" s="59"/>
      <c r="J27" s="59"/>
      <c r="K27" s="59"/>
      <c r="L27" s="59"/>
      <c r="M27" s="59"/>
      <c r="N27" s="59"/>
      <c r="O27" s="120"/>
    </row>
    <row r="28" spans="1:15" x14ac:dyDescent="0.25">
      <c r="A28" s="31">
        <v>24</v>
      </c>
      <c r="B28" s="40" t="s">
        <v>57</v>
      </c>
      <c r="C28" s="33">
        <v>136</v>
      </c>
      <c r="D28" s="34">
        <v>3748</v>
      </c>
      <c r="E28" s="34">
        <v>534</v>
      </c>
      <c r="F28" s="35">
        <f t="shared" si="0"/>
        <v>4418</v>
      </c>
      <c r="G28" s="118">
        <v>6794</v>
      </c>
      <c r="H28" s="119"/>
      <c r="I28" s="59"/>
      <c r="J28" s="59"/>
      <c r="K28" s="59"/>
      <c r="L28" s="59"/>
      <c r="M28" s="59"/>
      <c r="N28" s="59"/>
      <c r="O28" s="120"/>
    </row>
    <row r="29" spans="1:15" x14ac:dyDescent="0.25">
      <c r="A29" s="31">
        <v>25</v>
      </c>
      <c r="B29" s="40" t="s">
        <v>179</v>
      </c>
      <c r="C29" s="33">
        <v>98</v>
      </c>
      <c r="D29" s="34">
        <v>2362</v>
      </c>
      <c r="E29" s="34">
        <v>1163</v>
      </c>
      <c r="F29" s="35">
        <f>C29+D29+E29</f>
        <v>3623</v>
      </c>
      <c r="G29" s="118">
        <v>18550</v>
      </c>
      <c r="H29" s="119"/>
      <c r="I29" s="59"/>
      <c r="J29" s="59"/>
      <c r="K29" s="59"/>
      <c r="L29" s="59"/>
      <c r="M29" s="59"/>
      <c r="N29" s="59"/>
      <c r="O29" s="120"/>
    </row>
    <row r="30" spans="1:15" x14ac:dyDescent="0.25">
      <c r="A30" s="31">
        <v>26</v>
      </c>
      <c r="B30" s="40" t="s">
        <v>201</v>
      </c>
      <c r="C30" s="33">
        <v>92</v>
      </c>
      <c r="D30" s="34">
        <v>2529</v>
      </c>
      <c r="E30" s="34">
        <v>360</v>
      </c>
      <c r="F30" s="35">
        <f t="shared" si="0"/>
        <v>2981</v>
      </c>
      <c r="G30" s="118"/>
      <c r="H30" s="119"/>
      <c r="I30" s="59"/>
      <c r="J30" s="59"/>
      <c r="K30" s="59"/>
      <c r="L30" s="59"/>
      <c r="M30" s="59"/>
      <c r="N30" s="59"/>
      <c r="O30" s="120"/>
    </row>
    <row r="31" spans="1:15" x14ac:dyDescent="0.25">
      <c r="A31" s="31">
        <v>27</v>
      </c>
      <c r="B31" s="40" t="s">
        <v>202</v>
      </c>
      <c r="C31" s="33">
        <v>85</v>
      </c>
      <c r="D31" s="34">
        <v>2331</v>
      </c>
      <c r="E31" s="34">
        <v>332</v>
      </c>
      <c r="F31" s="35">
        <f t="shared" si="0"/>
        <v>2748</v>
      </c>
      <c r="G31" s="118"/>
      <c r="H31" s="119"/>
      <c r="I31" s="59"/>
      <c r="J31" s="59"/>
      <c r="K31" s="59"/>
      <c r="L31" s="59"/>
      <c r="M31" s="59"/>
      <c r="N31" s="59"/>
      <c r="O31" s="120"/>
    </row>
    <row r="32" spans="1:15" x14ac:dyDescent="0.25">
      <c r="A32" s="31">
        <v>28</v>
      </c>
      <c r="B32" s="40" t="s">
        <v>203</v>
      </c>
      <c r="C32" s="33">
        <v>122</v>
      </c>
      <c r="D32" s="34">
        <v>2405</v>
      </c>
      <c r="E32" s="34">
        <v>478</v>
      </c>
      <c r="F32" s="35">
        <f t="shared" si="0"/>
        <v>3005</v>
      </c>
      <c r="G32" s="118"/>
      <c r="H32" s="119"/>
      <c r="I32" s="59"/>
      <c r="J32" s="59"/>
      <c r="K32" s="59"/>
      <c r="L32" s="59"/>
      <c r="M32" s="59"/>
      <c r="N32" s="59"/>
      <c r="O32" s="120"/>
    </row>
    <row r="33" spans="1:15" x14ac:dyDescent="0.25">
      <c r="A33" s="31">
        <v>29</v>
      </c>
      <c r="B33" s="42" t="s">
        <v>20</v>
      </c>
      <c r="C33" s="33">
        <v>42</v>
      </c>
      <c r="D33" s="34">
        <v>1146</v>
      </c>
      <c r="E33" s="34">
        <v>163</v>
      </c>
      <c r="F33" s="35">
        <f t="shared" si="0"/>
        <v>1351</v>
      </c>
      <c r="G33" s="118">
        <v>3717</v>
      </c>
      <c r="H33" s="119"/>
      <c r="I33" s="59"/>
      <c r="J33" s="59"/>
      <c r="K33" s="59"/>
      <c r="L33" s="59"/>
      <c r="M33" s="59"/>
      <c r="N33" s="59"/>
      <c r="O33" s="120"/>
    </row>
    <row r="34" spans="1:15" ht="13.5" customHeight="1" x14ac:dyDescent="0.25">
      <c r="A34" s="31">
        <v>30</v>
      </c>
      <c r="B34" s="36" t="s">
        <v>238</v>
      </c>
      <c r="C34" s="37">
        <v>111</v>
      </c>
      <c r="D34" s="38">
        <v>3020</v>
      </c>
      <c r="E34" s="39"/>
      <c r="F34" s="35">
        <f t="shared" si="0"/>
        <v>3131</v>
      </c>
      <c r="G34" s="118"/>
      <c r="H34" s="119"/>
      <c r="I34" s="59"/>
      <c r="J34" s="59"/>
      <c r="K34" s="59"/>
      <c r="L34" s="59"/>
      <c r="M34" s="59"/>
      <c r="N34" s="59"/>
      <c r="O34" s="120"/>
    </row>
    <row r="35" spans="1:15" x14ac:dyDescent="0.25">
      <c r="A35" s="26">
        <v>31</v>
      </c>
      <c r="B35" s="40" t="s">
        <v>22</v>
      </c>
      <c r="C35" s="33">
        <v>65</v>
      </c>
      <c r="D35" s="34">
        <v>1795</v>
      </c>
      <c r="E35" s="34">
        <v>256</v>
      </c>
      <c r="F35" s="35">
        <f t="shared" si="0"/>
        <v>2116</v>
      </c>
      <c r="G35" s="118">
        <v>2849</v>
      </c>
      <c r="H35" s="119"/>
      <c r="I35" s="59"/>
      <c r="J35" s="59"/>
      <c r="K35" s="59"/>
      <c r="L35" s="59"/>
      <c r="M35" s="59"/>
      <c r="N35" s="59"/>
      <c r="O35" s="120"/>
    </row>
    <row r="36" spans="1:15" x14ac:dyDescent="0.25">
      <c r="A36" s="26">
        <v>32</v>
      </c>
      <c r="B36" s="32" t="s">
        <v>24</v>
      </c>
      <c r="C36" s="33"/>
      <c r="D36" s="34">
        <v>429</v>
      </c>
      <c r="E36" s="34">
        <v>61</v>
      </c>
      <c r="F36" s="35">
        <f t="shared" si="0"/>
        <v>490</v>
      </c>
      <c r="G36" s="118"/>
      <c r="H36" s="119"/>
      <c r="I36" s="59"/>
      <c r="J36" s="59"/>
      <c r="K36" s="59"/>
      <c r="L36" s="59"/>
      <c r="M36" s="59"/>
      <c r="N36" s="59"/>
      <c r="O36" s="120"/>
    </row>
    <row r="37" spans="1:15" x14ac:dyDescent="0.25">
      <c r="A37" s="31">
        <v>33</v>
      </c>
      <c r="B37" s="32" t="s">
        <v>26</v>
      </c>
      <c r="C37" s="33"/>
      <c r="D37" s="34">
        <v>423</v>
      </c>
      <c r="E37" s="34">
        <v>60</v>
      </c>
      <c r="F37" s="35">
        <f t="shared" si="0"/>
        <v>483</v>
      </c>
      <c r="G37" s="118"/>
      <c r="H37" s="119"/>
      <c r="I37" s="59"/>
      <c r="J37" s="59"/>
      <c r="K37" s="59"/>
      <c r="L37" s="59"/>
      <c r="M37" s="59"/>
      <c r="N37" s="59"/>
      <c r="O37" s="120"/>
    </row>
    <row r="38" spans="1:15" x14ac:dyDescent="0.25">
      <c r="A38" s="31">
        <v>34</v>
      </c>
      <c r="B38" s="42" t="s">
        <v>27</v>
      </c>
      <c r="C38" s="33">
        <v>55</v>
      </c>
      <c r="D38" s="34">
        <v>1510</v>
      </c>
      <c r="E38" s="34"/>
      <c r="F38" s="35">
        <f t="shared" si="0"/>
        <v>1565</v>
      </c>
      <c r="G38" s="118"/>
      <c r="H38" s="119"/>
      <c r="I38" s="59"/>
      <c r="J38" s="59"/>
      <c r="K38" s="59"/>
      <c r="L38" s="59"/>
      <c r="M38" s="59"/>
      <c r="N38" s="59"/>
      <c r="O38" s="120"/>
    </row>
    <row r="39" spans="1:15" ht="11.25" customHeight="1" x14ac:dyDescent="0.25">
      <c r="A39" s="43">
        <v>35</v>
      </c>
      <c r="B39" s="42" t="s">
        <v>25</v>
      </c>
      <c r="C39" s="33">
        <v>27</v>
      </c>
      <c r="D39" s="34">
        <v>757</v>
      </c>
      <c r="E39" s="34">
        <v>108</v>
      </c>
      <c r="F39" s="35">
        <f t="shared" si="0"/>
        <v>892</v>
      </c>
      <c r="G39" s="118"/>
      <c r="H39" s="119"/>
      <c r="I39" s="59"/>
      <c r="J39" s="59"/>
      <c r="K39" s="59"/>
      <c r="L39" s="59"/>
      <c r="M39" s="59"/>
      <c r="N39" s="59"/>
      <c r="O39" s="120"/>
    </row>
    <row r="40" spans="1:15" x14ac:dyDescent="0.25">
      <c r="A40" s="43">
        <v>36</v>
      </c>
      <c r="B40" s="40" t="s">
        <v>29</v>
      </c>
      <c r="C40" s="33">
        <v>93</v>
      </c>
      <c r="D40" s="34">
        <v>2570</v>
      </c>
      <c r="E40" s="34">
        <v>366</v>
      </c>
      <c r="F40" s="35">
        <f t="shared" si="0"/>
        <v>3029</v>
      </c>
      <c r="G40" s="118">
        <v>4122</v>
      </c>
      <c r="H40" s="119"/>
      <c r="I40" s="59"/>
      <c r="J40" s="59"/>
      <c r="K40" s="59"/>
      <c r="L40" s="59"/>
      <c r="M40" s="59"/>
      <c r="N40" s="59"/>
      <c r="O40" s="120"/>
    </row>
    <row r="41" spans="1:15" x14ac:dyDescent="0.25">
      <c r="A41" s="43">
        <v>37</v>
      </c>
      <c r="B41" s="40" t="s">
        <v>30</v>
      </c>
      <c r="C41" s="33"/>
      <c r="D41" s="34">
        <v>750</v>
      </c>
      <c r="E41" s="34">
        <v>107</v>
      </c>
      <c r="F41" s="35">
        <f t="shared" si="0"/>
        <v>857</v>
      </c>
      <c r="G41" s="118"/>
      <c r="H41" s="119"/>
      <c r="I41" s="59"/>
      <c r="J41" s="59"/>
      <c r="K41" s="59"/>
      <c r="L41" s="59"/>
      <c r="M41" s="59"/>
      <c r="N41" s="59"/>
      <c r="O41" s="120"/>
    </row>
    <row r="42" spans="1:15" x14ac:dyDescent="0.25">
      <c r="A42" s="43">
        <v>38</v>
      </c>
      <c r="B42" s="40" t="s">
        <v>31</v>
      </c>
      <c r="C42" s="33"/>
      <c r="D42" s="34">
        <v>704</v>
      </c>
      <c r="E42" s="34">
        <v>100</v>
      </c>
      <c r="F42" s="35">
        <f t="shared" si="0"/>
        <v>804</v>
      </c>
      <c r="G42" s="118"/>
      <c r="H42" s="119"/>
      <c r="I42" s="59"/>
      <c r="J42" s="59"/>
      <c r="K42" s="59"/>
      <c r="L42" s="59"/>
      <c r="M42" s="59"/>
      <c r="N42" s="59"/>
      <c r="O42" s="120"/>
    </row>
    <row r="43" spans="1:15" x14ac:dyDescent="0.25">
      <c r="A43" s="43">
        <v>39</v>
      </c>
      <c r="B43" s="40" t="s">
        <v>32</v>
      </c>
      <c r="C43" s="33"/>
      <c r="D43" s="34">
        <v>1385</v>
      </c>
      <c r="E43" s="34">
        <v>197</v>
      </c>
      <c r="F43" s="35">
        <f t="shared" si="0"/>
        <v>1582</v>
      </c>
      <c r="G43" s="118"/>
      <c r="H43" s="119"/>
      <c r="I43" s="59"/>
      <c r="J43" s="59"/>
      <c r="K43" s="59"/>
      <c r="L43" s="59"/>
      <c r="M43" s="59"/>
      <c r="N43" s="59"/>
      <c r="O43" s="120"/>
    </row>
    <row r="44" spans="1:15" x14ac:dyDescent="0.25">
      <c r="A44" s="31">
        <v>40</v>
      </c>
      <c r="B44" s="40" t="s">
        <v>33</v>
      </c>
      <c r="C44" s="33">
        <v>18</v>
      </c>
      <c r="D44" s="34">
        <v>492</v>
      </c>
      <c r="E44" s="34">
        <v>70</v>
      </c>
      <c r="F44" s="35">
        <f t="shared" si="0"/>
        <v>580</v>
      </c>
      <c r="G44" s="118"/>
      <c r="H44" s="119"/>
      <c r="I44" s="59"/>
      <c r="J44" s="59"/>
      <c r="K44" s="59"/>
      <c r="L44" s="59"/>
      <c r="M44" s="59"/>
      <c r="N44" s="59"/>
      <c r="O44" s="120"/>
    </row>
    <row r="45" spans="1:15" x14ac:dyDescent="0.25">
      <c r="A45" s="31">
        <v>41</v>
      </c>
      <c r="B45" s="40" t="s">
        <v>34</v>
      </c>
      <c r="C45" s="33"/>
      <c r="D45" s="34">
        <v>862</v>
      </c>
      <c r="E45" s="34"/>
      <c r="F45" s="35">
        <f t="shared" si="0"/>
        <v>862</v>
      </c>
      <c r="G45" s="118"/>
      <c r="H45" s="119"/>
      <c r="I45" s="59"/>
      <c r="J45" s="59"/>
      <c r="K45" s="59"/>
      <c r="L45" s="59"/>
      <c r="M45" s="59"/>
      <c r="N45" s="59"/>
      <c r="O45" s="120"/>
    </row>
    <row r="46" spans="1:15" x14ac:dyDescent="0.25">
      <c r="A46" s="31">
        <v>42</v>
      </c>
      <c r="B46" s="40" t="s">
        <v>19</v>
      </c>
      <c r="C46" s="33"/>
      <c r="D46" s="34">
        <v>950</v>
      </c>
      <c r="E46" s="34"/>
      <c r="F46" s="35">
        <f t="shared" si="0"/>
        <v>950</v>
      </c>
      <c r="G46" s="118"/>
      <c r="H46" s="119"/>
      <c r="I46" s="59"/>
      <c r="J46" s="59"/>
      <c r="K46" s="59"/>
      <c r="L46" s="59"/>
      <c r="M46" s="59"/>
      <c r="N46" s="59"/>
      <c r="O46" s="120"/>
    </row>
    <row r="47" spans="1:15" x14ac:dyDescent="0.25">
      <c r="A47" s="31">
        <v>43</v>
      </c>
      <c r="B47" s="40" t="s">
        <v>36</v>
      </c>
      <c r="C47" s="33">
        <v>29</v>
      </c>
      <c r="D47" s="34">
        <v>794</v>
      </c>
      <c r="E47" s="34"/>
      <c r="F47" s="35">
        <f t="shared" si="0"/>
        <v>823</v>
      </c>
      <c r="G47" s="118"/>
      <c r="H47" s="119"/>
      <c r="I47" s="59"/>
      <c r="J47" s="59"/>
      <c r="K47" s="59"/>
      <c r="L47" s="59"/>
      <c r="M47" s="59"/>
      <c r="N47" s="59"/>
      <c r="O47" s="120"/>
    </row>
    <row r="48" spans="1:15" x14ac:dyDescent="0.25">
      <c r="A48" s="31">
        <v>44</v>
      </c>
      <c r="B48" s="41" t="s">
        <v>43</v>
      </c>
      <c r="C48" s="33">
        <v>27</v>
      </c>
      <c r="D48" s="34">
        <v>735</v>
      </c>
      <c r="E48" s="34">
        <v>105</v>
      </c>
      <c r="F48" s="35">
        <f t="shared" si="0"/>
        <v>867</v>
      </c>
      <c r="G48" s="118"/>
      <c r="H48" s="119"/>
      <c r="I48" s="59"/>
      <c r="J48" s="59"/>
      <c r="K48" s="59"/>
      <c r="L48" s="59"/>
      <c r="M48" s="59"/>
      <c r="N48" s="59"/>
      <c r="O48" s="120"/>
    </row>
    <row r="49" spans="1:15" x14ac:dyDescent="0.25">
      <c r="A49" s="31">
        <v>45</v>
      </c>
      <c r="B49" s="40" t="s">
        <v>38</v>
      </c>
      <c r="C49" s="33">
        <v>120</v>
      </c>
      <c r="D49" s="34">
        <v>3346</v>
      </c>
      <c r="E49" s="34">
        <v>476</v>
      </c>
      <c r="F49" s="35">
        <f t="shared" si="0"/>
        <v>3942</v>
      </c>
      <c r="G49" s="118">
        <v>3984</v>
      </c>
      <c r="H49" s="119"/>
      <c r="I49" s="59"/>
      <c r="J49" s="59"/>
      <c r="K49" s="59"/>
      <c r="L49" s="59"/>
      <c r="M49" s="59"/>
      <c r="N49" s="59"/>
      <c r="O49" s="120"/>
    </row>
    <row r="50" spans="1:15" x14ac:dyDescent="0.25">
      <c r="A50" s="31">
        <v>46</v>
      </c>
      <c r="B50" s="40" t="s">
        <v>21</v>
      </c>
      <c r="C50" s="33">
        <v>50</v>
      </c>
      <c r="D50" s="34">
        <v>835</v>
      </c>
      <c r="E50" s="34">
        <v>119</v>
      </c>
      <c r="F50" s="35">
        <f t="shared" si="0"/>
        <v>1004</v>
      </c>
      <c r="G50" s="118"/>
      <c r="H50" s="119"/>
      <c r="I50" s="59"/>
      <c r="J50" s="59"/>
      <c r="K50" s="59"/>
      <c r="L50" s="59"/>
      <c r="M50" s="59"/>
      <c r="N50" s="59"/>
      <c r="O50" s="120"/>
    </row>
    <row r="51" spans="1:15" x14ac:dyDescent="0.25">
      <c r="A51" s="31">
        <v>47</v>
      </c>
      <c r="B51" s="40" t="s">
        <v>40</v>
      </c>
      <c r="C51" s="33"/>
      <c r="D51" s="34">
        <v>669</v>
      </c>
      <c r="E51" s="34">
        <v>95</v>
      </c>
      <c r="F51" s="35">
        <f t="shared" si="0"/>
        <v>764</v>
      </c>
      <c r="G51" s="118"/>
      <c r="H51" s="119"/>
      <c r="I51" s="59"/>
      <c r="J51" s="59"/>
      <c r="K51" s="59"/>
      <c r="L51" s="59"/>
      <c r="M51" s="59"/>
      <c r="N51" s="59"/>
      <c r="O51" s="120"/>
    </row>
    <row r="52" spans="1:15" x14ac:dyDescent="0.25">
      <c r="A52" s="31">
        <v>48</v>
      </c>
      <c r="B52" s="40" t="s">
        <v>41</v>
      </c>
      <c r="C52" s="33">
        <v>30</v>
      </c>
      <c r="D52" s="34">
        <v>814</v>
      </c>
      <c r="E52" s="34"/>
      <c r="F52" s="35">
        <f t="shared" si="0"/>
        <v>844</v>
      </c>
      <c r="G52" s="118"/>
      <c r="H52" s="119"/>
      <c r="I52" s="59"/>
      <c r="J52" s="59"/>
      <c r="K52" s="59"/>
      <c r="L52" s="59"/>
      <c r="M52" s="59"/>
      <c r="N52" s="59"/>
      <c r="O52" s="120"/>
    </row>
    <row r="53" spans="1:15" x14ac:dyDescent="0.25">
      <c r="A53" s="31">
        <v>49</v>
      </c>
      <c r="B53" s="40" t="s">
        <v>42</v>
      </c>
      <c r="C53" s="33"/>
      <c r="D53" s="34">
        <v>562</v>
      </c>
      <c r="E53" s="34"/>
      <c r="F53" s="35">
        <f t="shared" si="0"/>
        <v>562</v>
      </c>
      <c r="G53" s="118"/>
      <c r="H53" s="119"/>
      <c r="I53" s="59"/>
      <c r="J53" s="59"/>
      <c r="K53" s="59"/>
      <c r="L53" s="59"/>
      <c r="M53" s="59"/>
      <c r="N53" s="59"/>
      <c r="O53" s="120"/>
    </row>
    <row r="54" spans="1:15" ht="12" customHeight="1" x14ac:dyDescent="0.25">
      <c r="A54" s="26">
        <v>50</v>
      </c>
      <c r="B54" s="32" t="s">
        <v>2</v>
      </c>
      <c r="C54" s="33">
        <v>44</v>
      </c>
      <c r="D54" s="34">
        <v>1199</v>
      </c>
      <c r="E54" s="34">
        <v>171</v>
      </c>
      <c r="F54" s="35">
        <f t="shared" si="0"/>
        <v>1414</v>
      </c>
      <c r="G54" s="118"/>
      <c r="H54" s="119"/>
      <c r="I54" s="59"/>
      <c r="J54" s="59"/>
      <c r="K54" s="59"/>
      <c r="L54" s="59"/>
      <c r="M54" s="59"/>
      <c r="N54" s="59"/>
      <c r="O54" s="120"/>
    </row>
    <row r="55" spans="1:15" ht="12" customHeight="1" x14ac:dyDescent="0.25">
      <c r="A55" s="26">
        <v>51</v>
      </c>
      <c r="B55" s="32" t="s">
        <v>44</v>
      </c>
      <c r="C55" s="33">
        <v>21</v>
      </c>
      <c r="D55" s="34">
        <v>598</v>
      </c>
      <c r="E55" s="34"/>
      <c r="F55" s="35">
        <f t="shared" si="0"/>
        <v>619</v>
      </c>
      <c r="G55" s="118"/>
      <c r="H55" s="119"/>
      <c r="I55" s="59"/>
      <c r="J55" s="59"/>
      <c r="K55" s="59"/>
      <c r="L55" s="59"/>
      <c r="M55" s="59"/>
      <c r="N55" s="59"/>
      <c r="O55" s="120"/>
    </row>
    <row r="56" spans="1:15" ht="12" customHeight="1" x14ac:dyDescent="0.25">
      <c r="A56" s="26">
        <v>52</v>
      </c>
      <c r="B56" s="32" t="s">
        <v>5</v>
      </c>
      <c r="C56" s="33">
        <v>38</v>
      </c>
      <c r="D56" s="34">
        <v>1045</v>
      </c>
      <c r="E56" s="34"/>
      <c r="F56" s="35">
        <f t="shared" si="0"/>
        <v>1083</v>
      </c>
      <c r="G56" s="118"/>
      <c r="H56" s="119"/>
      <c r="I56" s="59"/>
      <c r="J56" s="59"/>
      <c r="K56" s="59"/>
      <c r="L56" s="59"/>
      <c r="M56" s="59"/>
      <c r="N56" s="59"/>
      <c r="O56" s="120"/>
    </row>
    <row r="57" spans="1:15" ht="12" customHeight="1" x14ac:dyDescent="0.25">
      <c r="A57" s="31">
        <v>53</v>
      </c>
      <c r="B57" s="32" t="s">
        <v>46</v>
      </c>
      <c r="C57" s="33"/>
      <c r="D57" s="34">
        <v>3939</v>
      </c>
      <c r="E57" s="34">
        <v>561</v>
      </c>
      <c r="F57" s="35">
        <f t="shared" si="0"/>
        <v>4500</v>
      </c>
      <c r="G57" s="118">
        <v>6391</v>
      </c>
      <c r="H57" s="119"/>
      <c r="I57" s="59"/>
      <c r="J57" s="59"/>
      <c r="K57" s="59"/>
      <c r="L57" s="59"/>
      <c r="M57" s="59"/>
      <c r="N57" s="59"/>
      <c r="O57" s="120"/>
    </row>
    <row r="58" spans="1:15" x14ac:dyDescent="0.25">
      <c r="A58" s="31">
        <v>54</v>
      </c>
      <c r="B58" s="40" t="s">
        <v>55</v>
      </c>
      <c r="C58" s="33">
        <v>113</v>
      </c>
      <c r="D58" s="34">
        <v>1829</v>
      </c>
      <c r="E58" s="34">
        <v>260</v>
      </c>
      <c r="F58" s="35">
        <f t="shared" si="0"/>
        <v>2202</v>
      </c>
      <c r="G58" s="118">
        <v>3056</v>
      </c>
      <c r="H58" s="119"/>
      <c r="I58" s="59"/>
      <c r="J58" s="59"/>
      <c r="K58" s="59"/>
      <c r="L58" s="59"/>
      <c r="M58" s="59"/>
      <c r="N58" s="59"/>
      <c r="O58" s="120"/>
    </row>
    <row r="59" spans="1:15" ht="12" customHeight="1" x14ac:dyDescent="0.25">
      <c r="A59" s="31">
        <v>55</v>
      </c>
      <c r="B59" s="40" t="s">
        <v>50</v>
      </c>
      <c r="C59" s="33">
        <v>32</v>
      </c>
      <c r="D59" s="34">
        <v>877</v>
      </c>
      <c r="E59" s="34">
        <v>125</v>
      </c>
      <c r="F59" s="35">
        <f t="shared" si="0"/>
        <v>1034</v>
      </c>
      <c r="G59" s="118"/>
      <c r="H59" s="119"/>
      <c r="I59" s="59"/>
      <c r="J59" s="59"/>
      <c r="K59" s="59"/>
      <c r="L59" s="59"/>
      <c r="M59" s="59"/>
      <c r="N59" s="59"/>
      <c r="O59" s="120"/>
    </row>
    <row r="60" spans="1:15" ht="12" customHeight="1" x14ac:dyDescent="0.25">
      <c r="A60" s="31">
        <v>56</v>
      </c>
      <c r="B60" s="40" t="s">
        <v>51</v>
      </c>
      <c r="C60" s="33">
        <v>53</v>
      </c>
      <c r="D60" s="34">
        <v>1460</v>
      </c>
      <c r="E60" s="34">
        <v>208</v>
      </c>
      <c r="F60" s="35">
        <f t="shared" si="0"/>
        <v>1721</v>
      </c>
      <c r="G60" s="118"/>
      <c r="H60" s="119"/>
      <c r="I60" s="59"/>
      <c r="J60" s="59"/>
      <c r="K60" s="59"/>
      <c r="L60" s="59"/>
      <c r="M60" s="59"/>
      <c r="N60" s="59"/>
      <c r="O60" s="120"/>
    </row>
    <row r="61" spans="1:15" ht="12" customHeight="1" x14ac:dyDescent="0.25">
      <c r="A61" s="31">
        <v>57</v>
      </c>
      <c r="B61" s="40" t="s">
        <v>52</v>
      </c>
      <c r="C61" s="33"/>
      <c r="D61" s="34">
        <v>658</v>
      </c>
      <c r="E61" s="34">
        <v>94</v>
      </c>
      <c r="F61" s="35">
        <f t="shared" si="0"/>
        <v>752</v>
      </c>
      <c r="G61" s="118"/>
      <c r="H61" s="119"/>
      <c r="I61" s="59"/>
      <c r="J61" s="59"/>
      <c r="K61" s="59"/>
      <c r="L61" s="59"/>
      <c r="M61" s="59"/>
      <c r="N61" s="59"/>
      <c r="O61" s="120"/>
    </row>
    <row r="62" spans="1:15" ht="12" customHeight="1" x14ac:dyDescent="0.25">
      <c r="A62" s="31">
        <v>58</v>
      </c>
      <c r="B62" s="40" t="s">
        <v>14</v>
      </c>
      <c r="C62" s="33"/>
      <c r="D62" s="34">
        <v>690</v>
      </c>
      <c r="E62" s="34"/>
      <c r="F62" s="35">
        <f t="shared" si="0"/>
        <v>690</v>
      </c>
      <c r="G62" s="118"/>
      <c r="H62" s="119"/>
      <c r="I62" s="59"/>
      <c r="J62" s="59"/>
      <c r="K62" s="59"/>
      <c r="L62" s="59"/>
      <c r="M62" s="59"/>
      <c r="N62" s="59"/>
      <c r="O62" s="120"/>
    </row>
    <row r="63" spans="1:15" x14ac:dyDescent="0.25">
      <c r="A63" s="31">
        <v>59</v>
      </c>
      <c r="B63" s="44" t="s">
        <v>53</v>
      </c>
      <c r="C63" s="37">
        <v>50</v>
      </c>
      <c r="D63" s="38">
        <v>1372</v>
      </c>
      <c r="E63" s="38">
        <v>195</v>
      </c>
      <c r="F63" s="35">
        <f t="shared" si="0"/>
        <v>1617</v>
      </c>
      <c r="G63" s="118"/>
      <c r="H63" s="119"/>
      <c r="I63" s="59"/>
      <c r="J63" s="59"/>
      <c r="K63" s="59"/>
      <c r="L63" s="59"/>
      <c r="M63" s="59"/>
      <c r="N63" s="59"/>
      <c r="O63" s="120"/>
    </row>
    <row r="64" spans="1:15" x14ac:dyDescent="0.25">
      <c r="A64" s="31">
        <v>60</v>
      </c>
      <c r="B64" s="36" t="s">
        <v>180</v>
      </c>
      <c r="C64" s="37">
        <v>23</v>
      </c>
      <c r="D64" s="38">
        <v>632</v>
      </c>
      <c r="E64" s="39">
        <v>90</v>
      </c>
      <c r="F64" s="35">
        <f t="shared" si="0"/>
        <v>745</v>
      </c>
      <c r="G64" s="118">
        <v>783</v>
      </c>
      <c r="H64" s="119"/>
      <c r="I64" s="59"/>
      <c r="J64" s="59"/>
      <c r="K64" s="59"/>
      <c r="L64" s="59"/>
      <c r="M64" s="59"/>
      <c r="N64" s="59"/>
      <c r="O64" s="120"/>
    </row>
    <row r="65" spans="1:15" x14ac:dyDescent="0.25">
      <c r="A65" s="31">
        <v>61</v>
      </c>
      <c r="B65" s="40" t="s">
        <v>239</v>
      </c>
      <c r="C65" s="33"/>
      <c r="D65" s="34">
        <v>435</v>
      </c>
      <c r="E65" s="34">
        <v>62</v>
      </c>
      <c r="F65" s="35">
        <f t="shared" si="0"/>
        <v>497</v>
      </c>
      <c r="G65" s="118"/>
      <c r="H65" s="119"/>
      <c r="I65" s="59"/>
      <c r="J65" s="59"/>
      <c r="K65" s="59"/>
      <c r="L65" s="59"/>
      <c r="M65" s="59"/>
      <c r="N65" s="59"/>
      <c r="O65" s="120"/>
    </row>
    <row r="66" spans="1:15" ht="15.75" customHeight="1" x14ac:dyDescent="0.25">
      <c r="A66" s="31">
        <v>62</v>
      </c>
      <c r="B66" s="40" t="s">
        <v>209</v>
      </c>
      <c r="C66" s="33"/>
      <c r="D66" s="34">
        <v>264</v>
      </c>
      <c r="E66" s="34"/>
      <c r="F66" s="35">
        <f t="shared" si="0"/>
        <v>264</v>
      </c>
      <c r="G66" s="118"/>
      <c r="H66" s="119"/>
      <c r="I66" s="59"/>
      <c r="J66" s="59"/>
      <c r="K66" s="59"/>
      <c r="L66" s="59"/>
      <c r="M66" s="59"/>
      <c r="N66" s="59"/>
      <c r="O66" s="120"/>
    </row>
    <row r="67" spans="1:15" x14ac:dyDescent="0.25">
      <c r="A67" s="31">
        <v>63</v>
      </c>
      <c r="B67" s="45" t="s">
        <v>187</v>
      </c>
      <c r="C67" s="33">
        <v>65</v>
      </c>
      <c r="D67" s="34">
        <v>856</v>
      </c>
      <c r="E67" s="34">
        <v>160</v>
      </c>
      <c r="F67" s="35">
        <f t="shared" si="0"/>
        <v>1081</v>
      </c>
      <c r="G67" s="118"/>
      <c r="H67" s="119"/>
      <c r="I67" s="59"/>
      <c r="J67" s="59"/>
      <c r="K67" s="59"/>
      <c r="L67" s="59"/>
      <c r="M67" s="59"/>
      <c r="N67" s="59"/>
      <c r="O67" s="120"/>
    </row>
    <row r="68" spans="1:15" x14ac:dyDescent="0.25">
      <c r="A68" s="31">
        <v>64</v>
      </c>
      <c r="B68" s="40" t="s">
        <v>149</v>
      </c>
      <c r="C68" s="33"/>
      <c r="D68" s="34">
        <v>329</v>
      </c>
      <c r="E68" s="34"/>
      <c r="F68" s="35">
        <f t="shared" si="0"/>
        <v>329</v>
      </c>
      <c r="G68" s="118"/>
      <c r="H68" s="119"/>
      <c r="I68" s="59"/>
      <c r="J68" s="59"/>
      <c r="K68" s="59"/>
      <c r="L68" s="59"/>
      <c r="M68" s="59"/>
      <c r="N68" s="59"/>
      <c r="O68" s="120"/>
    </row>
    <row r="69" spans="1:15" ht="13.5" customHeight="1" x14ac:dyDescent="0.25">
      <c r="A69" s="31">
        <v>65</v>
      </c>
      <c r="B69" s="36" t="s">
        <v>240</v>
      </c>
      <c r="C69" s="37"/>
      <c r="D69" s="38">
        <v>1621</v>
      </c>
      <c r="E69" s="39"/>
      <c r="F69" s="35">
        <f t="shared" si="0"/>
        <v>1621</v>
      </c>
      <c r="G69" s="118"/>
      <c r="H69" s="119"/>
      <c r="I69" s="59"/>
      <c r="J69" s="59"/>
      <c r="K69" s="59"/>
      <c r="L69" s="59"/>
      <c r="M69" s="59"/>
      <c r="N69" s="59"/>
      <c r="O69" s="120"/>
    </row>
    <row r="70" spans="1:15" ht="13.5" customHeight="1" x14ac:dyDescent="0.25">
      <c r="A70" s="31">
        <v>66</v>
      </c>
      <c r="B70" s="36" t="s">
        <v>241</v>
      </c>
      <c r="C70" s="37"/>
      <c r="D70" s="38">
        <v>1385</v>
      </c>
      <c r="E70" s="39"/>
      <c r="F70" s="35">
        <f t="shared" si="0"/>
        <v>1385</v>
      </c>
      <c r="G70" s="118"/>
      <c r="H70" s="119"/>
      <c r="I70" s="59"/>
      <c r="J70" s="59"/>
      <c r="K70" s="59"/>
      <c r="L70" s="59"/>
      <c r="M70" s="59"/>
      <c r="N70" s="59"/>
      <c r="O70" s="120"/>
    </row>
    <row r="71" spans="1:15" ht="13.5" customHeight="1" x14ac:dyDescent="0.25">
      <c r="A71" s="31">
        <v>67</v>
      </c>
      <c r="B71" s="36" t="s">
        <v>242</v>
      </c>
      <c r="C71" s="37"/>
      <c r="D71" s="38">
        <v>1909</v>
      </c>
      <c r="E71" s="39"/>
      <c r="F71" s="35">
        <f t="shared" si="0"/>
        <v>1909</v>
      </c>
      <c r="G71" s="118"/>
      <c r="H71" s="119"/>
      <c r="I71" s="59"/>
      <c r="J71" s="59"/>
      <c r="K71" s="59"/>
      <c r="L71" s="59"/>
      <c r="M71" s="59"/>
      <c r="N71" s="59"/>
      <c r="O71" s="120"/>
    </row>
    <row r="72" spans="1:15" ht="13.5" customHeight="1" x14ac:dyDescent="0.25">
      <c r="A72" s="31">
        <v>68</v>
      </c>
      <c r="B72" s="36" t="s">
        <v>243</v>
      </c>
      <c r="C72" s="37"/>
      <c r="D72" s="38">
        <v>2326</v>
      </c>
      <c r="E72" s="39"/>
      <c r="F72" s="35">
        <f t="shared" si="0"/>
        <v>2326</v>
      </c>
      <c r="G72" s="118"/>
      <c r="H72" s="119"/>
      <c r="I72" s="59"/>
      <c r="J72" s="59"/>
      <c r="K72" s="59"/>
      <c r="L72" s="59"/>
      <c r="M72" s="59"/>
      <c r="N72" s="59"/>
      <c r="O72" s="120"/>
    </row>
    <row r="73" spans="1:15" ht="13.5" customHeight="1" x14ac:dyDescent="0.25">
      <c r="A73" s="31">
        <v>69</v>
      </c>
      <c r="B73" s="36" t="s">
        <v>244</v>
      </c>
      <c r="C73" s="37"/>
      <c r="D73" s="38">
        <v>870</v>
      </c>
      <c r="E73" s="39"/>
      <c r="F73" s="35">
        <f t="shared" si="0"/>
        <v>870</v>
      </c>
      <c r="G73" s="118"/>
      <c r="H73" s="119"/>
      <c r="I73" s="59"/>
      <c r="J73" s="59"/>
      <c r="K73" s="59"/>
      <c r="L73" s="59"/>
      <c r="M73" s="59"/>
      <c r="N73" s="59"/>
      <c r="O73" s="120"/>
    </row>
    <row r="74" spans="1:15" x14ac:dyDescent="0.25">
      <c r="A74" s="31">
        <v>70</v>
      </c>
      <c r="B74" s="40" t="s">
        <v>218</v>
      </c>
      <c r="C74" s="33"/>
      <c r="D74" s="34">
        <v>2758</v>
      </c>
      <c r="E74" s="34"/>
      <c r="F74" s="35">
        <f t="shared" si="0"/>
        <v>2758</v>
      </c>
      <c r="G74" s="118"/>
      <c r="H74" s="119"/>
      <c r="I74" s="59"/>
      <c r="J74" s="59"/>
      <c r="K74" s="59"/>
      <c r="L74" s="59"/>
      <c r="M74" s="59"/>
      <c r="N74" s="59"/>
      <c r="O74" s="120"/>
    </row>
    <row r="75" spans="1:15" x14ac:dyDescent="0.25">
      <c r="A75" s="31">
        <v>71</v>
      </c>
      <c r="B75" s="40" t="s">
        <v>219</v>
      </c>
      <c r="C75" s="33"/>
      <c r="D75" s="34">
        <v>1783</v>
      </c>
      <c r="E75" s="34"/>
      <c r="F75" s="35">
        <f t="shared" si="0"/>
        <v>1783</v>
      </c>
      <c r="G75" s="118"/>
      <c r="H75" s="119"/>
      <c r="I75" s="59"/>
      <c r="J75" s="59"/>
      <c r="K75" s="59"/>
      <c r="L75" s="59"/>
      <c r="M75" s="59"/>
      <c r="N75" s="59"/>
      <c r="O75" s="120"/>
    </row>
    <row r="76" spans="1:15" x14ac:dyDescent="0.25">
      <c r="A76" s="31">
        <v>72</v>
      </c>
      <c r="B76" s="40" t="s">
        <v>220</v>
      </c>
      <c r="C76" s="33"/>
      <c r="D76" s="34">
        <v>1718</v>
      </c>
      <c r="E76" s="34">
        <v>244</v>
      </c>
      <c r="F76" s="35">
        <f t="shared" si="0"/>
        <v>1962</v>
      </c>
      <c r="G76" s="118"/>
      <c r="H76" s="119"/>
      <c r="I76" s="59"/>
      <c r="J76" s="59"/>
      <c r="K76" s="59"/>
      <c r="L76" s="59"/>
      <c r="M76" s="59"/>
      <c r="N76" s="59"/>
      <c r="O76" s="120"/>
    </row>
    <row r="77" spans="1:15" x14ac:dyDescent="0.25">
      <c r="A77" s="31">
        <v>73</v>
      </c>
      <c r="B77" s="40" t="s">
        <v>245</v>
      </c>
      <c r="C77" s="33"/>
      <c r="D77" s="34">
        <v>1297</v>
      </c>
      <c r="E77" s="34"/>
      <c r="F77" s="35">
        <f t="shared" si="0"/>
        <v>1297</v>
      </c>
      <c r="G77" s="118"/>
      <c r="H77" s="119"/>
      <c r="I77" s="59"/>
      <c r="J77" s="59"/>
      <c r="K77" s="59"/>
      <c r="L77" s="59"/>
      <c r="M77" s="59"/>
      <c r="N77" s="59"/>
      <c r="O77" s="120"/>
    </row>
    <row r="78" spans="1:15" x14ac:dyDescent="0.25">
      <c r="A78" s="31">
        <v>74</v>
      </c>
      <c r="B78" s="40" t="s">
        <v>221</v>
      </c>
      <c r="C78" s="33"/>
      <c r="D78" s="34">
        <v>3377</v>
      </c>
      <c r="E78" s="34">
        <v>481</v>
      </c>
      <c r="F78" s="35">
        <f t="shared" si="0"/>
        <v>3858</v>
      </c>
      <c r="G78" s="118"/>
      <c r="H78" s="119"/>
      <c r="I78" s="59"/>
      <c r="J78" s="59"/>
      <c r="K78" s="59"/>
      <c r="L78" s="59"/>
      <c r="M78" s="59"/>
      <c r="N78" s="59"/>
      <c r="O78" s="120"/>
    </row>
    <row r="79" spans="1:15" x14ac:dyDescent="0.25">
      <c r="A79" s="31">
        <v>75</v>
      </c>
      <c r="B79" s="40" t="s">
        <v>222</v>
      </c>
      <c r="C79" s="33"/>
      <c r="D79" s="34">
        <v>1721</v>
      </c>
      <c r="E79" s="34"/>
      <c r="F79" s="35">
        <f t="shared" si="0"/>
        <v>1721</v>
      </c>
      <c r="G79" s="118"/>
      <c r="H79" s="119"/>
      <c r="I79" s="59"/>
      <c r="J79" s="59"/>
      <c r="K79" s="59"/>
      <c r="L79" s="59"/>
      <c r="M79" s="59"/>
      <c r="N79" s="59"/>
      <c r="O79" s="120"/>
    </row>
    <row r="80" spans="1:15" x14ac:dyDescent="0.25">
      <c r="A80" s="31">
        <v>76</v>
      </c>
      <c r="B80" s="40" t="s">
        <v>223</v>
      </c>
      <c r="C80" s="33"/>
      <c r="D80" s="34">
        <v>1946</v>
      </c>
      <c r="E80" s="34"/>
      <c r="F80" s="35">
        <f t="shared" si="0"/>
        <v>1946</v>
      </c>
      <c r="G80" s="118"/>
      <c r="H80" s="119"/>
      <c r="I80" s="59"/>
      <c r="J80" s="59"/>
      <c r="K80" s="59"/>
      <c r="L80" s="59"/>
      <c r="M80" s="59"/>
      <c r="N80" s="59"/>
      <c r="O80" s="120"/>
    </row>
    <row r="81" spans="1:15" ht="12" customHeight="1" x14ac:dyDescent="0.25">
      <c r="A81" s="31">
        <v>77</v>
      </c>
      <c r="B81" s="40" t="s">
        <v>246</v>
      </c>
      <c r="C81" s="33">
        <v>42</v>
      </c>
      <c r="D81" s="34">
        <v>1158</v>
      </c>
      <c r="E81" s="34">
        <v>442</v>
      </c>
      <c r="F81" s="35">
        <f t="shared" si="0"/>
        <v>1642</v>
      </c>
      <c r="G81" s="118"/>
      <c r="H81" s="119"/>
      <c r="I81" s="59"/>
      <c r="J81" s="59"/>
      <c r="K81" s="59"/>
      <c r="L81" s="59"/>
      <c r="M81" s="59"/>
      <c r="N81" s="59"/>
      <c r="O81" s="120"/>
    </row>
    <row r="82" spans="1:15" ht="12" customHeight="1" x14ac:dyDescent="0.25">
      <c r="A82" s="31">
        <v>78</v>
      </c>
      <c r="B82" s="32" t="s">
        <v>224</v>
      </c>
      <c r="C82" s="33">
        <v>120</v>
      </c>
      <c r="D82" s="34">
        <v>3296</v>
      </c>
      <c r="E82" s="34">
        <v>679</v>
      </c>
      <c r="F82" s="35">
        <f t="shared" si="0"/>
        <v>4095</v>
      </c>
      <c r="G82" s="118"/>
      <c r="H82" s="119"/>
      <c r="I82" s="59"/>
      <c r="J82" s="59"/>
      <c r="K82" s="59"/>
      <c r="L82" s="59"/>
      <c r="M82" s="59"/>
      <c r="N82" s="59"/>
      <c r="O82" s="120"/>
    </row>
    <row r="83" spans="1:15" ht="12" customHeight="1" x14ac:dyDescent="0.25">
      <c r="A83" s="31">
        <v>79</v>
      </c>
      <c r="B83" s="32" t="s">
        <v>225</v>
      </c>
      <c r="C83" s="33"/>
      <c r="D83" s="34">
        <v>1519</v>
      </c>
      <c r="E83" s="34">
        <v>216</v>
      </c>
      <c r="F83" s="35">
        <f t="shared" si="0"/>
        <v>1735</v>
      </c>
      <c r="G83" s="118"/>
      <c r="H83" s="119"/>
      <c r="I83" s="59"/>
      <c r="J83" s="59"/>
      <c r="K83" s="59"/>
      <c r="L83" s="59"/>
      <c r="M83" s="59"/>
      <c r="N83" s="59"/>
      <c r="O83" s="120"/>
    </row>
    <row r="84" spans="1:15" ht="12" customHeight="1" x14ac:dyDescent="0.25">
      <c r="A84" s="31">
        <v>80</v>
      </c>
      <c r="B84" s="32" t="s">
        <v>226</v>
      </c>
      <c r="C84" s="33"/>
      <c r="D84" s="34">
        <v>1477</v>
      </c>
      <c r="E84" s="34"/>
      <c r="F84" s="35">
        <f t="shared" si="0"/>
        <v>1477</v>
      </c>
      <c r="G84" s="118"/>
      <c r="H84" s="119"/>
      <c r="I84" s="59"/>
      <c r="J84" s="59"/>
      <c r="K84" s="59"/>
      <c r="L84" s="59"/>
      <c r="M84" s="59"/>
      <c r="N84" s="59"/>
      <c r="O84" s="120"/>
    </row>
    <row r="85" spans="1:15" x14ac:dyDescent="0.25">
      <c r="A85" s="31">
        <v>81</v>
      </c>
      <c r="B85" s="40" t="s">
        <v>188</v>
      </c>
      <c r="C85" s="33">
        <v>72</v>
      </c>
      <c r="D85" s="34">
        <v>1980</v>
      </c>
      <c r="E85" s="34">
        <v>282</v>
      </c>
      <c r="F85" s="35">
        <f t="shared" si="0"/>
        <v>2334</v>
      </c>
      <c r="G85" s="118"/>
      <c r="H85" s="119"/>
      <c r="I85" s="59"/>
      <c r="J85" s="59"/>
      <c r="K85" s="59"/>
      <c r="L85" s="59"/>
      <c r="M85" s="59"/>
      <c r="N85" s="59"/>
      <c r="O85" s="120"/>
    </row>
    <row r="86" spans="1:15" x14ac:dyDescent="0.25">
      <c r="A86" s="31">
        <v>82</v>
      </c>
      <c r="B86" s="40" t="s">
        <v>228</v>
      </c>
      <c r="C86" s="33">
        <v>69</v>
      </c>
      <c r="D86" s="34">
        <v>1905</v>
      </c>
      <c r="E86" s="34">
        <v>270</v>
      </c>
      <c r="F86" s="35">
        <f t="shared" si="0"/>
        <v>2244</v>
      </c>
      <c r="G86" s="118"/>
      <c r="H86" s="119"/>
      <c r="I86" s="59"/>
      <c r="J86" s="59"/>
      <c r="K86" s="59"/>
      <c r="L86" s="59"/>
      <c r="M86" s="59"/>
      <c r="N86" s="59"/>
      <c r="O86" s="120"/>
    </row>
    <row r="87" spans="1:15" x14ac:dyDescent="0.25">
      <c r="A87" s="31">
        <v>83</v>
      </c>
      <c r="B87" s="40" t="s">
        <v>73</v>
      </c>
      <c r="C87" s="33">
        <v>60</v>
      </c>
      <c r="D87" s="34">
        <v>1654</v>
      </c>
      <c r="E87" s="34">
        <v>235</v>
      </c>
      <c r="F87" s="35">
        <f t="shared" si="0"/>
        <v>1949</v>
      </c>
      <c r="G87" s="118"/>
      <c r="H87" s="119"/>
      <c r="I87" s="59"/>
      <c r="J87" s="59"/>
      <c r="K87" s="59"/>
      <c r="L87" s="59"/>
      <c r="M87" s="59"/>
      <c r="N87" s="59"/>
      <c r="O87" s="120"/>
    </row>
    <row r="88" spans="1:15" x14ac:dyDescent="0.25">
      <c r="A88" s="31">
        <v>84</v>
      </c>
      <c r="B88" s="32" t="s">
        <v>230</v>
      </c>
      <c r="C88" s="33"/>
      <c r="D88" s="34">
        <v>948</v>
      </c>
      <c r="E88" s="34"/>
      <c r="F88" s="35">
        <f t="shared" si="0"/>
        <v>948</v>
      </c>
      <c r="G88" s="118"/>
      <c r="H88" s="119"/>
      <c r="I88" s="59"/>
      <c r="J88" s="59"/>
      <c r="K88" s="59"/>
      <c r="L88" s="59"/>
      <c r="M88" s="59"/>
      <c r="N88" s="59"/>
      <c r="O88" s="120"/>
    </row>
    <row r="89" spans="1:15" x14ac:dyDescent="0.25">
      <c r="A89" s="31">
        <v>85</v>
      </c>
      <c r="B89" s="42" t="s">
        <v>231</v>
      </c>
      <c r="C89" s="33">
        <v>16</v>
      </c>
      <c r="D89" s="34">
        <v>439</v>
      </c>
      <c r="E89" s="34">
        <v>63</v>
      </c>
      <c r="F89" s="35">
        <f t="shared" si="0"/>
        <v>518</v>
      </c>
      <c r="G89" s="118"/>
      <c r="H89" s="119"/>
      <c r="I89" s="59"/>
      <c r="J89" s="59"/>
      <c r="K89" s="59"/>
      <c r="L89" s="59"/>
      <c r="M89" s="59"/>
      <c r="N89" s="59"/>
      <c r="O89" s="120"/>
    </row>
    <row r="90" spans="1:15" x14ac:dyDescent="0.25">
      <c r="A90" s="31">
        <v>86</v>
      </c>
      <c r="B90" s="42" t="s">
        <v>232</v>
      </c>
      <c r="C90" s="33"/>
      <c r="D90" s="34">
        <f>792-660</f>
        <v>132</v>
      </c>
      <c r="E90" s="34">
        <f>112-93</f>
        <v>19</v>
      </c>
      <c r="F90" s="35">
        <f t="shared" si="0"/>
        <v>151</v>
      </c>
      <c r="G90" s="118"/>
      <c r="H90" s="119"/>
      <c r="I90" s="59"/>
      <c r="J90" s="59"/>
      <c r="K90" s="59"/>
      <c r="L90" s="59"/>
      <c r="M90" s="59"/>
      <c r="N90" s="59"/>
      <c r="O90" s="120"/>
    </row>
    <row r="91" spans="1:15" ht="38.25" x14ac:dyDescent="0.25">
      <c r="A91" s="31"/>
      <c r="B91" s="237" t="s">
        <v>450</v>
      </c>
      <c r="C91" s="33"/>
      <c r="D91" s="34">
        <f>0+660</f>
        <v>660</v>
      </c>
      <c r="E91" s="34">
        <f>0+93</f>
        <v>93</v>
      </c>
      <c r="F91" s="35">
        <f t="shared" si="0"/>
        <v>753</v>
      </c>
      <c r="G91" s="118"/>
      <c r="H91" s="119"/>
      <c r="I91" s="59"/>
      <c r="J91" s="59"/>
      <c r="K91" s="59"/>
      <c r="L91" s="59"/>
      <c r="M91" s="59"/>
      <c r="N91" s="59"/>
      <c r="O91" s="120"/>
    </row>
    <row r="92" spans="1:15" x14ac:dyDescent="0.25">
      <c r="A92" s="31">
        <v>87</v>
      </c>
      <c r="B92" s="40" t="s">
        <v>76</v>
      </c>
      <c r="C92" s="33">
        <v>273</v>
      </c>
      <c r="D92" s="34">
        <v>5012</v>
      </c>
      <c r="E92" s="34">
        <v>1029</v>
      </c>
      <c r="F92" s="35">
        <f t="shared" si="0"/>
        <v>6314</v>
      </c>
      <c r="G92" s="118">
        <f>53983-2409</f>
        <v>51574</v>
      </c>
      <c r="H92" s="119"/>
      <c r="I92" s="59"/>
      <c r="J92" s="59"/>
      <c r="K92" s="59"/>
      <c r="L92" s="59"/>
      <c r="M92" s="59"/>
      <c r="N92" s="59"/>
      <c r="O92" s="120"/>
    </row>
    <row r="93" spans="1:15" x14ac:dyDescent="0.25">
      <c r="A93" s="31">
        <v>88</v>
      </c>
      <c r="B93" s="40" t="s">
        <v>189</v>
      </c>
      <c r="C93" s="33">
        <v>51</v>
      </c>
      <c r="D93" s="34">
        <v>1403</v>
      </c>
      <c r="E93" s="34">
        <v>200</v>
      </c>
      <c r="F93" s="35">
        <f t="shared" si="0"/>
        <v>1654</v>
      </c>
      <c r="G93" s="118"/>
      <c r="H93" s="119"/>
      <c r="I93" s="59"/>
      <c r="J93" s="59"/>
      <c r="K93" s="59"/>
      <c r="L93" s="59"/>
      <c r="M93" s="59"/>
      <c r="N93" s="59"/>
      <c r="O93" s="120"/>
    </row>
    <row r="94" spans="1:15" x14ac:dyDescent="0.25">
      <c r="A94" s="31">
        <v>89</v>
      </c>
      <c r="B94" s="40" t="s">
        <v>77</v>
      </c>
      <c r="C94" s="33">
        <v>200</v>
      </c>
      <c r="D94" s="34">
        <v>1876</v>
      </c>
      <c r="E94" s="34">
        <v>951</v>
      </c>
      <c r="F94" s="35">
        <f t="shared" si="0"/>
        <v>3027</v>
      </c>
      <c r="G94" s="118"/>
      <c r="H94" s="119"/>
      <c r="I94" s="59"/>
      <c r="J94" s="59"/>
      <c r="K94" s="59"/>
      <c r="L94" s="59"/>
      <c r="M94" s="59"/>
      <c r="N94" s="59"/>
      <c r="O94" s="120"/>
    </row>
    <row r="95" spans="1:15" x14ac:dyDescent="0.25">
      <c r="A95" s="31">
        <v>90</v>
      </c>
      <c r="B95" s="40" t="s">
        <v>87</v>
      </c>
      <c r="C95" s="33">
        <v>137</v>
      </c>
      <c r="D95" s="34">
        <v>302</v>
      </c>
      <c r="E95" s="34">
        <v>178</v>
      </c>
      <c r="F95" s="35">
        <f t="shared" ref="F95:F99" si="1">C95+D95+E95</f>
        <v>617</v>
      </c>
      <c r="G95" s="118"/>
      <c r="H95" s="119"/>
      <c r="I95" s="59"/>
      <c r="J95" s="59"/>
      <c r="K95" s="59"/>
      <c r="L95" s="59"/>
      <c r="M95" s="59"/>
      <c r="N95" s="59"/>
      <c r="O95" s="120"/>
    </row>
    <row r="96" spans="1:15" x14ac:dyDescent="0.25">
      <c r="A96" s="31">
        <v>91</v>
      </c>
      <c r="B96" s="40" t="s">
        <v>190</v>
      </c>
      <c r="C96" s="33">
        <v>332</v>
      </c>
      <c r="D96" s="34"/>
      <c r="E96" s="34">
        <v>489</v>
      </c>
      <c r="F96" s="35">
        <f t="shared" si="1"/>
        <v>821</v>
      </c>
      <c r="G96" s="118">
        <f>20445+8384</f>
        <v>28829</v>
      </c>
      <c r="H96" s="119"/>
      <c r="I96" s="59"/>
      <c r="J96" s="59"/>
      <c r="K96" s="59"/>
      <c r="L96" s="59"/>
      <c r="M96" s="59"/>
      <c r="N96" s="59"/>
      <c r="O96" s="120"/>
    </row>
    <row r="97" spans="1:15" x14ac:dyDescent="0.25">
      <c r="A97" s="31">
        <v>92</v>
      </c>
      <c r="B97" s="40" t="s">
        <v>88</v>
      </c>
      <c r="C97" s="33">
        <v>1174</v>
      </c>
      <c r="D97" s="34">
        <v>24238</v>
      </c>
      <c r="E97" s="34">
        <v>4604</v>
      </c>
      <c r="F97" s="35">
        <f t="shared" si="1"/>
        <v>30016</v>
      </c>
      <c r="G97" s="118"/>
      <c r="H97" s="119"/>
      <c r="I97" s="59"/>
      <c r="J97" s="59"/>
      <c r="K97" s="59"/>
      <c r="L97" s="59"/>
      <c r="M97" s="59"/>
      <c r="N97" s="59"/>
      <c r="O97" s="120"/>
    </row>
    <row r="98" spans="1:15" ht="12" customHeight="1" x14ac:dyDescent="0.25">
      <c r="A98" s="31">
        <v>93</v>
      </c>
      <c r="B98" s="41" t="s">
        <v>89</v>
      </c>
      <c r="C98" s="33">
        <v>100</v>
      </c>
      <c r="D98" s="34"/>
      <c r="E98" s="34">
        <v>392</v>
      </c>
      <c r="F98" s="35">
        <f t="shared" si="1"/>
        <v>492</v>
      </c>
      <c r="G98" s="118"/>
      <c r="H98" s="119"/>
      <c r="I98" s="59"/>
      <c r="J98" s="59"/>
      <c r="K98" s="59"/>
      <c r="L98" s="59"/>
      <c r="M98" s="59"/>
      <c r="N98" s="59"/>
      <c r="O98" s="120"/>
    </row>
    <row r="99" spans="1:15" x14ac:dyDescent="0.25">
      <c r="A99" s="31">
        <v>94</v>
      </c>
      <c r="B99" s="41" t="s">
        <v>183</v>
      </c>
      <c r="C99" s="33">
        <v>444</v>
      </c>
      <c r="D99" s="34">
        <v>3933</v>
      </c>
      <c r="E99" s="34">
        <v>560</v>
      </c>
      <c r="F99" s="35">
        <f t="shared" si="1"/>
        <v>4937</v>
      </c>
      <c r="G99" s="118">
        <v>12979</v>
      </c>
      <c r="H99" s="119"/>
      <c r="I99" s="59"/>
      <c r="J99" s="59"/>
      <c r="K99" s="59"/>
      <c r="L99" s="59"/>
      <c r="M99" s="59"/>
      <c r="N99" s="59"/>
      <c r="O99" s="120"/>
    </row>
    <row r="100" spans="1:15" x14ac:dyDescent="0.25">
      <c r="A100" s="31">
        <v>95</v>
      </c>
      <c r="B100" s="41" t="s">
        <v>247</v>
      </c>
      <c r="C100" s="33"/>
      <c r="D100" s="34"/>
      <c r="E100" s="34"/>
      <c r="F100" s="35"/>
      <c r="G100" s="118">
        <f>22173-6806</f>
        <v>15367</v>
      </c>
      <c r="H100" s="119"/>
      <c r="I100" s="59"/>
      <c r="J100" s="59"/>
      <c r="K100" s="59"/>
      <c r="L100" s="59"/>
      <c r="M100" s="59"/>
      <c r="N100" s="59"/>
      <c r="O100" s="120"/>
    </row>
    <row r="101" spans="1:15" ht="12.75" thickBot="1" x14ac:dyDescent="0.3">
      <c r="A101" s="46">
        <v>96</v>
      </c>
      <c r="B101" s="42" t="s">
        <v>153</v>
      </c>
      <c r="C101" s="47"/>
      <c r="D101" s="48"/>
      <c r="E101" s="48"/>
      <c r="F101" s="49"/>
      <c r="G101" s="121"/>
      <c r="H101" s="122">
        <v>300</v>
      </c>
      <c r="I101" s="123">
        <v>300</v>
      </c>
      <c r="J101" s="123">
        <v>300</v>
      </c>
      <c r="K101" s="123">
        <v>140</v>
      </c>
      <c r="L101" s="123">
        <v>300</v>
      </c>
      <c r="M101" s="123">
        <v>400</v>
      </c>
      <c r="N101" s="123">
        <v>1079</v>
      </c>
      <c r="O101" s="124">
        <f>SUM(H101:N101)</f>
        <v>2819</v>
      </c>
    </row>
    <row r="102" spans="1:15" ht="12.75" thickBot="1" x14ac:dyDescent="0.3">
      <c r="A102" s="50"/>
      <c r="B102" s="51" t="s">
        <v>146</v>
      </c>
      <c r="C102" s="52">
        <f>SUM(C5:C101)</f>
        <v>5921</v>
      </c>
      <c r="D102" s="53">
        <f t="shared" ref="D102:O102" si="2">SUM(D5:D101)</f>
        <v>163004</v>
      </c>
      <c r="E102" s="53">
        <f t="shared" si="2"/>
        <v>23200</v>
      </c>
      <c r="F102" s="54">
        <f t="shared" si="2"/>
        <v>192125</v>
      </c>
      <c r="G102" s="125">
        <f t="shared" si="2"/>
        <v>201792</v>
      </c>
      <c r="H102" s="126">
        <f t="shared" si="2"/>
        <v>300</v>
      </c>
      <c r="I102" s="53">
        <f t="shared" si="2"/>
        <v>300</v>
      </c>
      <c r="J102" s="53">
        <f t="shared" si="2"/>
        <v>300</v>
      </c>
      <c r="K102" s="53">
        <f t="shared" si="2"/>
        <v>140</v>
      </c>
      <c r="L102" s="53">
        <f t="shared" si="2"/>
        <v>300</v>
      </c>
      <c r="M102" s="53">
        <f t="shared" si="2"/>
        <v>400</v>
      </c>
      <c r="N102" s="53">
        <f t="shared" si="2"/>
        <v>1079</v>
      </c>
      <c r="O102" s="127">
        <f t="shared" si="2"/>
        <v>2819</v>
      </c>
    </row>
  </sheetData>
  <mergeCells count="6">
    <mergeCell ref="A3:A4"/>
    <mergeCell ref="B3:B4"/>
    <mergeCell ref="C3:F3"/>
    <mergeCell ref="G3:G4"/>
    <mergeCell ref="A1:O1"/>
    <mergeCell ref="H3:O3"/>
  </mergeCells>
  <pageMargins left="0.70866141732283472" right="0.51181102362204722" top="0.35433070866141736" bottom="0.35433070866141736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D50" sqref="D50"/>
    </sheetView>
  </sheetViews>
  <sheetFormatPr defaultRowHeight="12.75" x14ac:dyDescent="0.25"/>
  <cols>
    <col min="1" max="1" width="6.140625" style="130" customWidth="1"/>
    <col min="2" max="2" width="37.42578125" style="129" customWidth="1"/>
    <col min="3" max="3" width="10.5703125" style="85" customWidth="1"/>
    <col min="4" max="4" width="11" style="85" customWidth="1"/>
    <col min="5" max="5" width="11.7109375" style="85" customWidth="1"/>
    <col min="6" max="6" width="10.85546875" style="85" customWidth="1"/>
    <col min="7" max="7" width="10.42578125" style="85" customWidth="1"/>
    <col min="8" max="8" width="9" style="85" customWidth="1"/>
    <col min="9" max="9" width="11.85546875" style="85" customWidth="1"/>
    <col min="10" max="10" width="9.5703125" style="85" customWidth="1"/>
    <col min="11" max="11" width="10.7109375" style="85" customWidth="1"/>
    <col min="12" max="12" width="9.5703125" style="129" bestFit="1" customWidth="1"/>
    <col min="13" max="13" width="11.85546875" style="129" customWidth="1"/>
    <col min="14" max="16384" width="9.140625" style="129"/>
  </cols>
  <sheetData>
    <row r="1" spans="1:12" ht="38.25" customHeight="1" x14ac:dyDescent="0.25">
      <c r="A1" s="462" t="s">
        <v>394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</row>
    <row r="2" spans="1:12" ht="13.5" thickBot="1" x14ac:dyDescent="0.3"/>
    <row r="3" spans="1:12" x14ac:dyDescent="0.25">
      <c r="A3" s="468" t="s">
        <v>0</v>
      </c>
      <c r="B3" s="470" t="s">
        <v>175</v>
      </c>
      <c r="C3" s="472" t="s">
        <v>395</v>
      </c>
      <c r="D3" s="473"/>
      <c r="E3" s="473"/>
      <c r="F3" s="474"/>
      <c r="G3" s="475" t="s">
        <v>396</v>
      </c>
      <c r="H3" s="473"/>
      <c r="I3" s="473"/>
      <c r="J3" s="476"/>
      <c r="K3" s="477" t="s">
        <v>92</v>
      </c>
    </row>
    <row r="4" spans="1:12" ht="26.25" thickBot="1" x14ac:dyDescent="0.3">
      <c r="A4" s="469"/>
      <c r="B4" s="471"/>
      <c r="C4" s="131" t="s">
        <v>397</v>
      </c>
      <c r="D4" s="132" t="s">
        <v>398</v>
      </c>
      <c r="E4" s="88" t="s">
        <v>399</v>
      </c>
      <c r="F4" s="133" t="s">
        <v>95</v>
      </c>
      <c r="G4" s="134" t="s">
        <v>397</v>
      </c>
      <c r="H4" s="132" t="s">
        <v>398</v>
      </c>
      <c r="I4" s="88" t="s">
        <v>399</v>
      </c>
      <c r="J4" s="135" t="s">
        <v>95</v>
      </c>
      <c r="K4" s="478"/>
    </row>
    <row r="5" spans="1:12" x14ac:dyDescent="0.25">
      <c r="A5" s="136">
        <v>1</v>
      </c>
      <c r="B5" s="137" t="s">
        <v>6</v>
      </c>
      <c r="C5" s="138">
        <v>698</v>
      </c>
      <c r="D5" s="139">
        <v>36</v>
      </c>
      <c r="E5" s="139">
        <v>127</v>
      </c>
      <c r="F5" s="94">
        <f>C5+D5+E5</f>
        <v>861</v>
      </c>
      <c r="G5" s="140"/>
      <c r="H5" s="93"/>
      <c r="I5" s="93"/>
      <c r="J5" s="141"/>
      <c r="K5" s="142">
        <f t="shared" ref="K5:K47" si="0">F5+J5</f>
        <v>861</v>
      </c>
      <c r="L5" s="143"/>
    </row>
    <row r="6" spans="1:12" x14ac:dyDescent="0.25">
      <c r="A6" s="144">
        <v>2</v>
      </c>
      <c r="B6" s="145" t="s">
        <v>9</v>
      </c>
      <c r="C6" s="146">
        <v>984</v>
      </c>
      <c r="D6" s="147">
        <v>48</v>
      </c>
      <c r="E6" s="147"/>
      <c r="F6" s="99">
        <f t="shared" ref="F6:F38" si="1">C6+D6+E6</f>
        <v>1032</v>
      </c>
      <c r="G6" s="148"/>
      <c r="H6" s="98"/>
      <c r="I6" s="98"/>
      <c r="J6" s="149"/>
      <c r="K6" s="150">
        <f t="shared" si="0"/>
        <v>1032</v>
      </c>
      <c r="L6" s="143"/>
    </row>
    <row r="7" spans="1:12" x14ac:dyDescent="0.25">
      <c r="A7" s="144">
        <v>3</v>
      </c>
      <c r="B7" s="145" t="s">
        <v>11</v>
      </c>
      <c r="C7" s="146">
        <v>2546</v>
      </c>
      <c r="D7" s="147"/>
      <c r="E7" s="147">
        <v>444</v>
      </c>
      <c r="F7" s="99">
        <f t="shared" si="1"/>
        <v>2990</v>
      </c>
      <c r="G7" s="148">
        <v>1621</v>
      </c>
      <c r="H7" s="98"/>
      <c r="I7" s="98"/>
      <c r="J7" s="149">
        <f>G7+H7+I7</f>
        <v>1621</v>
      </c>
      <c r="K7" s="150">
        <f t="shared" si="0"/>
        <v>4611</v>
      </c>
      <c r="L7" s="143"/>
    </row>
    <row r="8" spans="1:12" x14ac:dyDescent="0.25">
      <c r="A8" s="144">
        <v>4</v>
      </c>
      <c r="B8" s="145" t="s">
        <v>13</v>
      </c>
      <c r="C8" s="146">
        <v>1751</v>
      </c>
      <c r="D8" s="147"/>
      <c r="E8" s="147">
        <v>300</v>
      </c>
      <c r="F8" s="99">
        <f>C8+D8+E8</f>
        <v>2051</v>
      </c>
      <c r="G8" s="148"/>
      <c r="H8" s="98"/>
      <c r="I8" s="98"/>
      <c r="J8" s="149"/>
      <c r="K8" s="150">
        <f t="shared" si="0"/>
        <v>2051</v>
      </c>
      <c r="L8" s="143"/>
    </row>
    <row r="9" spans="1:12" x14ac:dyDescent="0.25">
      <c r="A9" s="144">
        <v>5</v>
      </c>
      <c r="B9" s="145" t="s">
        <v>15</v>
      </c>
      <c r="C9" s="146">
        <f>497-260</f>
        <v>237</v>
      </c>
      <c r="D9" s="147"/>
      <c r="E9" s="147"/>
      <c r="F9" s="99">
        <f>C9+D9+E9</f>
        <v>237</v>
      </c>
      <c r="G9" s="148"/>
      <c r="H9" s="98"/>
      <c r="I9" s="98"/>
      <c r="J9" s="149"/>
      <c r="K9" s="150">
        <f t="shared" si="0"/>
        <v>237</v>
      </c>
      <c r="L9" s="143"/>
    </row>
    <row r="10" spans="1:12" x14ac:dyDescent="0.25">
      <c r="A10" s="144">
        <v>6</v>
      </c>
      <c r="B10" s="145" t="s">
        <v>185</v>
      </c>
      <c r="C10" s="146">
        <v>230</v>
      </c>
      <c r="D10" s="147"/>
      <c r="E10" s="147"/>
      <c r="F10" s="99">
        <f>C10+D10+E10</f>
        <v>230</v>
      </c>
      <c r="G10" s="148"/>
      <c r="H10" s="98"/>
      <c r="I10" s="98"/>
      <c r="J10" s="149"/>
      <c r="K10" s="150">
        <f t="shared" si="0"/>
        <v>230</v>
      </c>
      <c r="L10" s="143"/>
    </row>
    <row r="11" spans="1:12" x14ac:dyDescent="0.25">
      <c r="A11" s="144">
        <v>7</v>
      </c>
      <c r="B11" s="145" t="s">
        <v>22</v>
      </c>
      <c r="C11" s="146">
        <v>963</v>
      </c>
      <c r="D11" s="147"/>
      <c r="E11" s="147"/>
      <c r="F11" s="99">
        <f t="shared" si="1"/>
        <v>963</v>
      </c>
      <c r="G11" s="148"/>
      <c r="H11" s="98"/>
      <c r="I11" s="98"/>
      <c r="J11" s="149"/>
      <c r="K11" s="150">
        <f t="shared" si="0"/>
        <v>963</v>
      </c>
      <c r="L11" s="143"/>
    </row>
    <row r="12" spans="1:12" x14ac:dyDescent="0.25">
      <c r="A12" s="144">
        <v>8</v>
      </c>
      <c r="B12" s="145" t="s">
        <v>179</v>
      </c>
      <c r="C12" s="146">
        <v>2091</v>
      </c>
      <c r="D12" s="147">
        <v>93</v>
      </c>
      <c r="E12" s="147">
        <v>253</v>
      </c>
      <c r="F12" s="99">
        <f>C12+D12+E12</f>
        <v>2437</v>
      </c>
      <c r="G12" s="148">
        <v>2209</v>
      </c>
      <c r="H12" s="98">
        <v>58</v>
      </c>
      <c r="I12" s="98"/>
      <c r="J12" s="149">
        <f>G12+H12+I12</f>
        <v>2267</v>
      </c>
      <c r="K12" s="150">
        <f t="shared" si="0"/>
        <v>4704</v>
      </c>
      <c r="L12" s="143"/>
    </row>
    <row r="13" spans="1:12" x14ac:dyDescent="0.25">
      <c r="A13" s="144">
        <v>9</v>
      </c>
      <c r="B13" s="145" t="s">
        <v>400</v>
      </c>
      <c r="C13" s="146">
        <v>1681</v>
      </c>
      <c r="D13" s="147">
        <v>68</v>
      </c>
      <c r="E13" s="147"/>
      <c r="F13" s="99">
        <f>C13+D13+E13</f>
        <v>1749</v>
      </c>
      <c r="G13" s="148"/>
      <c r="H13" s="98"/>
      <c r="I13" s="98"/>
      <c r="J13" s="149"/>
      <c r="K13" s="150">
        <f t="shared" si="0"/>
        <v>1749</v>
      </c>
      <c r="L13" s="143"/>
    </row>
    <row r="14" spans="1:12" x14ac:dyDescent="0.25">
      <c r="A14" s="144">
        <v>10</v>
      </c>
      <c r="B14" s="145" t="s">
        <v>37</v>
      </c>
      <c r="C14" s="146">
        <v>1179</v>
      </c>
      <c r="D14" s="147">
        <f>57-57</f>
        <v>0</v>
      </c>
      <c r="E14" s="147">
        <f>0+39</f>
        <v>39</v>
      </c>
      <c r="F14" s="99">
        <f>C14+D14+E14</f>
        <v>1218</v>
      </c>
      <c r="G14" s="148"/>
      <c r="H14" s="98"/>
      <c r="I14" s="98"/>
      <c r="J14" s="149"/>
      <c r="K14" s="150">
        <f t="shared" si="0"/>
        <v>1218</v>
      </c>
      <c r="L14" s="143"/>
    </row>
    <row r="15" spans="1:12" x14ac:dyDescent="0.25">
      <c r="A15" s="144">
        <v>11</v>
      </c>
      <c r="B15" s="145" t="s">
        <v>184</v>
      </c>
      <c r="C15" s="146">
        <f>2926-700</f>
        <v>2226</v>
      </c>
      <c r="D15" s="147"/>
      <c r="E15" s="147">
        <v>448</v>
      </c>
      <c r="F15" s="99">
        <f t="shared" si="1"/>
        <v>2674</v>
      </c>
      <c r="G15" s="148"/>
      <c r="H15" s="98"/>
      <c r="I15" s="98"/>
      <c r="J15" s="149"/>
      <c r="K15" s="150">
        <f t="shared" si="0"/>
        <v>2674</v>
      </c>
      <c r="L15" s="143"/>
    </row>
    <row r="16" spans="1:12" x14ac:dyDescent="0.25">
      <c r="A16" s="144">
        <v>12</v>
      </c>
      <c r="B16" s="151" t="s">
        <v>186</v>
      </c>
      <c r="C16" s="146">
        <v>1124</v>
      </c>
      <c r="D16" s="147">
        <v>56</v>
      </c>
      <c r="E16" s="147"/>
      <c r="F16" s="99">
        <f>C16+D16+E16</f>
        <v>1180</v>
      </c>
      <c r="G16" s="148"/>
      <c r="H16" s="98"/>
      <c r="I16" s="98"/>
      <c r="J16" s="149"/>
      <c r="K16" s="150">
        <f t="shared" si="0"/>
        <v>1180</v>
      </c>
      <c r="L16" s="143"/>
    </row>
    <row r="17" spans="1:12" x14ac:dyDescent="0.25">
      <c r="A17" s="144">
        <v>13</v>
      </c>
      <c r="B17" s="145" t="s">
        <v>57</v>
      </c>
      <c r="C17" s="146">
        <v>2674</v>
      </c>
      <c r="D17" s="147">
        <v>88</v>
      </c>
      <c r="E17" s="147"/>
      <c r="F17" s="99">
        <f>C17+D17+E17</f>
        <v>2762</v>
      </c>
      <c r="G17" s="148"/>
      <c r="H17" s="98"/>
      <c r="I17" s="98"/>
      <c r="J17" s="149"/>
      <c r="K17" s="150">
        <f t="shared" si="0"/>
        <v>2762</v>
      </c>
      <c r="L17" s="143"/>
    </row>
    <row r="18" spans="1:12" x14ac:dyDescent="0.25">
      <c r="A18" s="144">
        <v>14</v>
      </c>
      <c r="B18" s="145" t="s">
        <v>29</v>
      </c>
      <c r="C18" s="146">
        <f>889-200</f>
        <v>689</v>
      </c>
      <c r="D18" s="147">
        <v>44</v>
      </c>
      <c r="E18" s="147"/>
      <c r="F18" s="99">
        <f>C18+D18+E18</f>
        <v>733</v>
      </c>
      <c r="G18" s="148"/>
      <c r="H18" s="98"/>
      <c r="I18" s="98"/>
      <c r="J18" s="149"/>
      <c r="K18" s="150">
        <f t="shared" si="0"/>
        <v>733</v>
      </c>
      <c r="L18" s="143"/>
    </row>
    <row r="19" spans="1:12" x14ac:dyDescent="0.25">
      <c r="A19" s="144">
        <v>15</v>
      </c>
      <c r="B19" s="145" t="s">
        <v>38</v>
      </c>
      <c r="C19" s="146">
        <v>1331</v>
      </c>
      <c r="D19" s="147"/>
      <c r="E19" s="147">
        <v>229</v>
      </c>
      <c r="F19" s="99">
        <f>C19+D19+E19</f>
        <v>1560</v>
      </c>
      <c r="G19" s="148"/>
      <c r="H19" s="98"/>
      <c r="I19" s="98"/>
      <c r="J19" s="149"/>
      <c r="K19" s="150">
        <f t="shared" si="0"/>
        <v>1560</v>
      </c>
      <c r="L19" s="143"/>
    </row>
    <row r="20" spans="1:12" x14ac:dyDescent="0.25">
      <c r="A20" s="144">
        <v>16</v>
      </c>
      <c r="B20" s="145" t="s">
        <v>21</v>
      </c>
      <c r="C20" s="146">
        <v>902</v>
      </c>
      <c r="D20" s="147">
        <v>46</v>
      </c>
      <c r="E20" s="147"/>
      <c r="F20" s="99">
        <f t="shared" si="1"/>
        <v>948</v>
      </c>
      <c r="G20" s="148"/>
      <c r="H20" s="98"/>
      <c r="I20" s="98"/>
      <c r="J20" s="149"/>
      <c r="K20" s="150">
        <f t="shared" si="0"/>
        <v>948</v>
      </c>
      <c r="L20" s="143"/>
    </row>
    <row r="21" spans="1:12" x14ac:dyDescent="0.25">
      <c r="A21" s="144">
        <v>17</v>
      </c>
      <c r="B21" s="152" t="s">
        <v>46</v>
      </c>
      <c r="C21" s="146">
        <f>1882-300</f>
        <v>1582</v>
      </c>
      <c r="D21" s="147"/>
      <c r="E21" s="147"/>
      <c r="F21" s="99">
        <f>C21+D21+E21</f>
        <v>1582</v>
      </c>
      <c r="G21" s="148"/>
      <c r="H21" s="98"/>
      <c r="I21" s="98"/>
      <c r="J21" s="149"/>
      <c r="K21" s="150">
        <f t="shared" si="0"/>
        <v>1582</v>
      </c>
      <c r="L21" s="143"/>
    </row>
    <row r="22" spans="1:12" x14ac:dyDescent="0.25">
      <c r="A22" s="144">
        <v>18</v>
      </c>
      <c r="B22" s="152" t="s">
        <v>47</v>
      </c>
      <c r="C22" s="146">
        <f>746-350</f>
        <v>396</v>
      </c>
      <c r="D22" s="147">
        <v>36</v>
      </c>
      <c r="E22" s="147"/>
      <c r="F22" s="99">
        <f>C22+D22+E22</f>
        <v>432</v>
      </c>
      <c r="G22" s="148"/>
      <c r="H22" s="98"/>
      <c r="I22" s="98"/>
      <c r="J22" s="149"/>
      <c r="K22" s="150">
        <f>F22+J22</f>
        <v>432</v>
      </c>
      <c r="L22" s="143"/>
    </row>
    <row r="23" spans="1:12" x14ac:dyDescent="0.25">
      <c r="A23" s="144">
        <v>19</v>
      </c>
      <c r="B23" s="145" t="s">
        <v>55</v>
      </c>
      <c r="C23" s="146">
        <v>937</v>
      </c>
      <c r="D23" s="147">
        <v>49</v>
      </c>
      <c r="E23" s="147">
        <v>167</v>
      </c>
      <c r="F23" s="99">
        <f t="shared" si="1"/>
        <v>1153</v>
      </c>
      <c r="G23" s="148"/>
      <c r="H23" s="98"/>
      <c r="I23" s="98"/>
      <c r="J23" s="149"/>
      <c r="K23" s="150">
        <f t="shared" si="0"/>
        <v>1153</v>
      </c>
      <c r="L23" s="143"/>
    </row>
    <row r="24" spans="1:12" x14ac:dyDescent="0.25">
      <c r="A24" s="144">
        <v>20</v>
      </c>
      <c r="B24" s="153" t="s">
        <v>401</v>
      </c>
      <c r="C24" s="146"/>
      <c r="D24" s="147"/>
      <c r="E24" s="147"/>
      <c r="F24" s="99">
        <f>C24+D24+E24</f>
        <v>0</v>
      </c>
      <c r="G24" s="148">
        <v>1130</v>
      </c>
      <c r="H24" s="98"/>
      <c r="I24" s="98"/>
      <c r="J24" s="149">
        <f>G24+H24+I24</f>
        <v>1130</v>
      </c>
      <c r="K24" s="150">
        <f t="shared" si="0"/>
        <v>1130</v>
      </c>
      <c r="L24" s="143"/>
    </row>
    <row r="25" spans="1:12" x14ac:dyDescent="0.25">
      <c r="A25" s="144">
        <v>21</v>
      </c>
      <c r="B25" s="153" t="s">
        <v>402</v>
      </c>
      <c r="C25" s="146">
        <v>617</v>
      </c>
      <c r="D25" s="147">
        <v>32</v>
      </c>
      <c r="E25" s="147"/>
      <c r="F25" s="99">
        <f>C25+D25+E25</f>
        <v>649</v>
      </c>
      <c r="G25" s="148">
        <f>1633+872</f>
        <v>2505</v>
      </c>
      <c r="H25" s="98">
        <f>34+22</f>
        <v>56</v>
      </c>
      <c r="I25" s="98">
        <f>0+21</f>
        <v>21</v>
      </c>
      <c r="J25" s="149">
        <f>G25+H25+I25</f>
        <v>2582</v>
      </c>
      <c r="K25" s="150">
        <f t="shared" si="0"/>
        <v>3231</v>
      </c>
      <c r="L25" s="143"/>
    </row>
    <row r="26" spans="1:12" x14ac:dyDescent="0.25">
      <c r="A26" s="144">
        <v>22</v>
      </c>
      <c r="B26" s="145" t="s">
        <v>403</v>
      </c>
      <c r="C26" s="146">
        <v>218</v>
      </c>
      <c r="D26" s="147">
        <v>8</v>
      </c>
      <c r="E26" s="147">
        <v>29</v>
      </c>
      <c r="F26" s="99">
        <f>C26+D26+E26</f>
        <v>255</v>
      </c>
      <c r="G26" s="148"/>
      <c r="H26" s="98"/>
      <c r="I26" s="98"/>
      <c r="J26" s="149"/>
      <c r="K26" s="150">
        <f t="shared" si="0"/>
        <v>255</v>
      </c>
      <c r="L26" s="143"/>
    </row>
    <row r="27" spans="1:12" x14ac:dyDescent="0.25">
      <c r="A27" s="144">
        <v>23</v>
      </c>
      <c r="B27" s="145" t="s">
        <v>404</v>
      </c>
      <c r="C27" s="146"/>
      <c r="D27" s="147"/>
      <c r="E27" s="147"/>
      <c r="F27" s="99"/>
      <c r="G27" s="148">
        <v>1045</v>
      </c>
      <c r="H27" s="98"/>
      <c r="I27" s="98"/>
      <c r="J27" s="149">
        <f>G27+H27+I27</f>
        <v>1045</v>
      </c>
      <c r="K27" s="150">
        <f t="shared" si="0"/>
        <v>1045</v>
      </c>
      <c r="L27" s="143"/>
    </row>
    <row r="28" spans="1:12" x14ac:dyDescent="0.25">
      <c r="A28" s="144">
        <v>24</v>
      </c>
      <c r="B28" s="153" t="s">
        <v>405</v>
      </c>
      <c r="C28" s="146"/>
      <c r="D28" s="147"/>
      <c r="E28" s="147"/>
      <c r="F28" s="99"/>
      <c r="G28" s="148">
        <f>652+28</f>
        <v>680</v>
      </c>
      <c r="H28" s="98">
        <v>37</v>
      </c>
      <c r="I28" s="98"/>
      <c r="J28" s="149">
        <f>G28+H28+I28</f>
        <v>717</v>
      </c>
      <c r="K28" s="150">
        <f t="shared" si="0"/>
        <v>717</v>
      </c>
      <c r="L28" s="143"/>
    </row>
    <row r="29" spans="1:12" x14ac:dyDescent="0.25">
      <c r="A29" s="144">
        <v>25</v>
      </c>
      <c r="B29" s="145" t="s">
        <v>406</v>
      </c>
      <c r="C29" s="146">
        <f>303-8</f>
        <v>295</v>
      </c>
      <c r="D29" s="147">
        <f>15-1</f>
        <v>14</v>
      </c>
      <c r="E29" s="147"/>
      <c r="F29" s="99">
        <f>C29+D29+E29</f>
        <v>309</v>
      </c>
      <c r="G29" s="148">
        <v>731</v>
      </c>
      <c r="H29" s="98">
        <v>15</v>
      </c>
      <c r="I29" s="98"/>
      <c r="J29" s="149">
        <f>G29+H29+I29</f>
        <v>746</v>
      </c>
      <c r="K29" s="150">
        <f t="shared" si="0"/>
        <v>1055</v>
      </c>
      <c r="L29" s="143"/>
    </row>
    <row r="30" spans="1:12" x14ac:dyDescent="0.25">
      <c r="A30" s="144">
        <v>26</v>
      </c>
      <c r="B30" s="145" t="s">
        <v>407</v>
      </c>
      <c r="C30" s="146"/>
      <c r="D30" s="147"/>
      <c r="E30" s="147"/>
      <c r="F30" s="99"/>
      <c r="G30" s="148">
        <v>326</v>
      </c>
      <c r="H30" s="98">
        <v>7</v>
      </c>
      <c r="I30" s="98"/>
      <c r="J30" s="149">
        <f>G30+H30+I30</f>
        <v>333</v>
      </c>
      <c r="K30" s="150">
        <f t="shared" si="0"/>
        <v>333</v>
      </c>
      <c r="L30" s="143"/>
    </row>
    <row r="31" spans="1:12" x14ac:dyDescent="0.25">
      <c r="A31" s="144">
        <v>27</v>
      </c>
      <c r="B31" s="154" t="s">
        <v>187</v>
      </c>
      <c r="C31" s="146">
        <f>625-25</f>
        <v>600</v>
      </c>
      <c r="D31" s="147">
        <v>24</v>
      </c>
      <c r="E31" s="147">
        <f>0+7</f>
        <v>7</v>
      </c>
      <c r="F31" s="99">
        <f>C31+D31+E31</f>
        <v>631</v>
      </c>
      <c r="G31" s="148"/>
      <c r="H31" s="98"/>
      <c r="I31" s="98"/>
      <c r="J31" s="149"/>
      <c r="K31" s="150">
        <f t="shared" si="0"/>
        <v>631</v>
      </c>
      <c r="L31" s="143"/>
    </row>
    <row r="32" spans="1:12" x14ac:dyDescent="0.25">
      <c r="A32" s="144">
        <v>28</v>
      </c>
      <c r="B32" s="145" t="s">
        <v>408</v>
      </c>
      <c r="C32" s="146">
        <v>1091</v>
      </c>
      <c r="D32" s="147"/>
      <c r="E32" s="147"/>
      <c r="F32" s="99">
        <f>C32+D32+E32</f>
        <v>1091</v>
      </c>
      <c r="G32" s="148"/>
      <c r="H32" s="98"/>
      <c r="I32" s="98"/>
      <c r="J32" s="149"/>
      <c r="K32" s="150">
        <f t="shared" si="0"/>
        <v>1091</v>
      </c>
      <c r="L32" s="143"/>
    </row>
    <row r="33" spans="1:12" x14ac:dyDescent="0.25">
      <c r="A33" s="144">
        <v>29</v>
      </c>
      <c r="B33" s="145" t="s">
        <v>67</v>
      </c>
      <c r="C33" s="146">
        <v>2975</v>
      </c>
      <c r="D33" s="147">
        <v>58</v>
      </c>
      <c r="E33" s="147">
        <v>89</v>
      </c>
      <c r="F33" s="99">
        <f>C33+D33+E33</f>
        <v>3122</v>
      </c>
      <c r="G33" s="148"/>
      <c r="H33" s="98"/>
      <c r="I33" s="98"/>
      <c r="J33" s="149"/>
      <c r="K33" s="150">
        <f t="shared" si="0"/>
        <v>3122</v>
      </c>
      <c r="L33" s="143"/>
    </row>
    <row r="34" spans="1:12" x14ac:dyDescent="0.25">
      <c r="A34" s="144">
        <v>30</v>
      </c>
      <c r="B34" s="145" t="s">
        <v>188</v>
      </c>
      <c r="C34" s="146">
        <v>1908</v>
      </c>
      <c r="D34" s="147">
        <v>98</v>
      </c>
      <c r="E34" s="147"/>
      <c r="F34" s="99">
        <f t="shared" si="1"/>
        <v>2006</v>
      </c>
      <c r="G34" s="148"/>
      <c r="H34" s="98"/>
      <c r="I34" s="98"/>
      <c r="J34" s="149"/>
      <c r="K34" s="150">
        <f t="shared" si="0"/>
        <v>2006</v>
      </c>
      <c r="L34" s="143"/>
    </row>
    <row r="35" spans="1:12" x14ac:dyDescent="0.25">
      <c r="A35" s="144">
        <v>31</v>
      </c>
      <c r="B35" s="145" t="s">
        <v>73</v>
      </c>
      <c r="C35" s="146">
        <v>573</v>
      </c>
      <c r="D35" s="147">
        <v>22</v>
      </c>
      <c r="E35" s="147"/>
      <c r="F35" s="99">
        <f t="shared" si="1"/>
        <v>595</v>
      </c>
      <c r="G35" s="148"/>
      <c r="H35" s="98"/>
      <c r="I35" s="98"/>
      <c r="J35" s="149"/>
      <c r="K35" s="150">
        <f t="shared" si="0"/>
        <v>595</v>
      </c>
      <c r="L35" s="143"/>
    </row>
    <row r="36" spans="1:12" x14ac:dyDescent="0.25">
      <c r="A36" s="144">
        <v>32</v>
      </c>
      <c r="B36" s="145" t="s">
        <v>76</v>
      </c>
      <c r="C36" s="146">
        <v>3946</v>
      </c>
      <c r="D36" s="147">
        <v>199</v>
      </c>
      <c r="E36" s="147">
        <v>520</v>
      </c>
      <c r="F36" s="99">
        <f t="shared" si="1"/>
        <v>4665</v>
      </c>
      <c r="G36" s="148"/>
      <c r="H36" s="98"/>
      <c r="I36" s="98"/>
      <c r="J36" s="149"/>
      <c r="K36" s="150">
        <f t="shared" si="0"/>
        <v>4665</v>
      </c>
      <c r="L36" s="143"/>
    </row>
    <row r="37" spans="1:12" x14ac:dyDescent="0.25">
      <c r="A37" s="144">
        <v>33</v>
      </c>
      <c r="B37" s="145" t="s">
        <v>189</v>
      </c>
      <c r="C37" s="146">
        <f>392+1810</f>
        <v>2202</v>
      </c>
      <c r="D37" s="147">
        <v>19</v>
      </c>
      <c r="E37" s="147">
        <v>64</v>
      </c>
      <c r="F37" s="99">
        <f t="shared" si="1"/>
        <v>2285</v>
      </c>
      <c r="G37" s="148"/>
      <c r="H37" s="98"/>
      <c r="I37" s="98"/>
      <c r="J37" s="149"/>
      <c r="K37" s="150">
        <f t="shared" si="0"/>
        <v>2285</v>
      </c>
      <c r="L37" s="143"/>
    </row>
    <row r="38" spans="1:12" x14ac:dyDescent="0.25">
      <c r="A38" s="144">
        <v>34</v>
      </c>
      <c r="B38" s="145" t="s">
        <v>77</v>
      </c>
      <c r="C38" s="146">
        <f>1936-295</f>
        <v>1641</v>
      </c>
      <c r="D38" s="147">
        <f>62-14</f>
        <v>48</v>
      </c>
      <c r="E38" s="147">
        <v>182</v>
      </c>
      <c r="F38" s="99">
        <f t="shared" si="1"/>
        <v>1871</v>
      </c>
      <c r="G38" s="148">
        <v>5993</v>
      </c>
      <c r="H38" s="98">
        <v>9</v>
      </c>
      <c r="I38" s="98">
        <v>245</v>
      </c>
      <c r="J38" s="149">
        <f>G38+H38+I38</f>
        <v>6247</v>
      </c>
      <c r="K38" s="150">
        <f t="shared" si="0"/>
        <v>8118</v>
      </c>
      <c r="L38" s="143"/>
    </row>
    <row r="39" spans="1:12" x14ac:dyDescent="0.25">
      <c r="A39" s="144">
        <v>35</v>
      </c>
      <c r="B39" s="145" t="s">
        <v>87</v>
      </c>
      <c r="C39" s="146">
        <v>7070</v>
      </c>
      <c r="D39" s="147"/>
      <c r="E39" s="147">
        <v>1009</v>
      </c>
      <c r="F39" s="99">
        <f>C39+D39+E39</f>
        <v>8079</v>
      </c>
      <c r="G39" s="148">
        <v>2697</v>
      </c>
      <c r="H39" s="98">
        <v>67</v>
      </c>
      <c r="I39" s="98"/>
      <c r="J39" s="149">
        <f>G39+H39+I39</f>
        <v>2764</v>
      </c>
      <c r="K39" s="150">
        <f>F39+J39</f>
        <v>10843</v>
      </c>
      <c r="L39" s="143"/>
    </row>
    <row r="40" spans="1:12" x14ac:dyDescent="0.25">
      <c r="A40" s="144">
        <v>36</v>
      </c>
      <c r="B40" s="145" t="s">
        <v>190</v>
      </c>
      <c r="C40" s="146">
        <v>6256</v>
      </c>
      <c r="D40" s="147">
        <v>0</v>
      </c>
      <c r="E40" s="147">
        <v>2540</v>
      </c>
      <c r="F40" s="99">
        <f t="shared" ref="F40:F47" si="2">C40+D40+E40</f>
        <v>8796</v>
      </c>
      <c r="G40" s="148">
        <v>5500</v>
      </c>
      <c r="H40" s="98"/>
      <c r="I40" s="98">
        <v>1200</v>
      </c>
      <c r="J40" s="149">
        <f t="shared" ref="J40:J46" si="3">G40+H40+I40</f>
        <v>6700</v>
      </c>
      <c r="K40" s="150">
        <f t="shared" si="0"/>
        <v>15496</v>
      </c>
      <c r="L40" s="143"/>
    </row>
    <row r="41" spans="1:12" x14ac:dyDescent="0.25">
      <c r="A41" s="144">
        <v>37</v>
      </c>
      <c r="B41" s="145" t="s">
        <v>191</v>
      </c>
      <c r="C41" s="146">
        <v>21900</v>
      </c>
      <c r="D41" s="147"/>
      <c r="E41" s="147">
        <v>11300</v>
      </c>
      <c r="F41" s="99">
        <f t="shared" si="2"/>
        <v>33200</v>
      </c>
      <c r="G41" s="148">
        <v>11000</v>
      </c>
      <c r="H41" s="98"/>
      <c r="I41" s="98">
        <v>1800</v>
      </c>
      <c r="J41" s="149">
        <f t="shared" si="3"/>
        <v>12800</v>
      </c>
      <c r="K41" s="150">
        <f t="shared" si="0"/>
        <v>46000</v>
      </c>
      <c r="L41" s="143"/>
    </row>
    <row r="42" spans="1:12" x14ac:dyDescent="0.25">
      <c r="A42" s="144">
        <v>38</v>
      </c>
      <c r="B42" s="145" t="s">
        <v>152</v>
      </c>
      <c r="C42" s="146">
        <v>500</v>
      </c>
      <c r="D42" s="147"/>
      <c r="E42" s="147">
        <v>1900</v>
      </c>
      <c r="F42" s="99">
        <f t="shared" si="2"/>
        <v>2400</v>
      </c>
      <c r="G42" s="148"/>
      <c r="H42" s="98"/>
      <c r="I42" s="98"/>
      <c r="J42" s="149"/>
      <c r="K42" s="150">
        <f t="shared" si="0"/>
        <v>2400</v>
      </c>
      <c r="L42" s="143"/>
    </row>
    <row r="43" spans="1:12" x14ac:dyDescent="0.25">
      <c r="A43" s="144">
        <v>39</v>
      </c>
      <c r="B43" s="145" t="s">
        <v>88</v>
      </c>
      <c r="C43" s="146">
        <v>2200</v>
      </c>
      <c r="D43" s="147"/>
      <c r="E43" s="147"/>
      <c r="F43" s="99">
        <f>C43+D43+E43</f>
        <v>2200</v>
      </c>
      <c r="G43" s="148">
        <v>2000</v>
      </c>
      <c r="H43" s="98"/>
      <c r="I43" s="98"/>
      <c r="J43" s="149">
        <f>G43+H43+I43</f>
        <v>2000</v>
      </c>
      <c r="K43" s="150">
        <f t="shared" si="0"/>
        <v>4200</v>
      </c>
      <c r="L43" s="143"/>
    </row>
    <row r="44" spans="1:12" x14ac:dyDescent="0.25">
      <c r="A44" s="144">
        <v>40</v>
      </c>
      <c r="B44" s="145" t="s">
        <v>155</v>
      </c>
      <c r="C44" s="146">
        <v>1320</v>
      </c>
      <c r="D44" s="147">
        <v>150</v>
      </c>
      <c r="E44" s="147">
        <v>500</v>
      </c>
      <c r="F44" s="99">
        <f t="shared" si="2"/>
        <v>1970</v>
      </c>
      <c r="G44" s="148"/>
      <c r="H44" s="98"/>
      <c r="I44" s="98"/>
      <c r="J44" s="149"/>
      <c r="K44" s="150">
        <f t="shared" si="0"/>
        <v>1970</v>
      </c>
      <c r="L44" s="143"/>
    </row>
    <row r="45" spans="1:12" x14ac:dyDescent="0.25">
      <c r="A45" s="144">
        <v>41</v>
      </c>
      <c r="B45" s="153" t="s">
        <v>409</v>
      </c>
      <c r="C45" s="146"/>
      <c r="D45" s="147"/>
      <c r="E45" s="147"/>
      <c r="F45" s="99"/>
      <c r="G45" s="148">
        <v>2550</v>
      </c>
      <c r="H45" s="98"/>
      <c r="I45" s="98">
        <v>251</v>
      </c>
      <c r="J45" s="149">
        <f>G45+H45+I45</f>
        <v>2801</v>
      </c>
      <c r="K45" s="150">
        <f t="shared" si="0"/>
        <v>2801</v>
      </c>
      <c r="L45" s="143"/>
    </row>
    <row r="46" spans="1:12" x14ac:dyDescent="0.25">
      <c r="A46" s="144">
        <v>42</v>
      </c>
      <c r="B46" s="151" t="s">
        <v>89</v>
      </c>
      <c r="C46" s="146">
        <f>5200+303</f>
        <v>5503</v>
      </c>
      <c r="D46" s="147">
        <f>699+15</f>
        <v>714</v>
      </c>
      <c r="E46" s="147">
        <v>1000</v>
      </c>
      <c r="F46" s="99">
        <f t="shared" si="2"/>
        <v>7217</v>
      </c>
      <c r="G46" s="148">
        <f>4576-900</f>
        <v>3676</v>
      </c>
      <c r="H46" s="98">
        <f>445-22</f>
        <v>423</v>
      </c>
      <c r="I46" s="98">
        <f>100-21</f>
        <v>79</v>
      </c>
      <c r="J46" s="149">
        <f t="shared" si="3"/>
        <v>4178</v>
      </c>
      <c r="K46" s="150">
        <f t="shared" si="0"/>
        <v>11395</v>
      </c>
      <c r="L46" s="143"/>
    </row>
    <row r="47" spans="1:12" ht="13.5" thickBot="1" x14ac:dyDescent="0.3">
      <c r="A47" s="155">
        <v>43</v>
      </c>
      <c r="B47" s="156" t="s">
        <v>183</v>
      </c>
      <c r="C47" s="157">
        <v>2138</v>
      </c>
      <c r="D47" s="158">
        <v>102</v>
      </c>
      <c r="E47" s="158">
        <v>355</v>
      </c>
      <c r="F47" s="106">
        <f t="shared" si="2"/>
        <v>2595</v>
      </c>
      <c r="G47" s="159"/>
      <c r="H47" s="105"/>
      <c r="I47" s="105"/>
      <c r="J47" s="160"/>
      <c r="K47" s="161">
        <f t="shared" si="0"/>
        <v>2595</v>
      </c>
      <c r="L47" s="143"/>
    </row>
    <row r="48" spans="1:12" ht="13.5" thickBot="1" x14ac:dyDescent="0.3">
      <c r="A48" s="162"/>
      <c r="B48" s="163" t="s">
        <v>146</v>
      </c>
      <c r="C48" s="164">
        <f t="shared" ref="C48:K48" si="4">SUM(C5:C47)</f>
        <v>87174</v>
      </c>
      <c r="D48" s="110">
        <f t="shared" si="4"/>
        <v>2052</v>
      </c>
      <c r="E48" s="110">
        <f t="shared" si="4"/>
        <v>21502</v>
      </c>
      <c r="F48" s="111">
        <f t="shared" si="4"/>
        <v>110728</v>
      </c>
      <c r="G48" s="109">
        <f t="shared" si="4"/>
        <v>43663</v>
      </c>
      <c r="H48" s="110">
        <f t="shared" si="4"/>
        <v>672</v>
      </c>
      <c r="I48" s="110">
        <f t="shared" si="4"/>
        <v>3596</v>
      </c>
      <c r="J48" s="165">
        <f t="shared" si="4"/>
        <v>47931</v>
      </c>
      <c r="K48" s="166">
        <f t="shared" si="4"/>
        <v>158659</v>
      </c>
      <c r="L48" s="143"/>
    </row>
    <row r="49" spans="1:12" s="170" customFormat="1" x14ac:dyDescent="0.25">
      <c r="A49" s="167"/>
      <c r="B49" s="171"/>
      <c r="C49" s="172"/>
      <c r="D49" s="172"/>
      <c r="E49" s="172"/>
      <c r="F49" s="172"/>
      <c r="G49" s="172"/>
      <c r="H49" s="168"/>
      <c r="I49" s="172"/>
      <c r="J49" s="172"/>
      <c r="K49" s="172"/>
      <c r="L49" s="169"/>
    </row>
  </sheetData>
  <mergeCells count="6">
    <mergeCell ref="A1:K1"/>
    <mergeCell ref="A3:A4"/>
    <mergeCell ref="B3:B4"/>
    <mergeCell ref="C3:F3"/>
    <mergeCell ref="G3:J3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pane xSplit="2" ySplit="5" topLeftCell="E15" activePane="bottomRight" state="frozen"/>
      <selection pane="topRight" activeCell="C1" sqref="C1"/>
      <selection pane="bottomLeft" activeCell="A6" sqref="A6"/>
      <selection pane="bottomRight" activeCell="L38" sqref="L38"/>
    </sheetView>
  </sheetViews>
  <sheetFormatPr defaultRowHeight="11.25" x14ac:dyDescent="0.25"/>
  <cols>
    <col min="1" max="1" width="3.42578125" style="174" customWidth="1"/>
    <col min="2" max="2" width="25.140625" style="173" customWidth="1"/>
    <col min="3" max="3" width="8.7109375" style="175" customWidth="1"/>
    <col min="4" max="4" width="8.28515625" style="175" customWidth="1"/>
    <col min="5" max="5" width="9" style="175" customWidth="1"/>
    <col min="6" max="6" width="9.85546875" style="175" customWidth="1"/>
    <col min="7" max="7" width="11.140625" style="175" customWidth="1"/>
    <col min="8" max="8" width="8.5703125" style="175" customWidth="1"/>
    <col min="9" max="9" width="8.85546875" style="175" customWidth="1"/>
    <col min="10" max="10" width="7.85546875" style="175" customWidth="1"/>
    <col min="11" max="11" width="8.7109375" style="175" customWidth="1"/>
    <col min="12" max="12" width="9.7109375" style="175" customWidth="1"/>
    <col min="13" max="13" width="10" style="175" customWidth="1"/>
    <col min="14" max="14" width="11.28515625" style="175" customWidth="1"/>
    <col min="15" max="15" width="10.7109375" style="175" customWidth="1"/>
    <col min="16" max="16" width="12" style="175" customWidth="1"/>
    <col min="17" max="17" width="11" style="175" customWidth="1"/>
    <col min="18" max="18" width="10.42578125" style="175" customWidth="1"/>
    <col min="19" max="19" width="11.85546875" style="173" customWidth="1"/>
    <col min="20" max="16384" width="9.140625" style="173"/>
  </cols>
  <sheetData>
    <row r="1" spans="1:18" ht="18.75" x14ac:dyDescent="0.25">
      <c r="A1" s="462" t="s">
        <v>410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ht="12" thickBot="1" x14ac:dyDescent="0.3"/>
    <row r="3" spans="1:18" x14ac:dyDescent="0.25">
      <c r="A3" s="479" t="s">
        <v>0</v>
      </c>
      <c r="B3" s="482" t="s">
        <v>175</v>
      </c>
      <c r="C3" s="485" t="s">
        <v>411</v>
      </c>
      <c r="D3" s="486"/>
      <c r="E3" s="486"/>
      <c r="F3" s="486"/>
      <c r="G3" s="486"/>
      <c r="H3" s="486"/>
      <c r="I3" s="486"/>
      <c r="J3" s="487"/>
      <c r="K3" s="488"/>
      <c r="L3" s="489" t="s">
        <v>412</v>
      </c>
      <c r="M3" s="489" t="s">
        <v>413</v>
      </c>
      <c r="N3" s="485" t="s">
        <v>414</v>
      </c>
      <c r="O3" s="492"/>
      <c r="P3" s="492"/>
      <c r="Q3" s="493"/>
      <c r="R3" s="494" t="s">
        <v>92</v>
      </c>
    </row>
    <row r="4" spans="1:18" x14ac:dyDescent="0.25">
      <c r="A4" s="480"/>
      <c r="B4" s="483"/>
      <c r="C4" s="497" t="s">
        <v>415</v>
      </c>
      <c r="D4" s="498"/>
      <c r="E4" s="498"/>
      <c r="F4" s="498"/>
      <c r="G4" s="498"/>
      <c r="H4" s="498"/>
      <c r="I4" s="499"/>
      <c r="J4" s="500" t="s">
        <v>416</v>
      </c>
      <c r="K4" s="502" t="s">
        <v>95</v>
      </c>
      <c r="L4" s="490"/>
      <c r="M4" s="490"/>
      <c r="N4" s="504" t="s">
        <v>426</v>
      </c>
      <c r="O4" s="506" t="s">
        <v>417</v>
      </c>
      <c r="P4" s="506" t="s">
        <v>427</v>
      </c>
      <c r="Q4" s="508" t="s">
        <v>95</v>
      </c>
      <c r="R4" s="495"/>
    </row>
    <row r="5" spans="1:18" ht="124.5" thickBot="1" x14ac:dyDescent="0.3">
      <c r="A5" s="481"/>
      <c r="B5" s="484"/>
      <c r="C5" s="176" t="s">
        <v>418</v>
      </c>
      <c r="D5" s="177" t="s">
        <v>419</v>
      </c>
      <c r="E5" s="177" t="s">
        <v>420</v>
      </c>
      <c r="F5" s="177" t="s">
        <v>421</v>
      </c>
      <c r="G5" s="177" t="s">
        <v>422</v>
      </c>
      <c r="H5" s="177" t="s">
        <v>423</v>
      </c>
      <c r="I5" s="177" t="s">
        <v>95</v>
      </c>
      <c r="J5" s="501"/>
      <c r="K5" s="503"/>
      <c r="L5" s="491"/>
      <c r="M5" s="491"/>
      <c r="N5" s="505"/>
      <c r="O5" s="507"/>
      <c r="P5" s="507"/>
      <c r="Q5" s="509"/>
      <c r="R5" s="496"/>
    </row>
    <row r="6" spans="1:18" x14ac:dyDescent="0.25">
      <c r="A6" s="215">
        <v>1</v>
      </c>
      <c r="B6" s="178" t="s">
        <v>11</v>
      </c>
      <c r="C6" s="179"/>
      <c r="D6" s="180"/>
      <c r="E6" s="180"/>
      <c r="F6" s="180"/>
      <c r="G6" s="180"/>
      <c r="H6" s="180"/>
      <c r="I6" s="180">
        <f>SUM(C6:H6)</f>
        <v>0</v>
      </c>
      <c r="J6" s="181"/>
      <c r="K6" s="182">
        <f>I6+J6</f>
        <v>0</v>
      </c>
      <c r="L6" s="183"/>
      <c r="M6" s="183"/>
      <c r="N6" s="179">
        <v>2000</v>
      </c>
      <c r="O6" s="181">
        <f>2000-100</f>
        <v>1900</v>
      </c>
      <c r="P6" s="181">
        <f>2000-200</f>
        <v>1800</v>
      </c>
      <c r="Q6" s="184">
        <f>N6+O6+P6</f>
        <v>5700</v>
      </c>
      <c r="R6" s="185">
        <f>K6+L6+M6+Q6</f>
        <v>5700</v>
      </c>
    </row>
    <row r="7" spans="1:18" x14ac:dyDescent="0.25">
      <c r="A7" s="194">
        <v>2</v>
      </c>
      <c r="B7" s="186" t="s">
        <v>13</v>
      </c>
      <c r="C7" s="187"/>
      <c r="D7" s="188"/>
      <c r="E7" s="188"/>
      <c r="F7" s="188"/>
      <c r="G7" s="188"/>
      <c r="H7" s="188"/>
      <c r="I7" s="180">
        <f t="shared" ref="I7:I29" si="0">SUM(C7:H7)</f>
        <v>0</v>
      </c>
      <c r="J7" s="189"/>
      <c r="K7" s="182">
        <f t="shared" ref="K7:K29" si="1">I7+J7</f>
        <v>0</v>
      </c>
      <c r="L7" s="190"/>
      <c r="M7" s="190"/>
      <c r="N7" s="187">
        <f>1200-300</f>
        <v>900</v>
      </c>
      <c r="O7" s="189">
        <f>1200-350</f>
        <v>850</v>
      </c>
      <c r="P7" s="189">
        <f>1200-400</f>
        <v>800</v>
      </c>
      <c r="Q7" s="191">
        <f t="shared" ref="Q7:Q29" si="2">N7+O7+P7</f>
        <v>2550</v>
      </c>
      <c r="R7" s="185">
        <f t="shared" ref="R7:R29" si="3">K7+L7+M7+Q7</f>
        <v>2550</v>
      </c>
    </row>
    <row r="8" spans="1:18" x14ac:dyDescent="0.25">
      <c r="A8" s="194">
        <v>3</v>
      </c>
      <c r="B8" s="186" t="s">
        <v>179</v>
      </c>
      <c r="C8" s="187"/>
      <c r="D8" s="188"/>
      <c r="E8" s="188"/>
      <c r="F8" s="188"/>
      <c r="G8" s="188"/>
      <c r="H8" s="188"/>
      <c r="I8" s="180">
        <f t="shared" si="0"/>
        <v>0</v>
      </c>
      <c r="J8" s="189"/>
      <c r="K8" s="182">
        <f t="shared" si="1"/>
        <v>0</v>
      </c>
      <c r="L8" s="190">
        <v>9500</v>
      </c>
      <c r="M8" s="190"/>
      <c r="N8" s="187"/>
      <c r="O8" s="189"/>
      <c r="P8" s="189"/>
      <c r="Q8" s="191">
        <f t="shared" si="2"/>
        <v>0</v>
      </c>
      <c r="R8" s="185">
        <f t="shared" si="3"/>
        <v>9500</v>
      </c>
    </row>
    <row r="9" spans="1:18" x14ac:dyDescent="0.25">
      <c r="A9" s="194">
        <v>4</v>
      </c>
      <c r="B9" s="186" t="s">
        <v>400</v>
      </c>
      <c r="C9" s="187"/>
      <c r="D9" s="188"/>
      <c r="E9" s="188"/>
      <c r="F9" s="188"/>
      <c r="G9" s="188"/>
      <c r="H9" s="188"/>
      <c r="I9" s="180">
        <f t="shared" si="0"/>
        <v>0</v>
      </c>
      <c r="J9" s="189"/>
      <c r="K9" s="182">
        <f t="shared" si="1"/>
        <v>0</v>
      </c>
      <c r="L9" s="190"/>
      <c r="M9" s="190"/>
      <c r="N9" s="187">
        <v>4000</v>
      </c>
      <c r="O9" s="189">
        <f>4000-200</f>
        <v>3800</v>
      </c>
      <c r="P9" s="189">
        <f>4000-300</f>
        <v>3700</v>
      </c>
      <c r="Q9" s="191">
        <f t="shared" si="2"/>
        <v>11500</v>
      </c>
      <c r="R9" s="185">
        <f t="shared" si="3"/>
        <v>11500</v>
      </c>
    </row>
    <row r="10" spans="1:18" x14ac:dyDescent="0.25">
      <c r="A10" s="194">
        <v>5</v>
      </c>
      <c r="B10" s="186" t="s">
        <v>37</v>
      </c>
      <c r="C10" s="187"/>
      <c r="D10" s="188"/>
      <c r="E10" s="188"/>
      <c r="F10" s="188"/>
      <c r="G10" s="188"/>
      <c r="H10" s="188"/>
      <c r="I10" s="180">
        <f t="shared" si="0"/>
        <v>0</v>
      </c>
      <c r="J10" s="189"/>
      <c r="K10" s="182">
        <f t="shared" si="1"/>
        <v>0</v>
      </c>
      <c r="L10" s="190"/>
      <c r="M10" s="190"/>
      <c r="N10" s="187">
        <v>1400</v>
      </c>
      <c r="O10" s="189">
        <f>1400-100</f>
        <v>1300</v>
      </c>
      <c r="P10" s="189">
        <f>1400-200</f>
        <v>1200</v>
      </c>
      <c r="Q10" s="191">
        <f t="shared" si="2"/>
        <v>3900</v>
      </c>
      <c r="R10" s="185">
        <f t="shared" si="3"/>
        <v>3900</v>
      </c>
    </row>
    <row r="11" spans="1:18" x14ac:dyDescent="0.25">
      <c r="A11" s="194">
        <v>6</v>
      </c>
      <c r="B11" s="186" t="s">
        <v>184</v>
      </c>
      <c r="C11" s="187"/>
      <c r="D11" s="188"/>
      <c r="E11" s="188"/>
      <c r="F11" s="188"/>
      <c r="G11" s="188"/>
      <c r="H11" s="188"/>
      <c r="I11" s="180">
        <f t="shared" si="0"/>
        <v>0</v>
      </c>
      <c r="J11" s="189"/>
      <c r="K11" s="182">
        <f t="shared" si="1"/>
        <v>0</v>
      </c>
      <c r="L11" s="190"/>
      <c r="M11" s="190"/>
      <c r="N11" s="187">
        <f>2500-200</f>
        <v>2300</v>
      </c>
      <c r="O11" s="189">
        <f>2500-250</f>
        <v>2250</v>
      </c>
      <c r="P11" s="189">
        <f>2500-300</f>
        <v>2200</v>
      </c>
      <c r="Q11" s="191">
        <f t="shared" si="2"/>
        <v>6750</v>
      </c>
      <c r="R11" s="185">
        <f t="shared" si="3"/>
        <v>6750</v>
      </c>
    </row>
    <row r="12" spans="1:18" x14ac:dyDescent="0.25">
      <c r="A12" s="194">
        <v>7</v>
      </c>
      <c r="B12" s="192" t="s">
        <v>186</v>
      </c>
      <c r="C12" s="187"/>
      <c r="D12" s="188"/>
      <c r="E12" s="188"/>
      <c r="F12" s="188"/>
      <c r="G12" s="188"/>
      <c r="H12" s="188"/>
      <c r="I12" s="180">
        <f t="shared" si="0"/>
        <v>0</v>
      </c>
      <c r="J12" s="189"/>
      <c r="K12" s="182">
        <f t="shared" si="1"/>
        <v>0</v>
      </c>
      <c r="L12" s="190"/>
      <c r="M12" s="190"/>
      <c r="N12" s="187">
        <f>2000-200</f>
        <v>1800</v>
      </c>
      <c r="O12" s="189">
        <f>2000-250</f>
        <v>1750</v>
      </c>
      <c r="P12" s="189">
        <f>2000-300</f>
        <v>1700</v>
      </c>
      <c r="Q12" s="191">
        <f t="shared" si="2"/>
        <v>5250</v>
      </c>
      <c r="R12" s="185">
        <f t="shared" si="3"/>
        <v>5250</v>
      </c>
    </row>
    <row r="13" spans="1:18" x14ac:dyDescent="0.25">
      <c r="A13" s="194">
        <v>8</v>
      </c>
      <c r="B13" s="186" t="s">
        <v>57</v>
      </c>
      <c r="C13" s="187"/>
      <c r="D13" s="188"/>
      <c r="E13" s="188"/>
      <c r="F13" s="188"/>
      <c r="G13" s="188"/>
      <c r="H13" s="188"/>
      <c r="I13" s="180">
        <f t="shared" si="0"/>
        <v>0</v>
      </c>
      <c r="J13" s="189"/>
      <c r="K13" s="182">
        <f t="shared" si="1"/>
        <v>0</v>
      </c>
      <c r="L13" s="190"/>
      <c r="M13" s="190"/>
      <c r="N13" s="187">
        <f>2200-300</f>
        <v>1900</v>
      </c>
      <c r="O13" s="189">
        <f>2200-400</f>
        <v>1800</v>
      </c>
      <c r="P13" s="189">
        <f>2200-450</f>
        <v>1750</v>
      </c>
      <c r="Q13" s="191">
        <f t="shared" si="2"/>
        <v>5450</v>
      </c>
      <c r="R13" s="185">
        <f t="shared" si="3"/>
        <v>5450</v>
      </c>
    </row>
    <row r="14" spans="1:18" x14ac:dyDescent="0.25">
      <c r="A14" s="194">
        <v>9</v>
      </c>
      <c r="B14" s="186" t="s">
        <v>21</v>
      </c>
      <c r="C14" s="187"/>
      <c r="D14" s="188"/>
      <c r="E14" s="188"/>
      <c r="F14" s="188"/>
      <c r="G14" s="188"/>
      <c r="H14" s="188"/>
      <c r="I14" s="180">
        <f t="shared" si="0"/>
        <v>0</v>
      </c>
      <c r="J14" s="189"/>
      <c r="K14" s="182">
        <f t="shared" si="1"/>
        <v>0</v>
      </c>
      <c r="L14" s="190"/>
      <c r="M14" s="190"/>
      <c r="N14" s="187">
        <v>1000</v>
      </c>
      <c r="O14" s="189">
        <f>1000-50</f>
        <v>950</v>
      </c>
      <c r="P14" s="189">
        <f>1000-100</f>
        <v>900</v>
      </c>
      <c r="Q14" s="191">
        <f t="shared" si="2"/>
        <v>2850</v>
      </c>
      <c r="R14" s="185">
        <f t="shared" si="3"/>
        <v>2850</v>
      </c>
    </row>
    <row r="15" spans="1:18" x14ac:dyDescent="0.25">
      <c r="A15" s="194">
        <v>10</v>
      </c>
      <c r="B15" s="193" t="s">
        <v>46</v>
      </c>
      <c r="C15" s="187"/>
      <c r="D15" s="188"/>
      <c r="E15" s="188"/>
      <c r="F15" s="188"/>
      <c r="G15" s="188"/>
      <c r="H15" s="188"/>
      <c r="I15" s="180">
        <f t="shared" si="0"/>
        <v>0</v>
      </c>
      <c r="J15" s="189"/>
      <c r="K15" s="182">
        <f t="shared" si="1"/>
        <v>0</v>
      </c>
      <c r="L15" s="190"/>
      <c r="M15" s="190"/>
      <c r="N15" s="187">
        <f>1200-100</f>
        <v>1100</v>
      </c>
      <c r="O15" s="189">
        <f>1200-150</f>
        <v>1050</v>
      </c>
      <c r="P15" s="189">
        <f>1200-200</f>
        <v>1000</v>
      </c>
      <c r="Q15" s="191">
        <f t="shared" si="2"/>
        <v>3150</v>
      </c>
      <c r="R15" s="185">
        <f t="shared" si="3"/>
        <v>3150</v>
      </c>
    </row>
    <row r="16" spans="1:18" x14ac:dyDescent="0.25">
      <c r="A16" s="194">
        <v>11</v>
      </c>
      <c r="B16" s="186" t="s">
        <v>55</v>
      </c>
      <c r="C16" s="187"/>
      <c r="D16" s="188"/>
      <c r="E16" s="188"/>
      <c r="F16" s="188"/>
      <c r="G16" s="188"/>
      <c r="H16" s="188"/>
      <c r="I16" s="180">
        <f t="shared" si="0"/>
        <v>0</v>
      </c>
      <c r="J16" s="189"/>
      <c r="K16" s="182">
        <f t="shared" si="1"/>
        <v>0</v>
      </c>
      <c r="L16" s="190"/>
      <c r="M16" s="190"/>
      <c r="N16" s="187">
        <f>1600-100</f>
        <v>1500</v>
      </c>
      <c r="O16" s="189">
        <f>1600-100</f>
        <v>1500</v>
      </c>
      <c r="P16" s="189">
        <f>1600-200</f>
        <v>1400</v>
      </c>
      <c r="Q16" s="191">
        <f t="shared" si="2"/>
        <v>4400</v>
      </c>
      <c r="R16" s="185">
        <f t="shared" si="3"/>
        <v>4400</v>
      </c>
    </row>
    <row r="17" spans="1:18" x14ac:dyDescent="0.25">
      <c r="A17" s="194">
        <v>12</v>
      </c>
      <c r="B17" s="186" t="s">
        <v>76</v>
      </c>
      <c r="C17" s="187"/>
      <c r="D17" s="188"/>
      <c r="E17" s="188"/>
      <c r="F17" s="188"/>
      <c r="G17" s="188"/>
      <c r="H17" s="188"/>
      <c r="I17" s="180">
        <f t="shared" si="0"/>
        <v>0</v>
      </c>
      <c r="J17" s="189"/>
      <c r="K17" s="182">
        <f t="shared" si="1"/>
        <v>0</v>
      </c>
      <c r="L17" s="190"/>
      <c r="M17" s="190"/>
      <c r="N17" s="187">
        <f>2200-400</f>
        <v>1800</v>
      </c>
      <c r="O17" s="189">
        <f>2200-400</f>
        <v>1800</v>
      </c>
      <c r="P17" s="189">
        <f>2200-500</f>
        <v>1700</v>
      </c>
      <c r="Q17" s="191">
        <f t="shared" si="2"/>
        <v>5300</v>
      </c>
      <c r="R17" s="185">
        <f t="shared" si="3"/>
        <v>5300</v>
      </c>
    </row>
    <row r="18" spans="1:18" ht="22.5" x14ac:dyDescent="0.25">
      <c r="A18" s="194">
        <v>13</v>
      </c>
      <c r="B18" s="195" t="s">
        <v>424</v>
      </c>
      <c r="C18" s="187"/>
      <c r="D18" s="188"/>
      <c r="E18" s="188"/>
      <c r="F18" s="188"/>
      <c r="G18" s="188"/>
      <c r="H18" s="188"/>
      <c r="I18" s="180">
        <f t="shared" si="0"/>
        <v>0</v>
      </c>
      <c r="J18" s="189"/>
      <c r="K18" s="182">
        <f t="shared" si="1"/>
        <v>0</v>
      </c>
      <c r="L18" s="190"/>
      <c r="M18" s="190"/>
      <c r="N18" s="187">
        <f>2000-150</f>
        <v>1850</v>
      </c>
      <c r="O18" s="189">
        <f>2000-100</f>
        <v>1900</v>
      </c>
      <c r="P18" s="189">
        <f>2000-150</f>
        <v>1850</v>
      </c>
      <c r="Q18" s="191">
        <f t="shared" si="2"/>
        <v>5600</v>
      </c>
      <c r="R18" s="185">
        <f t="shared" si="3"/>
        <v>5600</v>
      </c>
    </row>
    <row r="19" spans="1:18" ht="15" customHeight="1" x14ac:dyDescent="0.25">
      <c r="A19" s="194">
        <v>14</v>
      </c>
      <c r="B19" s="186" t="s">
        <v>69</v>
      </c>
      <c r="C19" s="187"/>
      <c r="D19" s="188"/>
      <c r="E19" s="188"/>
      <c r="F19" s="188"/>
      <c r="G19" s="188"/>
      <c r="H19" s="188"/>
      <c r="I19" s="180">
        <f t="shared" si="0"/>
        <v>0</v>
      </c>
      <c r="J19" s="189"/>
      <c r="K19" s="182">
        <f t="shared" si="1"/>
        <v>0</v>
      </c>
      <c r="L19" s="190"/>
      <c r="M19" s="190"/>
      <c r="N19" s="187">
        <v>1600</v>
      </c>
      <c r="O19" s="189">
        <f>1600-100</f>
        <v>1500</v>
      </c>
      <c r="P19" s="189">
        <f>1600-200</f>
        <v>1400</v>
      </c>
      <c r="Q19" s="191">
        <f t="shared" si="2"/>
        <v>4500</v>
      </c>
      <c r="R19" s="185">
        <f t="shared" si="3"/>
        <v>4500</v>
      </c>
    </row>
    <row r="20" spans="1:18" x14ac:dyDescent="0.25">
      <c r="A20" s="194">
        <v>15</v>
      </c>
      <c r="B20" s="425" t="s">
        <v>736</v>
      </c>
      <c r="C20" s="187"/>
      <c r="D20" s="188"/>
      <c r="E20" s="188"/>
      <c r="F20" s="188"/>
      <c r="G20" s="188"/>
      <c r="H20" s="188"/>
      <c r="I20" s="180">
        <f t="shared" si="0"/>
        <v>0</v>
      </c>
      <c r="J20" s="189"/>
      <c r="K20" s="182">
        <f t="shared" si="1"/>
        <v>0</v>
      </c>
      <c r="L20" s="190"/>
      <c r="M20" s="190">
        <v>6245</v>
      </c>
      <c r="N20" s="187"/>
      <c r="O20" s="189"/>
      <c r="P20" s="189"/>
      <c r="Q20" s="191">
        <f t="shared" si="2"/>
        <v>0</v>
      </c>
      <c r="R20" s="185">
        <f t="shared" si="3"/>
        <v>6245</v>
      </c>
    </row>
    <row r="21" spans="1:18" x14ac:dyDescent="0.25">
      <c r="A21" s="194">
        <v>16</v>
      </c>
      <c r="B21" s="425" t="s">
        <v>737</v>
      </c>
      <c r="C21" s="187"/>
      <c r="D21" s="188"/>
      <c r="E21" s="188"/>
      <c r="F21" s="188"/>
      <c r="G21" s="188"/>
      <c r="H21" s="188"/>
      <c r="I21" s="180">
        <f t="shared" si="0"/>
        <v>0</v>
      </c>
      <c r="J21" s="189"/>
      <c r="K21" s="182">
        <f t="shared" si="1"/>
        <v>0</v>
      </c>
      <c r="L21" s="190"/>
      <c r="M21" s="190"/>
      <c r="N21" s="187"/>
      <c r="O21" s="189"/>
      <c r="P21" s="189"/>
      <c r="Q21" s="191">
        <f t="shared" si="2"/>
        <v>0</v>
      </c>
      <c r="R21" s="185">
        <f t="shared" si="3"/>
        <v>0</v>
      </c>
    </row>
    <row r="22" spans="1:18" ht="22.5" x14ac:dyDescent="0.25">
      <c r="A22" s="194">
        <v>17</v>
      </c>
      <c r="B22" s="186" t="s">
        <v>87</v>
      </c>
      <c r="C22" s="187">
        <v>810</v>
      </c>
      <c r="D22" s="188">
        <v>50</v>
      </c>
      <c r="E22" s="188">
        <v>300</v>
      </c>
      <c r="F22" s="188"/>
      <c r="G22" s="188">
        <v>340</v>
      </c>
      <c r="H22" s="188"/>
      <c r="I22" s="180">
        <f t="shared" si="0"/>
        <v>1500</v>
      </c>
      <c r="J22" s="189"/>
      <c r="K22" s="182">
        <f t="shared" si="1"/>
        <v>1500</v>
      </c>
      <c r="L22" s="190"/>
      <c r="M22" s="190"/>
      <c r="N22" s="187"/>
      <c r="O22" s="189"/>
      <c r="P22" s="189"/>
      <c r="Q22" s="191">
        <f t="shared" si="2"/>
        <v>0</v>
      </c>
      <c r="R22" s="185">
        <f t="shared" si="3"/>
        <v>1500</v>
      </c>
    </row>
    <row r="23" spans="1:18" ht="22.5" x14ac:dyDescent="0.25">
      <c r="A23" s="194">
        <v>18</v>
      </c>
      <c r="B23" s="195" t="s">
        <v>425</v>
      </c>
      <c r="C23" s="187"/>
      <c r="D23" s="188"/>
      <c r="E23" s="188"/>
      <c r="F23" s="188"/>
      <c r="G23" s="188"/>
      <c r="H23" s="188"/>
      <c r="I23" s="180">
        <f t="shared" si="0"/>
        <v>0</v>
      </c>
      <c r="J23" s="189"/>
      <c r="K23" s="182">
        <f t="shared" si="1"/>
        <v>0</v>
      </c>
      <c r="L23" s="190"/>
      <c r="M23" s="190"/>
      <c r="N23" s="187">
        <f>1600-100</f>
        <v>1500</v>
      </c>
      <c r="O23" s="189">
        <f>1600-100</f>
        <v>1500</v>
      </c>
      <c r="P23" s="189">
        <f>1600-150</f>
        <v>1450</v>
      </c>
      <c r="Q23" s="191">
        <f t="shared" si="2"/>
        <v>4450</v>
      </c>
      <c r="R23" s="185">
        <f t="shared" si="3"/>
        <v>4450</v>
      </c>
    </row>
    <row r="24" spans="1:18" x14ac:dyDescent="0.25">
      <c r="A24" s="194">
        <v>19</v>
      </c>
      <c r="B24" s="186" t="s">
        <v>190</v>
      </c>
      <c r="C24" s="187">
        <v>400</v>
      </c>
      <c r="D24" s="188">
        <v>1900</v>
      </c>
      <c r="E24" s="188">
        <v>900</v>
      </c>
      <c r="F24" s="188">
        <v>450</v>
      </c>
      <c r="G24" s="188"/>
      <c r="H24" s="188">
        <v>150</v>
      </c>
      <c r="I24" s="180">
        <f t="shared" si="0"/>
        <v>3800</v>
      </c>
      <c r="J24" s="189">
        <v>1500</v>
      </c>
      <c r="K24" s="182">
        <f t="shared" si="1"/>
        <v>5300</v>
      </c>
      <c r="L24" s="190"/>
      <c r="M24" s="190"/>
      <c r="N24" s="187"/>
      <c r="O24" s="189"/>
      <c r="P24" s="189"/>
      <c r="Q24" s="191">
        <f t="shared" si="2"/>
        <v>0</v>
      </c>
      <c r="R24" s="185">
        <f t="shared" si="3"/>
        <v>5300</v>
      </c>
    </row>
    <row r="25" spans="1:18" x14ac:dyDescent="0.25">
      <c r="A25" s="194">
        <v>20</v>
      </c>
      <c r="B25" s="186" t="s">
        <v>191</v>
      </c>
      <c r="C25" s="187">
        <v>4700</v>
      </c>
      <c r="D25" s="188">
        <v>100</v>
      </c>
      <c r="E25" s="188">
        <v>200</v>
      </c>
      <c r="F25" s="188"/>
      <c r="G25" s="188">
        <v>1300</v>
      </c>
      <c r="H25" s="188"/>
      <c r="I25" s="180">
        <f t="shared" si="0"/>
        <v>6300</v>
      </c>
      <c r="J25" s="189"/>
      <c r="K25" s="182">
        <f t="shared" si="1"/>
        <v>6300</v>
      </c>
      <c r="L25" s="190">
        <v>12000</v>
      </c>
      <c r="M25" s="190"/>
      <c r="N25" s="187"/>
      <c r="O25" s="189"/>
      <c r="P25" s="189"/>
      <c r="Q25" s="191">
        <f t="shared" si="2"/>
        <v>0</v>
      </c>
      <c r="R25" s="185">
        <f t="shared" si="3"/>
        <v>18300</v>
      </c>
    </row>
    <row r="26" spans="1:18" x14ac:dyDescent="0.25">
      <c r="A26" s="194">
        <v>21</v>
      </c>
      <c r="B26" s="186" t="s">
        <v>152</v>
      </c>
      <c r="C26" s="187"/>
      <c r="D26" s="188">
        <v>295</v>
      </c>
      <c r="E26" s="188">
        <v>140</v>
      </c>
      <c r="F26" s="188">
        <v>765</v>
      </c>
      <c r="G26" s="188"/>
      <c r="H26" s="188"/>
      <c r="I26" s="180">
        <f t="shared" si="0"/>
        <v>1200</v>
      </c>
      <c r="J26" s="189"/>
      <c r="K26" s="182">
        <f t="shared" si="1"/>
        <v>1200</v>
      </c>
      <c r="L26" s="190"/>
      <c r="M26" s="190"/>
      <c r="N26" s="187"/>
      <c r="O26" s="189"/>
      <c r="P26" s="189"/>
      <c r="Q26" s="191">
        <f t="shared" si="2"/>
        <v>0</v>
      </c>
      <c r="R26" s="185">
        <f t="shared" si="3"/>
        <v>1200</v>
      </c>
    </row>
    <row r="27" spans="1:18" x14ac:dyDescent="0.25">
      <c r="A27" s="194">
        <v>22</v>
      </c>
      <c r="B27" s="196" t="s">
        <v>409</v>
      </c>
      <c r="C27" s="187"/>
      <c r="D27" s="188"/>
      <c r="E27" s="188"/>
      <c r="F27" s="188"/>
      <c r="G27" s="188"/>
      <c r="H27" s="188"/>
      <c r="I27" s="180">
        <f t="shared" si="0"/>
        <v>0</v>
      </c>
      <c r="J27" s="189"/>
      <c r="K27" s="182">
        <f t="shared" si="1"/>
        <v>0</v>
      </c>
      <c r="L27" s="190"/>
      <c r="M27" s="190"/>
      <c r="N27" s="187">
        <v>6000</v>
      </c>
      <c r="O27" s="189">
        <f>6000-500</f>
        <v>5500</v>
      </c>
      <c r="P27" s="189">
        <f>6000-1000</f>
        <v>5000</v>
      </c>
      <c r="Q27" s="191">
        <f t="shared" si="2"/>
        <v>16500</v>
      </c>
      <c r="R27" s="185">
        <f t="shared" si="3"/>
        <v>16500</v>
      </c>
    </row>
    <row r="28" spans="1:18" x14ac:dyDescent="0.25">
      <c r="A28" s="194">
        <v>23</v>
      </c>
      <c r="B28" s="192" t="s">
        <v>183</v>
      </c>
      <c r="C28" s="187"/>
      <c r="D28" s="188"/>
      <c r="E28" s="188">
        <v>2000</v>
      </c>
      <c r="F28" s="188"/>
      <c r="G28" s="188"/>
      <c r="H28" s="188"/>
      <c r="I28" s="180">
        <f t="shared" si="0"/>
        <v>2000</v>
      </c>
      <c r="J28" s="189"/>
      <c r="K28" s="182">
        <f t="shared" si="1"/>
        <v>2000</v>
      </c>
      <c r="L28" s="190"/>
      <c r="M28" s="190"/>
      <c r="N28" s="187"/>
      <c r="O28" s="189"/>
      <c r="P28" s="189"/>
      <c r="Q28" s="191">
        <f t="shared" si="2"/>
        <v>0</v>
      </c>
      <c r="R28" s="185">
        <f t="shared" si="3"/>
        <v>2000</v>
      </c>
    </row>
    <row r="29" spans="1:18" ht="12" thickBot="1" x14ac:dyDescent="0.3">
      <c r="A29" s="197">
        <v>24</v>
      </c>
      <c r="B29" s="216" t="s">
        <v>153</v>
      </c>
      <c r="C29" s="198"/>
      <c r="D29" s="199"/>
      <c r="E29" s="199"/>
      <c r="F29" s="199"/>
      <c r="G29" s="199"/>
      <c r="H29" s="199"/>
      <c r="I29" s="180">
        <f t="shared" si="0"/>
        <v>0</v>
      </c>
      <c r="J29" s="200"/>
      <c r="K29" s="182">
        <f t="shared" si="1"/>
        <v>0</v>
      </c>
      <c r="L29" s="201"/>
      <c r="M29" s="201"/>
      <c r="N29" s="198">
        <f>4500-1500</f>
        <v>3000</v>
      </c>
      <c r="O29" s="200">
        <v>4500</v>
      </c>
      <c r="P29" s="200">
        <f>4500-1800</f>
        <v>2700</v>
      </c>
      <c r="Q29" s="202">
        <f t="shared" si="2"/>
        <v>10200</v>
      </c>
      <c r="R29" s="185">
        <f t="shared" si="3"/>
        <v>10200</v>
      </c>
    </row>
    <row r="30" spans="1:18" ht="12" thickBot="1" x14ac:dyDescent="0.3">
      <c r="A30" s="203"/>
      <c r="B30" s="204" t="s">
        <v>146</v>
      </c>
      <c r="C30" s="205">
        <f t="shared" ref="C30:R30" si="4">SUM(C6:C29)</f>
        <v>5910</v>
      </c>
      <c r="D30" s="206">
        <f t="shared" si="4"/>
        <v>2345</v>
      </c>
      <c r="E30" s="206">
        <f t="shared" si="4"/>
        <v>3540</v>
      </c>
      <c r="F30" s="206">
        <f t="shared" si="4"/>
        <v>1215</v>
      </c>
      <c r="G30" s="206">
        <f t="shared" si="4"/>
        <v>1640</v>
      </c>
      <c r="H30" s="206">
        <f t="shared" si="4"/>
        <v>150</v>
      </c>
      <c r="I30" s="206">
        <f t="shared" si="4"/>
        <v>14800</v>
      </c>
      <c r="J30" s="206">
        <f t="shared" si="4"/>
        <v>1500</v>
      </c>
      <c r="K30" s="207">
        <f t="shared" si="4"/>
        <v>16300</v>
      </c>
      <c r="L30" s="208">
        <f t="shared" si="4"/>
        <v>21500</v>
      </c>
      <c r="M30" s="208">
        <f t="shared" si="4"/>
        <v>6245</v>
      </c>
      <c r="N30" s="205">
        <f t="shared" si="4"/>
        <v>33650</v>
      </c>
      <c r="O30" s="206">
        <f t="shared" si="4"/>
        <v>33850</v>
      </c>
      <c r="P30" s="206">
        <f t="shared" si="4"/>
        <v>30550</v>
      </c>
      <c r="Q30" s="209">
        <f t="shared" si="4"/>
        <v>98050</v>
      </c>
      <c r="R30" s="210">
        <f t="shared" si="4"/>
        <v>142095</v>
      </c>
    </row>
    <row r="31" spans="1:18" s="212" customFormat="1" x14ac:dyDescent="0.25">
      <c r="A31" s="211"/>
      <c r="B31" s="213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</row>
  </sheetData>
  <mergeCells count="15">
    <mergeCell ref="A1:R1"/>
    <mergeCell ref="A3:A5"/>
    <mergeCell ref="B3:B5"/>
    <mergeCell ref="C3:K3"/>
    <mergeCell ref="L3:L5"/>
    <mergeCell ref="M3:M5"/>
    <mergeCell ref="N3:Q3"/>
    <mergeCell ref="R3:R5"/>
    <mergeCell ref="C4:I4"/>
    <mergeCell ref="J4:J5"/>
    <mergeCell ref="K4:K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8" sqref="C8:C24"/>
    </sheetView>
  </sheetViews>
  <sheetFormatPr defaultRowHeight="12.75" x14ac:dyDescent="0.2"/>
  <cols>
    <col min="1" max="1" width="4" style="19" customWidth="1"/>
    <col min="2" max="2" width="35.5703125" style="19" customWidth="1"/>
    <col min="3" max="3" width="11.42578125" style="231" customWidth="1"/>
    <col min="4" max="4" width="15.140625" style="231" customWidth="1"/>
    <col min="5" max="5" width="13" style="231" customWidth="1"/>
    <col min="6" max="6" width="14.5703125" style="231" customWidth="1"/>
    <col min="7" max="7" width="14" style="231" customWidth="1"/>
    <col min="8" max="8" width="15.85546875" style="231" customWidth="1"/>
    <col min="9" max="9" width="11" style="231" customWidth="1"/>
    <col min="10" max="10" width="15" style="231" customWidth="1"/>
    <col min="11" max="11" width="15.28515625" style="231" customWidth="1"/>
    <col min="12" max="12" width="10.28515625" style="231" customWidth="1"/>
    <col min="13" max="14" width="14.85546875" style="231" customWidth="1"/>
    <col min="15" max="15" width="11.42578125" style="231" customWidth="1"/>
    <col min="16" max="16" width="13.85546875" style="231" customWidth="1"/>
    <col min="17" max="17" width="9.140625" style="19"/>
    <col min="18" max="18" width="11.28515625" style="19" bestFit="1" customWidth="1"/>
    <col min="19" max="16384" width="9.140625" style="19"/>
  </cols>
  <sheetData>
    <row r="1" spans="1:18" ht="20.25" customHeight="1" x14ac:dyDescent="0.25">
      <c r="C1" s="217" t="s">
        <v>447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18"/>
    </row>
    <row r="2" spans="1:18" ht="17.25" customHeight="1" x14ac:dyDescent="0.2"/>
    <row r="3" spans="1:18" s="233" customFormat="1" ht="17.25" customHeight="1" x14ac:dyDescent="0.2">
      <c r="A3" s="514" t="s">
        <v>0</v>
      </c>
      <c r="B3" s="515" t="s">
        <v>428</v>
      </c>
      <c r="C3" s="535" t="s">
        <v>448</v>
      </c>
      <c r="D3" s="518" t="s">
        <v>429</v>
      </c>
      <c r="E3" s="519"/>
      <c r="F3" s="519"/>
      <c r="G3" s="519"/>
      <c r="H3" s="520"/>
      <c r="I3" s="521" t="s">
        <v>430</v>
      </c>
      <c r="J3" s="521"/>
      <c r="K3" s="521"/>
      <c r="L3" s="521"/>
      <c r="M3" s="521"/>
      <c r="N3" s="521"/>
      <c r="O3" s="521"/>
      <c r="P3" s="521"/>
    </row>
    <row r="4" spans="1:18" s="233" customFormat="1" ht="11.25" x14ac:dyDescent="0.2">
      <c r="A4" s="514"/>
      <c r="B4" s="516"/>
      <c r="C4" s="536"/>
      <c r="D4" s="512" t="s">
        <v>431</v>
      </c>
      <c r="E4" s="513" t="s">
        <v>432</v>
      </c>
      <c r="F4" s="513"/>
      <c r="G4" s="513"/>
      <c r="H4" s="513"/>
      <c r="I4" s="524" t="s">
        <v>95</v>
      </c>
      <c r="J4" s="527" t="s">
        <v>433</v>
      </c>
      <c r="K4" s="528"/>
      <c r="L4" s="529" t="s">
        <v>431</v>
      </c>
      <c r="M4" s="530"/>
      <c r="N4" s="530"/>
      <c r="O4" s="530"/>
      <c r="P4" s="531"/>
    </row>
    <row r="5" spans="1:18" s="235" customFormat="1" ht="51" customHeight="1" x14ac:dyDescent="0.25">
      <c r="A5" s="514"/>
      <c r="B5" s="516"/>
      <c r="C5" s="536"/>
      <c r="D5" s="512"/>
      <c r="E5" s="513"/>
      <c r="F5" s="513"/>
      <c r="G5" s="513"/>
      <c r="H5" s="513"/>
      <c r="I5" s="525"/>
      <c r="J5" s="234" t="s">
        <v>434</v>
      </c>
      <c r="K5" s="234" t="s">
        <v>432</v>
      </c>
      <c r="L5" s="532"/>
      <c r="M5" s="533"/>
      <c r="N5" s="533"/>
      <c r="O5" s="533"/>
      <c r="P5" s="534"/>
    </row>
    <row r="6" spans="1:18" s="233" customFormat="1" ht="24.75" customHeight="1" x14ac:dyDescent="0.2">
      <c r="A6" s="514"/>
      <c r="B6" s="516"/>
      <c r="C6" s="536"/>
      <c r="D6" s="522" t="s">
        <v>435</v>
      </c>
      <c r="E6" s="522" t="s">
        <v>436</v>
      </c>
      <c r="F6" s="512" t="s">
        <v>435</v>
      </c>
      <c r="G6" s="512" t="s">
        <v>437</v>
      </c>
      <c r="H6" s="512"/>
      <c r="I6" s="525"/>
      <c r="J6" s="511" t="s">
        <v>435</v>
      </c>
      <c r="K6" s="511" t="s">
        <v>435</v>
      </c>
      <c r="L6" s="510" t="s">
        <v>92</v>
      </c>
      <c r="M6" s="511" t="s">
        <v>438</v>
      </c>
      <c r="N6" s="511" t="s">
        <v>435</v>
      </c>
      <c r="O6" s="511" t="s">
        <v>449</v>
      </c>
      <c r="P6" s="522" t="s">
        <v>436</v>
      </c>
    </row>
    <row r="7" spans="1:18" s="233" customFormat="1" ht="53.25" customHeight="1" x14ac:dyDescent="0.2">
      <c r="A7" s="514"/>
      <c r="B7" s="517"/>
      <c r="C7" s="537"/>
      <c r="D7" s="523"/>
      <c r="E7" s="523"/>
      <c r="F7" s="512"/>
      <c r="G7" s="236" t="s">
        <v>439</v>
      </c>
      <c r="H7" s="236" t="s">
        <v>440</v>
      </c>
      <c r="I7" s="526"/>
      <c r="J7" s="511"/>
      <c r="K7" s="511"/>
      <c r="L7" s="510"/>
      <c r="M7" s="511"/>
      <c r="N7" s="511"/>
      <c r="O7" s="511"/>
      <c r="P7" s="523"/>
    </row>
    <row r="8" spans="1:18" x14ac:dyDescent="0.2">
      <c r="A8" s="219">
        <v>1</v>
      </c>
      <c r="B8" s="220" t="s">
        <v>139</v>
      </c>
      <c r="C8" s="221">
        <f>D8+E8+F8+G8+H8+I8</f>
        <v>12911</v>
      </c>
      <c r="D8" s="222"/>
      <c r="E8" s="222"/>
      <c r="F8" s="222">
        <v>400</v>
      </c>
      <c r="G8" s="223">
        <v>25</v>
      </c>
      <c r="H8" s="223">
        <v>10</v>
      </c>
      <c r="I8" s="224">
        <f>M8+N8+O8+K8+J8+P8</f>
        <v>12476</v>
      </c>
      <c r="J8" s="224">
        <v>500</v>
      </c>
      <c r="K8" s="224">
        <v>2350</v>
      </c>
      <c r="L8" s="224">
        <f>M8+N8+O8+P8</f>
        <v>9626</v>
      </c>
      <c r="M8" s="222"/>
      <c r="N8" s="223">
        <f>5559-306</f>
        <v>5253</v>
      </c>
      <c r="O8" s="222">
        <v>3653</v>
      </c>
      <c r="P8" s="222">
        <v>720</v>
      </c>
      <c r="R8" s="225"/>
    </row>
    <row r="9" spans="1:18" x14ac:dyDescent="0.2">
      <c r="A9" s="219">
        <v>2</v>
      </c>
      <c r="B9" s="226" t="s">
        <v>88</v>
      </c>
      <c r="C9" s="221">
        <f t="shared" ref="C9:C23" si="0">D9+E9+F9+G9+H9+I9</f>
        <v>2376</v>
      </c>
      <c r="D9" s="222"/>
      <c r="E9" s="222"/>
      <c r="F9" s="222"/>
      <c r="G9" s="223"/>
      <c r="H9" s="223"/>
      <c r="I9" s="224">
        <f>M9+N9+O9+K9+J9+P9</f>
        <v>2376</v>
      </c>
      <c r="J9" s="224"/>
      <c r="K9" s="224"/>
      <c r="L9" s="224">
        <f t="shared" ref="L9:L20" si="1">M9+N9+O9+P9</f>
        <v>2376</v>
      </c>
      <c r="M9" s="222"/>
      <c r="N9" s="223">
        <v>625</v>
      </c>
      <c r="O9" s="222">
        <v>311</v>
      </c>
      <c r="P9" s="222">
        <v>1440</v>
      </c>
      <c r="R9" s="225"/>
    </row>
    <row r="10" spans="1:18" x14ac:dyDescent="0.2">
      <c r="A10" s="219">
        <v>3</v>
      </c>
      <c r="B10" s="220" t="s">
        <v>441</v>
      </c>
      <c r="C10" s="221">
        <f t="shared" si="0"/>
        <v>102542</v>
      </c>
      <c r="D10" s="222">
        <v>886</v>
      </c>
      <c r="E10" s="222"/>
      <c r="F10" s="222"/>
      <c r="G10" s="223"/>
      <c r="H10" s="223"/>
      <c r="I10" s="224">
        <f>M10+N10+O10+K10+J10</f>
        <v>101656</v>
      </c>
      <c r="J10" s="224"/>
      <c r="K10" s="224"/>
      <c r="L10" s="224">
        <f t="shared" si="1"/>
        <v>101656</v>
      </c>
      <c r="M10" s="222"/>
      <c r="N10" s="223">
        <f>95378-312</f>
        <v>95066</v>
      </c>
      <c r="O10" s="222">
        <v>6590</v>
      </c>
      <c r="P10" s="222"/>
      <c r="R10" s="225"/>
    </row>
    <row r="11" spans="1:18" x14ac:dyDescent="0.2">
      <c r="A11" s="219">
        <v>4</v>
      </c>
      <c r="B11" s="226" t="s">
        <v>157</v>
      </c>
      <c r="C11" s="221">
        <f t="shared" si="0"/>
        <v>38787</v>
      </c>
      <c r="D11" s="222">
        <v>100</v>
      </c>
      <c r="E11" s="222"/>
      <c r="F11" s="222"/>
      <c r="G11" s="223"/>
      <c r="H11" s="223"/>
      <c r="I11" s="224">
        <f>M11+N11+O11+K11+J11</f>
        <v>38687</v>
      </c>
      <c r="J11" s="224"/>
      <c r="K11" s="224"/>
      <c r="L11" s="224">
        <f t="shared" si="1"/>
        <v>38687</v>
      </c>
      <c r="M11" s="222">
        <v>7427</v>
      </c>
      <c r="N11" s="223">
        <v>25575</v>
      </c>
      <c r="O11" s="222">
        <v>5685</v>
      </c>
      <c r="P11" s="222"/>
      <c r="R11" s="225"/>
    </row>
    <row r="12" spans="1:18" x14ac:dyDescent="0.2">
      <c r="A12" s="219">
        <v>5</v>
      </c>
      <c r="B12" s="226" t="s">
        <v>442</v>
      </c>
      <c r="C12" s="221">
        <f t="shared" si="0"/>
        <v>21102</v>
      </c>
      <c r="D12" s="222"/>
      <c r="E12" s="222"/>
      <c r="F12" s="222"/>
      <c r="G12" s="223"/>
      <c r="H12" s="223"/>
      <c r="I12" s="224">
        <f>M12+N12+O12+K12+J12</f>
        <v>21102</v>
      </c>
      <c r="J12" s="224"/>
      <c r="K12" s="224"/>
      <c r="L12" s="224">
        <f t="shared" si="1"/>
        <v>21102</v>
      </c>
      <c r="M12" s="222"/>
      <c r="N12" s="223">
        <f>15811-156</f>
        <v>15655</v>
      </c>
      <c r="O12" s="222">
        <v>5447</v>
      </c>
      <c r="P12" s="222"/>
      <c r="R12" s="225"/>
    </row>
    <row r="13" spans="1:18" x14ac:dyDescent="0.2">
      <c r="A13" s="219">
        <v>6</v>
      </c>
      <c r="B13" s="226" t="s">
        <v>443</v>
      </c>
      <c r="C13" s="221">
        <f t="shared" si="0"/>
        <v>9571</v>
      </c>
      <c r="D13" s="222"/>
      <c r="E13" s="222"/>
      <c r="F13" s="222"/>
      <c r="G13" s="223"/>
      <c r="H13" s="223"/>
      <c r="I13" s="224">
        <f>M13+N13+O13+K13+J13</f>
        <v>9571</v>
      </c>
      <c r="J13" s="224"/>
      <c r="K13" s="224"/>
      <c r="L13" s="224">
        <f t="shared" si="1"/>
        <v>9571</v>
      </c>
      <c r="M13" s="222"/>
      <c r="N13" s="223">
        <f>9142-312</f>
        <v>8830</v>
      </c>
      <c r="O13" s="222">
        <v>741</v>
      </c>
      <c r="P13" s="222"/>
      <c r="R13" s="225"/>
    </row>
    <row r="14" spans="1:18" x14ac:dyDescent="0.2">
      <c r="A14" s="219">
        <v>7</v>
      </c>
      <c r="B14" s="226" t="s">
        <v>444</v>
      </c>
      <c r="C14" s="221">
        <f t="shared" si="0"/>
        <v>3738</v>
      </c>
      <c r="D14" s="222"/>
      <c r="E14" s="222"/>
      <c r="F14" s="222"/>
      <c r="G14" s="223"/>
      <c r="H14" s="223"/>
      <c r="I14" s="224">
        <f>M14+N14+O14+K14+J14</f>
        <v>3738</v>
      </c>
      <c r="J14" s="224"/>
      <c r="K14" s="224"/>
      <c r="L14" s="224">
        <f t="shared" si="1"/>
        <v>3738</v>
      </c>
      <c r="M14" s="222"/>
      <c r="N14" s="223">
        <f>2496+1242</f>
        <v>3738</v>
      </c>
      <c r="O14" s="222"/>
      <c r="P14" s="222"/>
      <c r="R14" s="225"/>
    </row>
    <row r="15" spans="1:18" x14ac:dyDescent="0.2">
      <c r="A15" s="219">
        <v>8</v>
      </c>
      <c r="B15" s="226" t="s">
        <v>152</v>
      </c>
      <c r="C15" s="221">
        <f t="shared" si="0"/>
        <v>85</v>
      </c>
      <c r="D15" s="222"/>
      <c r="E15" s="222">
        <v>20</v>
      </c>
      <c r="F15" s="222"/>
      <c r="G15" s="223">
        <v>65</v>
      </c>
      <c r="H15" s="223"/>
      <c r="I15" s="224">
        <f t="shared" ref="I15:I20" si="2">M15+N15+O15+K15+J15</f>
        <v>0</v>
      </c>
      <c r="J15" s="224"/>
      <c r="K15" s="224"/>
      <c r="L15" s="224">
        <f t="shared" si="1"/>
        <v>0</v>
      </c>
      <c r="M15" s="222"/>
      <c r="N15" s="223"/>
      <c r="O15" s="222"/>
      <c r="P15" s="222"/>
      <c r="R15" s="225"/>
    </row>
    <row r="16" spans="1:18" x14ac:dyDescent="0.2">
      <c r="A16" s="219">
        <v>9</v>
      </c>
      <c r="B16" s="226" t="s">
        <v>89</v>
      </c>
      <c r="C16" s="221">
        <f t="shared" si="0"/>
        <v>1</v>
      </c>
      <c r="D16" s="222"/>
      <c r="E16" s="222"/>
      <c r="F16" s="222"/>
      <c r="G16" s="223">
        <v>1</v>
      </c>
      <c r="H16" s="223"/>
      <c r="I16" s="224">
        <f t="shared" si="2"/>
        <v>0</v>
      </c>
      <c r="J16" s="224"/>
      <c r="K16" s="224"/>
      <c r="L16" s="224">
        <f t="shared" si="1"/>
        <v>0</v>
      </c>
      <c r="M16" s="222"/>
      <c r="N16" s="223"/>
      <c r="O16" s="222"/>
      <c r="P16" s="222"/>
      <c r="R16" s="225"/>
    </row>
    <row r="17" spans="1:18" x14ac:dyDescent="0.2">
      <c r="A17" s="219">
        <v>10</v>
      </c>
      <c r="B17" s="226" t="s">
        <v>183</v>
      </c>
      <c r="C17" s="221">
        <f t="shared" si="0"/>
        <v>20</v>
      </c>
      <c r="D17" s="222"/>
      <c r="E17" s="222"/>
      <c r="F17" s="222"/>
      <c r="G17" s="223">
        <v>20</v>
      </c>
      <c r="H17" s="223"/>
      <c r="I17" s="224">
        <f t="shared" si="2"/>
        <v>0</v>
      </c>
      <c r="J17" s="224"/>
      <c r="K17" s="224"/>
      <c r="L17" s="224">
        <f t="shared" si="1"/>
        <v>0</v>
      </c>
      <c r="M17" s="222"/>
      <c r="N17" s="223"/>
      <c r="O17" s="222"/>
      <c r="P17" s="222"/>
      <c r="R17" s="225"/>
    </row>
    <row r="18" spans="1:18" x14ac:dyDescent="0.2">
      <c r="A18" s="219">
        <v>11</v>
      </c>
      <c r="B18" s="226" t="s">
        <v>77</v>
      </c>
      <c r="C18" s="221">
        <f t="shared" si="0"/>
        <v>119</v>
      </c>
      <c r="D18" s="222"/>
      <c r="E18" s="222"/>
      <c r="F18" s="222"/>
      <c r="G18" s="223">
        <v>119</v>
      </c>
      <c r="H18" s="223"/>
      <c r="I18" s="224">
        <f t="shared" si="2"/>
        <v>0</v>
      </c>
      <c r="J18" s="224"/>
      <c r="K18" s="224"/>
      <c r="L18" s="224">
        <f t="shared" si="1"/>
        <v>0</v>
      </c>
      <c r="M18" s="222"/>
      <c r="N18" s="223"/>
      <c r="O18" s="222"/>
      <c r="P18" s="222"/>
      <c r="R18" s="225"/>
    </row>
    <row r="19" spans="1:18" x14ac:dyDescent="0.2">
      <c r="A19" s="219">
        <v>12</v>
      </c>
      <c r="B19" s="226" t="s">
        <v>184</v>
      </c>
      <c r="C19" s="221">
        <f t="shared" si="0"/>
        <v>20</v>
      </c>
      <c r="D19" s="222"/>
      <c r="E19" s="222"/>
      <c r="F19" s="222"/>
      <c r="G19" s="223">
        <v>20</v>
      </c>
      <c r="H19" s="223"/>
      <c r="I19" s="224">
        <f t="shared" si="2"/>
        <v>0</v>
      </c>
      <c r="J19" s="224"/>
      <c r="K19" s="224"/>
      <c r="L19" s="224">
        <f t="shared" si="1"/>
        <v>0</v>
      </c>
      <c r="M19" s="222"/>
      <c r="N19" s="222"/>
      <c r="O19" s="222"/>
      <c r="P19" s="222"/>
      <c r="R19" s="225"/>
    </row>
    <row r="20" spans="1:18" x14ac:dyDescent="0.2">
      <c r="A20" s="219">
        <v>13</v>
      </c>
      <c r="B20" s="220" t="s">
        <v>179</v>
      </c>
      <c r="C20" s="221">
        <f t="shared" si="0"/>
        <v>50</v>
      </c>
      <c r="D20" s="222"/>
      <c r="E20" s="222"/>
      <c r="F20" s="222">
        <v>50</v>
      </c>
      <c r="G20" s="223"/>
      <c r="H20" s="223"/>
      <c r="I20" s="224">
        <f t="shared" si="2"/>
        <v>0</v>
      </c>
      <c r="J20" s="224"/>
      <c r="K20" s="224"/>
      <c r="L20" s="224">
        <f t="shared" si="1"/>
        <v>0</v>
      </c>
      <c r="M20" s="222"/>
      <c r="N20" s="222"/>
      <c r="O20" s="222"/>
      <c r="P20" s="222"/>
      <c r="R20" s="225"/>
    </row>
    <row r="21" spans="1:18" x14ac:dyDescent="0.2">
      <c r="A21" s="219">
        <v>14</v>
      </c>
      <c r="B21" s="220" t="s">
        <v>87</v>
      </c>
      <c r="C21" s="221">
        <f t="shared" si="0"/>
        <v>30</v>
      </c>
      <c r="D21" s="222"/>
      <c r="E21" s="222"/>
      <c r="F21" s="222"/>
      <c r="G21" s="222">
        <v>30</v>
      </c>
      <c r="H21" s="222"/>
      <c r="I21" s="224"/>
      <c r="J21" s="224"/>
      <c r="K21" s="224"/>
      <c r="L21" s="224"/>
      <c r="M21" s="222"/>
      <c r="N21" s="222"/>
      <c r="O21" s="222"/>
      <c r="P21" s="222"/>
      <c r="R21" s="225"/>
    </row>
    <row r="22" spans="1:18" s="1" customFormat="1" x14ac:dyDescent="0.2">
      <c r="A22" s="410"/>
      <c r="B22" s="411" t="s">
        <v>146</v>
      </c>
      <c r="C22" s="412">
        <f>SUM(C8:C21)</f>
        <v>191352</v>
      </c>
      <c r="D22" s="412">
        <f>D13+D12+D11+D10+D9+D8+D15+D16+D17+D18+D19+D20</f>
        <v>986</v>
      </c>
      <c r="E22" s="412">
        <f>E13+E12+E11+E10+E9+E8+E15+E16+E17+E18+E19+E20</f>
        <v>20</v>
      </c>
      <c r="F22" s="412">
        <f>F13+F12+F11+F10+F9+F8+F15+F16+F17+F18+F19+F20</f>
        <v>450</v>
      </c>
      <c r="G22" s="412">
        <f>G13+G12+G11+G10+G9+G8+G15+G16+G17+G18+G19+G20+G21</f>
        <v>280</v>
      </c>
      <c r="H22" s="412">
        <f>H13+H12+H11+H10+H9+H8+H15+H16+H17+H18+H19+H20</f>
        <v>10</v>
      </c>
      <c r="I22" s="412">
        <f>SUM(I8:I21)</f>
        <v>189606</v>
      </c>
      <c r="J22" s="412">
        <f t="shared" ref="J22:P22" si="3">SUM(J8:J13)</f>
        <v>500</v>
      </c>
      <c r="K22" s="412">
        <f t="shared" si="3"/>
        <v>2350</v>
      </c>
      <c r="L22" s="412">
        <f>SUM(L8:L20)</f>
        <v>186756</v>
      </c>
      <c r="M22" s="412">
        <f t="shared" si="3"/>
        <v>7427</v>
      </c>
      <c r="N22" s="412">
        <f>SUM(N8:N14)</f>
        <v>154742</v>
      </c>
      <c r="O22" s="412">
        <f t="shared" si="3"/>
        <v>22427</v>
      </c>
      <c r="P22" s="412">
        <f t="shared" si="3"/>
        <v>2160</v>
      </c>
      <c r="R22" s="413"/>
    </row>
    <row r="23" spans="1:18" s="1" customFormat="1" ht="18" customHeight="1" x14ac:dyDescent="0.2">
      <c r="A23" s="414"/>
      <c r="B23" s="415" t="s">
        <v>445</v>
      </c>
      <c r="C23" s="416">
        <f t="shared" si="0"/>
        <v>18630</v>
      </c>
      <c r="D23" s="417"/>
      <c r="E23" s="417"/>
      <c r="F23" s="417"/>
      <c r="G23" s="417"/>
      <c r="H23" s="417"/>
      <c r="I23" s="417">
        <f>M23+N23+O23+K23+J23</f>
        <v>18630</v>
      </c>
      <c r="J23" s="417"/>
      <c r="K23" s="417"/>
      <c r="L23" s="417">
        <f>M23+N23+O23+P23</f>
        <v>18630</v>
      </c>
      <c r="M23" s="223"/>
      <c r="N23" s="223">
        <f>18786-156</f>
        <v>18630</v>
      </c>
      <c r="O23" s="223"/>
      <c r="P23" s="223"/>
      <c r="R23" s="413"/>
    </row>
    <row r="24" spans="1:18" s="1" customFormat="1" ht="25.5" x14ac:dyDescent="0.2">
      <c r="A24" s="414"/>
      <c r="B24" s="418" t="s">
        <v>446</v>
      </c>
      <c r="C24" s="416">
        <f>C22+C23</f>
        <v>209982</v>
      </c>
      <c r="D24" s="416">
        <f t="shared" ref="D24:J24" si="4">D23+D22</f>
        <v>986</v>
      </c>
      <c r="E24" s="416">
        <f t="shared" si="4"/>
        <v>20</v>
      </c>
      <c r="F24" s="416">
        <f t="shared" si="4"/>
        <v>450</v>
      </c>
      <c r="G24" s="416">
        <f t="shared" si="4"/>
        <v>280</v>
      </c>
      <c r="H24" s="416">
        <f t="shared" si="4"/>
        <v>10</v>
      </c>
      <c r="I24" s="416">
        <f t="shared" si="4"/>
        <v>208236</v>
      </c>
      <c r="J24" s="416">
        <f t="shared" si="4"/>
        <v>500</v>
      </c>
      <c r="K24" s="416">
        <f>K22+K23</f>
        <v>2350</v>
      </c>
      <c r="L24" s="416">
        <f>M24+N24+O24+P24</f>
        <v>205386</v>
      </c>
      <c r="M24" s="416">
        <f>M22+M23</f>
        <v>7427</v>
      </c>
      <c r="N24" s="416">
        <f>N22+N23</f>
        <v>173372</v>
      </c>
      <c r="O24" s="416">
        <f>O22+O23</f>
        <v>22427</v>
      </c>
      <c r="P24" s="416">
        <f>P22+P23</f>
        <v>2160</v>
      </c>
      <c r="R24" s="413"/>
    </row>
    <row r="26" spans="1:18" s="227" customFormat="1" x14ac:dyDescent="0.2"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  <row r="27" spans="1:18" x14ac:dyDescent="0.2">
      <c r="B27" s="230"/>
    </row>
  </sheetData>
  <mergeCells count="21">
    <mergeCell ref="A3:A7"/>
    <mergeCell ref="B3:B7"/>
    <mergeCell ref="D3:H3"/>
    <mergeCell ref="I3:P3"/>
    <mergeCell ref="O6:O7"/>
    <mergeCell ref="P6:P7"/>
    <mergeCell ref="D6:D7"/>
    <mergeCell ref="E6:E7"/>
    <mergeCell ref="F6:F7"/>
    <mergeCell ref="G6:H6"/>
    <mergeCell ref="J6:J7"/>
    <mergeCell ref="I4:I7"/>
    <mergeCell ref="J4:K4"/>
    <mergeCell ref="L4:P5"/>
    <mergeCell ref="C3:C7"/>
    <mergeCell ref="K6:K7"/>
    <mergeCell ref="L6:L7"/>
    <mergeCell ref="M6:M7"/>
    <mergeCell ref="N6:N7"/>
    <mergeCell ref="D4:D5"/>
    <mergeCell ref="E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72"/>
  <sheetViews>
    <sheetView zoomScaleSheetLayoutView="100" workbookViewId="0">
      <pane xSplit="2" ySplit="6" topLeftCell="C157" activePane="bottomRight" state="frozen"/>
      <selection pane="topRight" activeCell="C1" sqref="C1"/>
      <selection pane="bottomLeft" activeCell="A7" sqref="A7"/>
      <selection pane="bottomRight" activeCell="B178" sqref="B178"/>
    </sheetView>
  </sheetViews>
  <sheetFormatPr defaultRowHeight="12.75" x14ac:dyDescent="0.2"/>
  <cols>
    <col min="1" max="1" width="5" style="284" customWidth="1"/>
    <col min="2" max="2" width="44.5703125" style="284" customWidth="1"/>
    <col min="3" max="3" width="11" style="284" customWidth="1"/>
    <col min="4" max="5" width="7.85546875" style="315" customWidth="1"/>
    <col min="6" max="6" width="12.42578125" style="315" customWidth="1"/>
    <col min="7" max="7" width="11.28515625" style="315" customWidth="1"/>
    <col min="8" max="8" width="14.7109375" style="315" customWidth="1"/>
    <col min="9" max="9" width="10.140625" style="315" customWidth="1"/>
    <col min="10" max="10" width="13.5703125" style="315" customWidth="1"/>
    <col min="11" max="11" width="14" style="315" customWidth="1"/>
    <col min="12" max="16384" width="9.140625" style="284"/>
  </cols>
  <sheetData>
    <row r="1" spans="1:11" ht="24.75" customHeight="1" x14ac:dyDescent="0.2">
      <c r="A1" s="539" t="s">
        <v>512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</row>
    <row r="2" spans="1:11" ht="9.75" customHeight="1" x14ac:dyDescent="0.2">
      <c r="A2" s="285"/>
      <c r="B2" s="285"/>
      <c r="C2" s="285"/>
      <c r="D2" s="286"/>
      <c r="E2" s="286"/>
      <c r="F2" s="286"/>
      <c r="G2" s="286"/>
      <c r="H2" s="286"/>
      <c r="I2" s="286"/>
      <c r="J2" s="286"/>
      <c r="K2" s="286"/>
    </row>
    <row r="3" spans="1:11" s="287" customFormat="1" ht="18" customHeight="1" x14ac:dyDescent="0.2">
      <c r="A3" s="541" t="s">
        <v>0</v>
      </c>
      <c r="B3" s="541" t="s">
        <v>94</v>
      </c>
      <c r="C3" s="541" t="s">
        <v>513</v>
      </c>
      <c r="D3" s="544" t="s">
        <v>514</v>
      </c>
      <c r="E3" s="545"/>
      <c r="F3" s="545"/>
      <c r="G3" s="545"/>
      <c r="H3" s="545"/>
      <c r="I3" s="545"/>
      <c r="J3" s="545"/>
      <c r="K3" s="546"/>
    </row>
    <row r="4" spans="1:11" s="287" customFormat="1" ht="32.25" customHeight="1" x14ac:dyDescent="0.2">
      <c r="A4" s="542"/>
      <c r="B4" s="542"/>
      <c r="C4" s="542"/>
      <c r="D4" s="547" t="s">
        <v>515</v>
      </c>
      <c r="E4" s="547" t="s">
        <v>516</v>
      </c>
      <c r="F4" s="547" t="s">
        <v>517</v>
      </c>
      <c r="G4" s="547" t="s">
        <v>518</v>
      </c>
      <c r="H4" s="547" t="s">
        <v>519</v>
      </c>
      <c r="I4" s="538" t="s">
        <v>520</v>
      </c>
      <c r="J4" s="538"/>
      <c r="K4" s="538"/>
    </row>
    <row r="5" spans="1:11" s="287" customFormat="1" ht="15" customHeight="1" x14ac:dyDescent="0.2">
      <c r="A5" s="542"/>
      <c r="B5" s="542"/>
      <c r="C5" s="542"/>
      <c r="D5" s="548"/>
      <c r="E5" s="548"/>
      <c r="F5" s="548"/>
      <c r="G5" s="548"/>
      <c r="H5" s="548"/>
      <c r="I5" s="538" t="s">
        <v>95</v>
      </c>
      <c r="J5" s="538" t="s">
        <v>96</v>
      </c>
      <c r="K5" s="538"/>
    </row>
    <row r="6" spans="1:11" s="287" customFormat="1" ht="43.5" customHeight="1" x14ac:dyDescent="0.2">
      <c r="A6" s="543"/>
      <c r="B6" s="543"/>
      <c r="C6" s="543"/>
      <c r="D6" s="549"/>
      <c r="E6" s="549"/>
      <c r="F6" s="549"/>
      <c r="G6" s="549"/>
      <c r="H6" s="549"/>
      <c r="I6" s="538"/>
      <c r="J6" s="288" t="s">
        <v>97</v>
      </c>
      <c r="K6" s="288" t="s">
        <v>98</v>
      </c>
    </row>
    <row r="7" spans="1:11" ht="12.75" customHeight="1" x14ac:dyDescent="0.2">
      <c r="A7" s="289">
        <v>1</v>
      </c>
      <c r="B7" s="290" t="s">
        <v>13</v>
      </c>
      <c r="C7" s="291">
        <v>87911</v>
      </c>
      <c r="D7" s="291">
        <v>3875</v>
      </c>
      <c r="E7" s="291"/>
      <c r="F7" s="291"/>
      <c r="G7" s="291"/>
      <c r="H7" s="291"/>
      <c r="I7" s="291">
        <f>J7+K7</f>
        <v>84036</v>
      </c>
      <c r="J7" s="291">
        <v>20001</v>
      </c>
      <c r="K7" s="291">
        <v>64035</v>
      </c>
    </row>
    <row r="8" spans="1:11" ht="15.75" customHeight="1" x14ac:dyDescent="0.2">
      <c r="A8" s="289">
        <v>2</v>
      </c>
      <c r="B8" s="290" t="s">
        <v>99</v>
      </c>
      <c r="C8" s="291">
        <v>14751</v>
      </c>
      <c r="D8" s="291"/>
      <c r="E8" s="291"/>
      <c r="F8" s="291">
        <v>14751</v>
      </c>
      <c r="G8" s="291"/>
      <c r="H8" s="291"/>
      <c r="I8" s="291">
        <f t="shared" ref="I8:I71" si="0">J8+K8</f>
        <v>0</v>
      </c>
      <c r="J8" s="291">
        <v>0</v>
      </c>
      <c r="K8" s="291">
        <v>0</v>
      </c>
    </row>
    <row r="9" spans="1:11" ht="13.5" customHeight="1" x14ac:dyDescent="0.2">
      <c r="A9" s="289">
        <v>3</v>
      </c>
      <c r="B9" s="292" t="s">
        <v>22</v>
      </c>
      <c r="C9" s="291">
        <v>88722</v>
      </c>
      <c r="D9" s="291"/>
      <c r="E9" s="291"/>
      <c r="F9" s="291"/>
      <c r="G9" s="291"/>
      <c r="H9" s="291"/>
      <c r="I9" s="291">
        <f t="shared" si="0"/>
        <v>88722</v>
      </c>
      <c r="J9" s="291">
        <v>21116</v>
      </c>
      <c r="K9" s="291">
        <v>67606</v>
      </c>
    </row>
    <row r="10" spans="1:11" ht="12.75" customHeight="1" x14ac:dyDescent="0.2">
      <c r="A10" s="289">
        <v>4</v>
      </c>
      <c r="B10" s="292" t="s">
        <v>23</v>
      </c>
      <c r="C10" s="291">
        <v>8940</v>
      </c>
      <c r="D10" s="291"/>
      <c r="E10" s="291"/>
      <c r="F10" s="291">
        <v>8940</v>
      </c>
      <c r="G10" s="291"/>
      <c r="H10" s="291"/>
      <c r="I10" s="291">
        <f t="shared" si="0"/>
        <v>0</v>
      </c>
      <c r="J10" s="291">
        <v>0</v>
      </c>
      <c r="K10" s="291">
        <v>0</v>
      </c>
    </row>
    <row r="11" spans="1:11" ht="13.5" customHeight="1" x14ac:dyDescent="0.2">
      <c r="A11" s="550">
        <v>5</v>
      </c>
      <c r="B11" s="293" t="s">
        <v>100</v>
      </c>
      <c r="C11" s="291">
        <f>236092-465</f>
        <v>235627</v>
      </c>
      <c r="D11" s="291"/>
      <c r="E11" s="291">
        <v>6481</v>
      </c>
      <c r="F11" s="291"/>
      <c r="G11" s="291"/>
      <c r="H11" s="291"/>
      <c r="I11" s="291">
        <f t="shared" si="0"/>
        <v>229146</v>
      </c>
      <c r="J11" s="291">
        <f>62913-465</f>
        <v>62448</v>
      </c>
      <c r="K11" s="291">
        <v>166698</v>
      </c>
    </row>
    <row r="12" spans="1:11" s="296" customFormat="1" ht="37.5" customHeight="1" x14ac:dyDescent="0.25">
      <c r="A12" s="551"/>
      <c r="B12" s="294" t="s">
        <v>101</v>
      </c>
      <c r="C12" s="291">
        <v>30732</v>
      </c>
      <c r="D12" s="295"/>
      <c r="E12" s="295"/>
      <c r="F12" s="295"/>
      <c r="G12" s="295"/>
      <c r="H12" s="295"/>
      <c r="I12" s="295">
        <f t="shared" si="0"/>
        <v>30732</v>
      </c>
      <c r="J12" s="291">
        <v>8359</v>
      </c>
      <c r="K12" s="291">
        <v>22373</v>
      </c>
    </row>
    <row r="13" spans="1:11" ht="15" customHeight="1" x14ac:dyDescent="0.2">
      <c r="A13" s="289">
        <v>6</v>
      </c>
      <c r="B13" s="292" t="s">
        <v>53</v>
      </c>
      <c r="C13" s="291">
        <v>74709</v>
      </c>
      <c r="D13" s="291"/>
      <c r="E13" s="291"/>
      <c r="F13" s="291"/>
      <c r="G13" s="291"/>
      <c r="H13" s="291"/>
      <c r="I13" s="291">
        <f t="shared" si="0"/>
        <v>74709</v>
      </c>
      <c r="J13" s="291">
        <v>23085</v>
      </c>
      <c r="K13" s="291">
        <v>51624</v>
      </c>
    </row>
    <row r="14" spans="1:11" ht="12.75" customHeight="1" x14ac:dyDescent="0.2">
      <c r="A14" s="289">
        <v>7</v>
      </c>
      <c r="B14" s="292" t="s">
        <v>4</v>
      </c>
      <c r="C14" s="291">
        <v>32964</v>
      </c>
      <c r="D14" s="291"/>
      <c r="E14" s="291"/>
      <c r="F14" s="291"/>
      <c r="G14" s="291"/>
      <c r="H14" s="291"/>
      <c r="I14" s="291">
        <f t="shared" si="0"/>
        <v>32964</v>
      </c>
      <c r="J14" s="291">
        <v>7219</v>
      </c>
      <c r="K14" s="291">
        <v>25745</v>
      </c>
    </row>
    <row r="15" spans="1:11" ht="12.75" customHeight="1" x14ac:dyDescent="0.2">
      <c r="A15" s="289">
        <v>8</v>
      </c>
      <c r="B15" s="292" t="s">
        <v>8</v>
      </c>
      <c r="C15" s="291">
        <v>33033</v>
      </c>
      <c r="D15" s="291"/>
      <c r="E15" s="291"/>
      <c r="F15" s="291"/>
      <c r="G15" s="291"/>
      <c r="H15" s="291"/>
      <c r="I15" s="291">
        <f t="shared" si="0"/>
        <v>33033</v>
      </c>
      <c r="J15" s="291">
        <v>6937</v>
      </c>
      <c r="K15" s="291">
        <v>26096</v>
      </c>
    </row>
    <row r="16" spans="1:11" ht="12.75" customHeight="1" x14ac:dyDescent="0.2">
      <c r="A16" s="289">
        <v>9</v>
      </c>
      <c r="B16" s="292" t="s">
        <v>17</v>
      </c>
      <c r="C16" s="291">
        <v>36711</v>
      </c>
      <c r="D16" s="291"/>
      <c r="E16" s="291"/>
      <c r="F16" s="291"/>
      <c r="G16" s="291"/>
      <c r="H16" s="291"/>
      <c r="I16" s="291">
        <f t="shared" si="0"/>
        <v>36711</v>
      </c>
      <c r="J16" s="291">
        <v>7856</v>
      </c>
      <c r="K16" s="291">
        <v>28855</v>
      </c>
    </row>
    <row r="17" spans="1:11" ht="12.75" customHeight="1" x14ac:dyDescent="0.2">
      <c r="A17" s="289">
        <v>10</v>
      </c>
      <c r="B17" s="292" t="s">
        <v>45</v>
      </c>
      <c r="C17" s="291">
        <v>39393</v>
      </c>
      <c r="D17" s="291"/>
      <c r="E17" s="291"/>
      <c r="F17" s="291"/>
      <c r="G17" s="291"/>
      <c r="H17" s="291"/>
      <c r="I17" s="291">
        <f t="shared" si="0"/>
        <v>39393</v>
      </c>
      <c r="J17" s="291">
        <v>9179</v>
      </c>
      <c r="K17" s="291">
        <v>30214</v>
      </c>
    </row>
    <row r="18" spans="1:11" ht="13.5" customHeight="1" x14ac:dyDescent="0.2">
      <c r="A18" s="289">
        <v>11</v>
      </c>
      <c r="B18" s="293" t="s">
        <v>30</v>
      </c>
      <c r="C18" s="291">
        <v>41195</v>
      </c>
      <c r="D18" s="291"/>
      <c r="E18" s="291"/>
      <c r="F18" s="291"/>
      <c r="G18" s="291"/>
      <c r="H18" s="291"/>
      <c r="I18" s="291">
        <f t="shared" si="0"/>
        <v>41195</v>
      </c>
      <c r="J18" s="291">
        <v>14253</v>
      </c>
      <c r="K18" s="291">
        <v>26942</v>
      </c>
    </row>
    <row r="19" spans="1:11" ht="15" customHeight="1" x14ac:dyDescent="0.2">
      <c r="A19" s="289">
        <v>12</v>
      </c>
      <c r="B19" s="292" t="s">
        <v>31</v>
      </c>
      <c r="C19" s="291">
        <v>37749</v>
      </c>
      <c r="D19" s="291"/>
      <c r="E19" s="291"/>
      <c r="F19" s="291"/>
      <c r="G19" s="291"/>
      <c r="H19" s="291"/>
      <c r="I19" s="291">
        <f t="shared" si="0"/>
        <v>37749</v>
      </c>
      <c r="J19" s="291">
        <v>9060</v>
      </c>
      <c r="K19" s="291">
        <v>28689</v>
      </c>
    </row>
    <row r="20" spans="1:11" ht="12.75" customHeight="1" x14ac:dyDescent="0.2">
      <c r="A20" s="289">
        <v>13</v>
      </c>
      <c r="B20" s="293" t="s">
        <v>34</v>
      </c>
      <c r="C20" s="291">
        <v>45457</v>
      </c>
      <c r="D20" s="291"/>
      <c r="E20" s="291"/>
      <c r="F20" s="291"/>
      <c r="G20" s="291"/>
      <c r="H20" s="291"/>
      <c r="I20" s="291">
        <f t="shared" si="0"/>
        <v>45457</v>
      </c>
      <c r="J20" s="291">
        <v>10682</v>
      </c>
      <c r="K20" s="291">
        <v>34775</v>
      </c>
    </row>
    <row r="21" spans="1:11" ht="15" customHeight="1" x14ac:dyDescent="0.2">
      <c r="A21" s="289">
        <v>14</v>
      </c>
      <c r="B21" s="292" t="s">
        <v>40</v>
      </c>
      <c r="C21" s="291">
        <v>37464</v>
      </c>
      <c r="D21" s="291"/>
      <c r="E21" s="291"/>
      <c r="F21" s="291"/>
      <c r="G21" s="291"/>
      <c r="H21" s="291"/>
      <c r="I21" s="291">
        <f t="shared" si="0"/>
        <v>37464</v>
      </c>
      <c r="J21" s="291">
        <v>8242</v>
      </c>
      <c r="K21" s="291">
        <v>29222</v>
      </c>
    </row>
    <row r="22" spans="1:11" ht="13.5" customHeight="1" x14ac:dyDescent="0.2">
      <c r="A22" s="289">
        <v>15</v>
      </c>
      <c r="B22" s="292" t="s">
        <v>521</v>
      </c>
      <c r="C22" s="291">
        <v>465</v>
      </c>
      <c r="D22" s="291"/>
      <c r="E22" s="291"/>
      <c r="F22" s="291">
        <v>465</v>
      </c>
      <c r="G22" s="291"/>
      <c r="H22" s="291"/>
      <c r="I22" s="291">
        <f t="shared" si="0"/>
        <v>0</v>
      </c>
      <c r="J22" s="291">
        <v>0</v>
      </c>
      <c r="K22" s="291">
        <v>0</v>
      </c>
    </row>
    <row r="23" spans="1:11" ht="12.75" customHeight="1" x14ac:dyDescent="0.2">
      <c r="A23" s="289">
        <v>16</v>
      </c>
      <c r="B23" s="292" t="s">
        <v>522</v>
      </c>
      <c r="C23" s="291">
        <v>465</v>
      </c>
      <c r="D23" s="291"/>
      <c r="E23" s="291"/>
      <c r="F23" s="291">
        <v>465</v>
      </c>
      <c r="G23" s="291"/>
      <c r="H23" s="291"/>
      <c r="I23" s="291">
        <f t="shared" si="0"/>
        <v>0</v>
      </c>
      <c r="J23" s="291">
        <v>0</v>
      </c>
      <c r="K23" s="291">
        <v>0</v>
      </c>
    </row>
    <row r="24" spans="1:11" ht="10.5" customHeight="1" x14ac:dyDescent="0.2">
      <c r="A24" s="289">
        <v>17</v>
      </c>
      <c r="B24" s="292" t="s">
        <v>523</v>
      </c>
      <c r="C24" s="291">
        <v>465</v>
      </c>
      <c r="D24" s="291"/>
      <c r="E24" s="291"/>
      <c r="F24" s="291">
        <v>465</v>
      </c>
      <c r="G24" s="291"/>
      <c r="H24" s="291"/>
      <c r="I24" s="291">
        <f t="shared" si="0"/>
        <v>0</v>
      </c>
      <c r="J24" s="291">
        <v>0</v>
      </c>
      <c r="K24" s="291">
        <v>0</v>
      </c>
    </row>
    <row r="25" spans="1:11" ht="13.5" customHeight="1" x14ac:dyDescent="0.2">
      <c r="A25" s="289">
        <v>18</v>
      </c>
      <c r="B25" s="293" t="s">
        <v>524</v>
      </c>
      <c r="C25" s="291">
        <v>465</v>
      </c>
      <c r="D25" s="291"/>
      <c r="E25" s="291"/>
      <c r="F25" s="291">
        <v>465</v>
      </c>
      <c r="G25" s="291"/>
      <c r="H25" s="291"/>
      <c r="I25" s="291">
        <f t="shared" si="0"/>
        <v>0</v>
      </c>
      <c r="J25" s="291">
        <v>0</v>
      </c>
      <c r="K25" s="291">
        <v>0</v>
      </c>
    </row>
    <row r="26" spans="1:11" ht="13.5" customHeight="1" x14ac:dyDescent="0.2">
      <c r="A26" s="289">
        <v>19</v>
      </c>
      <c r="B26" s="293" t="s">
        <v>102</v>
      </c>
      <c r="C26" s="291">
        <v>465</v>
      </c>
      <c r="D26" s="291"/>
      <c r="E26" s="291"/>
      <c r="F26" s="291">
        <v>465</v>
      </c>
      <c r="G26" s="291"/>
      <c r="H26" s="291"/>
      <c r="I26" s="291">
        <v>0</v>
      </c>
      <c r="J26" s="291">
        <v>0</v>
      </c>
      <c r="K26" s="291">
        <v>0</v>
      </c>
    </row>
    <row r="27" spans="1:11" ht="12" customHeight="1" x14ac:dyDescent="0.2">
      <c r="A27" s="289">
        <v>20</v>
      </c>
      <c r="B27" s="292" t="s">
        <v>525</v>
      </c>
      <c r="C27" s="291">
        <v>340</v>
      </c>
      <c r="D27" s="291"/>
      <c r="E27" s="291"/>
      <c r="F27" s="291">
        <v>340</v>
      </c>
      <c r="G27" s="291"/>
      <c r="H27" s="291"/>
      <c r="I27" s="291">
        <f t="shared" si="0"/>
        <v>0</v>
      </c>
      <c r="J27" s="291">
        <v>0</v>
      </c>
      <c r="K27" s="291">
        <v>0</v>
      </c>
    </row>
    <row r="28" spans="1:11" ht="10.5" customHeight="1" x14ac:dyDescent="0.2">
      <c r="A28" s="289">
        <v>21</v>
      </c>
      <c r="B28" s="292" t="s">
        <v>526</v>
      </c>
      <c r="C28" s="291">
        <v>465</v>
      </c>
      <c r="D28" s="291"/>
      <c r="E28" s="291"/>
      <c r="F28" s="291">
        <v>465</v>
      </c>
      <c r="G28" s="291"/>
      <c r="H28" s="291"/>
      <c r="I28" s="291">
        <f t="shared" si="0"/>
        <v>0</v>
      </c>
      <c r="J28" s="291">
        <v>0</v>
      </c>
      <c r="K28" s="291">
        <v>0</v>
      </c>
    </row>
    <row r="29" spans="1:11" ht="17.25" customHeight="1" x14ac:dyDescent="0.2">
      <c r="A29" s="289">
        <v>22</v>
      </c>
      <c r="B29" s="293" t="s">
        <v>527</v>
      </c>
      <c r="C29" s="291">
        <v>465</v>
      </c>
      <c r="D29" s="291"/>
      <c r="E29" s="291"/>
      <c r="F29" s="291">
        <v>465</v>
      </c>
      <c r="G29" s="291"/>
      <c r="H29" s="291"/>
      <c r="I29" s="291">
        <v>0</v>
      </c>
      <c r="J29" s="291">
        <v>0</v>
      </c>
      <c r="K29" s="291">
        <v>0</v>
      </c>
    </row>
    <row r="30" spans="1:11" ht="15" customHeight="1" x14ac:dyDescent="0.2">
      <c r="A30" s="289">
        <v>23</v>
      </c>
      <c r="B30" s="292" t="s">
        <v>528</v>
      </c>
      <c r="C30" s="291">
        <v>150</v>
      </c>
      <c r="D30" s="291"/>
      <c r="E30" s="291"/>
      <c r="F30" s="291">
        <v>150</v>
      </c>
      <c r="G30" s="291"/>
      <c r="H30" s="291"/>
      <c r="I30" s="291">
        <f t="shared" si="0"/>
        <v>0</v>
      </c>
      <c r="J30" s="291">
        <v>0</v>
      </c>
      <c r="K30" s="291">
        <v>0</v>
      </c>
    </row>
    <row r="31" spans="1:11" ht="12.75" customHeight="1" x14ac:dyDescent="0.2">
      <c r="A31" s="289">
        <v>24</v>
      </c>
      <c r="B31" s="292" t="s">
        <v>55</v>
      </c>
      <c r="C31" s="291">
        <v>91438</v>
      </c>
      <c r="D31" s="291">
        <v>3617</v>
      </c>
      <c r="E31" s="291"/>
      <c r="F31" s="291"/>
      <c r="G31" s="291"/>
      <c r="H31" s="291"/>
      <c r="I31" s="291">
        <f t="shared" si="0"/>
        <v>87821</v>
      </c>
      <c r="J31" s="291">
        <v>20023</v>
      </c>
      <c r="K31" s="291">
        <v>67798</v>
      </c>
    </row>
    <row r="32" spans="1:11" ht="15" customHeight="1" x14ac:dyDescent="0.2">
      <c r="A32" s="289">
        <v>25</v>
      </c>
      <c r="B32" s="297" t="s">
        <v>56</v>
      </c>
      <c r="C32" s="291">
        <v>16986</v>
      </c>
      <c r="D32" s="291"/>
      <c r="E32" s="291"/>
      <c r="F32" s="291">
        <v>16986</v>
      </c>
      <c r="G32" s="291"/>
      <c r="H32" s="291"/>
      <c r="I32" s="291">
        <f t="shared" si="0"/>
        <v>0</v>
      </c>
      <c r="J32" s="291">
        <v>0</v>
      </c>
      <c r="K32" s="291">
        <v>0</v>
      </c>
    </row>
    <row r="33" spans="1:11" ht="12.75" customHeight="1" x14ac:dyDescent="0.2">
      <c r="A33" s="289">
        <v>26</v>
      </c>
      <c r="B33" s="292" t="s">
        <v>6</v>
      </c>
      <c r="C33" s="291">
        <v>93025</v>
      </c>
      <c r="D33" s="291"/>
      <c r="E33" s="291"/>
      <c r="F33" s="291"/>
      <c r="G33" s="291"/>
      <c r="H33" s="291"/>
      <c r="I33" s="291">
        <f t="shared" si="0"/>
        <v>93025</v>
      </c>
      <c r="J33" s="291">
        <v>26698</v>
      </c>
      <c r="K33" s="291">
        <v>66327</v>
      </c>
    </row>
    <row r="34" spans="1:11" ht="12.75" customHeight="1" x14ac:dyDescent="0.2">
      <c r="A34" s="289">
        <v>27</v>
      </c>
      <c r="B34" s="292" t="s">
        <v>11</v>
      </c>
      <c r="C34" s="291">
        <v>176859</v>
      </c>
      <c r="D34" s="291"/>
      <c r="E34" s="291">
        <v>5599</v>
      </c>
      <c r="F34" s="291"/>
      <c r="G34" s="291"/>
      <c r="H34" s="291"/>
      <c r="I34" s="291">
        <f>J34+K34</f>
        <v>171260</v>
      </c>
      <c r="J34" s="291">
        <v>50864</v>
      </c>
      <c r="K34" s="291">
        <v>120396</v>
      </c>
    </row>
    <row r="35" spans="1:11" ht="12.75" customHeight="1" x14ac:dyDescent="0.2">
      <c r="A35" s="289">
        <v>28</v>
      </c>
      <c r="B35" s="292" t="s">
        <v>47</v>
      </c>
      <c r="C35" s="291">
        <v>120378</v>
      </c>
      <c r="D35" s="291"/>
      <c r="E35" s="291"/>
      <c r="F35" s="291"/>
      <c r="G35" s="291"/>
      <c r="H35" s="291"/>
      <c r="I35" s="291">
        <f t="shared" si="0"/>
        <v>120378</v>
      </c>
      <c r="J35" s="291">
        <v>42253</v>
      </c>
      <c r="K35" s="291">
        <v>78125</v>
      </c>
    </row>
    <row r="36" spans="1:11" ht="12.75" customHeight="1" x14ac:dyDescent="0.2">
      <c r="A36" s="289">
        <v>29</v>
      </c>
      <c r="B36" s="292" t="s">
        <v>54</v>
      </c>
      <c r="C36" s="291">
        <v>23989</v>
      </c>
      <c r="D36" s="291"/>
      <c r="E36" s="291"/>
      <c r="F36" s="291"/>
      <c r="G36" s="291"/>
      <c r="H36" s="291"/>
      <c r="I36" s="291">
        <f t="shared" si="0"/>
        <v>23989</v>
      </c>
      <c r="J36" s="291">
        <v>7724</v>
      </c>
      <c r="K36" s="291">
        <v>16265</v>
      </c>
    </row>
    <row r="37" spans="1:11" ht="13.5" customHeight="1" x14ac:dyDescent="0.2">
      <c r="A37" s="289">
        <v>30</v>
      </c>
      <c r="B37" s="292" t="s">
        <v>49</v>
      </c>
      <c r="C37" s="291">
        <v>49971</v>
      </c>
      <c r="D37" s="291"/>
      <c r="E37" s="291"/>
      <c r="F37" s="291"/>
      <c r="G37" s="291"/>
      <c r="H37" s="291"/>
      <c r="I37" s="291">
        <f t="shared" si="0"/>
        <v>49971</v>
      </c>
      <c r="J37" s="291">
        <v>10294</v>
      </c>
      <c r="K37" s="291">
        <v>39677</v>
      </c>
    </row>
    <row r="38" spans="1:11" ht="12.75" customHeight="1" x14ac:dyDescent="0.2">
      <c r="A38" s="289">
        <v>31</v>
      </c>
      <c r="B38" s="292" t="s">
        <v>1</v>
      </c>
      <c r="C38" s="291">
        <v>68814</v>
      </c>
      <c r="D38" s="291"/>
      <c r="E38" s="291"/>
      <c r="F38" s="291"/>
      <c r="G38" s="291"/>
      <c r="H38" s="291"/>
      <c r="I38" s="291">
        <f t="shared" si="0"/>
        <v>68814</v>
      </c>
      <c r="J38" s="291">
        <v>9040</v>
      </c>
      <c r="K38" s="291">
        <v>59774</v>
      </c>
    </row>
    <row r="39" spans="1:11" ht="15" customHeight="1" x14ac:dyDescent="0.2">
      <c r="A39" s="289">
        <v>32</v>
      </c>
      <c r="B39" s="292" t="s">
        <v>18</v>
      </c>
      <c r="C39" s="291">
        <v>28532</v>
      </c>
      <c r="D39" s="291"/>
      <c r="E39" s="291"/>
      <c r="F39" s="291"/>
      <c r="G39" s="291"/>
      <c r="H39" s="291"/>
      <c r="I39" s="291">
        <f t="shared" si="0"/>
        <v>28532</v>
      </c>
      <c r="J39" s="291">
        <v>9358</v>
      </c>
      <c r="K39" s="291">
        <v>19174</v>
      </c>
    </row>
    <row r="40" spans="1:11" ht="13.5" customHeight="1" x14ac:dyDescent="0.2">
      <c r="A40" s="289">
        <v>33</v>
      </c>
      <c r="B40" s="292" t="s">
        <v>26</v>
      </c>
      <c r="C40" s="291">
        <v>23611</v>
      </c>
      <c r="D40" s="291"/>
      <c r="E40" s="291"/>
      <c r="F40" s="291"/>
      <c r="G40" s="291"/>
      <c r="H40" s="291"/>
      <c r="I40" s="291">
        <f t="shared" si="0"/>
        <v>23611</v>
      </c>
      <c r="J40" s="291">
        <v>4392</v>
      </c>
      <c r="K40" s="291">
        <v>19219</v>
      </c>
    </row>
    <row r="41" spans="1:11" ht="14.25" customHeight="1" x14ac:dyDescent="0.2">
      <c r="A41" s="289">
        <v>34</v>
      </c>
      <c r="B41" s="292" t="s">
        <v>60</v>
      </c>
      <c r="C41" s="291">
        <v>93935</v>
      </c>
      <c r="D41" s="291"/>
      <c r="E41" s="291">
        <v>12203</v>
      </c>
      <c r="F41" s="291"/>
      <c r="G41" s="291"/>
      <c r="H41" s="291"/>
      <c r="I41" s="291">
        <f t="shared" si="0"/>
        <v>81732</v>
      </c>
      <c r="J41" s="291">
        <v>17245</v>
      </c>
      <c r="K41" s="291">
        <v>64487</v>
      </c>
    </row>
    <row r="42" spans="1:11" ht="15.75" customHeight="1" x14ac:dyDescent="0.2">
      <c r="A42" s="289">
        <v>35</v>
      </c>
      <c r="B42" s="292" t="s">
        <v>59</v>
      </c>
      <c r="C42" s="291">
        <v>87495</v>
      </c>
      <c r="D42" s="291"/>
      <c r="E42" s="291"/>
      <c r="F42" s="291"/>
      <c r="G42" s="291"/>
      <c r="H42" s="291"/>
      <c r="I42" s="291">
        <f t="shared" si="0"/>
        <v>87495</v>
      </c>
      <c r="J42" s="291">
        <v>29311</v>
      </c>
      <c r="K42" s="291">
        <v>58184</v>
      </c>
    </row>
    <row r="43" spans="1:11" ht="15.75" customHeight="1" x14ac:dyDescent="0.2">
      <c r="A43" s="289">
        <v>36</v>
      </c>
      <c r="B43" s="292" t="s">
        <v>103</v>
      </c>
      <c r="C43" s="291">
        <v>94813</v>
      </c>
      <c r="D43" s="291"/>
      <c r="E43" s="291"/>
      <c r="F43" s="291"/>
      <c r="G43" s="291"/>
      <c r="H43" s="291"/>
      <c r="I43" s="291">
        <f t="shared" si="0"/>
        <v>94813</v>
      </c>
      <c r="J43" s="291">
        <v>31288</v>
      </c>
      <c r="K43" s="291">
        <v>63525</v>
      </c>
    </row>
    <row r="44" spans="1:11" ht="14.25" customHeight="1" x14ac:dyDescent="0.2">
      <c r="A44" s="550">
        <v>37</v>
      </c>
      <c r="B44" s="292" t="s">
        <v>104</v>
      </c>
      <c r="C44" s="291">
        <v>45211</v>
      </c>
      <c r="D44" s="291"/>
      <c r="E44" s="291"/>
      <c r="F44" s="291"/>
      <c r="G44" s="291"/>
      <c r="H44" s="291"/>
      <c r="I44" s="291">
        <f t="shared" si="0"/>
        <v>45211</v>
      </c>
      <c r="J44" s="291">
        <v>9313</v>
      </c>
      <c r="K44" s="291">
        <v>35898</v>
      </c>
    </row>
    <row r="45" spans="1:11" s="296" customFormat="1" ht="36.75" customHeight="1" x14ac:dyDescent="0.25">
      <c r="A45" s="551"/>
      <c r="B45" s="294" t="s">
        <v>105</v>
      </c>
      <c r="C45" s="291">
        <v>79164</v>
      </c>
      <c r="D45" s="295"/>
      <c r="E45" s="295"/>
      <c r="F45" s="295"/>
      <c r="G45" s="295"/>
      <c r="H45" s="295"/>
      <c r="I45" s="295">
        <f t="shared" si="0"/>
        <v>79164</v>
      </c>
      <c r="J45" s="291">
        <v>16704</v>
      </c>
      <c r="K45" s="291">
        <v>62460</v>
      </c>
    </row>
    <row r="46" spans="1:11" ht="16.5" customHeight="1" x14ac:dyDescent="0.2">
      <c r="A46" s="289">
        <v>38</v>
      </c>
      <c r="B46" s="292" t="s">
        <v>106</v>
      </c>
      <c r="C46" s="291">
        <v>76880</v>
      </c>
      <c r="D46" s="291"/>
      <c r="E46" s="291"/>
      <c r="F46" s="291"/>
      <c r="G46" s="291"/>
      <c r="H46" s="291"/>
      <c r="I46" s="291">
        <f t="shared" si="0"/>
        <v>76880</v>
      </c>
      <c r="J46" s="291">
        <v>14453</v>
      </c>
      <c r="K46" s="291">
        <v>62427</v>
      </c>
    </row>
    <row r="47" spans="1:11" ht="27" customHeight="1" x14ac:dyDescent="0.2">
      <c r="A47" s="289">
        <v>39</v>
      </c>
      <c r="B47" s="292" t="s">
        <v>107</v>
      </c>
      <c r="C47" s="291">
        <v>63474</v>
      </c>
      <c r="D47" s="291"/>
      <c r="E47" s="291"/>
      <c r="F47" s="291">
        <v>63474</v>
      </c>
      <c r="G47" s="291"/>
      <c r="H47" s="291"/>
      <c r="I47" s="291">
        <f t="shared" si="0"/>
        <v>0</v>
      </c>
      <c r="J47" s="291">
        <v>0</v>
      </c>
      <c r="K47" s="291">
        <v>0</v>
      </c>
    </row>
    <row r="48" spans="1:11" ht="12" customHeight="1" x14ac:dyDescent="0.2">
      <c r="A48" s="289">
        <v>40</v>
      </c>
      <c r="B48" s="292" t="s">
        <v>108</v>
      </c>
      <c r="C48" s="291">
        <v>10558</v>
      </c>
      <c r="D48" s="291"/>
      <c r="E48" s="291"/>
      <c r="F48" s="291">
        <v>10558</v>
      </c>
      <c r="G48" s="291"/>
      <c r="H48" s="291"/>
      <c r="I48" s="291">
        <f t="shared" si="0"/>
        <v>0</v>
      </c>
      <c r="J48" s="291">
        <v>0</v>
      </c>
      <c r="K48" s="291">
        <v>0</v>
      </c>
    </row>
    <row r="49" spans="1:11" ht="13.5" customHeight="1" x14ac:dyDescent="0.2">
      <c r="A49" s="550">
        <v>41</v>
      </c>
      <c r="B49" s="292" t="s">
        <v>57</v>
      </c>
      <c r="C49" s="291">
        <v>119277</v>
      </c>
      <c r="D49" s="291">
        <v>3355</v>
      </c>
      <c r="E49" s="291"/>
      <c r="F49" s="291"/>
      <c r="G49" s="291"/>
      <c r="H49" s="291"/>
      <c r="I49" s="291">
        <f t="shared" si="0"/>
        <v>115922</v>
      </c>
      <c r="J49" s="291">
        <v>24575</v>
      </c>
      <c r="K49" s="291">
        <v>91347</v>
      </c>
    </row>
    <row r="50" spans="1:11" s="296" customFormat="1" ht="38.25" customHeight="1" x14ac:dyDescent="0.25">
      <c r="A50" s="552"/>
      <c r="B50" s="294" t="s">
        <v>109</v>
      </c>
      <c r="C50" s="291">
        <v>45204</v>
      </c>
      <c r="D50" s="295"/>
      <c r="E50" s="295"/>
      <c r="F50" s="295"/>
      <c r="G50" s="295"/>
      <c r="H50" s="295"/>
      <c r="I50" s="295">
        <f t="shared" si="0"/>
        <v>45204</v>
      </c>
      <c r="J50" s="291">
        <v>5424</v>
      </c>
      <c r="K50" s="291">
        <v>39780</v>
      </c>
    </row>
    <row r="51" spans="1:11" s="296" customFormat="1" ht="31.5" customHeight="1" x14ac:dyDescent="0.25">
      <c r="A51" s="551"/>
      <c r="B51" s="298" t="s">
        <v>529</v>
      </c>
      <c r="C51" s="291">
        <v>19000</v>
      </c>
      <c r="D51" s="295"/>
      <c r="E51" s="295"/>
      <c r="F51" s="295">
        <v>19000</v>
      </c>
      <c r="G51" s="295"/>
      <c r="H51" s="295"/>
      <c r="I51" s="295">
        <f t="shared" si="0"/>
        <v>0</v>
      </c>
      <c r="J51" s="291">
        <f>19000-19000</f>
        <v>0</v>
      </c>
      <c r="K51" s="291">
        <v>0</v>
      </c>
    </row>
    <row r="52" spans="1:11" ht="15.75" customHeight="1" x14ac:dyDescent="0.2">
      <c r="A52" s="289">
        <v>42</v>
      </c>
      <c r="B52" s="292" t="s">
        <v>58</v>
      </c>
      <c r="C52" s="291">
        <v>26820</v>
      </c>
      <c r="D52" s="291"/>
      <c r="E52" s="291"/>
      <c r="F52" s="291">
        <v>26820</v>
      </c>
      <c r="G52" s="291"/>
      <c r="H52" s="291"/>
      <c r="I52" s="291">
        <f t="shared" si="0"/>
        <v>0</v>
      </c>
      <c r="J52" s="291">
        <v>0</v>
      </c>
      <c r="K52" s="291">
        <v>0</v>
      </c>
    </row>
    <row r="53" spans="1:11" ht="13.5" customHeight="1" x14ac:dyDescent="0.2">
      <c r="A53" s="289">
        <v>43</v>
      </c>
      <c r="B53" s="292" t="s">
        <v>110</v>
      </c>
      <c r="C53" s="291">
        <v>8493</v>
      </c>
      <c r="D53" s="291"/>
      <c r="E53" s="291"/>
      <c r="F53" s="291">
        <v>8493</v>
      </c>
      <c r="G53" s="291"/>
      <c r="H53" s="291"/>
      <c r="I53" s="291">
        <f t="shared" si="0"/>
        <v>0</v>
      </c>
      <c r="J53" s="291">
        <v>0</v>
      </c>
      <c r="K53" s="291">
        <v>0</v>
      </c>
    </row>
    <row r="54" spans="1:11" ht="14.25" customHeight="1" x14ac:dyDescent="0.2">
      <c r="A54" s="550">
        <v>44</v>
      </c>
      <c r="B54" s="292" t="s">
        <v>37</v>
      </c>
      <c r="C54" s="291">
        <v>108151</v>
      </c>
      <c r="D54" s="291"/>
      <c r="E54" s="291">
        <v>5555</v>
      </c>
      <c r="F54" s="291"/>
      <c r="G54" s="291"/>
      <c r="H54" s="291"/>
      <c r="I54" s="291">
        <f t="shared" si="0"/>
        <v>102596</v>
      </c>
      <c r="J54" s="291">
        <v>33754</v>
      </c>
      <c r="K54" s="291">
        <v>68842</v>
      </c>
    </row>
    <row r="55" spans="1:11" s="296" customFormat="1" ht="37.5" customHeight="1" x14ac:dyDescent="0.25">
      <c r="A55" s="551"/>
      <c r="B55" s="294" t="s">
        <v>111</v>
      </c>
      <c r="C55" s="291">
        <v>40100</v>
      </c>
      <c r="D55" s="295"/>
      <c r="E55" s="295"/>
      <c r="F55" s="295"/>
      <c r="G55" s="295"/>
      <c r="H55" s="295"/>
      <c r="I55" s="295">
        <f t="shared" si="0"/>
        <v>40100</v>
      </c>
      <c r="J55" s="291">
        <v>13955</v>
      </c>
      <c r="K55" s="291">
        <v>26145</v>
      </c>
    </row>
    <row r="56" spans="1:11" ht="13.5" customHeight="1" x14ac:dyDescent="0.2">
      <c r="A56" s="289">
        <v>45</v>
      </c>
      <c r="B56" s="292" t="s">
        <v>29</v>
      </c>
      <c r="C56" s="291">
        <v>141299</v>
      </c>
      <c r="D56" s="291"/>
      <c r="E56" s="291"/>
      <c r="F56" s="291"/>
      <c r="G56" s="291"/>
      <c r="H56" s="291"/>
      <c r="I56" s="291">
        <f t="shared" si="0"/>
        <v>141299</v>
      </c>
      <c r="J56" s="291">
        <v>42814</v>
      </c>
      <c r="K56" s="291">
        <v>98485</v>
      </c>
    </row>
    <row r="57" spans="1:11" s="299" customFormat="1" ht="12.75" customHeight="1" x14ac:dyDescent="0.2">
      <c r="A57" s="289">
        <v>46</v>
      </c>
      <c r="B57" s="292" t="s">
        <v>38</v>
      </c>
      <c r="C57" s="291">
        <v>136601</v>
      </c>
      <c r="D57" s="291"/>
      <c r="E57" s="291"/>
      <c r="F57" s="291"/>
      <c r="G57" s="291"/>
      <c r="H57" s="291"/>
      <c r="I57" s="291">
        <f t="shared" si="0"/>
        <v>136601</v>
      </c>
      <c r="J57" s="291">
        <v>29779</v>
      </c>
      <c r="K57" s="291">
        <v>106822</v>
      </c>
    </row>
    <row r="58" spans="1:11" ht="10.5" customHeight="1" x14ac:dyDescent="0.2">
      <c r="A58" s="289">
        <v>47</v>
      </c>
      <c r="B58" s="292" t="s">
        <v>25</v>
      </c>
      <c r="C58" s="291">
        <v>42852</v>
      </c>
      <c r="D58" s="291"/>
      <c r="E58" s="291"/>
      <c r="F58" s="291"/>
      <c r="G58" s="291"/>
      <c r="H58" s="291"/>
      <c r="I58" s="291">
        <f t="shared" si="0"/>
        <v>42852</v>
      </c>
      <c r="J58" s="291">
        <v>11827</v>
      </c>
      <c r="K58" s="291">
        <v>31025</v>
      </c>
    </row>
    <row r="59" spans="1:11" ht="10.5" customHeight="1" x14ac:dyDescent="0.2">
      <c r="A59" s="289">
        <v>48</v>
      </c>
      <c r="B59" s="292" t="s">
        <v>19</v>
      </c>
      <c r="C59" s="291">
        <v>53478</v>
      </c>
      <c r="D59" s="291"/>
      <c r="E59" s="291"/>
      <c r="F59" s="291"/>
      <c r="G59" s="291"/>
      <c r="H59" s="291"/>
      <c r="I59" s="291">
        <f t="shared" si="0"/>
        <v>53478</v>
      </c>
      <c r="J59" s="291">
        <v>19306</v>
      </c>
      <c r="K59" s="291">
        <v>34172</v>
      </c>
    </row>
    <row r="60" spans="1:11" ht="10.5" customHeight="1" x14ac:dyDescent="0.2">
      <c r="A60" s="289">
        <v>49</v>
      </c>
      <c r="B60" s="292" t="s">
        <v>35</v>
      </c>
      <c r="C60" s="291">
        <v>49407</v>
      </c>
      <c r="D60" s="291"/>
      <c r="E60" s="291"/>
      <c r="F60" s="291"/>
      <c r="G60" s="291"/>
      <c r="H60" s="291"/>
      <c r="I60" s="291">
        <f t="shared" si="0"/>
        <v>49407</v>
      </c>
      <c r="J60" s="291">
        <v>14822</v>
      </c>
      <c r="K60" s="291">
        <v>34585</v>
      </c>
    </row>
    <row r="61" spans="1:11" ht="11.25" customHeight="1" x14ac:dyDescent="0.2">
      <c r="A61" s="289">
        <v>50</v>
      </c>
      <c r="B61" s="292" t="s">
        <v>44</v>
      </c>
      <c r="C61" s="291">
        <v>31735</v>
      </c>
      <c r="D61" s="291"/>
      <c r="E61" s="291"/>
      <c r="F61" s="291"/>
      <c r="G61" s="291"/>
      <c r="H61" s="291"/>
      <c r="I61" s="291">
        <f t="shared" si="0"/>
        <v>31735</v>
      </c>
      <c r="J61" s="291">
        <v>9521</v>
      </c>
      <c r="K61" s="291">
        <v>22214</v>
      </c>
    </row>
    <row r="62" spans="1:11" ht="10.5" customHeight="1" x14ac:dyDescent="0.2">
      <c r="A62" s="289">
        <v>51</v>
      </c>
      <c r="B62" s="292" t="s">
        <v>5</v>
      </c>
      <c r="C62" s="291">
        <v>55126</v>
      </c>
      <c r="D62" s="291"/>
      <c r="E62" s="291"/>
      <c r="F62" s="291"/>
      <c r="G62" s="291"/>
      <c r="H62" s="291"/>
      <c r="I62" s="291">
        <f t="shared" si="0"/>
        <v>55126</v>
      </c>
      <c r="J62" s="291">
        <v>14278</v>
      </c>
      <c r="K62" s="291">
        <v>40848</v>
      </c>
    </row>
    <row r="63" spans="1:11" ht="10.5" customHeight="1" x14ac:dyDescent="0.2">
      <c r="A63" s="289">
        <v>52</v>
      </c>
      <c r="B63" s="292" t="s">
        <v>48</v>
      </c>
      <c r="C63" s="291">
        <v>25714</v>
      </c>
      <c r="D63" s="291"/>
      <c r="E63" s="291"/>
      <c r="F63" s="291"/>
      <c r="G63" s="291"/>
      <c r="H63" s="291"/>
      <c r="I63" s="291">
        <f t="shared" si="0"/>
        <v>25714</v>
      </c>
      <c r="J63" s="291">
        <v>7046</v>
      </c>
      <c r="K63" s="291">
        <v>18668</v>
      </c>
    </row>
    <row r="64" spans="1:11" s="299" customFormat="1" ht="15" customHeight="1" x14ac:dyDescent="0.2">
      <c r="A64" s="289">
        <v>53</v>
      </c>
      <c r="B64" s="292" t="s">
        <v>530</v>
      </c>
      <c r="C64" s="291">
        <v>11394</v>
      </c>
      <c r="D64" s="291"/>
      <c r="E64" s="291"/>
      <c r="F64" s="291"/>
      <c r="G64" s="291"/>
      <c r="H64" s="291"/>
      <c r="I64" s="291">
        <f t="shared" si="0"/>
        <v>11394</v>
      </c>
      <c r="J64" s="291">
        <v>4785</v>
      </c>
      <c r="K64" s="291">
        <v>6609</v>
      </c>
    </row>
    <row r="65" spans="1:11" s="299" customFormat="1" ht="15.75" customHeight="1" x14ac:dyDescent="0.2">
      <c r="A65" s="289">
        <v>54</v>
      </c>
      <c r="B65" s="292" t="s">
        <v>112</v>
      </c>
      <c r="C65" s="291">
        <v>18451</v>
      </c>
      <c r="D65" s="291"/>
      <c r="E65" s="291"/>
      <c r="F65" s="291"/>
      <c r="G65" s="291"/>
      <c r="H65" s="291"/>
      <c r="I65" s="291">
        <f t="shared" si="0"/>
        <v>18451</v>
      </c>
      <c r="J65" s="291">
        <v>6679</v>
      </c>
      <c r="K65" s="291">
        <v>11772</v>
      </c>
    </row>
    <row r="66" spans="1:11" ht="10.5" customHeight="1" x14ac:dyDescent="0.2">
      <c r="A66" s="289">
        <v>55</v>
      </c>
      <c r="B66" s="290" t="s">
        <v>46</v>
      </c>
      <c r="C66" s="291">
        <v>219127</v>
      </c>
      <c r="D66" s="291"/>
      <c r="E66" s="291"/>
      <c r="F66" s="291"/>
      <c r="G66" s="291"/>
      <c r="H66" s="291"/>
      <c r="I66" s="291">
        <f t="shared" si="0"/>
        <v>219127</v>
      </c>
      <c r="J66" s="291">
        <v>46893</v>
      </c>
      <c r="K66" s="291">
        <v>172234</v>
      </c>
    </row>
    <row r="67" spans="1:11" ht="10.5" customHeight="1" x14ac:dyDescent="0.2">
      <c r="A67" s="289">
        <v>56</v>
      </c>
      <c r="B67" s="292" t="s">
        <v>9</v>
      </c>
      <c r="C67" s="291">
        <f>156443-894</f>
        <v>155549</v>
      </c>
      <c r="D67" s="291"/>
      <c r="E67" s="291">
        <v>2680</v>
      </c>
      <c r="F67" s="291"/>
      <c r="G67" s="291"/>
      <c r="H67" s="291"/>
      <c r="I67" s="291">
        <f t="shared" si="0"/>
        <v>152869</v>
      </c>
      <c r="J67" s="291">
        <v>32714</v>
      </c>
      <c r="K67" s="291">
        <v>120155</v>
      </c>
    </row>
    <row r="68" spans="1:11" ht="10.5" customHeight="1" x14ac:dyDescent="0.2">
      <c r="A68" s="289">
        <v>57</v>
      </c>
      <c r="B68" s="290" t="s">
        <v>113</v>
      </c>
      <c r="C68" s="291">
        <v>160871</v>
      </c>
      <c r="D68" s="291"/>
      <c r="E68" s="291">
        <v>6981</v>
      </c>
      <c r="F68" s="291"/>
      <c r="G68" s="291"/>
      <c r="H68" s="291"/>
      <c r="I68" s="291">
        <f t="shared" si="0"/>
        <v>153890</v>
      </c>
      <c r="J68" s="291">
        <v>31855</v>
      </c>
      <c r="K68" s="291">
        <v>122035</v>
      </c>
    </row>
    <row r="69" spans="1:11" ht="24" customHeight="1" x14ac:dyDescent="0.2">
      <c r="A69" s="289">
        <v>58</v>
      </c>
      <c r="B69" s="290" t="s">
        <v>114</v>
      </c>
      <c r="C69" s="291">
        <v>24758</v>
      </c>
      <c r="D69" s="291"/>
      <c r="E69" s="291"/>
      <c r="F69" s="291">
        <v>24758</v>
      </c>
      <c r="G69" s="291"/>
      <c r="H69" s="291"/>
      <c r="I69" s="291">
        <f t="shared" si="0"/>
        <v>0</v>
      </c>
      <c r="J69" s="291">
        <v>0</v>
      </c>
      <c r="K69" s="291">
        <v>0</v>
      </c>
    </row>
    <row r="70" spans="1:11" ht="10.5" customHeight="1" x14ac:dyDescent="0.2">
      <c r="A70" s="289">
        <v>59</v>
      </c>
      <c r="B70" s="292" t="s">
        <v>20</v>
      </c>
      <c r="C70" s="291">
        <v>62567</v>
      </c>
      <c r="D70" s="291"/>
      <c r="E70" s="291"/>
      <c r="F70" s="291"/>
      <c r="G70" s="291"/>
      <c r="H70" s="291"/>
      <c r="I70" s="291">
        <f t="shared" si="0"/>
        <v>62567</v>
      </c>
      <c r="J70" s="291">
        <v>13765</v>
      </c>
      <c r="K70" s="291">
        <v>48802</v>
      </c>
    </row>
    <row r="71" spans="1:11" ht="10.5" customHeight="1" x14ac:dyDescent="0.2">
      <c r="A71" s="289">
        <v>60</v>
      </c>
      <c r="B71" s="290" t="s">
        <v>7</v>
      </c>
      <c r="C71" s="291">
        <v>45225</v>
      </c>
      <c r="D71" s="291"/>
      <c r="E71" s="291"/>
      <c r="F71" s="291"/>
      <c r="G71" s="291"/>
      <c r="H71" s="291"/>
      <c r="I71" s="291">
        <f t="shared" si="0"/>
        <v>45225</v>
      </c>
      <c r="J71" s="291">
        <v>10040</v>
      </c>
      <c r="K71" s="291">
        <v>35185</v>
      </c>
    </row>
    <row r="72" spans="1:11" ht="10.5" customHeight="1" x14ac:dyDescent="0.2">
      <c r="A72" s="289">
        <v>61</v>
      </c>
      <c r="B72" s="292" t="s">
        <v>12</v>
      </c>
      <c r="C72" s="291">
        <v>34808</v>
      </c>
      <c r="D72" s="291"/>
      <c r="E72" s="291"/>
      <c r="F72" s="291"/>
      <c r="G72" s="291"/>
      <c r="H72" s="291"/>
      <c r="I72" s="291">
        <f t="shared" ref="I72:I136" si="1">J72+K72</f>
        <v>34808</v>
      </c>
      <c r="J72" s="291">
        <v>7797</v>
      </c>
      <c r="K72" s="291">
        <v>27011</v>
      </c>
    </row>
    <row r="73" spans="1:11" ht="10.5" customHeight="1" x14ac:dyDescent="0.2">
      <c r="A73" s="289">
        <v>62</v>
      </c>
      <c r="B73" s="290" t="s">
        <v>28</v>
      </c>
      <c r="C73" s="291">
        <v>53016</v>
      </c>
      <c r="D73" s="291"/>
      <c r="E73" s="291"/>
      <c r="F73" s="291"/>
      <c r="G73" s="291"/>
      <c r="H73" s="291"/>
      <c r="I73" s="291">
        <f t="shared" si="1"/>
        <v>53016</v>
      </c>
      <c r="J73" s="291">
        <v>11823</v>
      </c>
      <c r="K73" s="291">
        <v>41193</v>
      </c>
    </row>
    <row r="74" spans="1:11" ht="10.5" customHeight="1" x14ac:dyDescent="0.2">
      <c r="A74" s="289">
        <v>63</v>
      </c>
      <c r="B74" s="292" t="s">
        <v>24</v>
      </c>
      <c r="C74" s="291">
        <v>22096</v>
      </c>
      <c r="D74" s="291"/>
      <c r="E74" s="291"/>
      <c r="F74" s="291"/>
      <c r="G74" s="291"/>
      <c r="H74" s="291"/>
      <c r="I74" s="291">
        <f t="shared" si="1"/>
        <v>22096</v>
      </c>
      <c r="J74" s="291">
        <v>6695</v>
      </c>
      <c r="K74" s="291">
        <v>15401</v>
      </c>
    </row>
    <row r="75" spans="1:11" ht="10.5" customHeight="1" x14ac:dyDescent="0.2">
      <c r="A75" s="289">
        <v>64</v>
      </c>
      <c r="B75" s="292" t="s">
        <v>41</v>
      </c>
      <c r="C75" s="291">
        <f>43570-100</f>
        <v>43470</v>
      </c>
      <c r="D75" s="291"/>
      <c r="E75" s="291"/>
      <c r="F75" s="291"/>
      <c r="G75" s="291"/>
      <c r="H75" s="291"/>
      <c r="I75" s="291">
        <f t="shared" si="1"/>
        <v>43470</v>
      </c>
      <c r="J75" s="291">
        <v>10650</v>
      </c>
      <c r="K75" s="291">
        <v>32820</v>
      </c>
    </row>
    <row r="76" spans="1:11" ht="11.25" customHeight="1" x14ac:dyDescent="0.2">
      <c r="A76" s="289">
        <v>65</v>
      </c>
      <c r="B76" s="292" t="s">
        <v>2</v>
      </c>
      <c r="C76" s="291">
        <v>64826</v>
      </c>
      <c r="D76" s="291"/>
      <c r="E76" s="291"/>
      <c r="F76" s="291"/>
      <c r="G76" s="291"/>
      <c r="H76" s="291"/>
      <c r="I76" s="291">
        <f t="shared" si="1"/>
        <v>64826</v>
      </c>
      <c r="J76" s="291">
        <v>19124</v>
      </c>
      <c r="K76" s="291">
        <v>45702</v>
      </c>
    </row>
    <row r="77" spans="1:11" ht="10.5" customHeight="1" x14ac:dyDescent="0.2">
      <c r="A77" s="289">
        <v>66</v>
      </c>
      <c r="B77" s="290" t="s">
        <v>52</v>
      </c>
      <c r="C77" s="291">
        <v>35415</v>
      </c>
      <c r="D77" s="291"/>
      <c r="E77" s="291"/>
      <c r="F77" s="291"/>
      <c r="G77" s="291"/>
      <c r="H77" s="291"/>
      <c r="I77" s="291">
        <f t="shared" si="1"/>
        <v>35415</v>
      </c>
      <c r="J77" s="291">
        <v>8712</v>
      </c>
      <c r="K77" s="291">
        <v>26703</v>
      </c>
    </row>
    <row r="78" spans="1:11" ht="10.5" customHeight="1" x14ac:dyDescent="0.2">
      <c r="A78" s="289">
        <v>67</v>
      </c>
      <c r="B78" s="292" t="s">
        <v>115</v>
      </c>
      <c r="C78" s="291">
        <v>150</v>
      </c>
      <c r="D78" s="291"/>
      <c r="E78" s="291"/>
      <c r="F78" s="291">
        <v>150</v>
      </c>
      <c r="G78" s="291"/>
      <c r="H78" s="291"/>
      <c r="I78" s="291">
        <f t="shared" si="1"/>
        <v>0</v>
      </c>
      <c r="J78" s="291">
        <v>0</v>
      </c>
      <c r="K78" s="291">
        <v>0</v>
      </c>
    </row>
    <row r="79" spans="1:11" ht="10.5" customHeight="1" x14ac:dyDescent="0.2">
      <c r="A79" s="289">
        <v>68</v>
      </c>
      <c r="B79" s="292" t="s">
        <v>116</v>
      </c>
      <c r="C79" s="291">
        <v>50</v>
      </c>
      <c r="D79" s="291"/>
      <c r="E79" s="291"/>
      <c r="F79" s="291">
        <v>50</v>
      </c>
      <c r="G79" s="291"/>
      <c r="H79" s="291"/>
      <c r="I79" s="291">
        <f t="shared" si="1"/>
        <v>0</v>
      </c>
      <c r="J79" s="291">
        <v>0</v>
      </c>
      <c r="K79" s="291">
        <v>0</v>
      </c>
    </row>
    <row r="80" spans="1:11" ht="10.5" customHeight="1" x14ac:dyDescent="0.2">
      <c r="A80" s="289">
        <v>69</v>
      </c>
      <c r="B80" s="300" t="s">
        <v>117</v>
      </c>
      <c r="C80" s="291">
        <f>F80</f>
        <v>125</v>
      </c>
      <c r="D80" s="291"/>
      <c r="E80" s="291"/>
      <c r="F80" s="291">
        <v>125</v>
      </c>
      <c r="G80" s="291"/>
      <c r="H80" s="291"/>
      <c r="I80" s="291">
        <f t="shared" si="1"/>
        <v>0</v>
      </c>
      <c r="J80" s="291">
        <v>0</v>
      </c>
      <c r="K80" s="291">
        <v>0</v>
      </c>
    </row>
    <row r="81" spans="1:11" ht="10.5" customHeight="1" x14ac:dyDescent="0.2">
      <c r="A81" s="289">
        <v>70</v>
      </c>
      <c r="B81" s="292" t="s">
        <v>531</v>
      </c>
      <c r="C81" s="291">
        <v>50</v>
      </c>
      <c r="D81" s="291"/>
      <c r="E81" s="291"/>
      <c r="F81" s="291">
        <v>50</v>
      </c>
      <c r="G81" s="291"/>
      <c r="H81" s="291"/>
      <c r="I81" s="291">
        <f t="shared" si="1"/>
        <v>0</v>
      </c>
      <c r="J81" s="291">
        <v>0</v>
      </c>
      <c r="K81" s="291">
        <v>0</v>
      </c>
    </row>
    <row r="82" spans="1:11" ht="15" customHeight="1" x14ac:dyDescent="0.2">
      <c r="A82" s="289">
        <v>71</v>
      </c>
      <c r="B82" s="292" t="s">
        <v>118</v>
      </c>
      <c r="C82" s="291">
        <v>100</v>
      </c>
      <c r="D82" s="291"/>
      <c r="E82" s="291"/>
      <c r="F82" s="291">
        <v>100</v>
      </c>
      <c r="G82" s="291"/>
      <c r="H82" s="291"/>
      <c r="I82" s="291">
        <f t="shared" si="1"/>
        <v>0</v>
      </c>
      <c r="J82" s="291">
        <v>0</v>
      </c>
      <c r="K82" s="291">
        <v>0</v>
      </c>
    </row>
    <row r="83" spans="1:11" ht="10.5" customHeight="1" x14ac:dyDescent="0.2">
      <c r="A83" s="289">
        <v>72</v>
      </c>
      <c r="B83" s="301" t="s">
        <v>532</v>
      </c>
      <c r="C83" s="291">
        <v>894</v>
      </c>
      <c r="D83" s="291"/>
      <c r="E83" s="291"/>
      <c r="F83" s="291">
        <v>894</v>
      </c>
      <c r="G83" s="291"/>
      <c r="H83" s="291"/>
      <c r="I83" s="291">
        <f t="shared" si="1"/>
        <v>0</v>
      </c>
      <c r="J83" s="291">
        <v>0</v>
      </c>
      <c r="K83" s="291">
        <v>0</v>
      </c>
    </row>
    <row r="84" spans="1:11" ht="10.5" customHeight="1" x14ac:dyDescent="0.2">
      <c r="A84" s="289">
        <v>73</v>
      </c>
      <c r="B84" s="302" t="s">
        <v>80</v>
      </c>
      <c r="C84" s="291">
        <v>66167</v>
      </c>
      <c r="D84" s="291"/>
      <c r="E84" s="291"/>
      <c r="F84" s="291"/>
      <c r="G84" s="291"/>
      <c r="H84" s="291"/>
      <c r="I84" s="291">
        <f t="shared" si="1"/>
        <v>66167</v>
      </c>
      <c r="J84" s="291">
        <v>13895</v>
      </c>
      <c r="K84" s="291">
        <v>52272</v>
      </c>
    </row>
    <row r="85" spans="1:11" ht="10.5" customHeight="1" x14ac:dyDescent="0.2">
      <c r="A85" s="289">
        <v>74</v>
      </c>
      <c r="B85" s="302" t="s">
        <v>81</v>
      </c>
      <c r="C85" s="291">
        <v>56538</v>
      </c>
      <c r="D85" s="291"/>
      <c r="E85" s="291"/>
      <c r="F85" s="291"/>
      <c r="G85" s="291"/>
      <c r="H85" s="291"/>
      <c r="I85" s="291">
        <f t="shared" si="1"/>
        <v>56538</v>
      </c>
      <c r="J85" s="291">
        <v>11025</v>
      </c>
      <c r="K85" s="291">
        <v>45513</v>
      </c>
    </row>
    <row r="86" spans="1:11" ht="10.5" customHeight="1" x14ac:dyDescent="0.2">
      <c r="A86" s="289">
        <v>75</v>
      </c>
      <c r="B86" s="302" t="s">
        <v>82</v>
      </c>
      <c r="C86" s="291">
        <v>79099</v>
      </c>
      <c r="D86" s="291"/>
      <c r="E86" s="291"/>
      <c r="F86" s="291"/>
      <c r="G86" s="291"/>
      <c r="H86" s="291">
        <v>1164</v>
      </c>
      <c r="I86" s="291">
        <f t="shared" si="1"/>
        <v>77935</v>
      </c>
      <c r="J86" s="291">
        <v>17847</v>
      </c>
      <c r="K86" s="291">
        <v>60088</v>
      </c>
    </row>
    <row r="87" spans="1:11" ht="10.5" customHeight="1" x14ac:dyDescent="0.2">
      <c r="A87" s="289">
        <v>76</v>
      </c>
      <c r="B87" s="302" t="s">
        <v>83</v>
      </c>
      <c r="C87" s="291">
        <v>96050</v>
      </c>
      <c r="D87" s="291"/>
      <c r="E87" s="291"/>
      <c r="F87" s="291"/>
      <c r="G87" s="291"/>
      <c r="H87" s="291">
        <v>1095</v>
      </c>
      <c r="I87" s="291">
        <f t="shared" si="1"/>
        <v>94955</v>
      </c>
      <c r="J87" s="291">
        <v>23929</v>
      </c>
      <c r="K87" s="291">
        <v>71026</v>
      </c>
    </row>
    <row r="88" spans="1:11" ht="10.5" customHeight="1" x14ac:dyDescent="0.2">
      <c r="A88" s="289">
        <v>77</v>
      </c>
      <c r="B88" s="302" t="s">
        <v>84</v>
      </c>
      <c r="C88" s="291">
        <v>35538</v>
      </c>
      <c r="D88" s="291"/>
      <c r="E88" s="291"/>
      <c r="F88" s="291"/>
      <c r="G88" s="291"/>
      <c r="H88" s="291"/>
      <c r="I88" s="291">
        <f t="shared" si="1"/>
        <v>35538</v>
      </c>
      <c r="J88" s="291">
        <v>8316</v>
      </c>
      <c r="K88" s="291">
        <v>27222</v>
      </c>
    </row>
    <row r="89" spans="1:11" ht="22.5" customHeight="1" x14ac:dyDescent="0.2">
      <c r="A89" s="289">
        <v>78</v>
      </c>
      <c r="B89" s="302" t="s">
        <v>119</v>
      </c>
      <c r="C89" s="291">
        <v>20562</v>
      </c>
      <c r="D89" s="291"/>
      <c r="E89" s="291"/>
      <c r="F89" s="291">
        <v>20562</v>
      </c>
      <c r="G89" s="291"/>
      <c r="H89" s="291"/>
      <c r="I89" s="291">
        <f t="shared" si="1"/>
        <v>0</v>
      </c>
      <c r="J89" s="291">
        <v>0</v>
      </c>
      <c r="K89" s="291">
        <v>0</v>
      </c>
    </row>
    <row r="90" spans="1:11" ht="24" customHeight="1" x14ac:dyDescent="0.2">
      <c r="A90" s="289">
        <v>79</v>
      </c>
      <c r="B90" s="302" t="s">
        <v>85</v>
      </c>
      <c r="C90" s="291">
        <v>30217</v>
      </c>
      <c r="D90" s="291"/>
      <c r="E90" s="291"/>
      <c r="F90" s="291">
        <v>30217</v>
      </c>
      <c r="G90" s="291"/>
      <c r="H90" s="291"/>
      <c r="I90" s="291">
        <f t="shared" si="1"/>
        <v>0</v>
      </c>
      <c r="J90" s="291">
        <v>0</v>
      </c>
      <c r="K90" s="291">
        <v>0</v>
      </c>
    </row>
    <row r="91" spans="1:11" ht="10.5" customHeight="1" x14ac:dyDescent="0.2">
      <c r="A91" s="289">
        <v>80</v>
      </c>
      <c r="B91" s="302" t="s">
        <v>61</v>
      </c>
      <c r="C91" s="291">
        <v>96170</v>
      </c>
      <c r="D91" s="291"/>
      <c r="E91" s="291"/>
      <c r="F91" s="291"/>
      <c r="G91" s="291"/>
      <c r="H91" s="291"/>
      <c r="I91" s="291">
        <f t="shared" si="1"/>
        <v>96170</v>
      </c>
      <c r="J91" s="291">
        <v>23465</v>
      </c>
      <c r="K91" s="291">
        <v>72705</v>
      </c>
    </row>
    <row r="92" spans="1:11" ht="10.5" customHeight="1" x14ac:dyDescent="0.2">
      <c r="A92" s="289">
        <v>81</v>
      </c>
      <c r="B92" s="302" t="s">
        <v>62</v>
      </c>
      <c r="C92" s="291">
        <v>55649</v>
      </c>
      <c r="D92" s="291"/>
      <c r="E92" s="291"/>
      <c r="F92" s="291"/>
      <c r="G92" s="291"/>
      <c r="H92" s="291"/>
      <c r="I92" s="291">
        <f t="shared" si="1"/>
        <v>55649</v>
      </c>
      <c r="J92" s="291">
        <v>14914</v>
      </c>
      <c r="K92" s="291">
        <v>40735</v>
      </c>
    </row>
    <row r="93" spans="1:11" ht="10.5" customHeight="1" x14ac:dyDescent="0.2">
      <c r="A93" s="289">
        <v>82</v>
      </c>
      <c r="B93" s="302" t="s">
        <v>63</v>
      </c>
      <c r="C93" s="291">
        <v>66647</v>
      </c>
      <c r="D93" s="291">
        <v>4356</v>
      </c>
      <c r="E93" s="291"/>
      <c r="F93" s="291"/>
      <c r="G93" s="291"/>
      <c r="H93" s="291"/>
      <c r="I93" s="291">
        <f t="shared" si="1"/>
        <v>62291</v>
      </c>
      <c r="J93" s="291">
        <v>17753</v>
      </c>
      <c r="K93" s="291">
        <v>44538</v>
      </c>
    </row>
    <row r="94" spans="1:11" ht="10.5" customHeight="1" x14ac:dyDescent="0.2">
      <c r="A94" s="289">
        <v>83</v>
      </c>
      <c r="B94" s="302" t="s">
        <v>64</v>
      </c>
      <c r="C94" s="291">
        <v>40342</v>
      </c>
      <c r="D94" s="291"/>
      <c r="E94" s="291"/>
      <c r="F94" s="291"/>
      <c r="G94" s="291"/>
      <c r="H94" s="291"/>
      <c r="I94" s="291">
        <f t="shared" si="1"/>
        <v>40342</v>
      </c>
      <c r="J94" s="291">
        <v>10650</v>
      </c>
      <c r="K94" s="291">
        <v>29692</v>
      </c>
    </row>
    <row r="95" spans="1:11" ht="10.5" customHeight="1" x14ac:dyDescent="0.2">
      <c r="A95" s="289">
        <v>84</v>
      </c>
      <c r="B95" s="302" t="s">
        <v>65</v>
      </c>
      <c r="C95" s="291">
        <v>127606</v>
      </c>
      <c r="D95" s="291">
        <v>6373</v>
      </c>
      <c r="E95" s="291"/>
      <c r="F95" s="291"/>
      <c r="G95" s="291"/>
      <c r="H95" s="291"/>
      <c r="I95" s="291">
        <f t="shared" si="1"/>
        <v>121233</v>
      </c>
      <c r="J95" s="291">
        <v>30793</v>
      </c>
      <c r="K95" s="291">
        <v>90440</v>
      </c>
    </row>
    <row r="96" spans="1:11" ht="10.5" customHeight="1" x14ac:dyDescent="0.2">
      <c r="A96" s="289">
        <v>85</v>
      </c>
      <c r="B96" s="302" t="s">
        <v>66</v>
      </c>
      <c r="C96" s="291">
        <v>61795</v>
      </c>
      <c r="D96" s="291"/>
      <c r="E96" s="291"/>
      <c r="F96" s="291"/>
      <c r="G96" s="291"/>
      <c r="H96" s="291"/>
      <c r="I96" s="291">
        <f t="shared" si="1"/>
        <v>61795</v>
      </c>
      <c r="J96" s="291">
        <v>20949</v>
      </c>
      <c r="K96" s="291">
        <v>40846</v>
      </c>
    </row>
    <row r="97" spans="1:11" ht="10.5" customHeight="1" x14ac:dyDescent="0.2">
      <c r="A97" s="289">
        <v>86</v>
      </c>
      <c r="B97" s="302" t="s">
        <v>67</v>
      </c>
      <c r="C97" s="291">
        <v>61401</v>
      </c>
      <c r="D97" s="291"/>
      <c r="E97" s="291"/>
      <c r="F97" s="291"/>
      <c r="G97" s="291"/>
      <c r="H97" s="291"/>
      <c r="I97" s="291">
        <f t="shared" si="1"/>
        <v>61401</v>
      </c>
      <c r="J97" s="291">
        <v>17683</v>
      </c>
      <c r="K97" s="291">
        <v>43718</v>
      </c>
    </row>
    <row r="98" spans="1:11" ht="10.5" customHeight="1" x14ac:dyDescent="0.2">
      <c r="A98" s="289">
        <v>87</v>
      </c>
      <c r="B98" s="302" t="s">
        <v>68</v>
      </c>
      <c r="C98" s="291">
        <v>35865</v>
      </c>
      <c r="D98" s="291"/>
      <c r="E98" s="291"/>
      <c r="F98" s="291"/>
      <c r="G98" s="291"/>
      <c r="H98" s="291"/>
      <c r="I98" s="291">
        <f t="shared" si="1"/>
        <v>35865</v>
      </c>
      <c r="J98" s="291">
        <v>11190</v>
      </c>
      <c r="K98" s="291">
        <v>24675</v>
      </c>
    </row>
    <row r="99" spans="1:11" ht="10.5" customHeight="1" x14ac:dyDescent="0.2">
      <c r="A99" s="289">
        <v>88</v>
      </c>
      <c r="B99" s="302" t="s">
        <v>69</v>
      </c>
      <c r="C99" s="291">
        <v>127655</v>
      </c>
      <c r="D99" s="291">
        <v>6031</v>
      </c>
      <c r="E99" s="291"/>
      <c r="F99" s="291"/>
      <c r="G99" s="291"/>
      <c r="H99" s="291"/>
      <c r="I99" s="291">
        <f t="shared" si="1"/>
        <v>121624</v>
      </c>
      <c r="J99" s="291">
        <v>29311</v>
      </c>
      <c r="K99" s="291">
        <v>92313</v>
      </c>
    </row>
    <row r="100" spans="1:11" ht="10.5" customHeight="1" x14ac:dyDescent="0.2">
      <c r="A100" s="289">
        <v>89</v>
      </c>
      <c r="B100" s="302" t="s">
        <v>70</v>
      </c>
      <c r="C100" s="291">
        <v>47341</v>
      </c>
      <c r="D100" s="291"/>
      <c r="E100" s="291"/>
      <c r="F100" s="291"/>
      <c r="G100" s="291"/>
      <c r="H100" s="291"/>
      <c r="I100" s="291">
        <f t="shared" si="1"/>
        <v>47341</v>
      </c>
      <c r="J100" s="291">
        <v>13398</v>
      </c>
      <c r="K100" s="291">
        <v>33943</v>
      </c>
    </row>
    <row r="101" spans="1:11" ht="10.5" customHeight="1" x14ac:dyDescent="0.2">
      <c r="A101" s="289">
        <v>90</v>
      </c>
      <c r="B101" s="302" t="s">
        <v>71</v>
      </c>
      <c r="C101" s="291">
        <v>46111</v>
      </c>
      <c r="D101" s="291"/>
      <c r="E101" s="291"/>
      <c r="F101" s="291"/>
      <c r="G101" s="291"/>
      <c r="H101" s="291"/>
      <c r="I101" s="291">
        <f t="shared" si="1"/>
        <v>46111</v>
      </c>
      <c r="J101" s="291">
        <v>16600</v>
      </c>
      <c r="K101" s="291">
        <v>29511</v>
      </c>
    </row>
    <row r="102" spans="1:11" ht="12.75" customHeight="1" x14ac:dyDescent="0.2">
      <c r="A102" s="289">
        <v>91</v>
      </c>
      <c r="B102" s="302" t="s">
        <v>120</v>
      </c>
      <c r="C102" s="291">
        <v>17957</v>
      </c>
      <c r="D102" s="291"/>
      <c r="E102" s="291"/>
      <c r="F102" s="291">
        <v>17957</v>
      </c>
      <c r="G102" s="291"/>
      <c r="H102" s="291"/>
      <c r="I102" s="291">
        <f t="shared" si="1"/>
        <v>0</v>
      </c>
      <c r="J102" s="291">
        <v>0</v>
      </c>
      <c r="K102" s="291">
        <v>0</v>
      </c>
    </row>
    <row r="103" spans="1:11" ht="14.25" customHeight="1" x14ac:dyDescent="0.2">
      <c r="A103" s="289">
        <v>92</v>
      </c>
      <c r="B103" s="302" t="s">
        <v>86</v>
      </c>
      <c r="C103" s="291">
        <v>20651</v>
      </c>
      <c r="D103" s="291"/>
      <c r="E103" s="291"/>
      <c r="F103" s="291">
        <v>20651</v>
      </c>
      <c r="G103" s="291"/>
      <c r="H103" s="291"/>
      <c r="I103" s="291">
        <f t="shared" si="1"/>
        <v>0</v>
      </c>
      <c r="J103" s="291">
        <v>0</v>
      </c>
      <c r="K103" s="291">
        <v>0</v>
      </c>
    </row>
    <row r="104" spans="1:11" ht="13.5" customHeight="1" x14ac:dyDescent="0.2">
      <c r="A104" s="289">
        <v>93</v>
      </c>
      <c r="B104" s="302" t="s">
        <v>121</v>
      </c>
      <c r="C104" s="291">
        <v>23813</v>
      </c>
      <c r="D104" s="291"/>
      <c r="E104" s="291"/>
      <c r="F104" s="291">
        <v>23813</v>
      </c>
      <c r="G104" s="291"/>
      <c r="H104" s="291"/>
      <c r="I104" s="291">
        <f t="shared" si="1"/>
        <v>0</v>
      </c>
      <c r="J104" s="291">
        <v>0</v>
      </c>
      <c r="K104" s="291">
        <v>0</v>
      </c>
    </row>
    <row r="105" spans="1:11" ht="15" customHeight="1" x14ac:dyDescent="0.2">
      <c r="A105" s="289">
        <v>94</v>
      </c>
      <c r="B105" s="302" t="s">
        <v>122</v>
      </c>
      <c r="C105" s="291">
        <v>20088</v>
      </c>
      <c r="D105" s="291"/>
      <c r="E105" s="291"/>
      <c r="F105" s="291">
        <v>20088</v>
      </c>
      <c r="G105" s="291"/>
      <c r="H105" s="291"/>
      <c r="I105" s="291">
        <f t="shared" si="1"/>
        <v>0</v>
      </c>
      <c r="J105" s="291">
        <v>0</v>
      </c>
      <c r="K105" s="291">
        <v>0</v>
      </c>
    </row>
    <row r="106" spans="1:11" ht="15.75" customHeight="1" x14ac:dyDescent="0.2">
      <c r="A106" s="289">
        <v>95</v>
      </c>
      <c r="B106" s="302" t="s">
        <v>123</v>
      </c>
      <c r="C106" s="291">
        <v>28711</v>
      </c>
      <c r="D106" s="291"/>
      <c r="E106" s="291"/>
      <c r="F106" s="291">
        <v>28711</v>
      </c>
      <c r="G106" s="291"/>
      <c r="H106" s="291"/>
      <c r="I106" s="291">
        <f t="shared" si="1"/>
        <v>0</v>
      </c>
      <c r="J106" s="291">
        <v>0</v>
      </c>
      <c r="K106" s="291">
        <v>0</v>
      </c>
    </row>
    <row r="107" spans="1:11" ht="15.75" customHeight="1" x14ac:dyDescent="0.2">
      <c r="A107" s="289">
        <v>96</v>
      </c>
      <c r="B107" s="302" t="s">
        <v>124</v>
      </c>
      <c r="C107" s="291">
        <v>18306</v>
      </c>
      <c r="D107" s="291"/>
      <c r="E107" s="291"/>
      <c r="F107" s="291">
        <v>18306</v>
      </c>
      <c r="G107" s="291"/>
      <c r="H107" s="291"/>
      <c r="I107" s="291">
        <f t="shared" si="1"/>
        <v>0</v>
      </c>
      <c r="J107" s="291">
        <v>0</v>
      </c>
      <c r="K107" s="291">
        <v>0</v>
      </c>
    </row>
    <row r="108" spans="1:11" ht="13.5" customHeight="1" x14ac:dyDescent="0.2">
      <c r="A108" s="289">
        <v>97</v>
      </c>
      <c r="B108" s="302" t="s">
        <v>125</v>
      </c>
      <c r="C108" s="291">
        <v>15447</v>
      </c>
      <c r="D108" s="291"/>
      <c r="E108" s="291"/>
      <c r="F108" s="291">
        <v>15447</v>
      </c>
      <c r="G108" s="291"/>
      <c r="H108" s="291"/>
      <c r="I108" s="291">
        <f t="shared" si="1"/>
        <v>0</v>
      </c>
      <c r="J108" s="291">
        <v>0</v>
      </c>
      <c r="K108" s="291">
        <v>0</v>
      </c>
    </row>
    <row r="109" spans="1:11" ht="10.5" customHeight="1" x14ac:dyDescent="0.2">
      <c r="A109" s="289">
        <v>98</v>
      </c>
      <c r="B109" s="302" t="s">
        <v>126</v>
      </c>
      <c r="C109" s="291">
        <v>119921</v>
      </c>
      <c r="D109" s="291"/>
      <c r="E109" s="291"/>
      <c r="F109" s="291"/>
      <c r="G109" s="291"/>
      <c r="H109" s="291">
        <v>1362</v>
      </c>
      <c r="I109" s="291">
        <f t="shared" si="1"/>
        <v>118559</v>
      </c>
      <c r="J109" s="291">
        <v>27387</v>
      </c>
      <c r="K109" s="291">
        <v>91172</v>
      </c>
    </row>
    <row r="110" spans="1:11" ht="10.5" customHeight="1" x14ac:dyDescent="0.2">
      <c r="A110" s="289">
        <v>99</v>
      </c>
      <c r="B110" s="302" t="s">
        <v>78</v>
      </c>
      <c r="C110" s="291">
        <v>77420</v>
      </c>
      <c r="D110" s="291"/>
      <c r="E110" s="291"/>
      <c r="F110" s="291"/>
      <c r="G110" s="291"/>
      <c r="H110" s="291">
        <v>3723</v>
      </c>
      <c r="I110" s="291">
        <f t="shared" si="1"/>
        <v>73697</v>
      </c>
      <c r="J110" s="291">
        <v>27120</v>
      </c>
      <c r="K110" s="291">
        <v>46577</v>
      </c>
    </row>
    <row r="111" spans="1:11" ht="10.5" customHeight="1" x14ac:dyDescent="0.2">
      <c r="A111" s="289">
        <v>100</v>
      </c>
      <c r="B111" s="302" t="s">
        <v>73</v>
      </c>
      <c r="C111" s="291">
        <v>65562</v>
      </c>
      <c r="D111" s="291"/>
      <c r="E111" s="291"/>
      <c r="F111" s="291"/>
      <c r="G111" s="291"/>
      <c r="H111" s="291"/>
      <c r="I111" s="291">
        <f t="shared" si="1"/>
        <v>65562</v>
      </c>
      <c r="J111" s="291">
        <v>13309</v>
      </c>
      <c r="K111" s="291">
        <v>52253</v>
      </c>
    </row>
    <row r="112" spans="1:11" ht="10.5" customHeight="1" x14ac:dyDescent="0.2">
      <c r="A112" s="289">
        <v>101</v>
      </c>
      <c r="B112" s="302" t="s">
        <v>72</v>
      </c>
      <c r="C112" s="291">
        <v>38645</v>
      </c>
      <c r="D112" s="291"/>
      <c r="E112" s="291"/>
      <c r="F112" s="291"/>
      <c r="G112" s="291"/>
      <c r="H112" s="291"/>
      <c r="I112" s="291">
        <f t="shared" si="1"/>
        <v>38645</v>
      </c>
      <c r="J112" s="291">
        <v>11516</v>
      </c>
      <c r="K112" s="291">
        <v>27129</v>
      </c>
    </row>
    <row r="113" spans="1:11" ht="10.5" customHeight="1" x14ac:dyDescent="0.2">
      <c r="A113" s="289">
        <v>102</v>
      </c>
      <c r="B113" s="302" t="s">
        <v>74</v>
      </c>
      <c r="C113" s="291">
        <v>17815</v>
      </c>
      <c r="D113" s="291"/>
      <c r="E113" s="291"/>
      <c r="F113" s="291"/>
      <c r="G113" s="291"/>
      <c r="H113" s="291">
        <v>4025</v>
      </c>
      <c r="I113" s="291">
        <f t="shared" si="1"/>
        <v>13790</v>
      </c>
      <c r="J113" s="291">
        <v>3227</v>
      </c>
      <c r="K113" s="291">
        <v>10563</v>
      </c>
    </row>
    <row r="114" spans="1:11" ht="10.5" customHeight="1" x14ac:dyDescent="0.2">
      <c r="A114" s="289">
        <v>103</v>
      </c>
      <c r="B114" s="302" t="s">
        <v>75</v>
      </c>
      <c r="C114" s="291">
        <f>I114</f>
        <v>5383</v>
      </c>
      <c r="D114" s="291"/>
      <c r="E114" s="291"/>
      <c r="F114" s="291"/>
      <c r="G114" s="291"/>
      <c r="H114" s="291"/>
      <c r="I114" s="291">
        <f t="shared" si="1"/>
        <v>5383</v>
      </c>
      <c r="J114" s="291">
        <f>10238-8532</f>
        <v>1706</v>
      </c>
      <c r="K114" s="291">
        <f>22060-18383</f>
        <v>3677</v>
      </c>
    </row>
    <row r="115" spans="1:11" ht="36" customHeight="1" x14ac:dyDescent="0.2">
      <c r="A115" s="550">
        <v>104</v>
      </c>
      <c r="B115" s="302" t="s">
        <v>450</v>
      </c>
      <c r="C115" s="291">
        <f>I115</f>
        <v>26915</v>
      </c>
      <c r="D115" s="291"/>
      <c r="E115" s="291"/>
      <c r="F115" s="291"/>
      <c r="G115" s="291"/>
      <c r="H115" s="291"/>
      <c r="I115" s="291">
        <f>J115+K115</f>
        <v>26915</v>
      </c>
      <c r="J115" s="291">
        <v>8532</v>
      </c>
      <c r="K115" s="291">
        <v>18383</v>
      </c>
    </row>
    <row r="116" spans="1:11" ht="10.5" customHeight="1" x14ac:dyDescent="0.2">
      <c r="A116" s="551"/>
      <c r="B116" s="302" t="s">
        <v>76</v>
      </c>
      <c r="C116" s="291">
        <v>199146</v>
      </c>
      <c r="D116" s="291"/>
      <c r="E116" s="291">
        <v>6804</v>
      </c>
      <c r="F116" s="291"/>
      <c r="G116" s="291"/>
      <c r="H116" s="291"/>
      <c r="I116" s="291">
        <f t="shared" si="1"/>
        <v>192342</v>
      </c>
      <c r="J116" s="291">
        <v>61549</v>
      </c>
      <c r="K116" s="291">
        <v>130793</v>
      </c>
    </row>
    <row r="117" spans="1:11" ht="10.5" customHeight="1" x14ac:dyDescent="0.2">
      <c r="A117" s="289">
        <v>105</v>
      </c>
      <c r="B117" s="302" t="s">
        <v>79</v>
      </c>
      <c r="C117" s="291">
        <v>57276</v>
      </c>
      <c r="D117" s="291"/>
      <c r="E117" s="291"/>
      <c r="F117" s="291"/>
      <c r="G117" s="291"/>
      <c r="H117" s="291"/>
      <c r="I117" s="291">
        <f t="shared" si="1"/>
        <v>57276</v>
      </c>
      <c r="J117" s="291">
        <v>12028</v>
      </c>
      <c r="K117" s="291">
        <v>45248</v>
      </c>
    </row>
    <row r="118" spans="1:11" ht="10.5" customHeight="1" x14ac:dyDescent="0.2">
      <c r="A118" s="289">
        <v>106</v>
      </c>
      <c r="B118" s="302" t="s">
        <v>77</v>
      </c>
      <c r="C118" s="291">
        <v>75310</v>
      </c>
      <c r="D118" s="291"/>
      <c r="E118" s="291"/>
      <c r="F118" s="291"/>
      <c r="G118" s="291"/>
      <c r="H118" s="291"/>
      <c r="I118" s="291">
        <f t="shared" si="1"/>
        <v>75310</v>
      </c>
      <c r="J118" s="291">
        <v>19581</v>
      </c>
      <c r="K118" s="291">
        <v>55729</v>
      </c>
    </row>
    <row r="119" spans="1:11" ht="10.5" customHeight="1" x14ac:dyDescent="0.2">
      <c r="A119" s="289">
        <v>107</v>
      </c>
      <c r="B119" s="302" t="s">
        <v>127</v>
      </c>
      <c r="C119" s="291">
        <v>34417</v>
      </c>
      <c r="D119" s="291"/>
      <c r="E119" s="291"/>
      <c r="F119" s="291">
        <v>34417</v>
      </c>
      <c r="G119" s="291"/>
      <c r="H119" s="291"/>
      <c r="I119" s="291">
        <f t="shared" si="1"/>
        <v>0</v>
      </c>
      <c r="J119" s="291">
        <v>0</v>
      </c>
      <c r="K119" s="291">
        <v>0</v>
      </c>
    </row>
    <row r="120" spans="1:11" ht="10.5" customHeight="1" x14ac:dyDescent="0.2">
      <c r="A120" s="550">
        <v>108</v>
      </c>
      <c r="B120" s="302" t="s">
        <v>87</v>
      </c>
      <c r="C120" s="291">
        <v>13204</v>
      </c>
      <c r="D120" s="291"/>
      <c r="E120" s="291"/>
      <c r="F120" s="291"/>
      <c r="G120" s="291"/>
      <c r="H120" s="291"/>
      <c r="I120" s="291">
        <f t="shared" si="1"/>
        <v>13204</v>
      </c>
      <c r="J120" s="291">
        <v>2799</v>
      </c>
      <c r="K120" s="291">
        <v>10405</v>
      </c>
    </row>
    <row r="121" spans="1:11" ht="26.25" customHeight="1" x14ac:dyDescent="0.2">
      <c r="A121" s="551"/>
      <c r="B121" s="304" t="s">
        <v>128</v>
      </c>
      <c r="C121" s="291">
        <v>4470</v>
      </c>
      <c r="D121" s="295"/>
      <c r="E121" s="295"/>
      <c r="F121" s="295">
        <v>4470</v>
      </c>
      <c r="G121" s="295"/>
      <c r="H121" s="295"/>
      <c r="I121" s="295">
        <f t="shared" si="1"/>
        <v>0</v>
      </c>
      <c r="J121" s="291">
        <v>0</v>
      </c>
      <c r="K121" s="291">
        <v>0</v>
      </c>
    </row>
    <row r="122" spans="1:11" ht="23.25" customHeight="1" x14ac:dyDescent="0.2">
      <c r="A122" s="289">
        <v>109</v>
      </c>
      <c r="B122" s="302" t="s">
        <v>129</v>
      </c>
      <c r="C122" s="291">
        <v>1341</v>
      </c>
      <c r="D122" s="291"/>
      <c r="E122" s="291"/>
      <c r="F122" s="291">
        <v>1341</v>
      </c>
      <c r="G122" s="291"/>
      <c r="H122" s="291"/>
      <c r="I122" s="291">
        <f t="shared" si="1"/>
        <v>0</v>
      </c>
      <c r="J122" s="291">
        <v>0</v>
      </c>
      <c r="K122" s="291">
        <v>0</v>
      </c>
    </row>
    <row r="123" spans="1:11" ht="10.5" customHeight="1" x14ac:dyDescent="0.2">
      <c r="A123" s="289">
        <v>110</v>
      </c>
      <c r="B123" s="292" t="s">
        <v>130</v>
      </c>
      <c r="C123" s="291">
        <v>8084</v>
      </c>
      <c r="D123" s="291"/>
      <c r="E123" s="291"/>
      <c r="F123" s="291"/>
      <c r="G123" s="291"/>
      <c r="H123" s="291"/>
      <c r="I123" s="291">
        <f t="shared" si="1"/>
        <v>8084</v>
      </c>
      <c r="J123" s="291">
        <v>1819</v>
      </c>
      <c r="K123" s="291">
        <v>6265</v>
      </c>
    </row>
    <row r="124" spans="1:11" ht="10.5" customHeight="1" x14ac:dyDescent="0.2">
      <c r="A124" s="289">
        <v>111</v>
      </c>
      <c r="B124" s="290" t="s">
        <v>3</v>
      </c>
      <c r="C124" s="291">
        <v>29159</v>
      </c>
      <c r="D124" s="291"/>
      <c r="E124" s="291"/>
      <c r="F124" s="291"/>
      <c r="G124" s="291"/>
      <c r="H124" s="291"/>
      <c r="I124" s="291">
        <f t="shared" si="1"/>
        <v>29159</v>
      </c>
      <c r="J124" s="291">
        <v>8864</v>
      </c>
      <c r="K124" s="291">
        <v>20295</v>
      </c>
    </row>
    <row r="125" spans="1:11" ht="10.5" customHeight="1" x14ac:dyDescent="0.2">
      <c r="A125" s="289">
        <v>112</v>
      </c>
      <c r="B125" s="292" t="s">
        <v>10</v>
      </c>
      <c r="C125" s="291">
        <v>30564</v>
      </c>
      <c r="D125" s="291"/>
      <c r="E125" s="291"/>
      <c r="F125" s="291"/>
      <c r="G125" s="291"/>
      <c r="H125" s="291"/>
      <c r="I125" s="291">
        <f t="shared" si="1"/>
        <v>30564</v>
      </c>
      <c r="J125" s="291">
        <v>9108</v>
      </c>
      <c r="K125" s="291">
        <v>21456</v>
      </c>
    </row>
    <row r="126" spans="1:11" ht="11.25" customHeight="1" x14ac:dyDescent="0.2">
      <c r="A126" s="289">
        <v>113</v>
      </c>
      <c r="B126" s="290" t="s">
        <v>15</v>
      </c>
      <c r="C126" s="291">
        <v>81042</v>
      </c>
      <c r="D126" s="291"/>
      <c r="E126" s="291"/>
      <c r="F126" s="291"/>
      <c r="G126" s="291"/>
      <c r="H126" s="291"/>
      <c r="I126" s="291">
        <f t="shared" si="1"/>
        <v>81042</v>
      </c>
      <c r="J126" s="291">
        <v>19774</v>
      </c>
      <c r="K126" s="291">
        <v>61268</v>
      </c>
    </row>
    <row r="127" spans="1:11" ht="10.5" customHeight="1" x14ac:dyDescent="0.2">
      <c r="A127" s="289">
        <v>114</v>
      </c>
      <c r="B127" s="292" t="s">
        <v>39</v>
      </c>
      <c r="C127" s="291">
        <v>36702</v>
      </c>
      <c r="D127" s="291"/>
      <c r="E127" s="291"/>
      <c r="F127" s="291"/>
      <c r="G127" s="291"/>
      <c r="H127" s="291"/>
      <c r="I127" s="291">
        <f t="shared" si="1"/>
        <v>36702</v>
      </c>
      <c r="J127" s="291">
        <v>8698</v>
      </c>
      <c r="K127" s="291">
        <v>28004</v>
      </c>
    </row>
    <row r="128" spans="1:11" ht="10.5" customHeight="1" x14ac:dyDescent="0.2">
      <c r="A128" s="289">
        <v>115</v>
      </c>
      <c r="B128" s="292" t="s">
        <v>16</v>
      </c>
      <c r="C128" s="291">
        <f>45069-150</f>
        <v>44919</v>
      </c>
      <c r="D128" s="291"/>
      <c r="E128" s="291"/>
      <c r="F128" s="291"/>
      <c r="G128" s="291"/>
      <c r="H128" s="291"/>
      <c r="I128" s="291">
        <f t="shared" si="1"/>
        <v>44919</v>
      </c>
      <c r="J128" s="291">
        <f>10817-150</f>
        <v>10667</v>
      </c>
      <c r="K128" s="291">
        <v>34252</v>
      </c>
    </row>
    <row r="129" spans="1:11" ht="10.5" customHeight="1" x14ac:dyDescent="0.2">
      <c r="A129" s="289">
        <v>116</v>
      </c>
      <c r="B129" s="290" t="s">
        <v>27</v>
      </c>
      <c r="C129" s="291">
        <v>87998</v>
      </c>
      <c r="D129" s="291"/>
      <c r="E129" s="291"/>
      <c r="F129" s="291"/>
      <c r="G129" s="291"/>
      <c r="H129" s="291"/>
      <c r="I129" s="291">
        <f t="shared" si="1"/>
        <v>87998</v>
      </c>
      <c r="J129" s="291">
        <v>27015</v>
      </c>
      <c r="K129" s="291">
        <v>60983</v>
      </c>
    </row>
    <row r="130" spans="1:11" ht="10.5" customHeight="1" x14ac:dyDescent="0.2">
      <c r="A130" s="289">
        <v>117</v>
      </c>
      <c r="B130" s="290" t="s">
        <v>32</v>
      </c>
      <c r="C130" s="291">
        <v>77146</v>
      </c>
      <c r="D130" s="291"/>
      <c r="E130" s="291"/>
      <c r="F130" s="291"/>
      <c r="G130" s="291"/>
      <c r="H130" s="291"/>
      <c r="I130" s="291">
        <f t="shared" si="1"/>
        <v>77146</v>
      </c>
      <c r="J130" s="291">
        <v>16201</v>
      </c>
      <c r="K130" s="291">
        <v>60945</v>
      </c>
    </row>
    <row r="131" spans="1:11" ht="10.5" customHeight="1" x14ac:dyDescent="0.2">
      <c r="A131" s="289">
        <v>118</v>
      </c>
      <c r="B131" s="292" t="s">
        <v>33</v>
      </c>
      <c r="C131" s="291">
        <v>27502</v>
      </c>
      <c r="D131" s="291"/>
      <c r="E131" s="291"/>
      <c r="F131" s="291"/>
      <c r="G131" s="291"/>
      <c r="H131" s="291"/>
      <c r="I131" s="291">
        <f t="shared" si="1"/>
        <v>27502</v>
      </c>
      <c r="J131" s="291">
        <v>7426</v>
      </c>
      <c r="K131" s="291">
        <v>20076</v>
      </c>
    </row>
    <row r="132" spans="1:11" ht="10.5" customHeight="1" x14ac:dyDescent="0.2">
      <c r="A132" s="289">
        <v>119</v>
      </c>
      <c r="B132" s="290" t="s">
        <v>36</v>
      </c>
      <c r="C132" s="291">
        <v>42848</v>
      </c>
      <c r="D132" s="291"/>
      <c r="E132" s="291"/>
      <c r="F132" s="291"/>
      <c r="G132" s="291"/>
      <c r="H132" s="291"/>
      <c r="I132" s="291">
        <f t="shared" si="1"/>
        <v>42848</v>
      </c>
      <c r="J132" s="291">
        <v>8141</v>
      </c>
      <c r="K132" s="291">
        <v>34707</v>
      </c>
    </row>
    <row r="133" spans="1:11" ht="10.5" customHeight="1" x14ac:dyDescent="0.2">
      <c r="A133" s="289">
        <v>120</v>
      </c>
      <c r="B133" s="292" t="s">
        <v>43</v>
      </c>
      <c r="C133" s="291">
        <v>41611</v>
      </c>
      <c r="D133" s="291"/>
      <c r="E133" s="291"/>
      <c r="F133" s="291"/>
      <c r="G133" s="291"/>
      <c r="H133" s="291"/>
      <c r="I133" s="291">
        <f t="shared" si="1"/>
        <v>41611</v>
      </c>
      <c r="J133" s="291">
        <v>11818</v>
      </c>
      <c r="K133" s="291">
        <v>29793</v>
      </c>
    </row>
    <row r="134" spans="1:11" ht="10.5" customHeight="1" x14ac:dyDescent="0.2">
      <c r="A134" s="289">
        <v>121</v>
      </c>
      <c r="B134" s="292" t="s">
        <v>21</v>
      </c>
      <c r="C134" s="291">
        <v>50630</v>
      </c>
      <c r="D134" s="291">
        <v>2503</v>
      </c>
      <c r="E134" s="291"/>
      <c r="F134" s="291"/>
      <c r="G134" s="291"/>
      <c r="H134" s="291"/>
      <c r="I134" s="291">
        <f t="shared" si="1"/>
        <v>48127</v>
      </c>
      <c r="J134" s="291">
        <v>9481</v>
      </c>
      <c r="K134" s="291">
        <v>38646</v>
      </c>
    </row>
    <row r="135" spans="1:11" ht="10.5" customHeight="1" x14ac:dyDescent="0.2">
      <c r="A135" s="289">
        <v>122</v>
      </c>
      <c r="B135" s="290" t="s">
        <v>42</v>
      </c>
      <c r="C135" s="291">
        <v>31621</v>
      </c>
      <c r="D135" s="291"/>
      <c r="E135" s="291"/>
      <c r="F135" s="291"/>
      <c r="G135" s="291"/>
      <c r="H135" s="291"/>
      <c r="I135" s="291">
        <f t="shared" si="1"/>
        <v>31621</v>
      </c>
      <c r="J135" s="291">
        <v>8443</v>
      </c>
      <c r="K135" s="291">
        <v>23178</v>
      </c>
    </row>
    <row r="136" spans="1:11" ht="10.5" customHeight="1" x14ac:dyDescent="0.2">
      <c r="A136" s="289">
        <v>123</v>
      </c>
      <c r="B136" s="292" t="s">
        <v>50</v>
      </c>
      <c r="C136" s="291">
        <v>47183</v>
      </c>
      <c r="D136" s="291"/>
      <c r="E136" s="291"/>
      <c r="F136" s="291"/>
      <c r="G136" s="291"/>
      <c r="H136" s="291"/>
      <c r="I136" s="291">
        <f t="shared" si="1"/>
        <v>47183</v>
      </c>
      <c r="J136" s="291">
        <v>9861</v>
      </c>
      <c r="K136" s="291">
        <v>37322</v>
      </c>
    </row>
    <row r="137" spans="1:11" ht="10.5" customHeight="1" x14ac:dyDescent="0.2">
      <c r="A137" s="289">
        <v>124</v>
      </c>
      <c r="B137" s="292" t="s">
        <v>51</v>
      </c>
      <c r="C137" s="291">
        <v>79417</v>
      </c>
      <c r="D137" s="291"/>
      <c r="E137" s="291"/>
      <c r="F137" s="291"/>
      <c r="G137" s="291"/>
      <c r="H137" s="291"/>
      <c r="I137" s="291">
        <f t="shared" ref="I137:I168" si="2">J137+K137</f>
        <v>79417</v>
      </c>
      <c r="J137" s="291">
        <v>20648</v>
      </c>
      <c r="K137" s="291">
        <v>58769</v>
      </c>
    </row>
    <row r="138" spans="1:11" ht="10.5" customHeight="1" x14ac:dyDescent="0.2">
      <c r="A138" s="289">
        <v>125</v>
      </c>
      <c r="B138" s="292" t="s">
        <v>14</v>
      </c>
      <c r="C138" s="291">
        <v>37483</v>
      </c>
      <c r="D138" s="291"/>
      <c r="E138" s="291"/>
      <c r="F138" s="291"/>
      <c r="G138" s="291"/>
      <c r="H138" s="291"/>
      <c r="I138" s="291">
        <f t="shared" si="2"/>
        <v>37483</v>
      </c>
      <c r="J138" s="291">
        <v>7497</v>
      </c>
      <c r="K138" s="291">
        <v>29986</v>
      </c>
    </row>
    <row r="139" spans="1:11" ht="24" customHeight="1" x14ac:dyDescent="0.2">
      <c r="A139" s="289">
        <v>126</v>
      </c>
      <c r="B139" s="302" t="s">
        <v>533</v>
      </c>
      <c r="C139" s="291">
        <v>34894</v>
      </c>
      <c r="D139" s="291"/>
      <c r="E139" s="291"/>
      <c r="F139" s="291"/>
      <c r="G139" s="291"/>
      <c r="H139" s="291"/>
      <c r="I139" s="291">
        <f t="shared" si="2"/>
        <v>34894</v>
      </c>
      <c r="J139" s="291">
        <v>7991</v>
      </c>
      <c r="K139" s="291">
        <v>26903</v>
      </c>
    </row>
    <row r="140" spans="1:11" ht="10.5" customHeight="1" x14ac:dyDescent="0.2">
      <c r="A140" s="289">
        <v>127</v>
      </c>
      <c r="B140" s="305" t="s">
        <v>442</v>
      </c>
      <c r="C140" s="291">
        <v>1635</v>
      </c>
      <c r="D140" s="291"/>
      <c r="E140" s="291"/>
      <c r="F140" s="291"/>
      <c r="G140" s="291">
        <v>1635</v>
      </c>
      <c r="H140" s="291"/>
      <c r="I140" s="291">
        <f t="shared" si="2"/>
        <v>0</v>
      </c>
      <c r="J140" s="291">
        <v>0</v>
      </c>
      <c r="K140" s="291">
        <v>0</v>
      </c>
    </row>
    <row r="141" spans="1:11" s="307" customFormat="1" ht="10.5" customHeight="1" x14ac:dyDescent="0.2">
      <c r="A141" s="289">
        <v>128</v>
      </c>
      <c r="B141" s="302" t="s">
        <v>131</v>
      </c>
      <c r="C141" s="306">
        <f>150</f>
        <v>150</v>
      </c>
      <c r="D141" s="306"/>
      <c r="E141" s="306"/>
      <c r="F141" s="306">
        <v>150</v>
      </c>
      <c r="G141" s="306"/>
      <c r="H141" s="306"/>
      <c r="I141" s="306">
        <f t="shared" si="2"/>
        <v>0</v>
      </c>
      <c r="J141" s="306">
        <v>0</v>
      </c>
      <c r="K141" s="306">
        <v>0</v>
      </c>
    </row>
    <row r="142" spans="1:11" ht="10.5" customHeight="1" x14ac:dyDescent="0.2">
      <c r="A142" s="289">
        <v>129</v>
      </c>
      <c r="B142" s="292" t="s">
        <v>534</v>
      </c>
      <c r="C142" s="291">
        <v>113</v>
      </c>
      <c r="D142" s="291"/>
      <c r="E142" s="291"/>
      <c r="F142" s="291">
        <v>113</v>
      </c>
      <c r="G142" s="291"/>
      <c r="H142" s="291"/>
      <c r="I142" s="291">
        <f t="shared" si="2"/>
        <v>0</v>
      </c>
      <c r="J142" s="291">
        <v>0</v>
      </c>
      <c r="K142" s="291">
        <v>0</v>
      </c>
    </row>
    <row r="143" spans="1:11" ht="10.5" customHeight="1" x14ac:dyDescent="0.2">
      <c r="A143" s="289">
        <v>130</v>
      </c>
      <c r="B143" s="290" t="s">
        <v>132</v>
      </c>
      <c r="C143" s="291">
        <v>447</v>
      </c>
      <c r="D143" s="291"/>
      <c r="E143" s="291"/>
      <c r="F143" s="291">
        <v>447</v>
      </c>
      <c r="G143" s="291"/>
      <c r="H143" s="291"/>
      <c r="I143" s="291">
        <f t="shared" si="2"/>
        <v>0</v>
      </c>
      <c r="J143" s="291">
        <v>0</v>
      </c>
      <c r="K143" s="291">
        <v>0</v>
      </c>
    </row>
    <row r="144" spans="1:11" ht="10.5" customHeight="1" x14ac:dyDescent="0.2">
      <c r="A144" s="289">
        <v>131</v>
      </c>
      <c r="B144" s="292" t="s">
        <v>133</v>
      </c>
      <c r="C144" s="291">
        <v>56</v>
      </c>
      <c r="D144" s="291"/>
      <c r="E144" s="291"/>
      <c r="F144" s="291">
        <v>56</v>
      </c>
      <c r="G144" s="291"/>
      <c r="H144" s="291"/>
      <c r="I144" s="291">
        <f t="shared" si="2"/>
        <v>0</v>
      </c>
      <c r="J144" s="291">
        <v>0</v>
      </c>
      <c r="K144" s="291">
        <v>0</v>
      </c>
    </row>
    <row r="145" spans="1:11" s="299" customFormat="1" ht="12.75" customHeight="1" x14ac:dyDescent="0.2">
      <c r="A145" s="289">
        <v>132</v>
      </c>
      <c r="B145" s="302" t="s">
        <v>535</v>
      </c>
      <c r="C145" s="291">
        <v>7844</v>
      </c>
      <c r="D145" s="291"/>
      <c r="E145" s="291"/>
      <c r="F145" s="291"/>
      <c r="G145" s="291">
        <v>7844</v>
      </c>
      <c r="H145" s="291"/>
      <c r="I145" s="291">
        <f t="shared" si="2"/>
        <v>0</v>
      </c>
      <c r="J145" s="291">
        <v>0</v>
      </c>
      <c r="K145" s="291">
        <v>0</v>
      </c>
    </row>
    <row r="146" spans="1:11" s="308" customFormat="1" ht="12.75" customHeight="1" x14ac:dyDescent="0.2">
      <c r="A146" s="289">
        <v>133</v>
      </c>
      <c r="B146" s="292" t="s">
        <v>466</v>
      </c>
      <c r="C146" s="291">
        <v>31</v>
      </c>
      <c r="D146" s="291"/>
      <c r="E146" s="291"/>
      <c r="F146" s="291">
        <v>31</v>
      </c>
      <c r="G146" s="291"/>
      <c r="H146" s="291"/>
      <c r="I146" s="291">
        <f t="shared" si="2"/>
        <v>0</v>
      </c>
      <c r="J146" s="291">
        <v>0</v>
      </c>
      <c r="K146" s="291">
        <v>0</v>
      </c>
    </row>
    <row r="147" spans="1:11" x14ac:dyDescent="0.2">
      <c r="A147" s="289">
        <v>134</v>
      </c>
      <c r="B147" s="292" t="s">
        <v>536</v>
      </c>
      <c r="C147" s="291">
        <f>F147</f>
        <v>0</v>
      </c>
      <c r="D147" s="291"/>
      <c r="E147" s="291"/>
      <c r="F147" s="291">
        <f>31-31</f>
        <v>0</v>
      </c>
      <c r="G147" s="291"/>
      <c r="H147" s="291"/>
      <c r="I147" s="291">
        <f t="shared" si="2"/>
        <v>0</v>
      </c>
      <c r="J147" s="291">
        <v>0</v>
      </c>
      <c r="K147" s="291">
        <v>0</v>
      </c>
    </row>
    <row r="148" spans="1:11" x14ac:dyDescent="0.2">
      <c r="A148" s="289">
        <v>135</v>
      </c>
      <c r="B148" s="292" t="s">
        <v>134</v>
      </c>
      <c r="C148" s="291">
        <v>288</v>
      </c>
      <c r="D148" s="291"/>
      <c r="E148" s="291"/>
      <c r="F148" s="291">
        <v>288</v>
      </c>
      <c r="G148" s="291"/>
      <c r="H148" s="291"/>
      <c r="I148" s="291">
        <f t="shared" si="2"/>
        <v>0</v>
      </c>
      <c r="J148" s="291">
        <v>0</v>
      </c>
      <c r="K148" s="291">
        <v>0</v>
      </c>
    </row>
    <row r="149" spans="1:11" x14ac:dyDescent="0.2">
      <c r="A149" s="289">
        <v>136</v>
      </c>
      <c r="B149" s="292" t="s">
        <v>537</v>
      </c>
      <c r="C149" s="291">
        <v>760</v>
      </c>
      <c r="D149" s="291"/>
      <c r="E149" s="291"/>
      <c r="F149" s="291"/>
      <c r="G149" s="291">
        <v>760</v>
      </c>
      <c r="H149" s="291"/>
      <c r="I149" s="291">
        <f t="shared" si="2"/>
        <v>0</v>
      </c>
      <c r="J149" s="291">
        <v>0</v>
      </c>
      <c r="K149" s="291">
        <v>0</v>
      </c>
    </row>
    <row r="150" spans="1:11" x14ac:dyDescent="0.2">
      <c r="A150" s="289">
        <v>137</v>
      </c>
      <c r="B150" s="292" t="s">
        <v>470</v>
      </c>
      <c r="C150" s="291">
        <v>31</v>
      </c>
      <c r="D150" s="291"/>
      <c r="E150" s="291"/>
      <c r="F150" s="291">
        <v>31</v>
      </c>
      <c r="G150" s="291"/>
      <c r="H150" s="291"/>
      <c r="I150" s="291">
        <f t="shared" si="2"/>
        <v>0</v>
      </c>
      <c r="J150" s="291">
        <v>0</v>
      </c>
      <c r="K150" s="291">
        <v>0</v>
      </c>
    </row>
    <row r="151" spans="1:11" x14ac:dyDescent="0.2">
      <c r="A151" s="289">
        <v>138</v>
      </c>
      <c r="B151" s="292" t="s">
        <v>135</v>
      </c>
      <c r="C151" s="291">
        <f>F151</f>
        <v>0</v>
      </c>
      <c r="D151" s="291"/>
      <c r="E151" s="291"/>
      <c r="F151" s="291">
        <f>113-113</f>
        <v>0</v>
      </c>
      <c r="G151" s="291"/>
      <c r="H151" s="291"/>
      <c r="I151" s="291"/>
      <c r="J151" s="291"/>
      <c r="K151" s="291"/>
    </row>
    <row r="152" spans="1:11" x14ac:dyDescent="0.2">
      <c r="A152" s="289">
        <v>139</v>
      </c>
      <c r="B152" s="292" t="s">
        <v>538</v>
      </c>
      <c r="C152" s="291">
        <v>25</v>
      </c>
      <c r="D152" s="291"/>
      <c r="E152" s="291"/>
      <c r="F152" s="291">
        <v>25</v>
      </c>
      <c r="G152" s="291"/>
      <c r="H152" s="291"/>
      <c r="I152" s="291"/>
      <c r="J152" s="291"/>
      <c r="K152" s="291"/>
    </row>
    <row r="153" spans="1:11" x14ac:dyDescent="0.2">
      <c r="A153" s="289">
        <v>140</v>
      </c>
      <c r="B153" s="292" t="s">
        <v>539</v>
      </c>
      <c r="C153" s="291">
        <v>2976</v>
      </c>
      <c r="D153" s="291"/>
      <c r="E153" s="291"/>
      <c r="F153" s="291"/>
      <c r="G153" s="291">
        <v>2976</v>
      </c>
      <c r="H153" s="291"/>
      <c r="I153" s="291">
        <f t="shared" si="2"/>
        <v>0</v>
      </c>
      <c r="J153" s="291">
        <v>0</v>
      </c>
      <c r="K153" s="291">
        <v>0</v>
      </c>
    </row>
    <row r="154" spans="1:11" s="309" customFormat="1" ht="14.25" customHeight="1" x14ac:dyDescent="0.25">
      <c r="A154" s="289">
        <v>141</v>
      </c>
      <c r="B154" s="292" t="s">
        <v>136</v>
      </c>
      <c r="C154" s="306">
        <f>0+113</f>
        <v>113</v>
      </c>
      <c r="D154" s="306"/>
      <c r="E154" s="306"/>
      <c r="F154" s="306">
        <v>113</v>
      </c>
      <c r="G154" s="306"/>
      <c r="H154" s="306"/>
      <c r="I154" s="306">
        <f t="shared" si="2"/>
        <v>0</v>
      </c>
      <c r="J154" s="306">
        <v>0</v>
      </c>
      <c r="K154" s="306">
        <v>0</v>
      </c>
    </row>
    <row r="155" spans="1:11" s="309" customFormat="1" ht="15.75" customHeight="1" x14ac:dyDescent="0.25">
      <c r="A155" s="289">
        <v>142</v>
      </c>
      <c r="B155" s="292" t="s">
        <v>137</v>
      </c>
      <c r="C155" s="306">
        <f>0+113</f>
        <v>113</v>
      </c>
      <c r="D155" s="306"/>
      <c r="E155" s="306"/>
      <c r="F155" s="306">
        <v>113</v>
      </c>
      <c r="G155" s="306"/>
      <c r="H155" s="306"/>
      <c r="I155" s="306">
        <f t="shared" si="2"/>
        <v>0</v>
      </c>
      <c r="J155" s="306">
        <v>0</v>
      </c>
      <c r="K155" s="306">
        <v>0</v>
      </c>
    </row>
    <row r="156" spans="1:11" s="307" customFormat="1" x14ac:dyDescent="0.2">
      <c r="A156" s="289">
        <v>143</v>
      </c>
      <c r="B156" s="292" t="s">
        <v>138</v>
      </c>
      <c r="C156" s="306">
        <f>0+113</f>
        <v>113</v>
      </c>
      <c r="D156" s="306"/>
      <c r="E156" s="306"/>
      <c r="F156" s="306">
        <v>113</v>
      </c>
      <c r="G156" s="306"/>
      <c r="H156" s="306"/>
      <c r="I156" s="306">
        <f t="shared" si="2"/>
        <v>0</v>
      </c>
      <c r="J156" s="306">
        <v>0</v>
      </c>
      <c r="K156" s="306">
        <v>0</v>
      </c>
    </row>
    <row r="157" spans="1:11" x14ac:dyDescent="0.2">
      <c r="A157" s="289">
        <v>144</v>
      </c>
      <c r="B157" s="292" t="s">
        <v>444</v>
      </c>
      <c r="C157" s="291">
        <v>192</v>
      </c>
      <c r="D157" s="291"/>
      <c r="E157" s="291"/>
      <c r="F157" s="291"/>
      <c r="G157" s="291">
        <v>192</v>
      </c>
      <c r="H157" s="291"/>
      <c r="I157" s="291"/>
      <c r="J157" s="291"/>
      <c r="K157" s="291"/>
    </row>
    <row r="158" spans="1:11" x14ac:dyDescent="0.2">
      <c r="A158" s="289">
        <v>145</v>
      </c>
      <c r="B158" s="292" t="s">
        <v>139</v>
      </c>
      <c r="C158" s="291">
        <v>764</v>
      </c>
      <c r="D158" s="291"/>
      <c r="E158" s="291"/>
      <c r="F158" s="291"/>
      <c r="G158" s="291">
        <v>764</v>
      </c>
      <c r="H158" s="291"/>
      <c r="I158" s="291">
        <f t="shared" si="2"/>
        <v>0</v>
      </c>
      <c r="J158" s="291">
        <v>0</v>
      </c>
      <c r="K158" s="291">
        <v>0</v>
      </c>
    </row>
    <row r="159" spans="1:11" x14ac:dyDescent="0.2">
      <c r="A159" s="289">
        <v>146</v>
      </c>
      <c r="B159" s="292" t="s">
        <v>88</v>
      </c>
      <c r="C159" s="291">
        <v>1932</v>
      </c>
      <c r="D159" s="291"/>
      <c r="E159" s="291"/>
      <c r="F159" s="291"/>
      <c r="G159" s="291">
        <v>183</v>
      </c>
      <c r="H159" s="291">
        <v>1749</v>
      </c>
      <c r="I159" s="291">
        <f t="shared" si="2"/>
        <v>0</v>
      </c>
      <c r="J159" s="291">
        <v>0</v>
      </c>
      <c r="K159" s="291">
        <v>0</v>
      </c>
    </row>
    <row r="160" spans="1:11" x14ac:dyDescent="0.2">
      <c r="A160" s="289">
        <v>147</v>
      </c>
      <c r="B160" s="292" t="s">
        <v>140</v>
      </c>
      <c r="C160" s="291">
        <v>23691</v>
      </c>
      <c r="D160" s="291"/>
      <c r="E160" s="291"/>
      <c r="F160" s="291">
        <v>23691</v>
      </c>
      <c r="G160" s="291"/>
      <c r="H160" s="291"/>
      <c r="I160" s="291">
        <f t="shared" si="2"/>
        <v>0</v>
      </c>
      <c r="J160" s="291">
        <v>0</v>
      </c>
      <c r="K160" s="291">
        <v>0</v>
      </c>
    </row>
    <row r="161" spans="1:11" x14ac:dyDescent="0.2">
      <c r="A161" s="289">
        <v>148</v>
      </c>
      <c r="B161" s="292" t="s">
        <v>141</v>
      </c>
      <c r="C161" s="291">
        <v>35562</v>
      </c>
      <c r="D161" s="291"/>
      <c r="E161" s="291"/>
      <c r="F161" s="291">
        <v>35562</v>
      </c>
      <c r="G161" s="291"/>
      <c r="H161" s="291"/>
      <c r="I161" s="291">
        <f t="shared" si="2"/>
        <v>0</v>
      </c>
      <c r="J161" s="291">
        <v>0</v>
      </c>
      <c r="K161" s="291">
        <v>0</v>
      </c>
    </row>
    <row r="162" spans="1:11" x14ac:dyDescent="0.2">
      <c r="A162" s="289">
        <v>149</v>
      </c>
      <c r="B162" s="292" t="s">
        <v>142</v>
      </c>
      <c r="C162" s="291">
        <v>35581</v>
      </c>
      <c r="D162" s="291"/>
      <c r="E162" s="291"/>
      <c r="F162" s="291">
        <v>35581</v>
      </c>
      <c r="G162" s="291"/>
      <c r="H162" s="291"/>
      <c r="I162" s="291">
        <f t="shared" si="2"/>
        <v>0</v>
      </c>
      <c r="J162" s="291">
        <v>0</v>
      </c>
      <c r="K162" s="291">
        <v>0</v>
      </c>
    </row>
    <row r="163" spans="1:11" x14ac:dyDescent="0.2">
      <c r="A163" s="550">
        <v>150</v>
      </c>
      <c r="B163" s="292" t="s">
        <v>143</v>
      </c>
      <c r="C163" s="291">
        <f>79467-56</f>
        <v>79411</v>
      </c>
      <c r="D163" s="291"/>
      <c r="E163" s="291">
        <v>7530</v>
      </c>
      <c r="F163" s="291"/>
      <c r="G163" s="291"/>
      <c r="H163" s="291">
        <v>5422</v>
      </c>
      <c r="I163" s="291">
        <f t="shared" si="2"/>
        <v>66459</v>
      </c>
      <c r="J163" s="291">
        <v>18143</v>
      </c>
      <c r="K163" s="291">
        <v>48316</v>
      </c>
    </row>
    <row r="164" spans="1:11" s="311" customFormat="1" ht="39.75" customHeight="1" x14ac:dyDescent="0.25">
      <c r="A164" s="551"/>
      <c r="B164" s="310" t="s">
        <v>144</v>
      </c>
      <c r="C164" s="291">
        <v>129687</v>
      </c>
      <c r="D164" s="295"/>
      <c r="E164" s="295"/>
      <c r="F164" s="295"/>
      <c r="G164" s="295"/>
      <c r="H164" s="295"/>
      <c r="I164" s="291">
        <f t="shared" si="2"/>
        <v>129687</v>
      </c>
      <c r="J164" s="291">
        <v>26326</v>
      </c>
      <c r="K164" s="291">
        <v>103361</v>
      </c>
    </row>
    <row r="165" spans="1:11" x14ac:dyDescent="0.2">
      <c r="A165" s="289">
        <v>151</v>
      </c>
      <c r="B165" s="292" t="s">
        <v>145</v>
      </c>
      <c r="C165" s="291">
        <v>13410</v>
      </c>
      <c r="D165" s="291"/>
      <c r="E165" s="291"/>
      <c r="F165" s="291">
        <v>13410</v>
      </c>
      <c r="G165" s="291"/>
      <c r="H165" s="291"/>
      <c r="I165" s="291">
        <f t="shared" si="2"/>
        <v>0</v>
      </c>
      <c r="J165" s="291">
        <v>0</v>
      </c>
      <c r="K165" s="291">
        <v>0</v>
      </c>
    </row>
    <row r="166" spans="1:11" x14ac:dyDescent="0.2">
      <c r="A166" s="289">
        <v>152</v>
      </c>
      <c r="B166" s="292" t="s">
        <v>473</v>
      </c>
      <c r="C166" s="291">
        <v>894</v>
      </c>
      <c r="D166" s="291"/>
      <c r="E166" s="291"/>
      <c r="F166" s="291">
        <v>894</v>
      </c>
      <c r="G166" s="291"/>
      <c r="H166" s="291"/>
      <c r="I166" s="291">
        <f t="shared" si="2"/>
        <v>0</v>
      </c>
      <c r="J166" s="291">
        <v>0</v>
      </c>
      <c r="K166" s="291">
        <v>0</v>
      </c>
    </row>
    <row r="167" spans="1:11" x14ac:dyDescent="0.2">
      <c r="A167" s="289"/>
      <c r="B167" s="292" t="s">
        <v>91</v>
      </c>
      <c r="C167" s="291">
        <f>19968+144</f>
        <v>20112</v>
      </c>
      <c r="D167" s="291"/>
      <c r="E167" s="291"/>
      <c r="F167" s="291"/>
      <c r="G167" s="291"/>
      <c r="H167" s="291"/>
      <c r="I167" s="291">
        <f t="shared" si="2"/>
        <v>0</v>
      </c>
      <c r="J167" s="291">
        <v>0</v>
      </c>
      <c r="K167" s="291">
        <v>0</v>
      </c>
    </row>
    <row r="168" spans="1:11" x14ac:dyDescent="0.2">
      <c r="A168" s="289"/>
      <c r="B168" s="312" t="s">
        <v>540</v>
      </c>
      <c r="C168" s="291">
        <f>G168</f>
        <v>1445</v>
      </c>
      <c r="D168" s="291"/>
      <c r="E168" s="291"/>
      <c r="F168" s="291"/>
      <c r="G168" s="291">
        <f>1445</f>
        <v>1445</v>
      </c>
      <c r="H168" s="291"/>
      <c r="I168" s="291">
        <f t="shared" si="2"/>
        <v>0</v>
      </c>
      <c r="J168" s="291">
        <v>0</v>
      </c>
      <c r="K168" s="291">
        <v>0</v>
      </c>
    </row>
    <row r="169" spans="1:11" ht="18.75" customHeight="1" x14ac:dyDescent="0.2">
      <c r="A169" s="313"/>
      <c r="B169" s="313" t="s">
        <v>146</v>
      </c>
      <c r="C169" s="314">
        <f>SUM(C7:C168)</f>
        <v>7129165</v>
      </c>
      <c r="D169" s="314">
        <f t="shared" ref="D169:K169" si="3">SUM(D7:D168)</f>
        <v>30110</v>
      </c>
      <c r="E169" s="314">
        <f t="shared" si="3"/>
        <v>53833</v>
      </c>
      <c r="F169" s="314">
        <f>SUM(F7:F168)</f>
        <v>545492</v>
      </c>
      <c r="G169" s="314">
        <f t="shared" si="3"/>
        <v>15799</v>
      </c>
      <c r="H169" s="314">
        <f t="shared" si="3"/>
        <v>18540</v>
      </c>
      <c r="I169" s="314">
        <f t="shared" si="3"/>
        <v>6445279</v>
      </c>
      <c r="J169" s="314">
        <f t="shared" si="3"/>
        <v>1654423</v>
      </c>
      <c r="K169" s="314">
        <f t="shared" si="3"/>
        <v>4790856</v>
      </c>
    </row>
    <row r="170" spans="1:11" x14ac:dyDescent="0.2">
      <c r="C170" s="303"/>
    </row>
    <row r="171" spans="1:11" x14ac:dyDescent="0.2">
      <c r="C171" s="303"/>
      <c r="D171" s="316"/>
      <c r="E171" s="316"/>
      <c r="F171" s="316"/>
      <c r="G171" s="316"/>
      <c r="H171" s="316"/>
      <c r="I171" s="316"/>
      <c r="J171" s="284"/>
      <c r="K171" s="284"/>
    </row>
    <row r="172" spans="1:11" x14ac:dyDescent="0.2">
      <c r="C172" s="303"/>
      <c r="D172" s="303"/>
      <c r="E172" s="303"/>
      <c r="F172" s="303"/>
      <c r="G172" s="303"/>
      <c r="H172" s="303"/>
      <c r="I172" s="303"/>
      <c r="J172" s="303"/>
      <c r="K172" s="303"/>
    </row>
  </sheetData>
  <mergeCells count="20">
    <mergeCell ref="A163:A164"/>
    <mergeCell ref="A11:A12"/>
    <mergeCell ref="A44:A45"/>
    <mergeCell ref="A49:A51"/>
    <mergeCell ref="A54:A55"/>
    <mergeCell ref="A115:A116"/>
    <mergeCell ref="A120:A121"/>
    <mergeCell ref="I4:K4"/>
    <mergeCell ref="I5:I6"/>
    <mergeCell ref="J5:K5"/>
    <mergeCell ref="A1:K1"/>
    <mergeCell ref="A3:A6"/>
    <mergeCell ref="B3:B6"/>
    <mergeCell ref="C3:C6"/>
    <mergeCell ref="D3:K3"/>
    <mergeCell ref="D4:D6"/>
    <mergeCell ref="E4:E6"/>
    <mergeCell ref="F4:F6"/>
    <mergeCell ref="G4:G6"/>
    <mergeCell ref="H4:H6"/>
  </mergeCells>
  <pageMargins left="0.51181102362204722" right="0.39370078740157483" top="0.39370078740157483" bottom="0.19685039370078741" header="0.31496062992125984" footer="0.31496062992125984"/>
  <pageSetup paperSize="9" scale="61" fitToHeight="6" orientation="portrait" r:id="rId1"/>
  <rowBreaks count="1" manualBreakCount="1">
    <brk id="1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КС</vt:lpstr>
      <vt:lpstr>ВМП по КС</vt:lpstr>
      <vt:lpstr>ДС (пр.109)</vt:lpstr>
      <vt:lpstr>УЗИ ссс Пр.109</vt:lpstr>
      <vt:lpstr>Эндоскопия Пр.109</vt:lpstr>
      <vt:lpstr>КТ, МРТ Пр. 109</vt:lpstr>
      <vt:lpstr>Радиоиз,луч,КТ,УЗИ скрин Пр.109</vt:lpstr>
      <vt:lpstr>Гемодиализ Пр. 109</vt:lpstr>
      <vt:lpstr>Обращения Пр.109</vt:lpstr>
      <vt:lpstr>Неотложн. МП Пр.109</vt:lpstr>
      <vt:lpstr>Всего профилактика 2020 Пр.109</vt:lpstr>
      <vt:lpstr>Проф.иные цели 2020 Пр.109</vt:lpstr>
      <vt:lpstr>Частные МО обр.по заб.Пр.109</vt:lpstr>
      <vt:lpstr>Частные МО неот.помощь Пр.109</vt:lpstr>
      <vt:lpstr>Част.МО по спец.проф.Пр.109</vt:lpstr>
      <vt:lpstr>СМП Пр 109</vt:lpstr>
      <vt:lpstr>'СМП Пр 109'!OLE_LINK1</vt:lpstr>
      <vt:lpstr>'Всего профилактика 2020 Пр.109'!Заголовки_для_печати</vt:lpstr>
      <vt:lpstr>КС!Заголовки_для_печати</vt:lpstr>
      <vt:lpstr>'Неотложн. МП Пр.109'!Заголовки_для_печати</vt:lpstr>
      <vt:lpstr>'Обращения Пр.109'!Заголовки_для_печати</vt:lpstr>
      <vt:lpstr>'Проф.иные цели 2020 Пр.109'!Заголовки_для_печати</vt:lpstr>
      <vt:lpstr>'Неотложн. МП Пр.109'!Область_печати</vt:lpstr>
      <vt:lpstr>'Обращения Пр.109'!Область_печати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2020-02-27T09:36:40Z</cp:lastPrinted>
  <dcterms:created xsi:type="dcterms:W3CDTF">2019-11-28T06:32:34Z</dcterms:created>
  <dcterms:modified xsi:type="dcterms:W3CDTF">2020-03-27T09:17:34Z</dcterms:modified>
</cp:coreProperties>
</file>