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19\Протокол 100\"/>
    </mc:Choice>
  </mc:AlternateContent>
  <bookViews>
    <workbookView xWindow="0" yWindow="0" windowWidth="19200" windowHeight="10935" tabRatio="805" activeTab="2"/>
  </bookViews>
  <sheets>
    <sheet name="КС(пр.99)" sheetId="69" r:id="rId1"/>
    <sheet name="ВМП(пр.99)" sheetId="68" r:id="rId2"/>
    <sheet name="ДС Пр. 99" sheetId="63" r:id="rId3"/>
    <sheet name="ЛДУ Пр.99 " sheetId="64" r:id="rId4"/>
    <sheet name="Гемодиализ Пр. 99" sheetId="65" r:id="rId5"/>
    <sheet name="Гемодиализ в АПУ по кв.Пр 99" sheetId="66" r:id="rId6"/>
    <sheet name="Гемодиализ в ДС по кв. (Пр 99)" sheetId="67" r:id="rId7"/>
    <sheet name="АПУ посещения Пр.99 " sheetId="70" r:id="rId8"/>
    <sheet name="АПУ посещения по меропр. Пр.99 " sheetId="71" r:id="rId9"/>
    <sheet name="ДВН иссл. Пр.99" sheetId="72" r:id="rId10"/>
    <sheet name="АПУ обращения Пр. 99" sheetId="73" r:id="rId11"/>
    <sheet name="Частн.МО  обращен Пр.99" sheetId="74" r:id="rId12"/>
  </sheets>
  <externalReferences>
    <externalReference r:id="rId13"/>
    <externalReference r:id="rId14"/>
    <externalReference r:id="rId15"/>
    <externalReference r:id="rId16"/>
  </externalReferences>
  <definedNames>
    <definedName name="res2_range" localSheetId="1">#REF!</definedName>
    <definedName name="res2_range" localSheetId="6">#REF!</definedName>
    <definedName name="res2_range" localSheetId="4">#REF!</definedName>
    <definedName name="res2_range" localSheetId="2">#REF!</definedName>
    <definedName name="res2_range" localSheetId="0">#REF!</definedName>
    <definedName name="res2_range" localSheetId="3">#REF!</definedName>
    <definedName name="res2_range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Д" localSheetId="1">[2]Данные!$B$1:$EF$178</definedName>
    <definedName name="Д" localSheetId="5">[2]Данные!$B$1:$EF$178</definedName>
    <definedName name="Д" localSheetId="6">[2]Данные!$B$1:$EF$178</definedName>
    <definedName name="Д" localSheetId="4">[2]Данные!$B$1:$EF$178</definedName>
    <definedName name="Д" localSheetId="2">[3]Данные!$B$1:$EF$178</definedName>
    <definedName name="Д" localSheetId="3">[2]Данные!$B$1:$EF$178</definedName>
    <definedName name="Д" localSheetId="11">[2]Данные!$B$1:$EF$178</definedName>
    <definedName name="Д">[4]Данные!$B$1:$EF$178</definedName>
    <definedName name="_xlnm.Print_Titles" localSheetId="10">'АПУ обращения Пр. 99'!$3:$6</definedName>
    <definedName name="_xlnm.Print_Titles" localSheetId="0">'КС(пр.99)'!$3:$5</definedName>
    <definedName name="_xlnm.Print_Titles" localSheetId="11">'Частн.МО  обращен Пр.99'!$4:$5</definedName>
    <definedName name="ЗД" localSheetId="1">[2]Данные!$BY$3:$DB$3</definedName>
    <definedName name="ЗД" localSheetId="5">[2]Данные!$BY$3:$DB$3</definedName>
    <definedName name="ЗД" localSheetId="6">[2]Данные!$BY$3:$DB$3</definedName>
    <definedName name="ЗД" localSheetId="4">[2]Данные!$BY$3:$DB$3</definedName>
    <definedName name="ЗД" localSheetId="2">[3]Данные!$BY$3:$DB$3</definedName>
    <definedName name="ЗД" localSheetId="3">[2]Данные!$BY$3:$DB$3</definedName>
    <definedName name="ЗД" localSheetId="11">[2]Данные!$BY$3:$DB$3</definedName>
    <definedName name="ЗД">[4]Данные!$BY$3:$DB$3</definedName>
    <definedName name="_xlnm.Print_Area" localSheetId="6">'Гемодиализ в ДС по кв. (Пр 99)'!$A$1:$M$20</definedName>
    <definedName name="ФЗ" localSheetId="1">[2]Данные!$DC$3:$EF$3</definedName>
    <definedName name="ФЗ" localSheetId="5">[2]Данные!$DC$3:$EF$3</definedName>
    <definedName name="ФЗ" localSheetId="6">[2]Данные!$DC$3:$EF$3</definedName>
    <definedName name="ФЗ" localSheetId="4">[2]Данные!$DC$3:$EF$3</definedName>
    <definedName name="ФЗ" localSheetId="2">[3]Данные!$DC$3:$EF$3</definedName>
    <definedName name="ФЗ" localSheetId="3">[2]Данные!$DC$3:$EF$3</definedName>
    <definedName name="ФЗ" localSheetId="11">[2]Данные!$DC$3:$EF$3</definedName>
    <definedName name="ФЗ">[4]Данные!$DC$3:$EF$3</definedName>
    <definedName name="Шт" localSheetId="1">[2]Данные!$AU$3:$BX$3</definedName>
    <definedName name="Шт" localSheetId="5">[2]Данные!$AU$3:$BX$3</definedName>
    <definedName name="Шт" localSheetId="6">[2]Данные!$AU$3:$BX$3</definedName>
    <definedName name="Шт" localSheetId="4">[2]Данные!$AU$3:$BX$3</definedName>
    <definedName name="Шт" localSheetId="2">[3]Данные!$AU$3:$BX$3</definedName>
    <definedName name="Шт" localSheetId="3">[2]Данные!$AU$3:$BX$3</definedName>
    <definedName name="Шт" localSheetId="11">[2]Данные!$AU$3:$BX$3</definedName>
    <definedName name="Шт">[4]Данные!$AU$3:$BX$3</definedName>
  </definedNames>
  <calcPr calcId="152511"/>
</workbook>
</file>

<file path=xl/calcChain.xml><?xml version="1.0" encoding="utf-8"?>
<calcChain xmlns="http://schemas.openxmlformats.org/spreadsheetml/2006/main">
  <c r="E68" i="69" l="1"/>
  <c r="E105" i="69"/>
  <c r="C124" i="73" l="1"/>
  <c r="C184" i="73"/>
  <c r="C45" i="64" l="1"/>
  <c r="C30" i="64"/>
  <c r="G111" i="69" l="1"/>
  <c r="Q55" i="74" l="1"/>
  <c r="P55" i="74"/>
  <c r="N55" i="74"/>
  <c r="M55" i="74"/>
  <c r="L55" i="74"/>
  <c r="K55" i="74"/>
  <c r="J55" i="74"/>
  <c r="H55" i="74"/>
  <c r="C54" i="74"/>
  <c r="C53" i="74"/>
  <c r="C52" i="74"/>
  <c r="C51" i="74"/>
  <c r="C50" i="74"/>
  <c r="C49" i="74"/>
  <c r="D48" i="74"/>
  <c r="C48" i="74"/>
  <c r="C47" i="74"/>
  <c r="C46" i="74"/>
  <c r="C45" i="74"/>
  <c r="C44" i="74"/>
  <c r="C43" i="74"/>
  <c r="C42" i="74"/>
  <c r="C41" i="74"/>
  <c r="C40" i="74"/>
  <c r="C39" i="74"/>
  <c r="C38" i="74"/>
  <c r="D37" i="74"/>
  <c r="C37" i="74" s="1"/>
  <c r="C36" i="74"/>
  <c r="C35" i="74"/>
  <c r="C34" i="74"/>
  <c r="C33" i="74"/>
  <c r="D32" i="74"/>
  <c r="C32" i="74"/>
  <c r="C31" i="74"/>
  <c r="A31" i="74"/>
  <c r="A32" i="74" s="1"/>
  <c r="A33" i="74" s="1"/>
  <c r="A34" i="74" s="1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C30" i="74"/>
  <c r="S29" i="74"/>
  <c r="S55" i="74" s="1"/>
  <c r="R29" i="74"/>
  <c r="R55" i="74" s="1"/>
  <c r="L29" i="74"/>
  <c r="I29" i="74"/>
  <c r="C29" i="74" s="1"/>
  <c r="F29" i="74"/>
  <c r="E29" i="74"/>
  <c r="E28" i="74"/>
  <c r="C28" i="74" s="1"/>
  <c r="C27" i="74"/>
  <c r="C26" i="74"/>
  <c r="C25" i="74"/>
  <c r="C24" i="74"/>
  <c r="C23" i="74"/>
  <c r="C22" i="74"/>
  <c r="C21" i="74"/>
  <c r="C20" i="74"/>
  <c r="C19" i="74"/>
  <c r="O18" i="74"/>
  <c r="O55" i="74" s="1"/>
  <c r="I18" i="74"/>
  <c r="I55" i="74" s="1"/>
  <c r="G18" i="74"/>
  <c r="G55" i="74" s="1"/>
  <c r="F18" i="74"/>
  <c r="F55" i="74" s="1"/>
  <c r="E18" i="74"/>
  <c r="E55" i="74" s="1"/>
  <c r="C18" i="74"/>
  <c r="C17" i="74"/>
  <c r="C16" i="74"/>
  <c r="C15" i="74"/>
  <c r="C14" i="74"/>
  <c r="C13" i="74"/>
  <c r="C12" i="74"/>
  <c r="C11" i="74"/>
  <c r="C10" i="74"/>
  <c r="C9" i="74"/>
  <c r="C8" i="74"/>
  <c r="C7" i="74"/>
  <c r="C6" i="74"/>
  <c r="C55" i="74" l="1"/>
  <c r="D55" i="74"/>
  <c r="I189" i="73" l="1"/>
  <c r="F189" i="73" s="1"/>
  <c r="M190" i="73"/>
  <c r="J190" i="73"/>
  <c r="E190" i="73"/>
  <c r="K189" i="73"/>
  <c r="K188" i="73"/>
  <c r="F188" i="73"/>
  <c r="K187" i="73"/>
  <c r="F187" i="73" s="1"/>
  <c r="K186" i="73"/>
  <c r="F186" i="73"/>
  <c r="K185" i="73"/>
  <c r="F185" i="73" s="1"/>
  <c r="K184" i="73"/>
  <c r="F184" i="73"/>
  <c r="K183" i="73"/>
  <c r="F183" i="73" s="1"/>
  <c r="C183" i="73"/>
  <c r="K182" i="73"/>
  <c r="F182" i="73" s="1"/>
  <c r="K181" i="73"/>
  <c r="F181" i="73"/>
  <c r="K180" i="73"/>
  <c r="F180" i="73" s="1"/>
  <c r="K179" i="73"/>
  <c r="I179" i="73"/>
  <c r="F179" i="73"/>
  <c r="D179" i="73"/>
  <c r="C179" i="73"/>
  <c r="K178" i="73"/>
  <c r="I178" i="73"/>
  <c r="F178" i="73" s="1"/>
  <c r="K177" i="73"/>
  <c r="F177" i="73" s="1"/>
  <c r="H177" i="73"/>
  <c r="C177" i="73"/>
  <c r="K176" i="73"/>
  <c r="F176" i="73" s="1"/>
  <c r="H176" i="73"/>
  <c r="K175" i="73"/>
  <c r="H175" i="73"/>
  <c r="C175" i="73"/>
  <c r="K174" i="73"/>
  <c r="F174" i="73" s="1"/>
  <c r="K173" i="73"/>
  <c r="F173" i="73"/>
  <c r="K172" i="73"/>
  <c r="F172" i="73" s="1"/>
  <c r="K171" i="73"/>
  <c r="I171" i="73"/>
  <c r="F171" i="73"/>
  <c r="K170" i="73"/>
  <c r="F170" i="73"/>
  <c r="K169" i="73"/>
  <c r="F169" i="73"/>
  <c r="K168" i="73"/>
  <c r="I168" i="73"/>
  <c r="F168" i="73"/>
  <c r="K167" i="73"/>
  <c r="F167" i="73" s="1"/>
  <c r="K166" i="73"/>
  <c r="F166" i="73"/>
  <c r="K165" i="73"/>
  <c r="F165" i="73" s="1"/>
  <c r="K164" i="73"/>
  <c r="F164" i="73" s="1"/>
  <c r="K163" i="73"/>
  <c r="F163" i="73" s="1"/>
  <c r="K162" i="73"/>
  <c r="F162" i="73"/>
  <c r="K161" i="73"/>
  <c r="H161" i="73"/>
  <c r="K160" i="73"/>
  <c r="H160" i="73"/>
  <c r="F160" i="73" s="1"/>
  <c r="K159" i="73"/>
  <c r="F159" i="73"/>
  <c r="K158" i="73"/>
  <c r="I158" i="73"/>
  <c r="K157" i="73"/>
  <c r="F157" i="73"/>
  <c r="K156" i="73"/>
  <c r="F156" i="73"/>
  <c r="K155" i="73"/>
  <c r="H155" i="73"/>
  <c r="F155" i="73" s="1"/>
  <c r="K154" i="73"/>
  <c r="F154" i="73"/>
  <c r="K153" i="73"/>
  <c r="F153" i="73" s="1"/>
  <c r="K152" i="73"/>
  <c r="H152" i="73"/>
  <c r="F152" i="73"/>
  <c r="C152" i="73"/>
  <c r="K151" i="73"/>
  <c r="H151" i="73"/>
  <c r="F151" i="73"/>
  <c r="C151" i="73"/>
  <c r="K150" i="73"/>
  <c r="F150" i="73"/>
  <c r="K149" i="73"/>
  <c r="F149" i="73" s="1"/>
  <c r="H149" i="73"/>
  <c r="K148" i="73"/>
  <c r="I148" i="73"/>
  <c r="K147" i="73"/>
  <c r="F147" i="73" s="1"/>
  <c r="K146" i="73"/>
  <c r="F146" i="73" s="1"/>
  <c r="K145" i="73"/>
  <c r="F145" i="73"/>
  <c r="K144" i="73"/>
  <c r="F144" i="73" s="1"/>
  <c r="K143" i="73"/>
  <c r="F143" i="73"/>
  <c r="K142" i="73"/>
  <c r="F142" i="73" s="1"/>
  <c r="K141" i="73"/>
  <c r="F141" i="73"/>
  <c r="K140" i="73"/>
  <c r="F140" i="73" s="1"/>
  <c r="K139" i="73"/>
  <c r="F139" i="73" s="1"/>
  <c r="K138" i="73"/>
  <c r="F138" i="73" s="1"/>
  <c r="K137" i="73"/>
  <c r="F137" i="73"/>
  <c r="K136" i="73"/>
  <c r="F136" i="73" s="1"/>
  <c r="K135" i="73"/>
  <c r="F135" i="73"/>
  <c r="K134" i="73"/>
  <c r="F134" i="73" s="1"/>
  <c r="K133" i="73"/>
  <c r="F133" i="73"/>
  <c r="K132" i="73"/>
  <c r="F132" i="73" s="1"/>
  <c r="K131" i="73"/>
  <c r="F131" i="73" s="1"/>
  <c r="K130" i="73"/>
  <c r="F130" i="73" s="1"/>
  <c r="K129" i="73"/>
  <c r="F129" i="73"/>
  <c r="K128" i="73"/>
  <c r="F128" i="73" s="1"/>
  <c r="K127" i="73"/>
  <c r="F127" i="73"/>
  <c r="K126" i="73"/>
  <c r="F126" i="73" s="1"/>
  <c r="K125" i="73"/>
  <c r="F125" i="73"/>
  <c r="K124" i="73"/>
  <c r="F124" i="73" s="1"/>
  <c r="L123" i="73"/>
  <c r="K123" i="73" s="1"/>
  <c r="F123" i="73" s="1"/>
  <c r="K122" i="73"/>
  <c r="F122" i="73"/>
  <c r="K121" i="73"/>
  <c r="F121" i="73"/>
  <c r="K120" i="73"/>
  <c r="F120" i="73"/>
  <c r="K119" i="73"/>
  <c r="F119" i="73"/>
  <c r="D119" i="73"/>
  <c r="C119" i="73"/>
  <c r="K118" i="73"/>
  <c r="F118" i="73"/>
  <c r="C118" i="73"/>
  <c r="K117" i="73"/>
  <c r="F117" i="73" s="1"/>
  <c r="K116" i="73"/>
  <c r="F116" i="73" s="1"/>
  <c r="K115" i="73"/>
  <c r="F115" i="73"/>
  <c r="K114" i="73"/>
  <c r="F114" i="73" s="1"/>
  <c r="K113" i="73"/>
  <c r="F113" i="73"/>
  <c r="K112" i="73"/>
  <c r="F112" i="73" s="1"/>
  <c r="K111" i="73"/>
  <c r="F111" i="73"/>
  <c r="L110" i="73"/>
  <c r="K110" i="73" s="1"/>
  <c r="F110" i="73" s="1"/>
  <c r="K109" i="73"/>
  <c r="F109" i="73" s="1"/>
  <c r="K108" i="73"/>
  <c r="F108" i="73"/>
  <c r="K107" i="73"/>
  <c r="F107" i="73" s="1"/>
  <c r="K106" i="73"/>
  <c r="F106" i="73"/>
  <c r="K105" i="73"/>
  <c r="F105" i="73" s="1"/>
  <c r="K104" i="73"/>
  <c r="F104" i="73"/>
  <c r="K103" i="73"/>
  <c r="F103" i="73" s="1"/>
  <c r="K102" i="73"/>
  <c r="F102" i="73"/>
  <c r="K101" i="73"/>
  <c r="F101" i="73" s="1"/>
  <c r="K100" i="73"/>
  <c r="F100" i="73"/>
  <c r="K99" i="73"/>
  <c r="F99" i="73" s="1"/>
  <c r="K98" i="73"/>
  <c r="F98" i="73"/>
  <c r="K97" i="73"/>
  <c r="F97" i="73" s="1"/>
  <c r="C97" i="73"/>
  <c r="K96" i="73"/>
  <c r="F96" i="73"/>
  <c r="C96" i="73"/>
  <c r="K95" i="73"/>
  <c r="F95" i="73"/>
  <c r="C95" i="73"/>
  <c r="K94" i="73"/>
  <c r="F94" i="73" s="1"/>
  <c r="C94" i="73"/>
  <c r="K93" i="73"/>
  <c r="F93" i="73"/>
  <c r="C93" i="73"/>
  <c r="K92" i="73"/>
  <c r="F92" i="73"/>
  <c r="K91" i="73"/>
  <c r="F91" i="73" s="1"/>
  <c r="K90" i="73"/>
  <c r="F90" i="73"/>
  <c r="K89" i="73"/>
  <c r="F89" i="73" s="1"/>
  <c r="K88" i="73"/>
  <c r="F88" i="73" s="1"/>
  <c r="K87" i="73"/>
  <c r="F87" i="73" s="1"/>
  <c r="K86" i="73"/>
  <c r="F86" i="73"/>
  <c r="K85" i="73"/>
  <c r="F85" i="73" s="1"/>
  <c r="K84" i="73"/>
  <c r="F84" i="73"/>
  <c r="K83" i="73"/>
  <c r="F83" i="73" s="1"/>
  <c r="K82" i="73"/>
  <c r="F82" i="73"/>
  <c r="K81" i="73"/>
  <c r="F81" i="73" s="1"/>
  <c r="K80" i="73"/>
  <c r="F80" i="73" s="1"/>
  <c r="K79" i="73"/>
  <c r="F79" i="73" s="1"/>
  <c r="K78" i="73"/>
  <c r="F78" i="73"/>
  <c r="K77" i="73"/>
  <c r="F77" i="73" s="1"/>
  <c r="K76" i="73"/>
  <c r="F76" i="73"/>
  <c r="K75" i="73"/>
  <c r="F75" i="73" s="1"/>
  <c r="K74" i="73"/>
  <c r="F74" i="73"/>
  <c r="K73" i="73"/>
  <c r="F73" i="73" s="1"/>
  <c r="K72" i="73"/>
  <c r="F72" i="73" s="1"/>
  <c r="K71" i="73"/>
  <c r="F71" i="73" s="1"/>
  <c r="K70" i="73"/>
  <c r="F70" i="73"/>
  <c r="K69" i="73"/>
  <c r="F69" i="73" s="1"/>
  <c r="K68" i="73"/>
  <c r="F68" i="73"/>
  <c r="K67" i="73"/>
  <c r="F67" i="73" s="1"/>
  <c r="K66" i="73"/>
  <c r="F66" i="73"/>
  <c r="K65" i="73"/>
  <c r="F65" i="73" s="1"/>
  <c r="K64" i="73"/>
  <c r="F64" i="73" s="1"/>
  <c r="K63" i="73"/>
  <c r="F63" i="73" s="1"/>
  <c r="K62" i="73"/>
  <c r="F62" i="73"/>
  <c r="K61" i="73"/>
  <c r="F61" i="73" s="1"/>
  <c r="K60" i="73"/>
  <c r="F60" i="73"/>
  <c r="K59" i="73"/>
  <c r="F59" i="73" s="1"/>
  <c r="K58" i="73"/>
  <c r="F58" i="73"/>
  <c r="K57" i="73"/>
  <c r="F57" i="73" s="1"/>
  <c r="C57" i="73"/>
  <c r="K56" i="73"/>
  <c r="G56" i="73"/>
  <c r="C56" i="73"/>
  <c r="K55" i="73"/>
  <c r="F55" i="73" s="1"/>
  <c r="K54" i="73"/>
  <c r="F54" i="73"/>
  <c r="K53" i="73"/>
  <c r="F53" i="73" s="1"/>
  <c r="K52" i="73"/>
  <c r="F52" i="73"/>
  <c r="K51" i="73"/>
  <c r="F51" i="73" s="1"/>
  <c r="L50" i="73"/>
  <c r="K50" i="73"/>
  <c r="F50" i="73"/>
  <c r="K49" i="73"/>
  <c r="F49" i="73" s="1"/>
  <c r="K48" i="73"/>
  <c r="F48" i="73"/>
  <c r="K47" i="73"/>
  <c r="F47" i="73" s="1"/>
  <c r="H47" i="73"/>
  <c r="K46" i="73"/>
  <c r="F46" i="73" s="1"/>
  <c r="K45" i="73"/>
  <c r="F45" i="73"/>
  <c r="K44" i="73"/>
  <c r="F44" i="73" s="1"/>
  <c r="L43" i="73"/>
  <c r="K43" i="73"/>
  <c r="F43" i="73"/>
  <c r="K42" i="73"/>
  <c r="F42" i="73" s="1"/>
  <c r="K41" i="73"/>
  <c r="F41" i="73"/>
  <c r="K40" i="73"/>
  <c r="F40" i="73" s="1"/>
  <c r="K39" i="73"/>
  <c r="F39" i="73"/>
  <c r="K38" i="73"/>
  <c r="F38" i="73" s="1"/>
  <c r="K37" i="73"/>
  <c r="F37" i="73" s="1"/>
  <c r="K36" i="73"/>
  <c r="F36" i="73" s="1"/>
  <c r="K35" i="73"/>
  <c r="F35" i="73"/>
  <c r="K34" i="73"/>
  <c r="F34" i="73" s="1"/>
  <c r="K33" i="73"/>
  <c r="F33" i="73"/>
  <c r="K32" i="73"/>
  <c r="F32" i="73" s="1"/>
  <c r="K31" i="73"/>
  <c r="H31" i="73"/>
  <c r="F31" i="73"/>
  <c r="K30" i="73"/>
  <c r="F30" i="73" s="1"/>
  <c r="K29" i="73"/>
  <c r="F29" i="73"/>
  <c r="F28" i="73"/>
  <c r="K27" i="73"/>
  <c r="F27" i="73"/>
  <c r="K26" i="73"/>
  <c r="F26" i="73" s="1"/>
  <c r="K25" i="73"/>
  <c r="F25" i="73" s="1"/>
  <c r="K24" i="73"/>
  <c r="F24" i="73" s="1"/>
  <c r="K23" i="73"/>
  <c r="F23" i="73"/>
  <c r="K22" i="73"/>
  <c r="H22" i="73"/>
  <c r="K21" i="73"/>
  <c r="F21" i="73"/>
  <c r="K20" i="73"/>
  <c r="F20" i="73"/>
  <c r="K19" i="73"/>
  <c r="F19" i="73"/>
  <c r="K18" i="73"/>
  <c r="F18" i="73"/>
  <c r="K17" i="73"/>
  <c r="F17" i="73"/>
  <c r="K16" i="73"/>
  <c r="F16" i="73"/>
  <c r="L15" i="73"/>
  <c r="K15" i="73"/>
  <c r="F15" i="73" s="1"/>
  <c r="K14" i="73"/>
  <c r="F14" i="73"/>
  <c r="K13" i="73"/>
  <c r="F13" i="73" s="1"/>
  <c r="K12" i="73"/>
  <c r="F12" i="73" s="1"/>
  <c r="K11" i="73"/>
  <c r="F11" i="73" s="1"/>
  <c r="K10" i="73"/>
  <c r="F10" i="73"/>
  <c r="K9" i="73"/>
  <c r="F9" i="73" s="1"/>
  <c r="K8" i="73"/>
  <c r="F8" i="73"/>
  <c r="K7" i="73"/>
  <c r="L190" i="73" l="1"/>
  <c r="D190" i="73"/>
  <c r="F158" i="73"/>
  <c r="F175" i="73"/>
  <c r="F22" i="73"/>
  <c r="F161" i="73"/>
  <c r="F7" i="73"/>
  <c r="K190" i="73"/>
  <c r="F56" i="73"/>
  <c r="G190" i="73"/>
  <c r="H190" i="73"/>
  <c r="C190" i="73"/>
  <c r="F148" i="73"/>
  <c r="I190" i="73"/>
  <c r="F190" i="73" l="1"/>
  <c r="H29" i="72" l="1"/>
  <c r="G29" i="72"/>
  <c r="F29" i="72"/>
  <c r="E28" i="72"/>
  <c r="E27" i="72"/>
  <c r="E26" i="72"/>
  <c r="C26" i="72"/>
  <c r="C29" i="72" s="1"/>
  <c r="E25" i="72"/>
  <c r="D25" i="72"/>
  <c r="C25" i="72"/>
  <c r="E24" i="72"/>
  <c r="E23" i="72"/>
  <c r="C23" i="72"/>
  <c r="E22" i="72"/>
  <c r="E21" i="72"/>
  <c r="E20" i="72"/>
  <c r="E19" i="72"/>
  <c r="D19" i="72"/>
  <c r="E18" i="72"/>
  <c r="E17" i="72"/>
  <c r="E16" i="72"/>
  <c r="D16" i="72"/>
  <c r="E15" i="72"/>
  <c r="E14" i="72"/>
  <c r="E13" i="72"/>
  <c r="D13" i="72"/>
  <c r="D29" i="72" s="1"/>
  <c r="E12" i="72"/>
  <c r="E11" i="72"/>
  <c r="D11" i="72"/>
  <c r="E10" i="72"/>
  <c r="E9" i="72"/>
  <c r="E29" i="72" s="1"/>
  <c r="E8" i="72"/>
  <c r="M165" i="71"/>
  <c r="L165" i="71"/>
  <c r="K165" i="71"/>
  <c r="I165" i="71"/>
  <c r="H165" i="71"/>
  <c r="G165" i="71"/>
  <c r="F165" i="71"/>
  <c r="E165" i="71"/>
  <c r="K164" i="71"/>
  <c r="J164" i="71"/>
  <c r="D164" i="71"/>
  <c r="C164" i="71"/>
  <c r="J163" i="71"/>
  <c r="D163" i="71"/>
  <c r="C163" i="71"/>
  <c r="J162" i="71"/>
  <c r="C162" i="71" s="1"/>
  <c r="D162" i="71"/>
  <c r="J161" i="71"/>
  <c r="D161" i="71"/>
  <c r="C161" i="71" s="1"/>
  <c r="K160" i="71"/>
  <c r="J160" i="71"/>
  <c r="D160" i="71"/>
  <c r="C160" i="71" s="1"/>
  <c r="J159" i="71"/>
  <c r="D159" i="71"/>
  <c r="C159" i="71"/>
  <c r="J158" i="71"/>
  <c r="D158" i="71"/>
  <c r="C158" i="71"/>
  <c r="J157" i="71"/>
  <c r="C157" i="71" s="1"/>
  <c r="D157" i="71"/>
  <c r="J156" i="71"/>
  <c r="D156" i="71"/>
  <c r="C156" i="71" s="1"/>
  <c r="J155" i="71"/>
  <c r="D155" i="71"/>
  <c r="C155" i="71"/>
  <c r="J154" i="71"/>
  <c r="D154" i="71"/>
  <c r="C154" i="71"/>
  <c r="J153" i="71"/>
  <c r="C153" i="71" s="1"/>
  <c r="D153" i="71"/>
  <c r="J152" i="71"/>
  <c r="D152" i="71"/>
  <c r="C152" i="71" s="1"/>
  <c r="J151" i="71"/>
  <c r="D151" i="71"/>
  <c r="C151" i="71"/>
  <c r="J150" i="71"/>
  <c r="D150" i="71"/>
  <c r="C150" i="71"/>
  <c r="J149" i="71"/>
  <c r="C149" i="71" s="1"/>
  <c r="D149" i="71"/>
  <c r="J148" i="71"/>
  <c r="D148" i="71"/>
  <c r="C148" i="71" s="1"/>
  <c r="J147" i="71"/>
  <c r="D147" i="71"/>
  <c r="C147" i="71"/>
  <c r="J146" i="71"/>
  <c r="D146" i="71"/>
  <c r="C146" i="71"/>
  <c r="J145" i="71"/>
  <c r="C145" i="71" s="1"/>
  <c r="D145" i="71"/>
  <c r="J144" i="71"/>
  <c r="D144" i="71"/>
  <c r="C144" i="71" s="1"/>
  <c r="J143" i="71"/>
  <c r="D143" i="71"/>
  <c r="C143" i="71"/>
  <c r="J142" i="71"/>
  <c r="D142" i="71"/>
  <c r="C142" i="71"/>
  <c r="J141" i="71"/>
  <c r="C141" i="71" s="1"/>
  <c r="D141" i="71"/>
  <c r="J140" i="71"/>
  <c r="D140" i="71"/>
  <c r="C140" i="71" s="1"/>
  <c r="J139" i="71"/>
  <c r="D139" i="71"/>
  <c r="C139" i="71"/>
  <c r="J138" i="71"/>
  <c r="D138" i="71"/>
  <c r="C138" i="71"/>
  <c r="J137" i="71"/>
  <c r="C137" i="71" s="1"/>
  <c r="D137" i="71"/>
  <c r="J136" i="71"/>
  <c r="D136" i="71"/>
  <c r="C136" i="71" s="1"/>
  <c r="J135" i="71"/>
  <c r="D135" i="71"/>
  <c r="C135" i="71"/>
  <c r="J134" i="71"/>
  <c r="D134" i="71"/>
  <c r="C134" i="71"/>
  <c r="J133" i="71"/>
  <c r="C133" i="71" s="1"/>
  <c r="D133" i="71"/>
  <c r="J132" i="71"/>
  <c r="D132" i="71"/>
  <c r="C132" i="71" s="1"/>
  <c r="J131" i="71"/>
  <c r="D131" i="71"/>
  <c r="C131" i="71"/>
  <c r="J130" i="71"/>
  <c r="D130" i="71"/>
  <c r="C130" i="71"/>
  <c r="J129" i="71"/>
  <c r="C129" i="71" s="1"/>
  <c r="D129" i="71"/>
  <c r="J128" i="71"/>
  <c r="D128" i="71"/>
  <c r="C128" i="71" s="1"/>
  <c r="J127" i="71"/>
  <c r="D127" i="71"/>
  <c r="C127" i="71"/>
  <c r="J126" i="71"/>
  <c r="D126" i="71"/>
  <c r="C126" i="71"/>
  <c r="J125" i="71"/>
  <c r="C125" i="71" s="1"/>
  <c r="D125" i="71"/>
  <c r="J124" i="71"/>
  <c r="D124" i="71"/>
  <c r="C124" i="71" s="1"/>
  <c r="J123" i="71"/>
  <c r="D123" i="71"/>
  <c r="C123" i="71"/>
  <c r="J122" i="71"/>
  <c r="D122" i="71"/>
  <c r="C122" i="71"/>
  <c r="J121" i="71"/>
  <c r="C121" i="71" s="1"/>
  <c r="D121" i="71"/>
  <c r="J120" i="71"/>
  <c r="D120" i="71"/>
  <c r="C120" i="71" s="1"/>
  <c r="J119" i="71"/>
  <c r="D119" i="71"/>
  <c r="C119" i="71"/>
  <c r="J118" i="71"/>
  <c r="D118" i="71"/>
  <c r="C118" i="71"/>
  <c r="J117" i="71"/>
  <c r="C117" i="71" s="1"/>
  <c r="D117" i="71"/>
  <c r="J116" i="71"/>
  <c r="D116" i="71"/>
  <c r="C116" i="71" s="1"/>
  <c r="J115" i="71"/>
  <c r="D115" i="71"/>
  <c r="C115" i="71"/>
  <c r="J114" i="71"/>
  <c r="D114" i="71"/>
  <c r="C114" i="71"/>
  <c r="J113" i="71"/>
  <c r="C113" i="71" s="1"/>
  <c r="D113" i="71"/>
  <c r="J112" i="71"/>
  <c r="D112" i="71"/>
  <c r="C112" i="71" s="1"/>
  <c r="J111" i="71"/>
  <c r="D111" i="71"/>
  <c r="C111" i="71"/>
  <c r="J110" i="71"/>
  <c r="D110" i="71"/>
  <c r="C110" i="71"/>
  <c r="J109" i="71"/>
  <c r="C109" i="71" s="1"/>
  <c r="D109" i="71"/>
  <c r="J108" i="71"/>
  <c r="D108" i="71"/>
  <c r="C108" i="71" s="1"/>
  <c r="J107" i="71"/>
  <c r="D107" i="71"/>
  <c r="C107" i="71"/>
  <c r="J106" i="71"/>
  <c r="D106" i="71"/>
  <c r="C106" i="71"/>
  <c r="J105" i="71"/>
  <c r="C105" i="71" s="1"/>
  <c r="D105" i="71"/>
  <c r="J104" i="71"/>
  <c r="D104" i="71"/>
  <c r="C104" i="71" s="1"/>
  <c r="J103" i="71"/>
  <c r="D103" i="71"/>
  <c r="C103" i="71"/>
  <c r="J102" i="71"/>
  <c r="D102" i="71"/>
  <c r="C102" i="71"/>
  <c r="J101" i="71"/>
  <c r="C101" i="71" s="1"/>
  <c r="D101" i="71"/>
  <c r="J100" i="71"/>
  <c r="D100" i="71"/>
  <c r="C100" i="71" s="1"/>
  <c r="J99" i="71"/>
  <c r="D99" i="71"/>
  <c r="C99" i="71"/>
  <c r="J98" i="71"/>
  <c r="D98" i="71"/>
  <c r="C98" i="71"/>
  <c r="J97" i="71"/>
  <c r="C97" i="71" s="1"/>
  <c r="D97" i="71"/>
  <c r="K96" i="71"/>
  <c r="J96" i="71"/>
  <c r="C96" i="71" s="1"/>
  <c r="D96" i="71"/>
  <c r="J95" i="71"/>
  <c r="D95" i="71"/>
  <c r="C95" i="71" s="1"/>
  <c r="J94" i="71"/>
  <c r="D94" i="71"/>
  <c r="C94" i="71"/>
  <c r="J93" i="71"/>
  <c r="D93" i="71"/>
  <c r="C93" i="71"/>
  <c r="J92" i="71"/>
  <c r="C92" i="71" s="1"/>
  <c r="D92" i="71"/>
  <c r="J91" i="71"/>
  <c r="D91" i="71"/>
  <c r="C91" i="71" s="1"/>
  <c r="J90" i="71"/>
  <c r="D90" i="71"/>
  <c r="C90" i="71"/>
  <c r="J89" i="71"/>
  <c r="D89" i="71"/>
  <c r="C89" i="71"/>
  <c r="J88" i="71"/>
  <c r="C88" i="71" s="1"/>
  <c r="D88" i="71"/>
  <c r="J87" i="71"/>
  <c r="D87" i="71"/>
  <c r="C87" i="71" s="1"/>
  <c r="J86" i="71"/>
  <c r="D86" i="71"/>
  <c r="C86" i="71"/>
  <c r="J85" i="71"/>
  <c r="D85" i="71"/>
  <c r="C85" i="71"/>
  <c r="J84" i="71"/>
  <c r="C84" i="71" s="1"/>
  <c r="D84" i="71"/>
  <c r="J83" i="71"/>
  <c r="D83" i="71"/>
  <c r="C83" i="71" s="1"/>
  <c r="J82" i="71"/>
  <c r="D82" i="71"/>
  <c r="C82" i="71"/>
  <c r="J81" i="71"/>
  <c r="D81" i="71"/>
  <c r="C81" i="71"/>
  <c r="J80" i="71"/>
  <c r="C80" i="71" s="1"/>
  <c r="D80" i="71"/>
  <c r="J79" i="71"/>
  <c r="D79" i="71"/>
  <c r="C79" i="71" s="1"/>
  <c r="J78" i="71"/>
  <c r="D78" i="71"/>
  <c r="C78" i="71"/>
  <c r="J77" i="71"/>
  <c r="D77" i="71"/>
  <c r="C77" i="71"/>
  <c r="J76" i="71"/>
  <c r="C76" i="71" s="1"/>
  <c r="D76" i="71"/>
  <c r="J75" i="71"/>
  <c r="D75" i="71"/>
  <c r="C75" i="71" s="1"/>
  <c r="J74" i="71"/>
  <c r="D74" i="71"/>
  <c r="C74" i="71"/>
  <c r="J73" i="71"/>
  <c r="D73" i="71"/>
  <c r="C73" i="71"/>
  <c r="J72" i="71"/>
  <c r="C72" i="71" s="1"/>
  <c r="D72" i="71"/>
  <c r="J71" i="71"/>
  <c r="D71" i="71"/>
  <c r="C71" i="71" s="1"/>
  <c r="J70" i="71"/>
  <c r="D70" i="71"/>
  <c r="C70" i="71"/>
  <c r="J69" i="71"/>
  <c r="D69" i="71"/>
  <c r="C69" i="71"/>
  <c r="J68" i="71"/>
  <c r="C68" i="71" s="1"/>
  <c r="D68" i="71"/>
  <c r="J67" i="71"/>
  <c r="D67" i="71"/>
  <c r="C67" i="71" s="1"/>
  <c r="J66" i="71"/>
  <c r="D66" i="71"/>
  <c r="C66" i="71"/>
  <c r="J65" i="71"/>
  <c r="D65" i="71"/>
  <c r="C65" i="71"/>
  <c r="J64" i="71"/>
  <c r="C64" i="71" s="1"/>
  <c r="D64" i="71"/>
  <c r="J63" i="71"/>
  <c r="D63" i="71"/>
  <c r="C63" i="71" s="1"/>
  <c r="J62" i="71"/>
  <c r="D62" i="71"/>
  <c r="C62" i="71"/>
  <c r="J61" i="71"/>
  <c r="D61" i="71"/>
  <c r="C61" i="71"/>
  <c r="J60" i="71"/>
  <c r="C60" i="71" s="1"/>
  <c r="D60" i="71"/>
  <c r="J59" i="71"/>
  <c r="D59" i="71"/>
  <c r="C59" i="71" s="1"/>
  <c r="J58" i="71"/>
  <c r="D58" i="71"/>
  <c r="C58" i="71"/>
  <c r="J57" i="71"/>
  <c r="D57" i="71"/>
  <c r="C57" i="71"/>
  <c r="J56" i="71"/>
  <c r="C56" i="71" s="1"/>
  <c r="D56" i="71"/>
  <c r="J55" i="71"/>
  <c r="D55" i="71"/>
  <c r="C55" i="71" s="1"/>
  <c r="J54" i="71"/>
  <c r="D54" i="71"/>
  <c r="C54" i="71"/>
  <c r="J53" i="71"/>
  <c r="D53" i="71"/>
  <c r="C53" i="71"/>
  <c r="J52" i="71"/>
  <c r="C52" i="71" s="1"/>
  <c r="D52" i="71"/>
  <c r="J51" i="71"/>
  <c r="D51" i="71"/>
  <c r="C51" i="71" s="1"/>
  <c r="J50" i="71"/>
  <c r="D50" i="71"/>
  <c r="C50" i="71"/>
  <c r="J49" i="71"/>
  <c r="D49" i="71"/>
  <c r="C49" i="71"/>
  <c r="J48" i="71"/>
  <c r="C48" i="71" s="1"/>
  <c r="D48" i="71"/>
  <c r="J47" i="71"/>
  <c r="D47" i="71"/>
  <c r="C47" i="71" s="1"/>
  <c r="J46" i="71"/>
  <c r="D46" i="71"/>
  <c r="C46" i="71"/>
  <c r="J45" i="71"/>
  <c r="D45" i="71"/>
  <c r="C45" i="71"/>
  <c r="J44" i="71"/>
  <c r="C44" i="71" s="1"/>
  <c r="D44" i="71"/>
  <c r="J43" i="71"/>
  <c r="D43" i="71"/>
  <c r="C43" i="71" s="1"/>
  <c r="J42" i="71"/>
  <c r="D42" i="71"/>
  <c r="C42" i="71"/>
  <c r="J41" i="71"/>
  <c r="D41" i="71"/>
  <c r="C41" i="71"/>
  <c r="J40" i="71"/>
  <c r="C40" i="71" s="1"/>
  <c r="D40" i="71"/>
  <c r="J39" i="71"/>
  <c r="D39" i="71"/>
  <c r="C39" i="71" s="1"/>
  <c r="J38" i="71"/>
  <c r="D38" i="71"/>
  <c r="C38" i="71"/>
  <c r="J37" i="71"/>
  <c r="D37" i="71"/>
  <c r="C37" i="71"/>
  <c r="J36" i="71"/>
  <c r="C36" i="71" s="1"/>
  <c r="D36" i="71"/>
  <c r="J35" i="71"/>
  <c r="D35" i="71"/>
  <c r="C35" i="71" s="1"/>
  <c r="J34" i="71"/>
  <c r="D34" i="71"/>
  <c r="C34" i="71"/>
  <c r="J33" i="71"/>
  <c r="D33" i="71"/>
  <c r="C33" i="71"/>
  <c r="J32" i="71"/>
  <c r="C32" i="71" s="1"/>
  <c r="D32" i="71"/>
  <c r="J31" i="71"/>
  <c r="D31" i="71"/>
  <c r="C31" i="71" s="1"/>
  <c r="J30" i="71"/>
  <c r="D30" i="71"/>
  <c r="C30" i="71"/>
  <c r="J29" i="71"/>
  <c r="D29" i="71"/>
  <c r="C29" i="71"/>
  <c r="J28" i="71"/>
  <c r="C28" i="71" s="1"/>
  <c r="D28" i="71"/>
  <c r="J27" i="71"/>
  <c r="D27" i="71"/>
  <c r="C27" i="71" s="1"/>
  <c r="J26" i="71"/>
  <c r="D26" i="71"/>
  <c r="C26" i="71"/>
  <c r="J25" i="71"/>
  <c r="D25" i="71"/>
  <c r="C25" i="71"/>
  <c r="J24" i="71"/>
  <c r="C24" i="71" s="1"/>
  <c r="D24" i="71"/>
  <c r="J23" i="71"/>
  <c r="D23" i="71"/>
  <c r="C23" i="71" s="1"/>
  <c r="J22" i="71"/>
  <c r="D22" i="71"/>
  <c r="C22" i="71"/>
  <c r="J21" i="71"/>
  <c r="D21" i="71"/>
  <c r="C21" i="71"/>
  <c r="J20" i="71"/>
  <c r="C20" i="71" s="1"/>
  <c r="D20" i="71"/>
  <c r="J19" i="71"/>
  <c r="D19" i="71"/>
  <c r="C19" i="71" s="1"/>
  <c r="J18" i="71"/>
  <c r="D18" i="71"/>
  <c r="C18" i="71"/>
  <c r="J17" i="71"/>
  <c r="D17" i="71"/>
  <c r="C17" i="71"/>
  <c r="J16" i="71"/>
  <c r="C16" i="71" s="1"/>
  <c r="D16" i="71"/>
  <c r="J15" i="71"/>
  <c r="D15" i="71"/>
  <c r="C15" i="71" s="1"/>
  <c r="J14" i="71"/>
  <c r="D14" i="71"/>
  <c r="C14" i="71"/>
  <c r="J13" i="71"/>
  <c r="D13" i="71"/>
  <c r="C13" i="71"/>
  <c r="J12" i="71"/>
  <c r="C12" i="71" s="1"/>
  <c r="D12" i="71"/>
  <c r="J11" i="71"/>
  <c r="D11" i="71"/>
  <c r="C11" i="71" s="1"/>
  <c r="J10" i="71"/>
  <c r="D10" i="71"/>
  <c r="D165" i="71" s="1"/>
  <c r="C10" i="71"/>
  <c r="J9" i="71"/>
  <c r="D9" i="71"/>
  <c r="C9" i="71"/>
  <c r="J8" i="71"/>
  <c r="C8" i="71" s="1"/>
  <c r="D8" i="71"/>
  <c r="P175" i="70"/>
  <c r="N175" i="70"/>
  <c r="L175" i="70"/>
  <c r="K175" i="70"/>
  <c r="J175" i="70"/>
  <c r="I175" i="70"/>
  <c r="H175" i="70"/>
  <c r="G175" i="70"/>
  <c r="F175" i="70"/>
  <c r="E175" i="70"/>
  <c r="D175" i="70"/>
  <c r="C174" i="70"/>
  <c r="C173" i="70"/>
  <c r="C172" i="70"/>
  <c r="C171" i="70"/>
  <c r="C170" i="70"/>
  <c r="M169" i="70"/>
  <c r="C169" i="70" s="1"/>
  <c r="C168" i="70"/>
  <c r="C167" i="70"/>
  <c r="C166" i="70"/>
  <c r="C165" i="70"/>
  <c r="C164" i="70"/>
  <c r="C163" i="70"/>
  <c r="C162" i="70"/>
  <c r="C161" i="70"/>
  <c r="C160" i="70"/>
  <c r="C159" i="70"/>
  <c r="C158" i="70"/>
  <c r="C157" i="70"/>
  <c r="C156" i="70"/>
  <c r="C155" i="70"/>
  <c r="C154" i="70"/>
  <c r="C153" i="70"/>
  <c r="C152" i="70"/>
  <c r="C151" i="70"/>
  <c r="C150" i="70"/>
  <c r="C149" i="70"/>
  <c r="C148" i="70"/>
  <c r="C147" i="70"/>
  <c r="C146" i="70"/>
  <c r="C145" i="70"/>
  <c r="C144" i="70"/>
  <c r="C143" i="70"/>
  <c r="C142" i="70"/>
  <c r="C141" i="70"/>
  <c r="C140" i="70"/>
  <c r="C139" i="70"/>
  <c r="C138" i="70"/>
  <c r="C137" i="70"/>
  <c r="C136" i="70"/>
  <c r="C135" i="70"/>
  <c r="C134" i="70"/>
  <c r="C133" i="70"/>
  <c r="C132" i="70"/>
  <c r="C131" i="70"/>
  <c r="C130" i="70"/>
  <c r="C129" i="70"/>
  <c r="C128" i="70"/>
  <c r="C127" i="70"/>
  <c r="C126" i="70"/>
  <c r="C125" i="70"/>
  <c r="C124" i="70"/>
  <c r="C123" i="70"/>
  <c r="C122" i="70"/>
  <c r="C121" i="70"/>
  <c r="C120" i="70"/>
  <c r="C119" i="70"/>
  <c r="C118" i="70"/>
  <c r="C117" i="70"/>
  <c r="C116" i="70"/>
  <c r="C115" i="70"/>
  <c r="C114" i="70"/>
  <c r="C113" i="70"/>
  <c r="C112" i="70"/>
  <c r="C111" i="70"/>
  <c r="C110" i="70"/>
  <c r="C109" i="70"/>
  <c r="C108" i="70"/>
  <c r="C107" i="70"/>
  <c r="C106" i="70"/>
  <c r="C105" i="70"/>
  <c r="C104" i="70"/>
  <c r="C103" i="70"/>
  <c r="C102" i="70"/>
  <c r="C101" i="70"/>
  <c r="C100" i="70"/>
  <c r="C99" i="70"/>
  <c r="O98" i="70"/>
  <c r="O175" i="70" s="1"/>
  <c r="C97" i="70"/>
  <c r="C96" i="70"/>
  <c r="C95" i="70"/>
  <c r="C94" i="70"/>
  <c r="C93" i="70"/>
  <c r="C92" i="70"/>
  <c r="C91" i="70"/>
  <c r="C90" i="70"/>
  <c r="C89" i="70"/>
  <c r="C88" i="70"/>
  <c r="C87" i="70"/>
  <c r="C86" i="70"/>
  <c r="C85" i="70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165" i="71" l="1"/>
  <c r="M175" i="70"/>
  <c r="C98" i="70"/>
  <c r="C175" i="70" s="1"/>
  <c r="J165" i="71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C103" i="69"/>
  <c r="C104" i="69"/>
  <c r="C105" i="69"/>
  <c r="C106" i="69"/>
  <c r="C107" i="69"/>
  <c r="C108" i="69"/>
  <c r="C109" i="69"/>
  <c r="C110" i="69"/>
  <c r="C6" i="69"/>
  <c r="H111" i="69"/>
  <c r="F111" i="69"/>
  <c r="A7" i="69"/>
  <c r="A8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3" i="69" s="1"/>
  <c r="A34" i="69" s="1"/>
  <c r="A35" i="69" s="1"/>
  <c r="A36" i="69" s="1"/>
  <c r="A38" i="69" s="1"/>
  <c r="A39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7" i="69" s="1"/>
  <c r="E111" i="69" l="1"/>
  <c r="D111" i="69"/>
  <c r="Z77" i="68"/>
  <c r="Z76" i="68"/>
  <c r="Y75" i="68"/>
  <c r="X75" i="68"/>
  <c r="W75" i="68"/>
  <c r="V75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E75" i="68"/>
  <c r="D75" i="68"/>
  <c r="C75" i="68"/>
  <c r="B75" i="68"/>
  <c r="Z74" i="68"/>
  <c r="Y73" i="68"/>
  <c r="X73" i="68"/>
  <c r="W73" i="68"/>
  <c r="V73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E73" i="68"/>
  <c r="D73" i="68"/>
  <c r="C73" i="68"/>
  <c r="B73" i="68"/>
  <c r="Z72" i="68"/>
  <c r="Z71" i="68"/>
  <c r="Y70" i="68"/>
  <c r="X70" i="68"/>
  <c r="W70" i="68"/>
  <c r="V70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E70" i="68"/>
  <c r="D70" i="68"/>
  <c r="C70" i="68"/>
  <c r="B70" i="68"/>
  <c r="Z70" i="68" s="1"/>
  <c r="Z69" i="68"/>
  <c r="I68" i="68"/>
  <c r="B68" i="68"/>
  <c r="Z68" i="68" s="1"/>
  <c r="V67" i="68"/>
  <c r="I67" i="68"/>
  <c r="Z67" i="68" s="1"/>
  <c r="B67" i="68"/>
  <c r="Z66" i="68"/>
  <c r="V66" i="68"/>
  <c r="Z65" i="68"/>
  <c r="I64" i="68"/>
  <c r="Z64" i="68" s="1"/>
  <c r="Y63" i="68"/>
  <c r="X63" i="68"/>
  <c r="W63" i="68"/>
  <c r="V63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E63" i="68"/>
  <c r="D63" i="68"/>
  <c r="C63" i="68"/>
  <c r="B63" i="68"/>
  <c r="Z63" i="68" s="1"/>
  <c r="Z62" i="68"/>
  <c r="Z61" i="68"/>
  <c r="Y60" i="68"/>
  <c r="X60" i="68"/>
  <c r="W60" i="68"/>
  <c r="V60" i="68"/>
  <c r="U60" i="68"/>
  <c r="T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B60" i="68"/>
  <c r="Z60" i="68" s="1"/>
  <c r="Z59" i="68"/>
  <c r="Z58" i="68"/>
  <c r="Z57" i="68"/>
  <c r="Z56" i="68"/>
  <c r="D55" i="68"/>
  <c r="Z55" i="68" s="1"/>
  <c r="Z54" i="68"/>
  <c r="Z53" i="68"/>
  <c r="Z52" i="68"/>
  <c r="U51" i="68"/>
  <c r="Z51" i="68" s="1"/>
  <c r="U50" i="68"/>
  <c r="U48" i="68" s="1"/>
  <c r="U49" i="68"/>
  <c r="Z49" i="68" s="1"/>
  <c r="Y48" i="68"/>
  <c r="X48" i="68"/>
  <c r="W48" i="68"/>
  <c r="V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Z47" i="68"/>
  <c r="Y46" i="68"/>
  <c r="X46" i="68"/>
  <c r="W46" i="68"/>
  <c r="V46" i="68"/>
  <c r="U46" i="68"/>
  <c r="T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C46" i="68"/>
  <c r="B46" i="68"/>
  <c r="Z46" i="68" s="1"/>
  <c r="Z45" i="68"/>
  <c r="Z44" i="68"/>
  <c r="Z43" i="68"/>
  <c r="Y42" i="68"/>
  <c r="X42" i="68"/>
  <c r="W42" i="68"/>
  <c r="V42" i="68"/>
  <c r="U42" i="68"/>
  <c r="T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E42" i="68"/>
  <c r="D42" i="68"/>
  <c r="C42" i="68"/>
  <c r="B42" i="68"/>
  <c r="Z42" i="68" s="1"/>
  <c r="Z41" i="68"/>
  <c r="Z40" i="68"/>
  <c r="Y39" i="68"/>
  <c r="X39" i="68"/>
  <c r="W39" i="68"/>
  <c r="V39" i="68"/>
  <c r="U39" i="68"/>
  <c r="T39" i="68"/>
  <c r="S39" i="68"/>
  <c r="R39" i="68"/>
  <c r="Q39" i="68"/>
  <c r="P39" i="68"/>
  <c r="O39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Z39" i="68" s="1"/>
  <c r="Z38" i="68"/>
  <c r="Z37" i="68"/>
  <c r="Y36" i="68"/>
  <c r="X36" i="68"/>
  <c r="W36" i="68"/>
  <c r="V36" i="68"/>
  <c r="U36" i="68"/>
  <c r="T36" i="68"/>
  <c r="S36" i="68"/>
  <c r="R36" i="68"/>
  <c r="Q36" i="68"/>
  <c r="P36" i="68"/>
  <c r="O36" i="68"/>
  <c r="N36" i="68"/>
  <c r="M36" i="68"/>
  <c r="L36" i="68"/>
  <c r="K36" i="68"/>
  <c r="J36" i="68"/>
  <c r="I36" i="68"/>
  <c r="H36" i="68"/>
  <c r="G36" i="68"/>
  <c r="F36" i="68"/>
  <c r="E36" i="68"/>
  <c r="D36" i="68"/>
  <c r="C36" i="68"/>
  <c r="B36" i="68"/>
  <c r="Z36" i="68" s="1"/>
  <c r="Z35" i="68"/>
  <c r="Z34" i="68"/>
  <c r="Z33" i="68"/>
  <c r="Y32" i="68"/>
  <c r="X32" i="68"/>
  <c r="W32" i="68"/>
  <c r="V32" i="68"/>
  <c r="U32" i="68"/>
  <c r="T32" i="68"/>
  <c r="S32" i="68"/>
  <c r="R32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E32" i="68"/>
  <c r="D32" i="68"/>
  <c r="C32" i="68"/>
  <c r="B32" i="68"/>
  <c r="Z32" i="68" s="1"/>
  <c r="Z31" i="68"/>
  <c r="Z30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9" i="68"/>
  <c r="C29" i="68"/>
  <c r="B29" i="68"/>
  <c r="Z28" i="68"/>
  <c r="Z27" i="68"/>
  <c r="Z26" i="68"/>
  <c r="O26" i="68"/>
  <c r="Z25" i="68"/>
  <c r="O25" i="68"/>
  <c r="Z24" i="68"/>
  <c r="I23" i="68"/>
  <c r="Z23" i="68" s="1"/>
  <c r="Y22" i="68"/>
  <c r="X22" i="68"/>
  <c r="W22" i="68"/>
  <c r="V22" i="68"/>
  <c r="U22" i="68"/>
  <c r="T22" i="68"/>
  <c r="S22" i="68"/>
  <c r="R22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C22" i="68"/>
  <c r="B22" i="68"/>
  <c r="Z21" i="68"/>
  <c r="Z20" i="68"/>
  <c r="Y19" i="68"/>
  <c r="X19" i="68"/>
  <c r="W19" i="68"/>
  <c r="V19" i="68"/>
  <c r="U19" i="68"/>
  <c r="T19" i="68"/>
  <c r="S19" i="68"/>
  <c r="R19" i="68"/>
  <c r="Q19" i="68"/>
  <c r="P19" i="68"/>
  <c r="O19" i="68"/>
  <c r="N19" i="68"/>
  <c r="M19" i="68"/>
  <c r="L19" i="68"/>
  <c r="K19" i="68"/>
  <c r="J19" i="68"/>
  <c r="I19" i="68"/>
  <c r="H19" i="68"/>
  <c r="G19" i="68"/>
  <c r="F19" i="68"/>
  <c r="E19" i="68"/>
  <c r="D19" i="68"/>
  <c r="C19" i="68"/>
  <c r="B19" i="68"/>
  <c r="Z19" i="68" s="1"/>
  <c r="Z18" i="68"/>
  <c r="Y17" i="68"/>
  <c r="X17" i="68"/>
  <c r="W17" i="68"/>
  <c r="V17" i="68"/>
  <c r="U17" i="68"/>
  <c r="T17" i="68"/>
  <c r="S17" i="68"/>
  <c r="R17" i="68"/>
  <c r="Q17" i="68"/>
  <c r="P17" i="68"/>
  <c r="O17" i="68"/>
  <c r="N17" i="68"/>
  <c r="M17" i="68"/>
  <c r="L17" i="68"/>
  <c r="K17" i="68"/>
  <c r="J17" i="68"/>
  <c r="I17" i="68"/>
  <c r="H17" i="68"/>
  <c r="G17" i="68"/>
  <c r="F17" i="68"/>
  <c r="E17" i="68"/>
  <c r="D17" i="68"/>
  <c r="C17" i="68"/>
  <c r="B17" i="68"/>
  <c r="Z17" i="68" s="1"/>
  <c r="Z16" i="68"/>
  <c r="Y15" i="68"/>
  <c r="X15" i="68"/>
  <c r="W15" i="68"/>
  <c r="V15" i="68"/>
  <c r="U15" i="68"/>
  <c r="T15" i="68"/>
  <c r="S15" i="68"/>
  <c r="R15" i="68"/>
  <c r="Q15" i="68"/>
  <c r="P15" i="68"/>
  <c r="O15" i="68"/>
  <c r="N15" i="68"/>
  <c r="M15" i="68"/>
  <c r="L15" i="68"/>
  <c r="K15" i="68"/>
  <c r="J15" i="68"/>
  <c r="I15" i="68"/>
  <c r="H15" i="68"/>
  <c r="G15" i="68"/>
  <c r="F15" i="68"/>
  <c r="E15" i="68"/>
  <c r="D15" i="68"/>
  <c r="C15" i="68"/>
  <c r="B15" i="68"/>
  <c r="Z15" i="68" s="1"/>
  <c r="Z14" i="68"/>
  <c r="Z13" i="68"/>
  <c r="E13" i="68"/>
  <c r="Y12" i="68"/>
  <c r="X12" i="68"/>
  <c r="W12" i="68"/>
  <c r="V12" i="68"/>
  <c r="U12" i="68"/>
  <c r="T12" i="68"/>
  <c r="S12" i="68"/>
  <c r="R12" i="68"/>
  <c r="Q12" i="68"/>
  <c r="P12" i="68"/>
  <c r="O12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Z12" i="68" s="1"/>
  <c r="Z11" i="68"/>
  <c r="Y10" i="68"/>
  <c r="X10" i="68"/>
  <c r="W10" i="68"/>
  <c r="V10" i="68"/>
  <c r="U10" i="68"/>
  <c r="T10" i="68"/>
  <c r="S10" i="68"/>
  <c r="R10" i="68"/>
  <c r="Q10" i="68"/>
  <c r="P10" i="68"/>
  <c r="O10" i="68"/>
  <c r="N10" i="68"/>
  <c r="M10" i="68"/>
  <c r="L10" i="68"/>
  <c r="K10" i="68"/>
  <c r="J10" i="68"/>
  <c r="I10" i="68"/>
  <c r="H10" i="68"/>
  <c r="G10" i="68"/>
  <c r="F10" i="68"/>
  <c r="E10" i="68"/>
  <c r="D10" i="68"/>
  <c r="C10" i="68"/>
  <c r="B10" i="68"/>
  <c r="Z10" i="68" s="1"/>
  <c r="Z9" i="68"/>
  <c r="Z8" i="68"/>
  <c r="Y7" i="68"/>
  <c r="X7" i="68"/>
  <c r="W7" i="68"/>
  <c r="V7" i="68"/>
  <c r="U7" i="68"/>
  <c r="T7" i="68"/>
  <c r="S7" i="68"/>
  <c r="R7" i="68"/>
  <c r="Q7" i="68"/>
  <c r="P7" i="68"/>
  <c r="O7" i="68"/>
  <c r="N7" i="68"/>
  <c r="M7" i="68"/>
  <c r="L7" i="68"/>
  <c r="K7" i="68"/>
  <c r="J7" i="68"/>
  <c r="I7" i="68"/>
  <c r="H7" i="68"/>
  <c r="G7" i="68"/>
  <c r="F7" i="68"/>
  <c r="E7" i="68"/>
  <c r="D7" i="68"/>
  <c r="C7" i="68"/>
  <c r="B7" i="68"/>
  <c r="Z7" i="68" s="1"/>
  <c r="Z6" i="68"/>
  <c r="B6" i="68"/>
  <c r="Z5" i="68"/>
  <c r="B5" i="68"/>
  <c r="Y4" i="68"/>
  <c r="Y78" i="68" s="1"/>
  <c r="X4" i="68"/>
  <c r="X78" i="68" s="1"/>
  <c r="W4" i="68"/>
  <c r="W78" i="68" s="1"/>
  <c r="V4" i="68"/>
  <c r="V78" i="68" s="1"/>
  <c r="U4" i="68"/>
  <c r="U78" i="68" s="1"/>
  <c r="T4" i="68"/>
  <c r="T78" i="68" s="1"/>
  <c r="S4" i="68"/>
  <c r="S78" i="68" s="1"/>
  <c r="R4" i="68"/>
  <c r="R78" i="68" s="1"/>
  <c r="Q4" i="68"/>
  <c r="Q78" i="68" s="1"/>
  <c r="P4" i="68"/>
  <c r="P78" i="68" s="1"/>
  <c r="O4" i="68"/>
  <c r="O78" i="68" s="1"/>
  <c r="N4" i="68"/>
  <c r="N78" i="68" s="1"/>
  <c r="M4" i="68"/>
  <c r="M78" i="68" s="1"/>
  <c r="L4" i="68"/>
  <c r="L78" i="68" s="1"/>
  <c r="K4" i="68"/>
  <c r="K78" i="68" s="1"/>
  <c r="J4" i="68"/>
  <c r="J78" i="68" s="1"/>
  <c r="I4" i="68"/>
  <c r="I78" i="68" s="1"/>
  <c r="H4" i="68"/>
  <c r="H78" i="68" s="1"/>
  <c r="G4" i="68"/>
  <c r="G78" i="68" s="1"/>
  <c r="F4" i="68"/>
  <c r="F78" i="68" s="1"/>
  <c r="E4" i="68"/>
  <c r="D4" i="68"/>
  <c r="D78" i="68" s="1"/>
  <c r="C4" i="68"/>
  <c r="C78" i="68" s="1"/>
  <c r="B4" i="68"/>
  <c r="B78" i="68" s="1"/>
  <c r="C111" i="69" l="1"/>
  <c r="Z75" i="68"/>
  <c r="E78" i="68"/>
  <c r="Z73" i="68"/>
  <c r="Z29" i="68"/>
  <c r="Z22" i="68"/>
  <c r="Z78" i="68"/>
  <c r="Z48" i="68"/>
  <c r="Z4" i="68"/>
  <c r="Z50" i="68"/>
  <c r="K20" i="67" l="1"/>
  <c r="J20" i="67"/>
  <c r="H20" i="67"/>
  <c r="G20" i="67"/>
  <c r="E20" i="67"/>
  <c r="I13" i="67"/>
  <c r="C13" i="67" s="1"/>
  <c r="D13" i="67"/>
  <c r="I12" i="67"/>
  <c r="F12" i="67"/>
  <c r="D12" i="67" s="1"/>
  <c r="C12" i="67" s="1"/>
  <c r="I11" i="67"/>
  <c r="F11" i="67"/>
  <c r="D11" i="67" s="1"/>
  <c r="C11" i="67" s="1"/>
  <c r="I10" i="67"/>
  <c r="F10" i="67"/>
  <c r="D10" i="67" s="1"/>
  <c r="C10" i="67" s="1"/>
  <c r="M9" i="67"/>
  <c r="M20" i="67" s="1"/>
  <c r="L9" i="67"/>
  <c r="L20" i="67" s="1"/>
  <c r="K9" i="67"/>
  <c r="J9" i="67"/>
  <c r="D9" i="67"/>
  <c r="I8" i="67"/>
  <c r="F8" i="67"/>
  <c r="D8" i="67"/>
  <c r="C8" i="67" s="1"/>
  <c r="C9" i="67" l="1"/>
  <c r="C20" i="67" s="1"/>
  <c r="F20" i="67"/>
  <c r="I9" i="67"/>
  <c r="I20" i="67" s="1"/>
  <c r="D20" i="67"/>
  <c r="K21" i="66"/>
  <c r="J21" i="66"/>
  <c r="H21" i="66"/>
  <c r="G21" i="66"/>
  <c r="F21" i="66"/>
  <c r="E21" i="66"/>
  <c r="I20" i="66"/>
  <c r="C20" i="66" s="1"/>
  <c r="D20" i="66"/>
  <c r="I13" i="66"/>
  <c r="D13" i="66"/>
  <c r="C13" i="66" s="1"/>
  <c r="I12" i="66"/>
  <c r="D12" i="66"/>
  <c r="C12" i="66"/>
  <c r="I11" i="66"/>
  <c r="D11" i="66"/>
  <c r="C11" i="66"/>
  <c r="I10" i="66"/>
  <c r="C10" i="66" s="1"/>
  <c r="D10" i="66"/>
  <c r="M9" i="66"/>
  <c r="M21" i="66" s="1"/>
  <c r="L9" i="66"/>
  <c r="L21" i="66" s="1"/>
  <c r="K9" i="66"/>
  <c r="J9" i="66"/>
  <c r="D9" i="66"/>
  <c r="I8" i="66"/>
  <c r="F8" i="66"/>
  <c r="D8" i="66"/>
  <c r="C8" i="66" s="1"/>
  <c r="I9" i="66" l="1"/>
  <c r="I21" i="66" s="1"/>
  <c r="D21" i="66"/>
  <c r="C9" i="66" l="1"/>
  <c r="C21" i="66" s="1"/>
  <c r="T20" i="65" l="1"/>
  <c r="J20" i="65"/>
  <c r="E20" i="65"/>
  <c r="M19" i="65"/>
  <c r="K19" i="65"/>
  <c r="I19" i="65"/>
  <c r="I20" i="65" s="1"/>
  <c r="P18" i="65"/>
  <c r="K18" i="65"/>
  <c r="P17" i="65"/>
  <c r="K17" i="65"/>
  <c r="P16" i="65"/>
  <c r="K16" i="65"/>
  <c r="P15" i="65"/>
  <c r="K15" i="65"/>
  <c r="P14" i="65"/>
  <c r="K14" i="65"/>
  <c r="P13" i="65"/>
  <c r="K13" i="65"/>
  <c r="R12" i="65"/>
  <c r="P12" i="65" s="1"/>
  <c r="N12" i="65"/>
  <c r="M12" i="65"/>
  <c r="R11" i="65"/>
  <c r="P11" i="65"/>
  <c r="N11" i="65"/>
  <c r="M11" i="65"/>
  <c r="K11" i="65" s="1"/>
  <c r="H11" i="65" s="1"/>
  <c r="C11" i="65" s="1"/>
  <c r="R10" i="65"/>
  <c r="P10" i="65" s="1"/>
  <c r="N10" i="65"/>
  <c r="M10" i="65"/>
  <c r="L10" i="65"/>
  <c r="R9" i="65"/>
  <c r="P9" i="65"/>
  <c r="N9" i="65"/>
  <c r="M9" i="65"/>
  <c r="D9" i="65"/>
  <c r="T8" i="65"/>
  <c r="S8" i="65"/>
  <c r="S20" i="65" s="1"/>
  <c r="R8" i="65"/>
  <c r="Q8" i="65"/>
  <c r="O8" i="65"/>
  <c r="O20" i="65" s="1"/>
  <c r="N8" i="65"/>
  <c r="M8" i="65"/>
  <c r="L8" i="65"/>
  <c r="G8" i="65"/>
  <c r="F8" i="65"/>
  <c r="F20" i="65" s="1"/>
  <c r="R7" i="65"/>
  <c r="P7" i="65" s="1"/>
  <c r="M7" i="65"/>
  <c r="L20" i="65" l="1"/>
  <c r="H19" i="65"/>
  <c r="C19" i="65" s="1"/>
  <c r="K12" i="65"/>
  <c r="H12" i="65" s="1"/>
  <c r="C12" i="65" s="1"/>
  <c r="K10" i="65"/>
  <c r="H14" i="65"/>
  <c r="C14" i="65" s="1"/>
  <c r="R20" i="65"/>
  <c r="N20" i="65"/>
  <c r="H15" i="65"/>
  <c r="C15" i="65" s="1"/>
  <c r="K9" i="65"/>
  <c r="H9" i="65" s="1"/>
  <c r="C9" i="65" s="1"/>
  <c r="H18" i="65"/>
  <c r="C18" i="65" s="1"/>
  <c r="K7" i="65"/>
  <c r="M20" i="65"/>
  <c r="K8" i="65"/>
  <c r="H13" i="65"/>
  <c r="C13" i="65" s="1"/>
  <c r="G20" i="65"/>
  <c r="P8" i="65"/>
  <c r="Q20" i="65"/>
  <c r="D20" i="65"/>
  <c r="H10" i="65"/>
  <c r="C10" i="65" s="1"/>
  <c r="H16" i="65"/>
  <c r="C16" i="65" s="1"/>
  <c r="H17" i="65"/>
  <c r="C17" i="65" s="1"/>
  <c r="H8" i="65" l="1"/>
  <c r="C8" i="65" s="1"/>
  <c r="K20" i="65"/>
  <c r="H7" i="65"/>
  <c r="P20" i="65"/>
  <c r="C7" i="65" l="1"/>
  <c r="C20" i="65" s="1"/>
  <c r="H20" i="65"/>
  <c r="N54" i="64" l="1"/>
  <c r="L54" i="64"/>
  <c r="K54" i="64"/>
  <c r="R53" i="64"/>
  <c r="M53" i="64"/>
  <c r="I53" i="64"/>
  <c r="G53" i="64"/>
  <c r="J53" i="64" s="1"/>
  <c r="E53" i="64"/>
  <c r="C53" i="64"/>
  <c r="F53" i="64" s="1"/>
  <c r="Q52" i="64"/>
  <c r="P52" i="64"/>
  <c r="R52" i="64" s="1"/>
  <c r="J52" i="64"/>
  <c r="F52" i="64"/>
  <c r="R51" i="64"/>
  <c r="G51" i="64"/>
  <c r="J51" i="64" s="1"/>
  <c r="F51" i="64"/>
  <c r="R50" i="64"/>
  <c r="J50" i="64"/>
  <c r="F50" i="64"/>
  <c r="R49" i="64"/>
  <c r="Q49" i="64"/>
  <c r="P49" i="64"/>
  <c r="J49" i="64"/>
  <c r="F49" i="64"/>
  <c r="S49" i="64" s="1"/>
  <c r="R48" i="64"/>
  <c r="J48" i="64"/>
  <c r="F48" i="64"/>
  <c r="S48" i="64" s="1"/>
  <c r="R47" i="64"/>
  <c r="J47" i="64"/>
  <c r="F47" i="64"/>
  <c r="R46" i="64"/>
  <c r="O46" i="64"/>
  <c r="O54" i="64" s="1"/>
  <c r="J46" i="64"/>
  <c r="F46" i="64"/>
  <c r="R45" i="64"/>
  <c r="M45" i="64"/>
  <c r="K45" i="64"/>
  <c r="J45" i="64"/>
  <c r="F45" i="64"/>
  <c r="R44" i="64"/>
  <c r="H44" i="64"/>
  <c r="G44" i="64"/>
  <c r="F44" i="64"/>
  <c r="R43" i="64"/>
  <c r="S43" i="64" s="1"/>
  <c r="J43" i="64"/>
  <c r="F43" i="64"/>
  <c r="Q42" i="64"/>
  <c r="R42" i="64" s="1"/>
  <c r="P42" i="64"/>
  <c r="I42" i="64"/>
  <c r="G42" i="64"/>
  <c r="F42" i="64"/>
  <c r="R41" i="64"/>
  <c r="J41" i="64"/>
  <c r="F41" i="64"/>
  <c r="R40" i="64"/>
  <c r="M40" i="64"/>
  <c r="J40" i="64"/>
  <c r="E40" i="64"/>
  <c r="F40" i="64" s="1"/>
  <c r="R39" i="64"/>
  <c r="M39" i="64"/>
  <c r="I39" i="64"/>
  <c r="G39" i="64"/>
  <c r="J39" i="64" s="1"/>
  <c r="E39" i="64"/>
  <c r="C39" i="64"/>
  <c r="R38" i="64"/>
  <c r="M38" i="64"/>
  <c r="M54" i="64" s="1"/>
  <c r="I38" i="64"/>
  <c r="G38" i="64"/>
  <c r="J38" i="64" s="1"/>
  <c r="E38" i="64"/>
  <c r="F38" i="64" s="1"/>
  <c r="S38" i="64" s="1"/>
  <c r="R37" i="64"/>
  <c r="H37" i="64"/>
  <c r="H54" i="64" s="1"/>
  <c r="G37" i="64"/>
  <c r="G54" i="64" s="1"/>
  <c r="F37" i="64"/>
  <c r="R36" i="64"/>
  <c r="J36" i="64"/>
  <c r="S36" i="64" s="1"/>
  <c r="F36" i="64"/>
  <c r="R35" i="64"/>
  <c r="J35" i="64"/>
  <c r="S35" i="64" s="1"/>
  <c r="F35" i="64"/>
  <c r="R34" i="64"/>
  <c r="J34" i="64"/>
  <c r="S34" i="64" s="1"/>
  <c r="F34" i="64"/>
  <c r="Q33" i="64"/>
  <c r="P33" i="64"/>
  <c r="R33" i="64" s="1"/>
  <c r="J33" i="64"/>
  <c r="F33" i="64"/>
  <c r="R32" i="64"/>
  <c r="J32" i="64"/>
  <c r="F32" i="64"/>
  <c r="R31" i="64"/>
  <c r="J31" i="64"/>
  <c r="F31" i="64"/>
  <c r="Q30" i="64"/>
  <c r="R30" i="64" s="1"/>
  <c r="P30" i="64"/>
  <c r="J30" i="64"/>
  <c r="F30" i="64"/>
  <c r="S29" i="64"/>
  <c r="R29" i="64"/>
  <c r="J29" i="64"/>
  <c r="F29" i="64"/>
  <c r="S28" i="64"/>
  <c r="R28" i="64"/>
  <c r="J28" i="64"/>
  <c r="F28" i="64"/>
  <c r="Q27" i="64"/>
  <c r="P27" i="64"/>
  <c r="J27" i="64"/>
  <c r="F27" i="64"/>
  <c r="R26" i="64"/>
  <c r="J26" i="64"/>
  <c r="F26" i="64"/>
  <c r="R25" i="64"/>
  <c r="J25" i="64"/>
  <c r="S25" i="64" s="1"/>
  <c r="F25" i="64"/>
  <c r="Q24" i="64"/>
  <c r="P24" i="64"/>
  <c r="J24" i="64"/>
  <c r="F24" i="64"/>
  <c r="Q23" i="64"/>
  <c r="P23" i="64"/>
  <c r="R23" i="64" s="1"/>
  <c r="J23" i="64"/>
  <c r="F23" i="64"/>
  <c r="Q22" i="64"/>
  <c r="P22" i="64"/>
  <c r="J22" i="64"/>
  <c r="F22" i="64"/>
  <c r="R21" i="64"/>
  <c r="J21" i="64"/>
  <c r="S21" i="64" s="1"/>
  <c r="F21" i="64"/>
  <c r="R20" i="64"/>
  <c r="J20" i="64"/>
  <c r="S20" i="64" s="1"/>
  <c r="F20" i="64"/>
  <c r="Q19" i="64"/>
  <c r="P19" i="64"/>
  <c r="R19" i="64" s="1"/>
  <c r="J19" i="64"/>
  <c r="F19" i="64"/>
  <c r="R18" i="64"/>
  <c r="J18" i="64"/>
  <c r="F18" i="64"/>
  <c r="Q17" i="64"/>
  <c r="P17" i="64"/>
  <c r="J17" i="64"/>
  <c r="F17" i="64"/>
  <c r="R16" i="64"/>
  <c r="J16" i="64"/>
  <c r="E16" i="64"/>
  <c r="D16" i="64"/>
  <c r="D54" i="64" s="1"/>
  <c r="C16" i="64"/>
  <c r="R15" i="64"/>
  <c r="J15" i="64"/>
  <c r="F15" i="64"/>
  <c r="R14" i="64"/>
  <c r="J14" i="64"/>
  <c r="F14" i="64"/>
  <c r="R13" i="64"/>
  <c r="Q13" i="64"/>
  <c r="P13" i="64"/>
  <c r="J13" i="64"/>
  <c r="F13" i="64"/>
  <c r="S13" i="64" s="1"/>
  <c r="R12" i="64"/>
  <c r="J12" i="64"/>
  <c r="F12" i="64"/>
  <c r="S12" i="64" s="1"/>
  <c r="Q11" i="64"/>
  <c r="P11" i="64"/>
  <c r="J11" i="64"/>
  <c r="F11" i="64"/>
  <c r="R10" i="64"/>
  <c r="J10" i="64"/>
  <c r="E10" i="64"/>
  <c r="F10" i="64" s="1"/>
  <c r="R9" i="64"/>
  <c r="S9" i="64" s="1"/>
  <c r="J9" i="64"/>
  <c r="F9" i="64"/>
  <c r="Q8" i="64"/>
  <c r="P8" i="64"/>
  <c r="R8" i="64" s="1"/>
  <c r="J8" i="64"/>
  <c r="F8" i="64"/>
  <c r="R7" i="64"/>
  <c r="J7" i="64"/>
  <c r="S7" i="64" s="1"/>
  <c r="F7" i="64"/>
  <c r="Q6" i="64"/>
  <c r="P6" i="64"/>
  <c r="J6" i="64"/>
  <c r="F6" i="64"/>
  <c r="R5" i="64"/>
  <c r="J5" i="64"/>
  <c r="S5" i="64" s="1"/>
  <c r="F5" i="64"/>
  <c r="S51" i="64" l="1"/>
  <c r="P54" i="64"/>
  <c r="F16" i="64"/>
  <c r="S16" i="64" s="1"/>
  <c r="S18" i="64"/>
  <c r="S30" i="64"/>
  <c r="S32" i="64"/>
  <c r="S40" i="64"/>
  <c r="S45" i="64"/>
  <c r="S52" i="64"/>
  <c r="R6" i="64"/>
  <c r="R54" i="64" s="1"/>
  <c r="S10" i="64"/>
  <c r="S15" i="64"/>
  <c r="R22" i="64"/>
  <c r="R24" i="64"/>
  <c r="S24" i="64" s="1"/>
  <c r="S31" i="64"/>
  <c r="J37" i="64"/>
  <c r="J42" i="64"/>
  <c r="S42" i="64" s="1"/>
  <c r="S46" i="64"/>
  <c r="S47" i="64"/>
  <c r="S8" i="64"/>
  <c r="R11" i="64"/>
  <c r="S11" i="64" s="1"/>
  <c r="S14" i="64"/>
  <c r="C54" i="64"/>
  <c r="R17" i="64"/>
  <c r="S26" i="64"/>
  <c r="R27" i="64"/>
  <c r="S27" i="64" s="1"/>
  <c r="S37" i="64"/>
  <c r="F39" i="64"/>
  <c r="S39" i="64" s="1"/>
  <c r="S41" i="64"/>
  <c r="J44" i="64"/>
  <c r="J54" i="64" s="1"/>
  <c r="S50" i="64"/>
  <c r="F54" i="64"/>
  <c r="S6" i="64"/>
  <c r="S22" i="64"/>
  <c r="S17" i="64"/>
  <c r="S19" i="64"/>
  <c r="S23" i="64"/>
  <c r="S33" i="64"/>
  <c r="S53" i="64"/>
  <c r="E54" i="64"/>
  <c r="I54" i="64"/>
  <c r="Q54" i="64"/>
  <c r="S44" i="64" l="1"/>
  <c r="S54" i="64" s="1"/>
  <c r="D145" i="63" l="1"/>
  <c r="C145" i="63" s="1"/>
  <c r="C144" i="63"/>
  <c r="D143" i="63"/>
  <c r="C143" i="63" s="1"/>
  <c r="C142" i="63"/>
  <c r="C141" i="63"/>
  <c r="I139" i="63"/>
  <c r="I146" i="63" s="1"/>
  <c r="H139" i="63"/>
  <c r="G139" i="63"/>
  <c r="F139" i="63"/>
  <c r="E139" i="63"/>
  <c r="D138" i="63"/>
  <c r="C138" i="63"/>
  <c r="C137" i="63"/>
  <c r="C136" i="63"/>
  <c r="C135" i="63"/>
  <c r="C134" i="63"/>
  <c r="G133" i="63"/>
  <c r="D133" i="63"/>
  <c r="C133" i="63"/>
  <c r="D132" i="63"/>
  <c r="C132" i="63"/>
  <c r="C131" i="63"/>
  <c r="D130" i="63"/>
  <c r="C130" i="63"/>
  <c r="E129" i="63"/>
  <c r="E127" i="63" s="1"/>
  <c r="D129" i="63"/>
  <c r="C129" i="63"/>
  <c r="C128" i="63"/>
  <c r="H127" i="63"/>
  <c r="H146" i="63" s="1"/>
  <c r="F127" i="63"/>
  <c r="F146" i="63" s="1"/>
  <c r="D127" i="63"/>
  <c r="C127" i="63"/>
  <c r="C126" i="63"/>
  <c r="C125" i="63"/>
  <c r="C124" i="63"/>
  <c r="C123" i="63"/>
  <c r="C122" i="63" s="1"/>
  <c r="D122" i="63"/>
  <c r="C121" i="63"/>
  <c r="G120" i="63"/>
  <c r="D120" i="63"/>
  <c r="C120" i="63"/>
  <c r="D119" i="63"/>
  <c r="C119" i="63"/>
  <c r="C118" i="63"/>
  <c r="G117" i="63"/>
  <c r="D117" i="63"/>
  <c r="C117" i="63"/>
  <c r="C116" i="63"/>
  <c r="D115" i="63"/>
  <c r="C115" i="63" s="1"/>
  <c r="C114" i="63" s="1"/>
  <c r="C113" i="63"/>
  <c r="G112" i="63"/>
  <c r="G146" i="63" s="1"/>
  <c r="D112" i="63"/>
  <c r="C112" i="63" s="1"/>
  <c r="D111" i="63"/>
  <c r="C111" i="63"/>
  <c r="C110" i="63"/>
  <c r="C109" i="63"/>
  <c r="C108" i="63"/>
  <c r="C107" i="63"/>
  <c r="C106" i="63"/>
  <c r="C105" i="63"/>
  <c r="C104" i="63"/>
  <c r="C103" i="63"/>
  <c r="C102" i="63"/>
  <c r="C101" i="63"/>
  <c r="C100" i="63"/>
  <c r="C99" i="63"/>
  <c r="C98" i="63"/>
  <c r="C97" i="63"/>
  <c r="C96" i="63"/>
  <c r="C95" i="63"/>
  <c r="C94" i="63"/>
  <c r="C93" i="63"/>
  <c r="C92" i="63"/>
  <c r="C91" i="63"/>
  <c r="C90" i="63"/>
  <c r="C89" i="63"/>
  <c r="C88" i="63"/>
  <c r="C87" i="63"/>
  <c r="C86" i="63"/>
  <c r="C85" i="63"/>
  <c r="C84" i="63"/>
  <c r="D83" i="63"/>
  <c r="C83" i="63"/>
  <c r="D82" i="63"/>
  <c r="C82" i="63"/>
  <c r="D81" i="63"/>
  <c r="C81" i="63"/>
  <c r="C80" i="63"/>
  <c r="C79" i="63"/>
  <c r="D78" i="63"/>
  <c r="C78" i="63"/>
  <c r="C77" i="63"/>
  <c r="C76" i="63"/>
  <c r="C75" i="63"/>
  <c r="C74" i="63"/>
  <c r="D73" i="63"/>
  <c r="C73" i="63"/>
  <c r="E72" i="63"/>
  <c r="D72" i="63"/>
  <c r="C72" i="63" s="1"/>
  <c r="E71" i="63"/>
  <c r="D71" i="63"/>
  <c r="C71" i="63"/>
  <c r="E70" i="63"/>
  <c r="D70" i="63"/>
  <c r="C70" i="63"/>
  <c r="E69" i="63"/>
  <c r="D69" i="63"/>
  <c r="C69" i="63" s="1"/>
  <c r="E68" i="63"/>
  <c r="D68" i="63"/>
  <c r="C68" i="63" s="1"/>
  <c r="E67" i="63"/>
  <c r="D67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H54" i="63"/>
  <c r="D54" i="63"/>
  <c r="C54" i="63" s="1"/>
  <c r="C53" i="63"/>
  <c r="C52" i="63"/>
  <c r="C51" i="63"/>
  <c r="C50" i="63"/>
  <c r="D49" i="63"/>
  <c r="C49" i="63" s="1"/>
  <c r="C48" i="63"/>
  <c r="D47" i="63"/>
  <c r="C47" i="63" s="1"/>
  <c r="C46" i="63"/>
  <c r="C45" i="63"/>
  <c r="C44" i="63"/>
  <c r="C43" i="63"/>
  <c r="C42" i="63"/>
  <c r="C41" i="63"/>
  <c r="C40" i="63"/>
  <c r="D39" i="63"/>
  <c r="C39" i="63" s="1"/>
  <c r="C38" i="63"/>
  <c r="C37" i="63"/>
  <c r="C36" i="63"/>
  <c r="C35" i="63"/>
  <c r="C34" i="63"/>
  <c r="C33" i="63"/>
  <c r="C32" i="63"/>
  <c r="C31" i="63"/>
  <c r="C30" i="63"/>
  <c r="C29" i="63"/>
  <c r="D28" i="63"/>
  <c r="C28" i="63" s="1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D12" i="63"/>
  <c r="C12" i="63" s="1"/>
  <c r="C11" i="63"/>
  <c r="C10" i="63"/>
  <c r="C9" i="63"/>
  <c r="C8" i="63"/>
  <c r="D7" i="63"/>
  <c r="C7" i="63"/>
  <c r="D6" i="63"/>
  <c r="C6" i="63" s="1"/>
  <c r="E146" i="63" l="1"/>
  <c r="C139" i="63"/>
  <c r="D114" i="63"/>
  <c r="D139" i="63"/>
  <c r="C146" i="63"/>
  <c r="D146" i="63" l="1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19" authorId="0" shape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<sst xmlns="http://schemas.openxmlformats.org/spreadsheetml/2006/main" count="1180" uniqueCount="530">
  <si>
    <t>№ п/п</t>
  </si>
  <si>
    <t>ГБУЗ РБ Бирская ЦРБ</t>
  </si>
  <si>
    <t>ГБУЗ РБ Дюртюлинская ЦРБ</t>
  </si>
  <si>
    <t>ГБУЗ РБ ГБ г. Нефтекамск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</si>
  <si>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</si>
  <si>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</si>
  <si>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</si>
  <si>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</si>
  <si>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</si>
  <si>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</si>
  <si>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</si>
  <si>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Мишкинская ЦРБ</t>
  </si>
  <si>
    <t>ГБУЗ РБ Баймакская ЦГБ</t>
  </si>
  <si>
    <t>ГБУЗ РБ Белорецкая ЦРКБ</t>
  </si>
  <si>
    <t>ГАУЗ РБ Учалинская ЦГБ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</si>
  <si>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</si>
  <si>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</si>
  <si>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</si>
  <si>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</si>
  <si>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</si>
  <si>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</si>
  <si>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</si>
  <si>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</si>
  <si>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</si>
  <si>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</si>
  <si>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</si>
  <si>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</si>
  <si>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</si>
  <si>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Белебеевская ЦРБ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</si>
  <si>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</si>
  <si>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</si>
  <si>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</si>
  <si>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</si>
  <si>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</si>
  <si>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</si>
  <si>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</si>
  <si>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</si>
  <si>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</si>
  <si>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</si>
  <si>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</si>
  <si>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</si>
  <si>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</si>
  <si>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</si>
  <si>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</si>
  <si>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</si>
  <si>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</si>
  <si>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</si>
  <si>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</si>
  <si>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</si>
  <si>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</si>
  <si>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</si>
  <si>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</si>
  <si>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ИТОГО</t>
  </si>
  <si>
    <t>ГБУЗ РБ ЦГБ г. Сибай</t>
  </si>
  <si>
    <t>ФГБУЗ МСЧ № 142 ФМБА России</t>
  </si>
  <si>
    <t xml:space="preserve">ГБУЗ РБ ГБ г. Салават </t>
  </si>
  <si>
    <t xml:space="preserve">ГБУЗ РБ ГБ г. Кумертау </t>
  </si>
  <si>
    <t>ГБУЗ РБ ГБ № 1 г. Октябрьский</t>
  </si>
  <si>
    <t>Обособленное структурное подразделение ГБУЗ РБ ГБ г. Кумертау  ранее именуемое ГБУЗ РБ Ермолаевская ЦРБ</t>
  </si>
  <si>
    <t>Медицинская помощь, оказываемая в условиях дневных стационаров всех типов, на 2019 год.</t>
  </si>
  <si>
    <t>(случай лечения)</t>
  </si>
  <si>
    <t>Наименование медицинской организации</t>
  </si>
  <si>
    <t>Всего в рамках программы ОМС</t>
  </si>
  <si>
    <t xml:space="preserve">В рамках базовой программы ОМС 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</si>
  <si>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</si>
  <si>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</si>
  <si>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</si>
  <si>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</si>
  <si>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</si>
  <si>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</si>
  <si>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Обособленное структурное подразделение ГБУЗ РБ ГБ г. Нефтекамск, ранее именуемое ГБУЗ РБ Агидельская ГБ</t>
  </si>
  <si>
    <t>ГБУЗ РБ Краснокамская ЦРБ</t>
  </si>
  <si>
    <t>ООО "Белый Жемчуг" (г.Нефтекамск)</t>
  </si>
  <si>
    <t>ООО МЦ "СЕМЕЙНЫЙ ДОКТОР" (г.Бирск)</t>
  </si>
  <si>
    <t>ГБУЗ РБ КБ № 1 г. Стерлитамак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</si>
  <si>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</si>
  <si>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</si>
  <si>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</si>
  <si>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</si>
  <si>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г. Стерлитамак</t>
  </si>
  <si>
    <t>ГБУЗ РБ ДБ г. Стерлитамак</t>
  </si>
  <si>
    <t>ГАУЗ РБ "Санаторий для детей НУР г. Стерлитамак"</t>
  </si>
  <si>
    <t xml:space="preserve">ГАУЗ РБ КВД г. Стерлитамак </t>
  </si>
  <si>
    <t xml:space="preserve">Обособленное структурное подразделение ГБУЗ РБ ГБ г. Салават ранее именуемое ГБУЗ РБ Детская ГБ г. Салават </t>
  </si>
  <si>
    <t>ГАУЗ РБ КВД г. Салават</t>
  </si>
  <si>
    <t>НУЗ "Узловая больница на ст. Стерлитамак ОАО "РЖД"</t>
  </si>
  <si>
    <t>АНО "Перинатальный центр" (г. Салават)</t>
  </si>
  <si>
    <t>ООО "Клиника доктора Симаковой" (г.Стерлитамак)</t>
  </si>
  <si>
    <t>ООО "Медсервис" г. Салават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</si>
  <si>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</si>
  <si>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</si>
  <si>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</si>
  <si>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</si>
  <si>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</si>
  <si>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</si>
  <si>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</si>
  <si>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</si>
  <si>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</si>
  <si>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</si>
  <si>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</si>
  <si>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</si>
  <si>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</si>
  <si>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</si>
  <si>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</si>
  <si>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</si>
  <si>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</si>
  <si>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</si>
  <si>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</si>
  <si>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</si>
  <si>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</si>
  <si>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</si>
  <si>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</si>
  <si>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</si>
  <si>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ГАУЗ РБ ГКБ № 18 г. Уфа</t>
  </si>
  <si>
    <t xml:space="preserve">ГБУЗ РБ РД № 3 г. Уфа  </t>
  </si>
  <si>
    <t>ФГБОУ ВО БГМУ Минздрава России</t>
  </si>
  <si>
    <t>Поликлиника УНЦ РАН</t>
  </si>
  <si>
    <t>НУЗ "Дорожный центр восстановительной медицины и реабилитации ОАО "РЖД"</t>
  </si>
  <si>
    <t>ООО "МЦ "Агидель"</t>
  </si>
  <si>
    <t>ООО "Клиника глазных болезней" (г.Уфа)</t>
  </si>
  <si>
    <t>ООО "Лаборатория гемодиализа"</t>
  </si>
  <si>
    <t>ООО "Лаборатория гемодиализа" (гемодиализ ds18.002)</t>
  </si>
  <si>
    <t>ООО "Лаборатория гемодиализа" (гемодиализ ds18.003)</t>
  </si>
  <si>
    <t>ООО "МЦ МЕГИ" (г.Уфа)</t>
  </si>
  <si>
    <t>ООО "Сфера-Эстейт"</t>
  </si>
  <si>
    <t>ООО "Экома"</t>
  </si>
  <si>
    <t>ГБУЗ РКБ им.Г.Г. Куватова</t>
  </si>
  <si>
    <t>ГБУЗ РКБ им.Г.Г. Куватова (без гемодиализа)</t>
  </si>
  <si>
    <t>ГБУЗ РКБ им.Г.Г. Куватова (гемодиализ ds18.002)</t>
  </si>
  <si>
    <t>ГАУЗ РКОД МЗ РБ</t>
  </si>
  <si>
    <t>ГБУЗ РКЦ</t>
  </si>
  <si>
    <t xml:space="preserve">ГБУЗ "РДКБ" </t>
  </si>
  <si>
    <t>ГБУЗ "РДКБ" (без гемодиализа)</t>
  </si>
  <si>
    <t>ГБУЗ "РДКБ" (гемодиализ ds18.002)</t>
  </si>
  <si>
    <t>ГБУ "УфНИИ ГБ АН РБ"</t>
  </si>
  <si>
    <t>ГАУЗ РКВД № 1</t>
  </si>
  <si>
    <t>ГБУЗ "РКПЦ" МЗ РБ</t>
  </si>
  <si>
    <t>ГБУЗ РМГЦ*</t>
  </si>
  <si>
    <t>ГАУЗ РВФД</t>
  </si>
  <si>
    <t>ГБУЗ РКГВВ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</si>
  <si>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</si>
  <si>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</si>
  <si>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 Уфа</t>
  </si>
  <si>
    <t>ООО "ПЭТ-Технолоджи",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</si>
  <si>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</si>
  <si>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</si>
  <si>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</si>
  <si>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-'КТ/ПЭТ исследования</t>
  </si>
  <si>
    <t>ООО "Клиника лазерной хирургии"</t>
  </si>
  <si>
    <t>Медицинская помощь за пределами РБ</t>
  </si>
  <si>
    <t>Итого</t>
  </si>
  <si>
    <t>Всего</t>
  </si>
  <si>
    <t>ГБУЗ РДКБ</t>
  </si>
  <si>
    <t>ГБУЗ РБ БСМП г.Уфа</t>
  </si>
  <si>
    <t xml:space="preserve">ГБУЗ РБ ГКБ № 21 г.Уфа </t>
  </si>
  <si>
    <t>ГАУЗ РБ ГКБ №18 г.Уфа</t>
  </si>
  <si>
    <t xml:space="preserve">ГБУЗ РБ ГБ г. Нефтекамск </t>
  </si>
  <si>
    <t>ГБУЗ РБ КБ № 1 г.Стерлитамак</t>
  </si>
  <si>
    <t>(услуги)</t>
  </si>
  <si>
    <t>ООО "Медсервис" (г. Салават)</t>
  </si>
  <si>
    <t>ГБУЗ РКБ им. Г.Г.Куватова</t>
  </si>
  <si>
    <t>ГБУЗ РБ ЦГБ г.Сибай</t>
  </si>
  <si>
    <t>ГБУЗ РБ ГБ г.Салават</t>
  </si>
  <si>
    <t>ГБУЗ РБ ГБ г.Кумертау</t>
  </si>
  <si>
    <t>ГБУЗ РБ Поликлиника №43 г.Уфа</t>
  </si>
  <si>
    <t>ГБУЗ РБ Поликлиника №46 г.Уфа</t>
  </si>
  <si>
    <t>ГБУЗ РБ ГКБ №8 г.Уфа</t>
  </si>
  <si>
    <t>ГБУЗ РБ ГКБ №13 г.Уфа</t>
  </si>
  <si>
    <t>ГБУЗ РБ РД №3 г.Уфа</t>
  </si>
  <si>
    <t>ГБУЗ РМГЦ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</si>
  <si>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</si>
  <si>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</si>
  <si>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</si>
  <si>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</si>
  <si>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</si>
  <si>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</si>
  <si>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</si>
  <si>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</si>
  <si>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</si>
  <si>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</si>
  <si>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</si>
  <si>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</si>
  <si>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</si>
  <si>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</si>
  <si>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</si>
  <si>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</si>
  <si>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</si>
  <si>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АНО "Перинатальный центр"</t>
  </si>
  <si>
    <t>ГБУЗ РБ ГБ № 1 г.Октябрьский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</si>
  <si>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</si>
  <si>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</si>
  <si>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</si>
  <si>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</si>
  <si>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</si>
  <si>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</si>
  <si>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</si>
  <si>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</si>
  <si>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НУЗ "Дорожный центр ВМ и Р ОАО "РЖД"</t>
  </si>
  <si>
    <t>ООО "Центр здоровья"</t>
  </si>
  <si>
    <t>ООО "АНЭКО"*</t>
  </si>
  <si>
    <t>ООО "МД Проект 2010"*</t>
  </si>
  <si>
    <t>ООО "ЦМТ"*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</si>
  <si>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</si>
  <si>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</si>
  <si>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Наименование МО</t>
  </si>
  <si>
    <t>Объемы (сеансы)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</si>
  <si>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</si>
  <si>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</si>
  <si>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МП, оказываемая в амбулаторных условиях</t>
  </si>
  <si>
    <t>Круглосуточный стационар</t>
  </si>
  <si>
    <t>Медицинская помощь, оказываемая в амбулаторных условиях</t>
  </si>
  <si>
    <t>Дневной стационар</t>
  </si>
  <si>
    <t>гемодиализ интермит-тирующий высокопоточный (А18.05.002.001)</t>
  </si>
  <si>
    <t xml:space="preserve">Услуги диализа, оказываемые в отделениях фильтрации </t>
  </si>
  <si>
    <t>Перитонеальный диализ при нарушении ультра-фильтрации (А18.30.001.003)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</si>
  <si>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</si>
  <si>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</si>
  <si>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</si>
  <si>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</si>
  <si>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</si>
  <si>
    <t>ГБУЗ РКБ им. Г.Г. Куватова</t>
  </si>
  <si>
    <t xml:space="preserve">ИТОГО </t>
  </si>
  <si>
    <t>Объемы сеансов (услуг) заместительной почечной терапии методами гемодиализа и перитонеального диализа в амбулаторных условиях на 2019 год.</t>
  </si>
  <si>
    <t>Медицинская помощь, оказываемая в амбулаторных условиях (для пациентов с хронической почечной недостаточностью (ХПН)</t>
  </si>
  <si>
    <t>Итого на 2019 г.</t>
  </si>
  <si>
    <t>в том числе</t>
  </si>
  <si>
    <t>1 квартал</t>
  </si>
  <si>
    <t>2-4 квартал</t>
  </si>
  <si>
    <t>Итого на
 1 квартал</t>
  </si>
  <si>
    <t>гемодиализ интермиттиру-ющий низкопоточный (А18.05.002,
А18.05.002.002)</t>
  </si>
  <si>
    <t>гемодиализ интермиттиру-ющий высокопоточный (А18.05.002.001)</t>
  </si>
  <si>
    <t>Перитонеальный диализ при нарушении ультрафильтра-ции (А18.30.001.003)</t>
  </si>
  <si>
    <t>Итого на
 2-4 квартал</t>
  </si>
  <si>
    <t>ГБУЗ РБ БСМП г. Уфа</t>
  </si>
  <si>
    <t>Объемы сеансов (услуг) заместительной почечной терапии методами гемодиализа и перитонеального диализа в условиях дневного стационара на 2019 год.</t>
  </si>
  <si>
    <t>Дневной стационар (для пациентов с хронической почечной недостаточностью (ХПН)</t>
  </si>
  <si>
    <t>Итого на       2019 г.</t>
  </si>
  <si>
    <t>Объем, перечень видов ВМП, финансовое обеспечение которых осуществляется за счет средств ОМС, установленные Комиссией на 2019 год</t>
  </si>
  <si>
    <t>№ группы ВМП</t>
  </si>
  <si>
    <t>ГБУЗ РКПЦ МЗ РБ</t>
  </si>
  <si>
    <t>ГАУЗ РКВД №1</t>
  </si>
  <si>
    <t>ГБУЗ РБ ГКБ №21 г. Уфа</t>
  </si>
  <si>
    <t>ФГБУ "ВЦГПХ" Минздрава России</t>
  </si>
  <si>
    <t>ГБУ  "УфНИИ ГБ АН РБ"</t>
  </si>
  <si>
    <t>ГБУЗ РБ ГБ №10 г. Уфа</t>
  </si>
  <si>
    <t>ГБУЗ РБ ГБ №13 г. Уфа</t>
  </si>
  <si>
    <t>ГБУЗ РБ ГДКБ № 17 г. Уфа</t>
  </si>
  <si>
    <t>ГАУЗ РБ ГКБ №18 г. Уфа</t>
  </si>
  <si>
    <t>ГБУЗ РБ РД №3 г. Уфа</t>
  </si>
  <si>
    <t>ГБУЗ ГБ г.Кумертау</t>
  </si>
  <si>
    <t>ГБУЗ РБ ГБ Салават</t>
  </si>
  <si>
    <t>ГБУЗ РБ КБ №1 г. Стерлитамак</t>
  </si>
  <si>
    <t>ООО "Медсервис" г.Салават</t>
  </si>
  <si>
    <t>ООО МД-Проект 2010</t>
  </si>
  <si>
    <t>ФГБОУ ВО БГМУ МЗ РФ</t>
  </si>
  <si>
    <t>Резерв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</si>
  <si>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</si>
  <si>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</si>
  <si>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</si>
  <si>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</si>
  <si>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</si>
  <si>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</si>
  <si>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</si>
  <si>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</si>
  <si>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</si>
  <si>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</si>
  <si>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</si>
  <si>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</si>
  <si>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</si>
  <si>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</si>
  <si>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</si>
  <si>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</si>
  <si>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</si>
  <si>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</si>
  <si>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</si>
  <si>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</si>
  <si>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</si>
  <si>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Медицинская помощь, оказываемая в круглосуточных стационарах на 2019 год.</t>
  </si>
  <si>
    <t>(случаи госпитализации)</t>
  </si>
  <si>
    <t>ВМП</t>
  </si>
  <si>
    <t xml:space="preserve">в том числе </t>
  </si>
  <si>
    <t>В рамках  сверхбазовой программы ОМС (долечивание)</t>
  </si>
  <si>
    <t>медицинская реабилитация</t>
  </si>
  <si>
    <t>профиль "онкология"</t>
  </si>
  <si>
    <t>ГБУЗ РБ Городская инфекционная больница                                                                            г. Стерлитамак</t>
  </si>
  <si>
    <t>Обособленное структурное подразделение ГБУЗ РБ ГБ г. Кумертау ранее именуемое ГБУЗ РБ Ермолаевская ЦРБ</t>
  </si>
  <si>
    <t>ФКУЗ «МСЧ МВД России по РБ»</t>
  </si>
  <si>
    <t>ООО "МД Проект 2010"</t>
  </si>
  <si>
    <t>ООО "Медицинский центр Семья"</t>
  </si>
  <si>
    <t>ООО «Санаторий "Зеленая роща"» РБ</t>
  </si>
  <si>
    <t>ООО  санаторий "Юматово"</t>
  </si>
  <si>
    <t>ООО "ЦМТ"</t>
  </si>
  <si>
    <t>ГАУЗ РКОД  МЗ РБ</t>
  </si>
  <si>
    <t>ГБУЗ " РДКБ"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</si>
  <si>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</si>
  <si>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</si>
  <si>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</si>
  <si>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</si>
  <si>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</si>
  <si>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>Амбулаторно-поликлиническая помощь в части посещений с профилактической целью на 2019 год.</t>
  </si>
  <si>
    <t xml:space="preserve">посещения </t>
  </si>
  <si>
    <t>Наименование медицинских организаций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</si>
  <si>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</si>
  <si>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</si>
  <si>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</si>
  <si>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 (комплексные посещения)</t>
  </si>
  <si>
    <t>Профилак-тический медосмотр взрослых, в том числе при первом посещении по поводу диспансерного наблюдения</t>
  </si>
  <si>
    <t>Профилак-тический медосмотр несовершен-нолетних (комплексные посещения)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</si>
  <si>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</si>
  <si>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</si>
  <si>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</si>
  <si>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</si>
  <si>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 (комплексные посещения)</t>
  </si>
  <si>
    <t>2 этап</t>
  </si>
  <si>
    <t>первичный прием</t>
  </si>
  <si>
    <t>повторная консуль-тация</t>
  </si>
  <si>
    <t>финансируемые по реестрам</t>
  </si>
  <si>
    <t>финансируемые по подушевому принципу</t>
  </si>
  <si>
    <t>ГБУЗ РБ Бирская стоматологическая поликлиника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</si>
  <si>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</si>
  <si>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</si>
  <si>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ООО "Авиценна (г.Нефтекамск)</t>
  </si>
  <si>
    <t>ООО "ВИП" (г.Некфтекамск)</t>
  </si>
  <si>
    <t>ООО "ВИТАЛ" (г.Нефтекамск)</t>
  </si>
  <si>
    <t>ООО "МедСервис" (г.Нефтекамск)</t>
  </si>
  <si>
    <t>ООО "СтомЭл" (г.Нефтекамск)</t>
  </si>
  <si>
    <t>ГАУЗ РБ Стоматологическая поликлиника г.Сибай</t>
  </si>
  <si>
    <t>ФГБУЗ МСЧ №142 ФМБА России</t>
  </si>
  <si>
    <t>ООО "Мой доктор" (с.Аскарово)</t>
  </si>
  <si>
    <t>ГБУЗ РБ КБ №1 г.Стерлитамак</t>
  </si>
  <si>
    <t>ГБУЗ РБ Городская больница №2 г.Стерлитамак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</si>
  <si>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</si>
  <si>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</si>
  <si>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</si>
  <si>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Городская инфекционная больница г.Стерлитамак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</si>
  <si>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</si>
  <si>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</si>
  <si>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</si>
  <si>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</si>
  <si>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ГБУЗ РБ Стоматологическая поликлиника г.Салават</t>
  </si>
  <si>
    <t>ГАУЗ РБ КВД г.Салават</t>
  </si>
  <si>
    <t>Обособленное структурное подразделение ГБУЗ РБ ЦГБ города Кумертау, ранее именуемое ГБУЗ РБ Ермолаевская ЦРБ</t>
  </si>
  <si>
    <t>НУЗ "Узловая больница на ст.Стерлитамак ОАО "РЖД"</t>
  </si>
  <si>
    <t>ООО "Медсервис" (г.Салават)</t>
  </si>
  <si>
    <t>ГБУЗ РБ ГБ №1 г. Октябрьский</t>
  </si>
  <si>
    <t>ГБУЗ РБ Стоматологическая поликлиника г. Октябрьский</t>
  </si>
  <si>
    <t>ООО "Академия здоровья" (с.Киргиз-Мияки)</t>
  </si>
  <si>
    <t>ООО "Дентал Стандарт" (с.Бижбуляк)</t>
  </si>
  <si>
    <t>ООО "Радуга" (с.Киргиз-Мияки)</t>
  </si>
  <si>
    <t>ООО "Центр здоровья и красоты" (с.Киргиз-Мияки)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</si>
  <si>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</si>
  <si>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</si>
  <si>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</si>
  <si>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</si>
  <si>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</si>
  <si>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</si>
  <si>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</si>
  <si>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</si>
  <si>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</si>
  <si>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</si>
  <si>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</si>
  <si>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№44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</si>
  <si>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</si>
  <si>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</si>
  <si>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</si>
  <si>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</si>
  <si>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</si>
  <si>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</si>
  <si>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</si>
  <si>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</si>
  <si>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</si>
  <si>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</si>
  <si>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</si>
  <si>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</si>
  <si>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ГКБ №5 г.Уфа</t>
  </si>
  <si>
    <t>ГБУЗ РБ ГБ №9 г.Уфа</t>
  </si>
  <si>
    <t>ГБУЗ РБ ГКБ №10 г.Уфа</t>
  </si>
  <si>
    <t>ГБУЗ РБ ГБ №12 г.Уфа</t>
  </si>
  <si>
    <t>ГБУЗ РБ ГДКБ №17 г.Уфа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</si>
  <si>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</si>
  <si>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</si>
  <si>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</si>
  <si>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ООО "АЙМЕД" (г.Уфа)</t>
  </si>
  <si>
    <t>ООО "Академия здоровья" (г.Уфа)</t>
  </si>
  <si>
    <t>ООО "АНЭКО" (г.Уфа)</t>
  </si>
  <si>
    <t>ООО "Арт-Лион" (г.Уфа)</t>
  </si>
  <si>
    <t>ООО "Витадент Космо" (г.Уфа)</t>
  </si>
  <si>
    <t>ООО "Дантист" (г.Благовещенск)</t>
  </si>
  <si>
    <t>ООО "Евромед+" (г.Уфа)</t>
  </si>
  <si>
    <t>ООО "Евромед-Уфа" (г.Уфа)</t>
  </si>
  <si>
    <t>ООО "Клиника современной флебологии" (г.Уфа)</t>
  </si>
  <si>
    <t>ООО "МАСТЕР-ДЕНТ" (г.Уфа)</t>
  </si>
  <si>
    <t>ООО "Медик" (г.Уфа)</t>
  </si>
  <si>
    <t>ООО "Медицинский центр Семья"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</si>
  <si>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</si>
  <si>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</si>
  <si>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</si>
  <si>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"ЦДХ"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</si>
  <si>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</si>
  <si>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</si>
  <si>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</si>
  <si>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ул.Г.Амантая)</t>
  </si>
  <si>
    <t>ООО "ЮНИСТ" (г.Уфа)</t>
  </si>
  <si>
    <t xml:space="preserve">ГБУЗ РБ ГКБ №21 г.Уфа </t>
  </si>
  <si>
    <t>ГБУЗ РБ ИКБ №4 г.Уфа</t>
  </si>
  <si>
    <t>АУЗ РСП</t>
  </si>
  <si>
    <t>I. Посещения с профилактическими целями:</t>
  </si>
  <si>
    <t>II. Посещения с иными целями:</t>
  </si>
  <si>
    <t>в том числе:</t>
  </si>
  <si>
    <t xml:space="preserve">1. Проведение профилактических медицинских осмотров,в том числе в рамках диспансеризации: </t>
  </si>
  <si>
    <t>2. Посещения для проведения диспансеризации определенных групп населения
 (2-й этап)</t>
  </si>
  <si>
    <t>3. Посещения для проведения диспансерного наблюдения</t>
  </si>
  <si>
    <t>4. Посещения центров здоровья</t>
  </si>
  <si>
    <t>1. Разовые посещения в связи с заболеванием</t>
  </si>
  <si>
    <t>2. Посещения медицинских работников, имеющих среднее медицинское образование, ведущих самостоятельный прием</t>
  </si>
  <si>
    <t>3. Посещения с другими целями (патронаж, выдача справок и иных медицинских документов и др.)</t>
  </si>
  <si>
    <t>проведение профилактических медицинских осмотров, в том числе при первом посещении по поводу диспансерного наблюдения</t>
  </si>
  <si>
    <t>комплексные посещения в рамках диспансеризации</t>
  </si>
  <si>
    <t>Объемы  отдельных исследований ,  проводимых   в рамках  диспансеризации  определенных групп  взрослого населения на 2019 год</t>
  </si>
  <si>
    <t>(исследования)</t>
  </si>
  <si>
    <t>В рамках первого этапа диспансеризации</t>
  </si>
  <si>
    <t>В рамках второго этапа диспансеризации</t>
  </si>
  <si>
    <t xml:space="preserve"> Скрининг рака шейки матки</t>
  </si>
  <si>
    <t>Скрининг колоректального рака</t>
  </si>
  <si>
    <t xml:space="preserve">Цитологическое исследование мазка с шейки матки- жидкостной метод </t>
  </si>
  <si>
    <t>Иссследование кала на скрытую кровь иммунохимическим методом (количественный метод)</t>
  </si>
  <si>
    <t>Эндоскопическое исследование-колоноскопия, всего</t>
  </si>
  <si>
    <t>колоноскопия</t>
  </si>
  <si>
    <t>колоноскопия под наркозом</t>
  </si>
  <si>
    <t>колоноскопия с полипэктомией</t>
  </si>
  <si>
    <t>ООО "МД Проект 2010" (г.Уфа)</t>
  </si>
  <si>
    <t>Амбулаторно-поликлиническая помощь в части обращений в связи с заболеваниями  и неотложной медицинской помощи на 2019 год.</t>
  </si>
  <si>
    <t>Неотложная медицинская помощь (посещение по неотложной медицинской помощи)</t>
  </si>
  <si>
    <t xml:space="preserve">в том числе посещения в травматологические пункты                                      </t>
  </si>
  <si>
    <t xml:space="preserve">Обращения </t>
  </si>
  <si>
    <t>ММОЦ</t>
  </si>
  <si>
    <t>Обращения МО, не имеющих прикрепленное население</t>
  </si>
  <si>
    <t>Обращения для целей учета процедур гемодиализа</t>
  </si>
  <si>
    <t>Объемы обращений по заболеваниям на долечивание в травматологических пунктах</t>
  </si>
  <si>
    <t>Обращения МО, имеющие прикрепленное население</t>
  </si>
  <si>
    <t>по специальности "травматология и ортопедия"</t>
  </si>
  <si>
    <t>по специальности 
"офтальмология"</t>
  </si>
  <si>
    <t>ООО "Ваша стоматология" (г.Нефтекамск)</t>
  </si>
  <si>
    <t>ООО "Городская стоматологическая клиника" (г.Нефтекамск)</t>
  </si>
  <si>
    <t>ООО "Дантист+"(г. Нефтекамск)</t>
  </si>
  <si>
    <t>ООО "Дента" (г.Нефтекамск)</t>
  </si>
  <si>
    <t>ООО "Корона+" (г.Нефтекамск)</t>
  </si>
  <si>
    <t>ООО "СтомЭл" (г.Нефтекамс)</t>
  </si>
  <si>
    <t>ООО "ЭнжеДент" (г.Нефтекамс)</t>
  </si>
  <si>
    <t>ИП Искужин Р.Г. (с.Темясово)</t>
  </si>
  <si>
    <t>ООО "Медента" (г.Баймак)</t>
  </si>
  <si>
    <t>ООО "ММОЦ" (г.Стерлитамак)</t>
  </si>
  <si>
    <t>ООО СП "Берёзка" (г.Стерлитамак)</t>
  </si>
  <si>
    <t>ООО "Медсервис" (с.Верхнеяркеево)</t>
  </si>
  <si>
    <t>ООО "Экодент" (г.Белебей)</t>
  </si>
  <si>
    <t>ООО "МЦ "Агидель""</t>
  </si>
  <si>
    <t>ООО "ДЭНТА" (г.Уфа)</t>
  </si>
  <si>
    <t>ООО "Клиника Авиценна" (с.Нагаево)</t>
  </si>
  <si>
    <t>ООО "Лаборатория гемодиализа" (г.Уфа)</t>
  </si>
  <si>
    <t>ООО "Медхелп" (г.Уфа)</t>
  </si>
  <si>
    <t>ООО "Сфера-Эстейт" (г.Уфа)</t>
  </si>
  <si>
    <t>ООО "ЦМТ" (г.Уфа)</t>
  </si>
  <si>
    <t>ООО "Экома" (г.Уфа)</t>
  </si>
  <si>
    <t>ООО "Эмидент" (г.Уфа, ул. Г.Амантая)</t>
  </si>
  <si>
    <t>ООО "Эмидент" (г.Уфа, ул.Мира)</t>
  </si>
  <si>
    <t>Амбулаторно-поликлиническая помощь в части обращений в связи с заболеваниями на 2019 г.
(для медицинских организаций частной формы собственности, не имеющих прикрепленного населения и финансируемых по реестрам)</t>
  </si>
  <si>
    <t>Всего обращений в связи с заболеваниями</t>
  </si>
  <si>
    <t>с том числе по специальностям:</t>
  </si>
  <si>
    <t>стоматология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</si>
  <si>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</si>
  <si>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</si>
  <si>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</si>
  <si>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</si>
  <si>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</si>
  <si>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инфекционные болезни</t>
  </si>
  <si>
    <t>сурдология-оториноларингология</t>
  </si>
  <si>
    <t>колопроктология</t>
  </si>
  <si>
    <t>нейрохирургия</t>
  </si>
  <si>
    <t>нефрология</t>
  </si>
  <si>
    <t>пульмонология</t>
  </si>
  <si>
    <t>ревматология</t>
  </si>
  <si>
    <t>сердечно-сосудистая хирургия</t>
  </si>
  <si>
    <t>травматология и ортопедия</t>
  </si>
  <si>
    <t>ангиохирургический прием</t>
  </si>
  <si>
    <t>ООО "Медсервис" с.Верхнеяркеево</t>
  </si>
  <si>
    <t xml:space="preserve">ООО "Медента", г.Баймак </t>
  </si>
  <si>
    <t xml:space="preserve">ИП Искужин Р.Г., 
с. Темясово Баймакского р-на </t>
  </si>
  <si>
    <t xml:space="preserve">ООО "Экодент", г.Белебей </t>
  </si>
  <si>
    <t>ООО "Академия здоровья", с.Киргиз-Мияки</t>
  </si>
  <si>
    <t xml:space="preserve">ООО "Дентал Стандарт", с.Бижбуляк </t>
  </si>
  <si>
    <t xml:space="preserve">ООО "ПАЛИТРАДЕНТ",
 с. Верхние Киги </t>
  </si>
  <si>
    <t xml:space="preserve">ООО "Радуга"
 с.Киргиз-Мияки </t>
  </si>
  <si>
    <t>ООО "Центр здоровья и красоты", с.Киргиз-Мияки</t>
  </si>
  <si>
    <t xml:space="preserve">ООО "Дантист", 
г. Благовещенск </t>
  </si>
  <si>
    <t>ООО СП "Березка", 
г. Стерлитамак</t>
  </si>
  <si>
    <t xml:space="preserve">ООО МЦ "СЕМЕЙНЫЙ ДОКТОР", г.Бирск 
</t>
  </si>
  <si>
    <t>ООО"Мой доктор", 
с. Аскарово</t>
  </si>
  <si>
    <t>ООО "Белый жемчуг"</t>
  </si>
  <si>
    <t>ООО "ВИТАЛ"</t>
  </si>
  <si>
    <t xml:space="preserve"> ООО "Корона+"</t>
  </si>
  <si>
    <t>ООО "Ваша стоматология"</t>
  </si>
  <si>
    <t>ООО "Дента"</t>
  </si>
  <si>
    <t>ООО "ВИП"</t>
  </si>
  <si>
    <t>ООО "ЭнжеДент"</t>
  </si>
  <si>
    <t>ООО "Городская стоматологическая клиника"</t>
  </si>
  <si>
    <t>ООО "СтомЭл"</t>
  </si>
  <si>
    <t>ООО "МедСервис" г.Нефтекамск</t>
  </si>
  <si>
    <t>ООО "Авиценна"</t>
  </si>
  <si>
    <t>ООО "ДЭНТА"</t>
  </si>
  <si>
    <t>ООО "Клиника Авиценна"</t>
  </si>
  <si>
    <t>ООО "Арт-Лион"</t>
  </si>
  <si>
    <t xml:space="preserve"> ООО "МАСТЕР-ДЕНТ"</t>
  </si>
  <si>
    <t>ООО "Медхелп"</t>
  </si>
  <si>
    <t>ООО "ЮНИСТ"</t>
  </si>
  <si>
    <t>ООО "Эмидент" ул.Амантая</t>
  </si>
  <si>
    <t>ООО "МЦ МЕГИ"</t>
  </si>
  <si>
    <t>ООО "Евромед-Уфа"</t>
  </si>
  <si>
    <t>ООО "Евромед+"</t>
  </si>
  <si>
    <t>ООО "АЙМЕД"</t>
  </si>
  <si>
    <t>ООО "Медик"</t>
  </si>
  <si>
    <t>ООО "Эмидент Люкс" ул.Айская</t>
  </si>
  <si>
    <t>ООО "Эмидент Люкс" ул.Революционная</t>
  </si>
  <si>
    <t>ООО  "Профи-клиник"</t>
  </si>
  <si>
    <t>ООО  "Студия Стоматологии"</t>
  </si>
  <si>
    <t>ООО "ЦДХ"</t>
  </si>
  <si>
    <t>ООО "Эмидент" ул.Мира</t>
  </si>
  <si>
    <t>ООО "Витадент Космо"</t>
  </si>
  <si>
    <t xml:space="preserve"> ООО"МД Проект 2010"</t>
  </si>
  <si>
    <t>ООО "Академия здоровья" г.Уфа</t>
  </si>
  <si>
    <t>ООО "Эмидент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</si>
</sst>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0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6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25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1" applyNumberFormat="0" applyAlignment="0" applyProtection="0"/>
    <xf numFmtId="0" fontId="11" fillId="68" borderId="11"/>
    <xf numFmtId="0" fontId="12" fillId="69" borderId="12" applyNumberFormat="0" applyAlignment="0" applyProtection="0"/>
    <xf numFmtId="0" fontId="12" fillId="70" borderId="0"/>
    <xf numFmtId="166" fontId="13" fillId="0" borderId="0"/>
    <xf numFmtId="167" fontId="13" fillId="0" borderId="0" applyBorder="0" applyProtection="0"/>
    <xf numFmtId="166" fontId="13" fillId="0" borderId="0" applyBorder="0" applyProtection="0"/>
    <xf numFmtId="166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3" applyNumberFormat="0" applyFill="0" applyAlignment="0" applyProtection="0"/>
    <xf numFmtId="0" fontId="18" fillId="0" borderId="13"/>
    <xf numFmtId="0" fontId="19" fillId="0" borderId="14" applyNumberFormat="0" applyFill="0" applyAlignment="0" applyProtection="0"/>
    <xf numFmtId="0" fontId="19" fillId="0" borderId="14"/>
    <xf numFmtId="0" fontId="20" fillId="0" borderId="15" applyNumberFormat="0" applyFill="0" applyAlignment="0" applyProtection="0"/>
    <xf numFmtId="0" fontId="20" fillId="0" borderId="15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1" applyNumberFormat="0" applyAlignment="0" applyProtection="0"/>
    <xf numFmtId="0" fontId="21" fillId="39" borderId="11"/>
    <xf numFmtId="0" fontId="22" fillId="0" borderId="16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7" applyNumberFormat="0" applyFont="0" applyAlignment="0" applyProtection="0"/>
    <xf numFmtId="0" fontId="26" fillId="72" borderId="17"/>
    <xf numFmtId="0" fontId="27" fillId="50" borderId="18" applyNumberFormat="0" applyAlignment="0" applyProtection="0"/>
    <xf numFmtId="0" fontId="27" fillId="68" borderId="18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9" applyNumberFormat="0" applyFill="0" applyAlignment="0" applyProtection="0"/>
    <xf numFmtId="0" fontId="30" fillId="0" borderId="20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1" applyNumberFormat="0" applyAlignment="0" applyProtection="0"/>
    <xf numFmtId="0" fontId="21" fillId="38" borderId="11" applyNumberFormat="0" applyAlignment="0" applyProtection="0"/>
    <xf numFmtId="0" fontId="21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27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1" applyNumberFormat="0" applyAlignment="0" applyProtection="0"/>
    <xf numFmtId="0" fontId="11" fillId="50" borderId="11" applyNumberFormat="0" applyAlignment="0" applyProtection="0"/>
    <xf numFmtId="0" fontId="11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5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2" applyNumberFormat="0" applyFill="0" applyAlignment="0" applyProtection="0"/>
    <xf numFmtId="0" fontId="20" fillId="0" borderId="15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3" applyNumberFormat="0" applyFill="0" applyAlignment="0" applyProtection="0"/>
    <xf numFmtId="0" fontId="30" fillId="0" borderId="2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2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2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7" applyNumberFormat="0" applyFont="0" applyAlignment="0" applyProtection="0"/>
    <xf numFmtId="0" fontId="49" fillId="41" borderId="17" applyNumberFormat="0" applyFont="0" applyAlignment="0" applyProtection="0"/>
    <xf numFmtId="0" fontId="43" fillId="41" borderId="17" applyNumberFormat="0" applyFont="0" applyAlignment="0" applyProtection="0"/>
    <xf numFmtId="0" fontId="25" fillId="41" borderId="1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6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9" fontId="58" fillId="0" borderId="0"/>
    <xf numFmtId="165" fontId="8" fillId="0" borderId="0" applyFont="0" applyFill="0" applyBorder="0" applyAlignment="0" applyProtection="0"/>
    <xf numFmtId="167" fontId="51" fillId="0" borderId="0"/>
    <xf numFmtId="167" fontId="51" fillId="0" borderId="0" applyFill="0" applyBorder="0" applyAlignment="0" applyProtection="0"/>
    <xf numFmtId="167" fontId="51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</cellStyleXfs>
  <cellXfs count="420">
    <xf numFmtId="0" fontId="0" fillId="0" borderId="0" xfId="0"/>
    <xf numFmtId="0" fontId="61" fillId="74" borderId="0" xfId="0" applyFont="1" applyFill="1"/>
    <xf numFmtId="3" fontId="61" fillId="74" borderId="0" xfId="0" applyNumberFormat="1" applyFont="1" applyFill="1" applyAlignment="1">
      <alignment horizontal="center"/>
    </xf>
    <xf numFmtId="0" fontId="61" fillId="74" borderId="0" xfId="0" applyFont="1" applyFill="1" applyAlignment="1">
      <alignment horizontal="center"/>
    </xf>
    <xf numFmtId="3" fontId="61" fillId="74" borderId="0" xfId="0" applyNumberFormat="1" applyFont="1" applyFill="1"/>
    <xf numFmtId="3" fontId="61" fillId="74" borderId="10" xfId="0" applyNumberFormat="1" applyFont="1" applyFill="1" applyBorder="1" applyAlignment="1">
      <alignment horizontal="center" vertical="center"/>
    </xf>
    <xf numFmtId="3" fontId="66" fillId="74" borderId="10" xfId="58106" applyNumberFormat="1" applyFont="1" applyFill="1" applyBorder="1" applyAlignment="1">
      <alignment horizontal="center" vertical="center" wrapText="1"/>
    </xf>
    <xf numFmtId="3" fontId="61" fillId="74" borderId="10" xfId="0" applyNumberFormat="1" applyFont="1" applyFill="1" applyBorder="1" applyAlignment="1">
      <alignment horizontal="center"/>
    </xf>
    <xf numFmtId="3" fontId="66" fillId="74" borderId="27" xfId="0" applyNumberFormat="1" applyFont="1" applyFill="1" applyBorder="1" applyAlignment="1">
      <alignment horizontal="center" vertical="center"/>
    </xf>
    <xf numFmtId="0" fontId="61" fillId="74" borderId="0" xfId="0" applyFont="1" applyFill="1" applyAlignment="1">
      <alignment vertical="center"/>
    </xf>
    <xf numFmtId="3" fontId="61" fillId="74" borderId="10" xfId="0" applyNumberFormat="1" applyFont="1" applyFill="1" applyBorder="1" applyAlignment="1">
      <alignment horizontal="center" vertical="center" wrapText="1" shrinkToFit="1"/>
    </xf>
    <xf numFmtId="3" fontId="61" fillId="74" borderId="10" xfId="57742" applyNumberFormat="1" applyFont="1" applyFill="1" applyBorder="1" applyAlignment="1">
      <alignment horizontal="center" vertical="center" wrapText="1"/>
    </xf>
    <xf numFmtId="0" fontId="61" fillId="74" borderId="10" xfId="0" applyFont="1" applyFill="1" applyBorder="1" applyAlignment="1">
      <alignment horizontal="center"/>
    </xf>
    <xf numFmtId="3" fontId="61" fillId="74" borderId="10" xfId="59251" applyNumberFormat="1" applyFont="1" applyFill="1" applyBorder="1" applyAlignment="1">
      <alignment horizontal="left" vertical="center" wrapText="1"/>
    </xf>
    <xf numFmtId="3" fontId="61" fillId="74" borderId="10" xfId="58106" applyNumberFormat="1" applyFont="1" applyFill="1" applyBorder="1" applyAlignment="1">
      <alignment horizontal="center" vertical="center" wrapText="1"/>
    </xf>
    <xf numFmtId="1" fontId="61" fillId="74" borderId="10" xfId="59251" applyNumberFormat="1" applyFont="1" applyFill="1" applyBorder="1" applyAlignment="1">
      <alignment horizontal="left" vertical="center" wrapText="1"/>
    </xf>
    <xf numFmtId="4" fontId="61" fillId="74" borderId="10" xfId="59250" applyNumberFormat="1" applyFont="1" applyFill="1" applyBorder="1" applyAlignment="1">
      <alignment horizontal="left" vertical="center" wrapText="1"/>
    </xf>
    <xf numFmtId="3" fontId="61" fillId="74" borderId="10" xfId="59249" applyNumberFormat="1" applyFont="1" applyFill="1" applyBorder="1" applyAlignment="1">
      <alignment horizontal="left" vertical="center" wrapText="1"/>
    </xf>
    <xf numFmtId="4" fontId="61" fillId="74" borderId="10" xfId="59251" applyNumberFormat="1" applyFont="1" applyFill="1" applyBorder="1" applyAlignment="1">
      <alignment horizontal="left" vertical="center" wrapText="1"/>
    </xf>
    <xf numFmtId="4" fontId="61" fillId="74" borderId="10" xfId="0" applyNumberFormat="1" applyFont="1" applyFill="1" applyBorder="1" applyAlignment="1">
      <alignment vertical="center" wrapText="1"/>
    </xf>
    <xf numFmtId="0" fontId="64" fillId="74" borderId="10" xfId="0" applyFont="1" applyFill="1" applyBorder="1"/>
    <xf numFmtId="3" fontId="64" fillId="74" borderId="10" xfId="0" applyNumberFormat="1" applyFont="1" applyFill="1" applyBorder="1" applyAlignment="1">
      <alignment horizontal="center"/>
    </xf>
    <xf numFmtId="3" fontId="61" fillId="74" borderId="0" xfId="0" applyNumberFormat="1" applyFont="1" applyFill="1" applyAlignment="1">
      <alignment horizontal="right"/>
    </xf>
    <xf numFmtId="3" fontId="61" fillId="74" borderId="0" xfId="0" applyNumberFormat="1" applyFont="1" applyFill="1" applyAlignment="1">
      <alignment vertical="center"/>
    </xf>
    <xf numFmtId="3" fontId="62" fillId="74" borderId="0" xfId="0" applyNumberFormat="1" applyFont="1" applyFill="1"/>
    <xf numFmtId="3" fontId="62" fillId="74" borderId="0" xfId="0" applyNumberFormat="1" applyFont="1" applyFill="1" applyAlignment="1">
      <alignment vertical="center"/>
    </xf>
    <xf numFmtId="3" fontId="61" fillId="74" borderId="10" xfId="0" applyNumberFormat="1" applyFont="1" applyFill="1" applyBorder="1" applyAlignment="1">
      <alignment vertical="center"/>
    </xf>
    <xf numFmtId="4" fontId="63" fillId="74" borderId="10" xfId="59250" applyNumberFormat="1" applyFont="1" applyFill="1" applyBorder="1" applyAlignment="1">
      <alignment horizontal="left" vertical="center" wrapText="1"/>
    </xf>
    <xf numFmtId="3" fontId="63" fillId="74" borderId="10" xfId="0" applyNumberFormat="1" applyFont="1" applyFill="1" applyBorder="1" applyAlignment="1">
      <alignment horizontal="center" vertical="center" wrapText="1"/>
    </xf>
    <xf numFmtId="3" fontId="63" fillId="74" borderId="0" xfId="0" applyNumberFormat="1" applyFont="1" applyFill="1" applyAlignment="1">
      <alignment horizontal="right"/>
    </xf>
    <xf numFmtId="3" fontId="63" fillId="74" borderId="0" xfId="0" applyNumberFormat="1" applyFont="1" applyFill="1"/>
    <xf numFmtId="4" fontId="61" fillId="74" borderId="10" xfId="59248" applyNumberFormat="1" applyFont="1" applyFill="1" applyBorder="1" applyAlignment="1">
      <alignment vertical="center" wrapText="1"/>
    </xf>
    <xf numFmtId="4" fontId="63" fillId="74" borderId="10" xfId="0" applyNumberFormat="1" applyFont="1" applyFill="1" applyBorder="1" applyAlignment="1">
      <alignment wrapText="1"/>
    </xf>
    <xf numFmtId="3" fontId="61" fillId="74" borderId="10" xfId="0" applyNumberFormat="1" applyFont="1" applyFill="1" applyBorder="1" applyAlignment="1">
      <alignment vertical="center" wrapText="1"/>
    </xf>
    <xf numFmtId="0" fontId="61" fillId="74" borderId="10" xfId="0" applyFont="1" applyFill="1" applyBorder="1"/>
    <xf numFmtId="0" fontId="61" fillId="74" borderId="10" xfId="0" applyFont="1" applyFill="1" applyBorder="1" applyAlignment="1">
      <alignment horizontal="left" vertical="center" wrapText="1"/>
    </xf>
    <xf numFmtId="3" fontId="63" fillId="74" borderId="10" xfId="0" applyNumberFormat="1" applyFont="1" applyFill="1" applyBorder="1" applyAlignment="1">
      <alignment horizontal="center" vertical="center"/>
    </xf>
    <xf numFmtId="3" fontId="61" fillId="74" borderId="10" xfId="0" applyNumberFormat="1" applyFont="1" applyFill="1" applyBorder="1"/>
    <xf numFmtId="49" fontId="61" fillId="74" borderId="10" xfId="0" applyNumberFormat="1" applyFont="1" applyFill="1" applyBorder="1" applyAlignment="1">
      <alignment vertical="center" wrapText="1"/>
    </xf>
    <xf numFmtId="3" fontId="61" fillId="74" borderId="0" xfId="0" applyNumberFormat="1" applyFont="1" applyFill="1" applyBorder="1" applyAlignment="1">
      <alignment horizontal="right"/>
    </xf>
    <xf numFmtId="3" fontId="64" fillId="74" borderId="10" xfId="0" applyNumberFormat="1" applyFont="1" applyFill="1" applyBorder="1" applyAlignment="1">
      <alignment horizontal="center" vertical="center"/>
    </xf>
    <xf numFmtId="3" fontId="64" fillId="74" borderId="10" xfId="0" applyNumberFormat="1" applyFont="1" applyFill="1" applyBorder="1" applyAlignment="1">
      <alignment horizontal="left" vertical="center"/>
    </xf>
    <xf numFmtId="3" fontId="64" fillId="74" borderId="0" xfId="0" applyNumberFormat="1" applyFont="1" applyFill="1" applyBorder="1" applyAlignment="1">
      <alignment horizontal="right" vertical="center"/>
    </xf>
    <xf numFmtId="3" fontId="61" fillId="74" borderId="10" xfId="0" applyNumberFormat="1" applyFont="1" applyFill="1" applyBorder="1" applyAlignment="1">
      <alignment horizontal="center" vertical="center" wrapText="1"/>
    </xf>
    <xf numFmtId="0" fontId="61" fillId="74" borderId="10" xfId="0" applyFont="1" applyFill="1" applyBorder="1" applyAlignment="1">
      <alignment horizontal="center" vertical="center" wrapText="1"/>
    </xf>
    <xf numFmtId="3" fontId="61" fillId="74" borderId="0" xfId="0" applyNumberFormat="1" applyFont="1" applyFill="1" applyAlignment="1">
      <alignment horizontal="left"/>
    </xf>
    <xf numFmtId="3" fontId="69" fillId="74" borderId="0" xfId="0" applyNumberFormat="1" applyFont="1" applyFill="1" applyAlignment="1">
      <alignment horizontal="center"/>
    </xf>
    <xf numFmtId="3" fontId="73" fillId="74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74" borderId="0" xfId="0" applyFont="1" applyFill="1" applyAlignment="1">
      <alignment horizontal="center" vertical="center"/>
    </xf>
    <xf numFmtId="3" fontId="73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61" fillId="74" borderId="10" xfId="0" applyNumberFormat="1" applyFont="1" applyFill="1" applyBorder="1" applyAlignment="1" applyProtection="1">
      <alignment horizontal="center" vertical="center"/>
      <protection locked="0"/>
    </xf>
    <xf numFmtId="3" fontId="61" fillId="74" borderId="10" xfId="0" applyNumberFormat="1" applyFont="1" applyFill="1" applyBorder="1" applyAlignment="1" applyProtection="1">
      <alignment horizontal="left" vertical="center" wrapText="1"/>
      <protection locked="0"/>
    </xf>
    <xf numFmtId="3" fontId="64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69" fillId="74" borderId="10" xfId="0" applyNumberFormat="1" applyFont="1" applyFill="1" applyBorder="1" applyAlignment="1" applyProtection="1">
      <alignment horizontal="center" vertical="center" wrapText="1"/>
      <protection locked="0"/>
    </xf>
    <xf numFmtId="3" fontId="62" fillId="74" borderId="10" xfId="0" applyNumberFormat="1" applyFont="1" applyFill="1" applyBorder="1" applyAlignment="1">
      <alignment horizontal="center" vertical="center"/>
    </xf>
    <xf numFmtId="3" fontId="62" fillId="74" borderId="10" xfId="0" applyNumberFormat="1" applyFont="1" applyFill="1" applyBorder="1" applyAlignment="1" applyProtection="1">
      <alignment horizontal="center" vertical="center" wrapText="1"/>
      <protection locked="0"/>
    </xf>
    <xf numFmtId="41" fontId="61" fillId="74" borderId="0" xfId="0" applyNumberFormat="1" applyFont="1" applyFill="1"/>
    <xf numFmtId="3" fontId="61" fillId="74" borderId="10" xfId="0" applyNumberFormat="1" applyFont="1" applyFill="1" applyBorder="1" applyAlignment="1" applyProtection="1">
      <alignment horizontal="left" vertical="center"/>
      <protection locked="0"/>
    </xf>
    <xf numFmtId="4" fontId="61" fillId="74" borderId="31" xfId="59248" applyNumberFormat="1" applyFont="1" applyFill="1" applyBorder="1" applyAlignment="1">
      <alignment vertical="center" wrapText="1"/>
    </xf>
    <xf numFmtId="41" fontId="62" fillId="74" borderId="10" xfId="0" applyNumberFormat="1" applyFont="1" applyFill="1" applyBorder="1" applyAlignment="1" applyProtection="1">
      <alignment vertical="center" wrapText="1"/>
      <protection locked="0"/>
    </xf>
    <xf numFmtId="0" fontId="74" fillId="74" borderId="10" xfId="0" applyFont="1" applyFill="1" applyBorder="1" applyAlignment="1" applyProtection="1">
      <alignment horizontal="left" vertical="center" wrapText="1"/>
      <protection locked="0"/>
    </xf>
    <xf numFmtId="3" fontId="64" fillId="74" borderId="0" xfId="0" applyNumberFormat="1" applyFont="1" applyFill="1" applyAlignment="1">
      <alignment horizontal="center"/>
    </xf>
    <xf numFmtId="0" fontId="61" fillId="0" borderId="0" xfId="0" applyFont="1" applyFill="1"/>
    <xf numFmtId="3" fontId="61" fillId="0" borderId="0" xfId="0" applyNumberFormat="1" applyFont="1" applyFill="1" applyAlignment="1">
      <alignment horizontal="right"/>
    </xf>
    <xf numFmtId="0" fontId="62" fillId="0" borderId="0" xfId="0" applyFont="1" applyFill="1" applyAlignment="1">
      <alignment vertical="center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 applyProtection="1">
      <alignment horizontal="left" vertical="center" wrapText="1"/>
      <protection locked="0"/>
    </xf>
    <xf numFmtId="41" fontId="61" fillId="0" borderId="0" xfId="0" applyNumberFormat="1" applyFont="1" applyFill="1"/>
    <xf numFmtId="3" fontId="61" fillId="0" borderId="10" xfId="0" applyNumberFormat="1" applyFont="1" applyFill="1" applyBorder="1" applyAlignment="1" applyProtection="1">
      <alignment horizontal="left" vertical="center"/>
      <protection locked="0"/>
    </xf>
    <xf numFmtId="4" fontId="61" fillId="0" borderId="31" xfId="59248" applyNumberFormat="1" applyFont="1" applyFill="1" applyBorder="1" applyAlignment="1">
      <alignment horizontal="left" vertical="center" wrapText="1"/>
    </xf>
    <xf numFmtId="3" fontId="6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4" fillId="74" borderId="25" xfId="0" applyNumberFormat="1" applyFont="1" applyFill="1" applyBorder="1" applyAlignment="1">
      <alignment horizontal="center" vertical="center" wrapText="1"/>
    </xf>
    <xf numFmtId="0" fontId="76" fillId="0" borderId="0" xfId="0" applyFont="1" applyFill="1"/>
    <xf numFmtId="0" fontId="70" fillId="0" borderId="0" xfId="0" applyFont="1" applyFill="1"/>
    <xf numFmtId="3" fontId="70" fillId="0" borderId="0" xfId="0" applyNumberFormat="1" applyFont="1" applyFill="1" applyAlignment="1">
      <alignment horizontal="right"/>
    </xf>
    <xf numFmtId="3" fontId="70" fillId="0" borderId="10" xfId="0" applyNumberFormat="1" applyFont="1" applyFill="1" applyBorder="1" applyAlignment="1" applyProtection="1">
      <alignment horizontal="center" vertical="center"/>
      <protection locked="0"/>
    </xf>
    <xf numFmtId="3" fontId="7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0" fillId="74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 applyProtection="1">
      <alignment horizontal="left" vertical="center"/>
      <protection locked="0"/>
    </xf>
    <xf numFmtId="4" fontId="70" fillId="74" borderId="31" xfId="59248" applyNumberFormat="1" applyFont="1" applyFill="1" applyBorder="1" applyAlignment="1">
      <alignment horizontal="left" vertical="center" wrapText="1"/>
    </xf>
    <xf numFmtId="3" fontId="7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74" borderId="0" xfId="57580" applyFont="1" applyFill="1"/>
    <xf numFmtId="0" fontId="79" fillId="74" borderId="28" xfId="57580" applyFont="1" applyFill="1" applyBorder="1" applyAlignment="1" applyProtection="1">
      <alignment horizontal="center" vertical="center" wrapText="1"/>
      <protection locked="0"/>
    </xf>
    <xf numFmtId="0" fontId="80" fillId="74" borderId="25" xfId="57580" applyFont="1" applyFill="1" applyBorder="1" applyAlignment="1" applyProtection="1">
      <alignment horizontal="center" vertical="center" wrapText="1"/>
      <protection locked="0"/>
    </xf>
    <xf numFmtId="0" fontId="80" fillId="74" borderId="10" xfId="57580" applyFont="1" applyFill="1" applyBorder="1" applyAlignment="1" applyProtection="1">
      <alignment horizontal="center" vertical="center" wrapText="1"/>
      <protection locked="0"/>
    </xf>
    <xf numFmtId="0" fontId="62" fillId="74" borderId="10" xfId="57580" applyFont="1" applyFill="1" applyBorder="1" applyAlignment="1" applyProtection="1">
      <alignment horizontal="center" vertical="center" wrapText="1"/>
      <protection locked="0"/>
    </xf>
    <xf numFmtId="0" fontId="80" fillId="74" borderId="0" xfId="57580" applyFont="1" applyFill="1" applyAlignment="1" applyProtection="1">
      <alignment horizontal="center" vertical="center" wrapText="1"/>
      <protection locked="0"/>
    </xf>
    <xf numFmtId="0" fontId="81" fillId="74" borderId="10" xfId="57580" applyFont="1" applyFill="1" applyBorder="1" applyAlignment="1" applyProtection="1">
      <alignment horizontal="center" vertical="center" wrapText="1"/>
      <protection locked="0"/>
    </xf>
    <xf numFmtId="0" fontId="70" fillId="74" borderId="0" xfId="57580" applyFont="1" applyFill="1" applyProtection="1">
      <protection locked="0"/>
    </xf>
    <xf numFmtId="0" fontId="82" fillId="74" borderId="25" xfId="57580" applyFont="1" applyFill="1" applyBorder="1" applyAlignment="1" applyProtection="1">
      <alignment horizontal="center" vertical="center" wrapText="1"/>
      <protection locked="0"/>
    </xf>
    <xf numFmtId="3" fontId="74" fillId="74" borderId="10" xfId="57580" applyNumberFormat="1" applyFont="1" applyFill="1" applyBorder="1" applyAlignment="1" applyProtection="1">
      <alignment horizontal="center" vertical="center"/>
      <protection locked="0"/>
    </xf>
    <xf numFmtId="0" fontId="74" fillId="74" borderId="0" xfId="57580" applyFont="1" applyFill="1" applyProtection="1">
      <protection locked="0"/>
    </xf>
    <xf numFmtId="0" fontId="83" fillId="74" borderId="28" xfId="57580" applyFont="1" applyFill="1" applyBorder="1" applyAlignment="1" applyProtection="1">
      <alignment vertical="center" wrapText="1"/>
      <protection locked="0"/>
    </xf>
    <xf numFmtId="3" fontId="70" fillId="74" borderId="28" xfId="57580" applyNumberFormat="1" applyFont="1" applyFill="1" applyBorder="1" applyAlignment="1" applyProtection="1">
      <alignment horizontal="center" vertical="center"/>
      <protection locked="0"/>
    </xf>
    <xf numFmtId="3" fontId="84" fillId="74" borderId="28" xfId="57580" applyNumberFormat="1" applyFont="1" applyFill="1" applyBorder="1" applyAlignment="1" applyProtection="1">
      <alignment horizontal="center" vertical="center"/>
      <protection locked="0"/>
    </xf>
    <xf numFmtId="0" fontId="70" fillId="74" borderId="10" xfId="57580" applyFont="1" applyFill="1" applyBorder="1" applyProtection="1">
      <protection locked="0"/>
    </xf>
    <xf numFmtId="0" fontId="83" fillId="74" borderId="10" xfId="57580" applyFont="1" applyFill="1" applyBorder="1" applyAlignment="1" applyProtection="1">
      <alignment vertical="center" wrapText="1"/>
      <protection locked="0"/>
    </xf>
    <xf numFmtId="3" fontId="70" fillId="74" borderId="10" xfId="57580" applyNumberFormat="1" applyFont="1" applyFill="1" applyBorder="1" applyAlignment="1" applyProtection="1">
      <alignment horizontal="center" vertical="center"/>
      <protection locked="0"/>
    </xf>
    <xf numFmtId="3" fontId="84" fillId="74" borderId="10" xfId="57580" applyNumberFormat="1" applyFont="1" applyFill="1" applyBorder="1" applyAlignment="1" applyProtection="1">
      <alignment horizontal="center" vertical="center"/>
      <protection locked="0"/>
    </xf>
    <xf numFmtId="3" fontId="70" fillId="74" borderId="10" xfId="57580" applyNumberFormat="1" applyFont="1" applyFill="1" applyBorder="1" applyAlignment="1" applyProtection="1">
      <alignment vertical="center"/>
      <protection locked="0"/>
    </xf>
    <xf numFmtId="3" fontId="84" fillId="74" borderId="10" xfId="57580" applyNumberFormat="1" applyFont="1" applyFill="1" applyBorder="1" applyAlignment="1" applyProtection="1">
      <alignment vertical="center"/>
      <protection locked="0"/>
    </xf>
    <xf numFmtId="3" fontId="70" fillId="74" borderId="33" xfId="57580" applyNumberFormat="1" applyFont="1" applyFill="1" applyBorder="1" applyAlignment="1" applyProtection="1">
      <alignment horizontal="center" vertical="center"/>
      <protection locked="0"/>
    </xf>
    <xf numFmtId="3" fontId="84" fillId="74" borderId="33" xfId="57580" applyNumberFormat="1" applyFont="1" applyFill="1" applyBorder="1" applyAlignment="1" applyProtection="1">
      <alignment horizontal="center" vertical="center"/>
      <protection locked="0"/>
    </xf>
    <xf numFmtId="3" fontId="70" fillId="74" borderId="33" xfId="57580" applyNumberFormat="1" applyFont="1" applyFill="1" applyBorder="1" applyAlignment="1" applyProtection="1">
      <alignment vertical="center"/>
      <protection locked="0"/>
    </xf>
    <xf numFmtId="3" fontId="84" fillId="74" borderId="33" xfId="57580" applyNumberFormat="1" applyFont="1" applyFill="1" applyBorder="1" applyAlignment="1" applyProtection="1">
      <alignment vertical="center"/>
      <protection locked="0"/>
    </xf>
    <xf numFmtId="3" fontId="70" fillId="74" borderId="28" xfId="57580" applyNumberFormat="1" applyFont="1" applyFill="1" applyBorder="1" applyAlignment="1" applyProtection="1">
      <alignment vertical="center"/>
      <protection locked="0"/>
    </xf>
    <xf numFmtId="0" fontId="83" fillId="74" borderId="30" xfId="57580" applyFont="1" applyFill="1" applyBorder="1" applyAlignment="1" applyProtection="1">
      <alignment vertical="center" wrapText="1"/>
      <protection locked="0"/>
    </xf>
    <xf numFmtId="3" fontId="70" fillId="74" borderId="30" xfId="57580" applyNumberFormat="1" applyFont="1" applyFill="1" applyBorder="1" applyAlignment="1" applyProtection="1">
      <alignment horizontal="center" vertical="center"/>
      <protection locked="0"/>
    </xf>
    <xf numFmtId="3" fontId="70" fillId="74" borderId="30" xfId="57580" applyNumberFormat="1" applyFont="1" applyFill="1" applyBorder="1" applyAlignment="1" applyProtection="1">
      <alignment vertical="center"/>
      <protection locked="0"/>
    </xf>
    <xf numFmtId="0" fontId="70" fillId="74" borderId="10" xfId="57580" applyFont="1" applyFill="1" applyBorder="1" applyAlignment="1" applyProtection="1">
      <alignment horizontal="center"/>
      <protection locked="0"/>
    </xf>
    <xf numFmtId="3" fontId="74" fillId="74" borderId="10" xfId="57580" applyNumberFormat="1" applyFont="1" applyFill="1" applyBorder="1" applyAlignment="1" applyProtection="1">
      <alignment horizontal="center" vertical="center"/>
    </xf>
    <xf numFmtId="0" fontId="77" fillId="74" borderId="0" xfId="57580" applyFont="1" applyFill="1"/>
    <xf numFmtId="0" fontId="78" fillId="74" borderId="0" xfId="57580" applyFont="1" applyFill="1" applyAlignment="1">
      <alignment horizontal="center"/>
    </xf>
    <xf numFmtId="0" fontId="66" fillId="74" borderId="0" xfId="0" applyFont="1" applyFill="1"/>
    <xf numFmtId="0" fontId="86" fillId="74" borderId="0" xfId="0" applyFont="1" applyFill="1" applyAlignment="1">
      <alignment horizontal="center" vertical="center"/>
    </xf>
    <xf numFmtId="3" fontId="66" fillId="74" borderId="0" xfId="0" applyNumberFormat="1" applyFont="1" applyFill="1"/>
    <xf numFmtId="3" fontId="66" fillId="74" borderId="10" xfId="0" applyNumberFormat="1" applyFont="1" applyFill="1" applyBorder="1" applyAlignment="1">
      <alignment horizontal="center" vertical="center" wrapText="1"/>
    </xf>
    <xf numFmtId="0" fontId="66" fillId="74" borderId="0" xfId="0" applyFont="1" applyFill="1" applyAlignment="1">
      <alignment horizontal="center" vertical="center"/>
    </xf>
    <xf numFmtId="0" fontId="66" fillId="74" borderId="10" xfId="0" applyFont="1" applyFill="1" applyBorder="1" applyAlignment="1">
      <alignment horizontal="center" vertical="center" wrapText="1"/>
    </xf>
    <xf numFmtId="0" fontId="66" fillId="74" borderId="10" xfId="0" applyFont="1" applyFill="1" applyBorder="1" applyAlignment="1">
      <alignment horizontal="center" vertical="center"/>
    </xf>
    <xf numFmtId="3" fontId="66" fillId="74" borderId="10" xfId="0" applyNumberFormat="1" applyFont="1" applyFill="1" applyBorder="1" applyAlignment="1">
      <alignment vertical="center"/>
    </xf>
    <xf numFmtId="3" fontId="66" fillId="74" borderId="10" xfId="0" applyNumberFormat="1" applyFont="1" applyFill="1" applyBorder="1" applyAlignment="1">
      <alignment horizontal="center" vertical="center"/>
    </xf>
    <xf numFmtId="4" fontId="87" fillId="74" borderId="10" xfId="59250" applyNumberFormat="1" applyFont="1" applyFill="1" applyBorder="1" applyAlignment="1">
      <alignment horizontal="left" vertical="center" wrapText="1"/>
    </xf>
    <xf numFmtId="3" fontId="87" fillId="74" borderId="10" xfId="0" applyNumberFormat="1" applyFont="1" applyFill="1" applyBorder="1" applyAlignment="1">
      <alignment horizontal="center" vertical="center"/>
    </xf>
    <xf numFmtId="4" fontId="87" fillId="74" borderId="10" xfId="0" applyNumberFormat="1" applyFont="1" applyFill="1" applyBorder="1" applyAlignment="1">
      <alignment wrapText="1"/>
    </xf>
    <xf numFmtId="0" fontId="87" fillId="74" borderId="0" xfId="0" applyFont="1" applyFill="1"/>
    <xf numFmtId="3" fontId="66" fillId="74" borderId="10" xfId="0" applyNumberFormat="1" applyFont="1" applyFill="1" applyBorder="1" applyAlignment="1">
      <alignment vertical="center" wrapText="1"/>
    </xf>
    <xf numFmtId="3" fontId="66" fillId="74" borderId="10" xfId="0" applyNumberFormat="1" applyFont="1" applyFill="1" applyBorder="1" applyAlignment="1">
      <alignment wrapText="1"/>
    </xf>
    <xf numFmtId="4" fontId="66" fillId="74" borderId="26" xfId="59248" applyNumberFormat="1" applyFont="1" applyFill="1" applyBorder="1" applyAlignment="1">
      <alignment horizontal="left" vertical="center" wrapText="1"/>
    </xf>
    <xf numFmtId="4" fontId="66" fillId="74" borderId="10" xfId="0" applyNumberFormat="1" applyFont="1" applyFill="1" applyBorder="1" applyAlignment="1">
      <alignment wrapText="1"/>
    </xf>
    <xf numFmtId="4" fontId="66" fillId="74" borderId="10" xfId="0" applyNumberFormat="1" applyFont="1" applyFill="1" applyBorder="1" applyAlignment="1">
      <alignment horizontal="left" vertical="center" wrapText="1"/>
    </xf>
    <xf numFmtId="4" fontId="66" fillId="74" borderId="10" xfId="59252" applyNumberFormat="1" applyFont="1" applyFill="1" applyBorder="1" applyAlignment="1">
      <alignment wrapText="1"/>
    </xf>
    <xf numFmtId="4" fontId="66" fillId="74" borderId="10" xfId="0" applyNumberFormat="1" applyFont="1" applyFill="1" applyBorder="1" applyAlignment="1">
      <alignment horizontal="left" wrapText="1"/>
    </xf>
    <xf numFmtId="0" fontId="86" fillId="74" borderId="10" xfId="0" applyFont="1" applyFill="1" applyBorder="1" applyAlignment="1">
      <alignment horizontal="center" vertical="center"/>
    </xf>
    <xf numFmtId="0" fontId="86" fillId="74" borderId="10" xfId="0" applyFont="1" applyFill="1" applyBorder="1" applyAlignment="1">
      <alignment vertical="center"/>
    </xf>
    <xf numFmtId="3" fontId="86" fillId="74" borderId="10" xfId="0" applyNumberFormat="1" applyFont="1" applyFill="1" applyBorder="1" applyAlignment="1">
      <alignment horizontal="center" vertical="center"/>
    </xf>
    <xf numFmtId="0" fontId="66" fillId="74" borderId="0" xfId="0" applyFont="1" applyFill="1" applyAlignment="1">
      <alignment vertical="center"/>
    </xf>
    <xf numFmtId="4" fontId="66" fillId="74" borderId="27" xfId="59248" applyNumberFormat="1" applyFont="1" applyFill="1" applyBorder="1" applyAlignment="1">
      <alignment horizontal="left" vertical="center" wrapText="1"/>
    </xf>
    <xf numFmtId="3" fontId="78" fillId="74" borderId="10" xfId="0" applyNumberFormat="1" applyFont="1" applyFill="1" applyBorder="1" applyAlignment="1">
      <alignment vertical="center"/>
    </xf>
    <xf numFmtId="3" fontId="66" fillId="74" borderId="10" xfId="0" applyNumberFormat="1" applyFont="1" applyFill="1" applyBorder="1" applyAlignment="1">
      <alignment horizontal="center"/>
    </xf>
    <xf numFmtId="0" fontId="66" fillId="74" borderId="28" xfId="0" applyFont="1" applyFill="1" applyBorder="1" applyAlignment="1">
      <alignment horizontal="center" vertical="center"/>
    </xf>
    <xf numFmtId="0" fontId="70" fillId="74" borderId="10" xfId="0" applyFont="1" applyFill="1" applyBorder="1" applyAlignment="1">
      <alignment horizontal="center" vertical="center" wrapText="1"/>
    </xf>
    <xf numFmtId="0" fontId="0" fillId="74" borderId="0" xfId="0" applyFill="1"/>
    <xf numFmtId="0" fontId="68" fillId="74" borderId="0" xfId="0" applyFont="1" applyFill="1" applyAlignment="1">
      <alignment horizontal="justify" vertical="center"/>
    </xf>
    <xf numFmtId="0" fontId="80" fillId="74" borderId="0" xfId="0" applyFont="1" applyFill="1"/>
    <xf numFmtId="0" fontId="0" fillId="74" borderId="0" xfId="0" applyFill="1" applyAlignment="1">
      <alignment horizontal="center"/>
    </xf>
    <xf numFmtId="0" fontId="1" fillId="74" borderId="0" xfId="57572" applyFill="1"/>
    <xf numFmtId="0" fontId="89" fillId="74" borderId="10" xfId="57572" applyFont="1" applyFill="1" applyBorder="1" applyAlignment="1">
      <alignment horizontal="center" vertical="center" wrapText="1"/>
    </xf>
    <xf numFmtId="0" fontId="90" fillId="74" borderId="10" xfId="0" applyFont="1" applyFill="1" applyBorder="1" applyAlignment="1">
      <alignment horizontal="center" vertical="center"/>
    </xf>
    <xf numFmtId="4" fontId="90" fillId="74" borderId="10" xfId="0" applyNumberFormat="1" applyFont="1" applyFill="1" applyBorder="1" applyAlignment="1">
      <alignment horizontal="left" vertical="center" wrapText="1"/>
    </xf>
    <xf numFmtId="3" fontId="89" fillId="74" borderId="10" xfId="57572" applyNumberFormat="1" applyFont="1" applyFill="1" applyBorder="1" applyAlignment="1">
      <alignment horizontal="center" vertical="center"/>
    </xf>
    <xf numFmtId="0" fontId="91" fillId="74" borderId="0" xfId="0" applyFont="1" applyFill="1"/>
    <xf numFmtId="4" fontId="90" fillId="74" borderId="10" xfId="0" applyNumberFormat="1" applyFont="1" applyFill="1" applyBorder="1" applyAlignment="1">
      <alignment vertical="center" wrapText="1"/>
    </xf>
    <xf numFmtId="3" fontId="91" fillId="74" borderId="0" xfId="0" applyNumberFormat="1" applyFont="1" applyFill="1"/>
    <xf numFmtId="4" fontId="90" fillId="74" borderId="10" xfId="59250" applyNumberFormat="1" applyFont="1" applyFill="1" applyBorder="1" applyAlignment="1">
      <alignment vertical="center" wrapText="1"/>
    </xf>
    <xf numFmtId="4" fontId="92" fillId="74" borderId="10" xfId="59250" applyNumberFormat="1" applyFont="1" applyFill="1" applyBorder="1" applyAlignment="1">
      <alignment horizontal="left" vertical="center" wrapText="1"/>
    </xf>
    <xf numFmtId="4" fontId="90" fillId="74" borderId="10" xfId="59250" applyNumberFormat="1" applyFont="1" applyFill="1" applyBorder="1" applyAlignment="1">
      <alignment horizontal="left" vertical="center" wrapText="1"/>
    </xf>
    <xf numFmtId="3" fontId="93" fillId="74" borderId="0" xfId="0" applyNumberFormat="1" applyFont="1" applyFill="1"/>
    <xf numFmtId="3" fontId="90" fillId="74" borderId="10" xfId="0" applyNumberFormat="1" applyFont="1" applyFill="1" applyBorder="1" applyAlignment="1">
      <alignment vertical="center" wrapText="1"/>
    </xf>
    <xf numFmtId="3" fontId="94" fillId="74" borderId="0" xfId="0" applyNumberFormat="1" applyFont="1" applyFill="1"/>
    <xf numFmtId="0" fontId="92" fillId="74" borderId="10" xfId="0" applyFont="1" applyFill="1" applyBorder="1" applyAlignment="1">
      <alignment wrapText="1"/>
    </xf>
    <xf numFmtId="0" fontId="95" fillId="74" borderId="10" xfId="0" applyFont="1" applyFill="1" applyBorder="1" applyAlignment="1">
      <alignment horizontal="center" vertical="center"/>
    </xf>
    <xf numFmtId="3" fontId="95" fillId="74" borderId="10" xfId="0" applyNumberFormat="1" applyFont="1" applyFill="1" applyBorder="1" applyAlignment="1">
      <alignment horizontal="left" vertical="center"/>
    </xf>
    <xf numFmtId="3" fontId="96" fillId="74" borderId="10" xfId="0" applyNumberFormat="1" applyFont="1" applyFill="1" applyBorder="1" applyAlignment="1">
      <alignment horizontal="center"/>
    </xf>
    <xf numFmtId="3" fontId="97" fillId="74" borderId="0" xfId="0" applyNumberFormat="1" applyFont="1" applyFill="1"/>
    <xf numFmtId="3" fontId="89" fillId="74" borderId="0" xfId="57572" applyNumberFormat="1" applyFont="1" applyFill="1" applyBorder="1" applyAlignment="1">
      <alignment horizontal="center" vertical="center"/>
    </xf>
    <xf numFmtId="4" fontId="90" fillId="74" borderId="0" xfId="0" applyNumberFormat="1" applyFont="1" applyFill="1" applyBorder="1" applyAlignment="1">
      <alignment vertical="center" wrapText="1"/>
    </xf>
    <xf numFmtId="3" fontId="38" fillId="74" borderId="0" xfId="0" applyNumberFormat="1" applyFont="1" applyFill="1"/>
    <xf numFmtId="3" fontId="0" fillId="74" borderId="0" xfId="0" applyNumberFormat="1" applyFill="1"/>
    <xf numFmtId="0" fontId="1" fillId="74" borderId="0" xfId="57572" applyFill="1" applyAlignment="1">
      <alignment vertical="top"/>
    </xf>
    <xf numFmtId="0" fontId="89" fillId="74" borderId="27" xfId="57572" applyFont="1" applyFill="1" applyBorder="1" applyAlignment="1">
      <alignment horizontal="center" vertical="top" wrapText="1"/>
    </xf>
    <xf numFmtId="0" fontId="89" fillId="74" borderId="10" xfId="57572" applyFont="1" applyFill="1" applyBorder="1" applyAlignment="1">
      <alignment horizontal="center" vertical="top" wrapText="1"/>
    </xf>
    <xf numFmtId="0" fontId="89" fillId="74" borderId="47" xfId="57572" applyFont="1" applyFill="1" applyBorder="1" applyAlignment="1">
      <alignment horizontal="center" vertical="center" wrapText="1"/>
    </xf>
    <xf numFmtId="0" fontId="89" fillId="74" borderId="25" xfId="57572" applyFont="1" applyFill="1" applyBorder="1" applyAlignment="1">
      <alignment horizontal="center" vertical="center" wrapText="1"/>
    </xf>
    <xf numFmtId="0" fontId="89" fillId="74" borderId="54" xfId="57572" applyFont="1" applyFill="1" applyBorder="1" applyAlignment="1">
      <alignment horizontal="center" vertical="center" wrapText="1"/>
    </xf>
    <xf numFmtId="0" fontId="89" fillId="74" borderId="49" xfId="57572" applyFont="1" applyFill="1" applyBorder="1" applyAlignment="1">
      <alignment horizontal="center" vertical="center" wrapText="1"/>
    </xf>
    <xf numFmtId="0" fontId="90" fillId="74" borderId="47" xfId="0" applyFont="1" applyFill="1" applyBorder="1" applyAlignment="1">
      <alignment horizontal="center" vertical="center"/>
    </xf>
    <xf numFmtId="4" fontId="90" fillId="74" borderId="25" xfId="0" applyNumberFormat="1" applyFont="1" applyFill="1" applyBorder="1" applyAlignment="1">
      <alignment horizontal="left" vertical="center" wrapText="1"/>
    </xf>
    <xf numFmtId="3" fontId="89" fillId="74" borderId="54" xfId="57572" applyNumberFormat="1" applyFont="1" applyFill="1" applyBorder="1" applyAlignment="1">
      <alignment horizontal="center" vertical="center"/>
    </xf>
    <xf numFmtId="3" fontId="89" fillId="74" borderId="47" xfId="57572" applyNumberFormat="1" applyFont="1" applyFill="1" applyBorder="1" applyAlignment="1">
      <alignment horizontal="center" vertical="center"/>
    </xf>
    <xf numFmtId="3" fontId="89" fillId="74" borderId="49" xfId="57572" applyNumberFormat="1" applyFont="1" applyFill="1" applyBorder="1" applyAlignment="1">
      <alignment horizontal="center" vertical="center"/>
    </xf>
    <xf numFmtId="4" fontId="90" fillId="74" borderId="25" xfId="0" applyNumberFormat="1" applyFont="1" applyFill="1" applyBorder="1" applyAlignment="1">
      <alignment vertical="center" wrapText="1"/>
    </xf>
    <xf numFmtId="3" fontId="81" fillId="74" borderId="10" xfId="57572" applyNumberFormat="1" applyFont="1" applyFill="1" applyBorder="1" applyAlignment="1">
      <alignment horizontal="center" vertical="center"/>
    </xf>
    <xf numFmtId="4" fontId="90" fillId="74" borderId="25" xfId="59250" applyNumberFormat="1" applyFont="1" applyFill="1" applyBorder="1" applyAlignment="1">
      <alignment vertical="center" wrapText="1"/>
    </xf>
    <xf numFmtId="4" fontId="92" fillId="74" borderId="25" xfId="59250" applyNumberFormat="1" applyFont="1" applyFill="1" applyBorder="1" applyAlignment="1">
      <alignment horizontal="left" vertical="center" wrapText="1"/>
    </xf>
    <xf numFmtId="4" fontId="90" fillId="74" borderId="25" xfId="59250" applyNumberFormat="1" applyFont="1" applyFill="1" applyBorder="1" applyAlignment="1">
      <alignment horizontal="left" vertical="center" wrapText="1"/>
    </xf>
    <xf numFmtId="3" fontId="90" fillId="74" borderId="25" xfId="0" applyNumberFormat="1" applyFont="1" applyFill="1" applyBorder="1" applyAlignment="1">
      <alignment vertical="center" wrapText="1"/>
    </xf>
    <xf numFmtId="0" fontId="92" fillId="74" borderId="25" xfId="0" applyFont="1" applyFill="1" applyBorder="1" applyAlignment="1">
      <alignment wrapText="1"/>
    </xf>
    <xf numFmtId="0" fontId="95" fillId="74" borderId="47" xfId="0" applyFont="1" applyFill="1" applyBorder="1" applyAlignment="1">
      <alignment horizontal="center" vertical="center"/>
    </xf>
    <xf numFmtId="3" fontId="95" fillId="74" borderId="55" xfId="0" applyNumberFormat="1" applyFont="1" applyFill="1" applyBorder="1" applyAlignment="1">
      <alignment horizontal="left" vertical="center"/>
    </xf>
    <xf numFmtId="3" fontId="95" fillId="74" borderId="56" xfId="0" applyNumberFormat="1" applyFont="1" applyFill="1" applyBorder="1" applyAlignment="1">
      <alignment horizontal="left" vertical="center"/>
    </xf>
    <xf numFmtId="3" fontId="96" fillId="74" borderId="57" xfId="0" applyNumberFormat="1" applyFont="1" applyFill="1" applyBorder="1" applyAlignment="1">
      <alignment horizontal="center"/>
    </xf>
    <xf numFmtId="3" fontId="96" fillId="74" borderId="58" xfId="0" applyNumberFormat="1" applyFont="1" applyFill="1" applyBorder="1" applyAlignment="1">
      <alignment horizontal="center"/>
    </xf>
    <xf numFmtId="3" fontId="96" fillId="74" borderId="56" xfId="0" applyNumberFormat="1" applyFont="1" applyFill="1" applyBorder="1" applyAlignment="1">
      <alignment horizontal="center"/>
    </xf>
    <xf numFmtId="3" fontId="96" fillId="74" borderId="59" xfId="0" applyNumberFormat="1" applyFont="1" applyFill="1" applyBorder="1" applyAlignment="1">
      <alignment horizontal="center"/>
    </xf>
    <xf numFmtId="3" fontId="96" fillId="74" borderId="60" xfId="0" applyNumberFormat="1" applyFont="1" applyFill="1" applyBorder="1" applyAlignment="1">
      <alignment horizontal="center"/>
    </xf>
    <xf numFmtId="3" fontId="96" fillId="74" borderId="61" xfId="0" applyNumberFormat="1" applyFont="1" applyFill="1" applyBorder="1" applyAlignment="1">
      <alignment horizontal="center"/>
    </xf>
    <xf numFmtId="3" fontId="97" fillId="74" borderId="0" xfId="0" applyNumberFormat="1" applyFont="1" applyFill="1" applyBorder="1"/>
    <xf numFmtId="3" fontId="0" fillId="74" borderId="0" xfId="0" applyNumberFormat="1" applyFill="1" applyBorder="1"/>
    <xf numFmtId="0" fontId="0" fillId="74" borderId="0" xfId="0" applyFill="1" applyBorder="1"/>
    <xf numFmtId="0" fontId="91" fillId="74" borderId="0" xfId="0" applyFont="1" applyFill="1" applyBorder="1"/>
    <xf numFmtId="3" fontId="91" fillId="74" borderId="0" xfId="0" applyNumberFormat="1" applyFont="1" applyFill="1" applyBorder="1"/>
    <xf numFmtId="0" fontId="88" fillId="74" borderId="0" xfId="0" applyFont="1" applyFill="1" applyAlignment="1">
      <alignment vertical="center"/>
    </xf>
    <xf numFmtId="0" fontId="78" fillId="74" borderId="0" xfId="0" applyFont="1" applyFill="1"/>
    <xf numFmtId="0" fontId="77" fillId="74" borderId="0" xfId="0" applyFont="1" applyFill="1" applyAlignment="1">
      <alignment horizontal="center" wrapText="1"/>
    </xf>
    <xf numFmtId="0" fontId="78" fillId="74" borderId="0" xfId="0" applyFont="1" applyFill="1" applyAlignment="1">
      <alignment horizontal="justify" vertical="center"/>
    </xf>
    <xf numFmtId="0" fontId="77" fillId="74" borderId="24" xfId="0" applyFont="1" applyFill="1" applyBorder="1" applyAlignment="1">
      <alignment horizontal="center" wrapText="1"/>
    </xf>
    <xf numFmtId="0" fontId="70" fillId="74" borderId="0" xfId="0" applyFont="1" applyFill="1"/>
    <xf numFmtId="0" fontId="81" fillId="74" borderId="10" xfId="0" applyFont="1" applyFill="1" applyBorder="1" applyAlignment="1">
      <alignment horizontal="center" vertical="center" wrapText="1"/>
    </xf>
    <xf numFmtId="0" fontId="81" fillId="74" borderId="25" xfId="0" applyFont="1" applyFill="1" applyBorder="1" applyAlignment="1">
      <alignment horizontal="center" vertical="center" wrapText="1"/>
    </xf>
    <xf numFmtId="4" fontId="66" fillId="74" borderId="27" xfId="0" applyNumberFormat="1" applyFont="1" applyFill="1" applyBorder="1" applyAlignment="1">
      <alignment horizontal="left" vertical="center" wrapText="1"/>
    </xf>
    <xf numFmtId="3" fontId="98" fillId="74" borderId="10" xfId="0" applyNumberFormat="1" applyFont="1" applyFill="1" applyBorder="1" applyAlignment="1">
      <alignment horizontal="center" vertical="center" wrapText="1"/>
    </xf>
    <xf numFmtId="3" fontId="98" fillId="74" borderId="10" xfId="0" applyNumberFormat="1" applyFont="1" applyFill="1" applyBorder="1" applyAlignment="1">
      <alignment horizontal="center" vertical="center"/>
    </xf>
    <xf numFmtId="4" fontId="66" fillId="74" borderId="27" xfId="59250" applyNumberFormat="1" applyFont="1" applyFill="1" applyBorder="1" applyAlignment="1">
      <alignment vertical="center" wrapText="1"/>
    </xf>
    <xf numFmtId="3" fontId="78" fillId="74" borderId="0" xfId="0" applyNumberFormat="1" applyFont="1" applyFill="1"/>
    <xf numFmtId="4" fontId="66" fillId="74" borderId="27" xfId="0" applyNumberFormat="1" applyFont="1" applyFill="1" applyBorder="1" applyAlignment="1">
      <alignment vertical="center" wrapText="1"/>
    </xf>
    <xf numFmtId="3" fontId="66" fillId="74" borderId="27" xfId="0" applyNumberFormat="1" applyFont="1" applyFill="1" applyBorder="1" applyAlignment="1">
      <alignment vertical="center" wrapText="1"/>
    </xf>
    <xf numFmtId="3" fontId="78" fillId="74" borderId="10" xfId="0" applyNumberFormat="1" applyFont="1" applyFill="1" applyBorder="1" applyAlignment="1">
      <alignment horizontal="center" vertical="center" wrapText="1"/>
    </xf>
    <xf numFmtId="3" fontId="78" fillId="74" borderId="10" xfId="0" applyNumberFormat="1" applyFont="1" applyFill="1" applyBorder="1" applyAlignment="1">
      <alignment horizontal="center" vertical="center"/>
    </xf>
    <xf numFmtId="3" fontId="86" fillId="74" borderId="10" xfId="0" applyNumberFormat="1" applyFont="1" applyFill="1" applyBorder="1" applyAlignment="1">
      <alignment horizontal="left" vertical="center"/>
    </xf>
    <xf numFmtId="3" fontId="77" fillId="74" borderId="10" xfId="0" applyNumberFormat="1" applyFont="1" applyFill="1" applyBorder="1" applyAlignment="1">
      <alignment horizontal="center" vertical="center" wrapText="1"/>
    </xf>
    <xf numFmtId="3" fontId="77" fillId="74" borderId="0" xfId="0" applyNumberFormat="1" applyFont="1" applyFill="1" applyBorder="1" applyAlignment="1">
      <alignment horizontal="center" vertical="center" wrapText="1"/>
    </xf>
    <xf numFmtId="0" fontId="78" fillId="74" borderId="0" xfId="0" applyFont="1" applyFill="1" applyAlignment="1">
      <alignment horizontal="center"/>
    </xf>
    <xf numFmtId="3" fontId="78" fillId="74" borderId="0" xfId="0" applyNumberFormat="1" applyFont="1" applyFill="1" applyAlignment="1">
      <alignment horizontal="center"/>
    </xf>
    <xf numFmtId="0" fontId="99" fillId="74" borderId="24" xfId="0" applyFont="1" applyFill="1" applyBorder="1" applyAlignment="1">
      <alignment horizontal="center" vertical="center" wrapText="1"/>
    </xf>
    <xf numFmtId="0" fontId="100" fillId="74" borderId="24" xfId="0" applyFont="1" applyFill="1" applyBorder="1" applyAlignment="1">
      <alignment wrapText="1"/>
    </xf>
    <xf numFmtId="3" fontId="62" fillId="74" borderId="10" xfId="57896" applyNumberFormat="1" applyFont="1" applyFill="1" applyBorder="1" applyAlignment="1">
      <alignment horizontal="center" vertical="center" wrapText="1"/>
    </xf>
    <xf numFmtId="3" fontId="87" fillId="74" borderId="10" xfId="0" applyNumberFormat="1" applyFont="1" applyFill="1" applyBorder="1" applyAlignment="1">
      <alignment horizontal="center" vertical="center" wrapText="1"/>
    </xf>
    <xf numFmtId="0" fontId="102" fillId="74" borderId="0" xfId="0" applyFont="1" applyFill="1" applyAlignment="1">
      <alignment vertical="center"/>
    </xf>
    <xf numFmtId="4" fontId="66" fillId="74" borderId="27" xfId="59250" applyNumberFormat="1" applyFont="1" applyFill="1" applyBorder="1" applyAlignment="1">
      <alignment horizontal="left" vertical="center" wrapText="1"/>
    </xf>
    <xf numFmtId="4" fontId="66" fillId="74" borderId="27" xfId="57749" applyNumberFormat="1" applyFont="1" applyFill="1" applyBorder="1" applyAlignment="1">
      <alignment horizontal="left" vertical="center" wrapText="1"/>
    </xf>
    <xf numFmtId="4" fontId="66" fillId="74" borderId="10" xfId="0" applyNumberFormat="1" applyFont="1" applyFill="1" applyBorder="1" applyAlignment="1">
      <alignment vertical="center" wrapText="1"/>
    </xf>
    <xf numFmtId="3" fontId="87" fillId="74" borderId="27" xfId="0" applyNumberFormat="1" applyFont="1" applyFill="1" applyBorder="1" applyAlignment="1">
      <alignment vertical="center" wrapText="1"/>
    </xf>
    <xf numFmtId="3" fontId="103" fillId="74" borderId="10" xfId="0" applyNumberFormat="1" applyFont="1" applyFill="1" applyBorder="1" applyAlignment="1">
      <alignment horizontal="center" vertical="center" wrapText="1"/>
    </xf>
    <xf numFmtId="4" fontId="66" fillId="74" borderId="31" xfId="0" applyNumberFormat="1" applyFont="1" applyFill="1" applyBorder="1" applyAlignment="1">
      <alignment vertical="center" wrapText="1"/>
    </xf>
    <xf numFmtId="0" fontId="77" fillId="74" borderId="0" xfId="0" applyFont="1" applyFill="1" applyAlignment="1">
      <alignment horizontal="center"/>
    </xf>
    <xf numFmtId="0" fontId="78" fillId="74" borderId="0" xfId="0" applyFont="1" applyFill="1" applyAlignment="1">
      <alignment vertical="center"/>
    </xf>
    <xf numFmtId="3" fontId="87" fillId="74" borderId="0" xfId="0" applyNumberFormat="1" applyFont="1" applyFill="1" applyAlignment="1">
      <alignment vertical="center" wrapText="1"/>
    </xf>
    <xf numFmtId="3" fontId="102" fillId="74" borderId="0" xfId="0" applyNumberFormat="1" applyFont="1" applyFill="1" applyAlignment="1">
      <alignment vertical="center"/>
    </xf>
    <xf numFmtId="3" fontId="77" fillId="74" borderId="10" xfId="0" applyNumberFormat="1" applyFont="1" applyFill="1" applyBorder="1" applyAlignment="1">
      <alignment horizontal="center"/>
    </xf>
    <xf numFmtId="2" fontId="78" fillId="74" borderId="0" xfId="0" applyNumberFormat="1" applyFont="1" applyFill="1"/>
    <xf numFmtId="1" fontId="100" fillId="74" borderId="24" xfId="0" applyNumberFormat="1" applyFont="1" applyFill="1" applyBorder="1" applyAlignment="1">
      <alignment wrapText="1"/>
    </xf>
    <xf numFmtId="1" fontId="62" fillId="74" borderId="10" xfId="57896" applyNumberFormat="1" applyFont="1" applyFill="1" applyBorder="1" applyAlignment="1">
      <alignment horizontal="center" vertical="center" wrapText="1"/>
    </xf>
    <xf numFmtId="1" fontId="98" fillId="74" borderId="10" xfId="0" applyNumberFormat="1" applyFont="1" applyFill="1" applyBorder="1" applyAlignment="1">
      <alignment horizontal="center" vertical="center" wrapText="1"/>
    </xf>
    <xf numFmtId="1" fontId="87" fillId="74" borderId="10" xfId="0" applyNumberFormat="1" applyFont="1" applyFill="1" applyBorder="1" applyAlignment="1">
      <alignment horizontal="center" vertical="center" wrapText="1"/>
    </xf>
    <xf numFmtId="1" fontId="103" fillId="74" borderId="10" xfId="0" applyNumberFormat="1" applyFont="1" applyFill="1" applyBorder="1" applyAlignment="1">
      <alignment horizontal="center" vertical="center" wrapText="1"/>
    </xf>
    <xf numFmtId="1" fontId="77" fillId="74" borderId="10" xfId="0" applyNumberFormat="1" applyFont="1" applyFill="1" applyBorder="1" applyAlignment="1">
      <alignment horizontal="center"/>
    </xf>
    <xf numFmtId="1" fontId="78" fillId="74" borderId="0" xfId="0" applyNumberFormat="1" applyFont="1" applyFill="1" applyAlignment="1">
      <alignment horizontal="center"/>
    </xf>
    <xf numFmtId="1" fontId="78" fillId="74" borderId="0" xfId="0" applyNumberFormat="1" applyFont="1" applyFill="1"/>
    <xf numFmtId="0" fontId="68" fillId="74" borderId="0" xfId="0" applyFont="1" applyFill="1" applyAlignment="1">
      <alignment horizontal="center" vertical="center"/>
    </xf>
    <xf numFmtId="0" fontId="68" fillId="74" borderId="0" xfId="0" applyFont="1" applyFill="1" applyAlignment="1">
      <alignment wrapText="1"/>
    </xf>
    <xf numFmtId="0" fontId="68" fillId="74" borderId="0" xfId="0" applyFont="1" applyFill="1"/>
    <xf numFmtId="0" fontId="100" fillId="74" borderId="0" xfId="0" applyFont="1" applyFill="1" applyAlignment="1">
      <alignment wrapText="1"/>
    </xf>
    <xf numFmtId="0" fontId="100" fillId="74" borderId="0" xfId="0" applyFont="1" applyFill="1"/>
    <xf numFmtId="0" fontId="100" fillId="74" borderId="0" xfId="0" applyFont="1" applyFill="1" applyAlignment="1">
      <alignment horizontal="center" wrapText="1"/>
    </xf>
    <xf numFmtId="0" fontId="100" fillId="74" borderId="0" xfId="0" applyFont="1" applyFill="1" applyAlignment="1">
      <alignment horizontal="center"/>
    </xf>
    <xf numFmtId="0" fontId="70" fillId="74" borderId="10" xfId="0" applyFont="1" applyFill="1" applyBorder="1" applyAlignment="1">
      <alignment horizontal="center" vertical="center"/>
    </xf>
    <xf numFmtId="3" fontId="70" fillId="74" borderId="10" xfId="0" applyNumberFormat="1" applyFont="1" applyFill="1" applyBorder="1" applyAlignment="1">
      <alignment horizontal="center" vertical="center" wrapText="1"/>
    </xf>
    <xf numFmtId="0" fontId="70" fillId="74" borderId="10" xfId="0" applyFont="1" applyFill="1" applyBorder="1" applyAlignment="1">
      <alignment wrapText="1"/>
    </xf>
    <xf numFmtId="0" fontId="70" fillId="74" borderId="25" xfId="0" applyFont="1" applyFill="1" applyBorder="1" applyAlignment="1">
      <alignment horizontal="center" vertical="center"/>
    </xf>
    <xf numFmtId="3" fontId="70" fillId="74" borderId="25" xfId="0" applyNumberFormat="1" applyFont="1" applyFill="1" applyBorder="1" applyAlignment="1">
      <alignment horizontal="center" vertical="center"/>
    </xf>
    <xf numFmtId="0" fontId="70" fillId="74" borderId="10" xfId="0" applyFont="1" applyFill="1" applyBorder="1" applyAlignment="1">
      <alignment vertical="center" wrapText="1"/>
    </xf>
    <xf numFmtId="0" fontId="70" fillId="74" borderId="10" xfId="0" applyFont="1" applyFill="1" applyBorder="1" applyAlignment="1">
      <alignment horizontal="left" vertical="center" wrapText="1"/>
    </xf>
    <xf numFmtId="0" fontId="74" fillId="74" borderId="10" xfId="0" applyFont="1" applyFill="1" applyBorder="1" applyAlignment="1">
      <alignment horizontal="center" vertical="center"/>
    </xf>
    <xf numFmtId="0" fontId="74" fillId="74" borderId="10" xfId="0" applyFont="1" applyFill="1" applyBorder="1" applyAlignment="1">
      <alignment vertical="center" wrapText="1"/>
    </xf>
    <xf numFmtId="3" fontId="74" fillId="74" borderId="10" xfId="0" applyNumberFormat="1" applyFont="1" applyFill="1" applyBorder="1" applyAlignment="1">
      <alignment horizontal="center" vertical="center"/>
    </xf>
    <xf numFmtId="0" fontId="100" fillId="74" borderId="0" xfId="0" applyFont="1" applyFill="1" applyAlignment="1">
      <alignment horizontal="center" vertical="center"/>
    </xf>
    <xf numFmtId="3" fontId="100" fillId="74" borderId="0" xfId="0" applyNumberFormat="1" applyFont="1" applyFill="1"/>
    <xf numFmtId="0" fontId="66" fillId="74" borderId="28" xfId="0" applyFont="1" applyFill="1" applyBorder="1" applyAlignment="1">
      <alignment horizontal="center" vertical="center"/>
    </xf>
    <xf numFmtId="0" fontId="66" fillId="74" borderId="30" xfId="0" applyFont="1" applyFill="1" applyBorder="1" applyAlignment="1">
      <alignment horizontal="center" vertical="center"/>
    </xf>
    <xf numFmtId="0" fontId="66" fillId="74" borderId="10" xfId="0" applyFont="1" applyFill="1" applyBorder="1" applyAlignment="1">
      <alignment horizontal="center" vertical="center" wrapText="1"/>
    </xf>
    <xf numFmtId="0" fontId="78" fillId="74" borderId="10" xfId="0" applyFont="1" applyFill="1" applyBorder="1" applyAlignment="1">
      <alignment horizontal="center" vertical="center" wrapText="1"/>
    </xf>
    <xf numFmtId="0" fontId="66" fillId="74" borderId="28" xfId="0" applyFont="1" applyFill="1" applyBorder="1" applyAlignment="1">
      <alignment horizontal="center" vertical="center" wrapText="1"/>
    </xf>
    <xf numFmtId="0" fontId="78" fillId="74" borderId="30" xfId="0" applyFont="1" applyFill="1" applyBorder="1" applyAlignment="1">
      <alignment horizontal="center" vertical="center" wrapText="1"/>
    </xf>
    <xf numFmtId="0" fontId="38" fillId="74" borderId="30" xfId="0" applyFont="1" applyFill="1" applyBorder="1" applyAlignment="1">
      <alignment horizontal="center" vertical="center"/>
    </xf>
    <xf numFmtId="2" fontId="60" fillId="74" borderId="0" xfId="0" applyNumberFormat="1" applyFont="1" applyFill="1" applyAlignment="1">
      <alignment horizontal="center" vertical="center" wrapText="1"/>
    </xf>
    <xf numFmtId="0" fontId="85" fillId="74" borderId="0" xfId="0" applyFont="1" applyFill="1" applyAlignment="1">
      <alignment horizontal="center" vertical="center" wrapText="1"/>
    </xf>
    <xf numFmtId="3" fontId="66" fillId="74" borderId="0" xfId="0" applyNumberFormat="1" applyFont="1" applyFill="1" applyBorder="1" applyAlignment="1">
      <alignment horizontal="right" vertical="center"/>
    </xf>
    <xf numFmtId="3" fontId="66" fillId="74" borderId="28" xfId="0" applyNumberFormat="1" applyFont="1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/>
    </xf>
    <xf numFmtId="3" fontId="61" fillId="74" borderId="10" xfId="0" applyNumberFormat="1" applyFont="1" applyFill="1" applyBorder="1" applyAlignment="1">
      <alignment horizontal="center" vertical="center" wrapText="1"/>
    </xf>
    <xf numFmtId="0" fontId="0" fillId="74" borderId="10" xfId="0" applyFill="1" applyBorder="1" applyAlignment="1">
      <alignment horizontal="center" vertical="center" wrapText="1"/>
    </xf>
    <xf numFmtId="3" fontId="66" fillId="74" borderId="25" xfId="0" applyNumberFormat="1" applyFont="1" applyFill="1" applyBorder="1" applyAlignment="1">
      <alignment horizontal="center" vertical="center" wrapText="1"/>
    </xf>
    <xf numFmtId="0" fontId="0" fillId="74" borderId="27" xfId="0" applyFill="1" applyBorder="1" applyAlignment="1">
      <alignment horizontal="center" vertical="center" wrapText="1"/>
    </xf>
    <xf numFmtId="0" fontId="0" fillId="74" borderId="30" xfId="0" applyFill="1" applyBorder="1" applyAlignment="1">
      <alignment horizontal="center" vertical="center" wrapText="1"/>
    </xf>
    <xf numFmtId="0" fontId="77" fillId="74" borderId="24" xfId="57580" applyFont="1" applyFill="1" applyBorder="1" applyAlignment="1">
      <alignment horizontal="center" vertical="center" wrapText="1"/>
    </xf>
    <xf numFmtId="3" fontId="61" fillId="74" borderId="0" xfId="0" applyNumberFormat="1" applyFont="1" applyFill="1" applyAlignment="1">
      <alignment horizontal="center" vertical="center" wrapText="1"/>
    </xf>
    <xf numFmtId="0" fontId="65" fillId="74" borderId="0" xfId="0" applyFont="1" applyFill="1" applyAlignment="1">
      <alignment horizontal="center" vertical="center" wrapText="1"/>
    </xf>
    <xf numFmtId="0" fontId="61" fillId="74" borderId="10" xfId="0" applyFont="1" applyFill="1" applyBorder="1" applyAlignment="1">
      <alignment horizontal="center" vertical="center" wrapText="1"/>
    </xf>
    <xf numFmtId="0" fontId="61" fillId="74" borderId="10" xfId="0" applyFont="1" applyFill="1" applyBorder="1" applyAlignment="1"/>
    <xf numFmtId="0" fontId="60" fillId="74" borderId="0" xfId="0" applyFont="1" applyFill="1" applyAlignment="1">
      <alignment horizontal="center" vertical="center" wrapText="1"/>
    </xf>
    <xf numFmtId="3" fontId="61" fillId="74" borderId="24" xfId="0" applyNumberFormat="1" applyFont="1" applyFill="1" applyBorder="1" applyAlignment="1">
      <alignment horizontal="right"/>
    </xf>
    <xf numFmtId="3" fontId="61" fillId="74" borderId="25" xfId="0" applyNumberFormat="1" applyFont="1" applyFill="1" applyBorder="1" applyAlignment="1">
      <alignment horizontal="center" vertical="center" wrapText="1"/>
    </xf>
    <xf numFmtId="0" fontId="65" fillId="74" borderId="26" xfId="0" applyFont="1" applyFill="1" applyBorder="1" applyAlignment="1">
      <alignment horizontal="center" vertical="center" wrapText="1"/>
    </xf>
    <xf numFmtId="0" fontId="65" fillId="74" borderId="27" xfId="0" applyFont="1" applyFill="1" applyBorder="1" applyAlignment="1">
      <alignment horizontal="center" vertical="center" wrapText="1"/>
    </xf>
    <xf numFmtId="3" fontId="62" fillId="74" borderId="10" xfId="0" applyNumberFormat="1" applyFont="1" applyFill="1" applyBorder="1" applyAlignment="1">
      <alignment horizontal="center" vertical="center" wrapText="1"/>
    </xf>
    <xf numFmtId="0" fontId="62" fillId="74" borderId="10" xfId="0" applyFont="1" applyFill="1" applyBorder="1" applyAlignment="1">
      <alignment horizontal="center" vertical="center" wrapText="1"/>
    </xf>
    <xf numFmtId="0" fontId="61" fillId="74" borderId="28" xfId="0" applyFont="1" applyFill="1" applyBorder="1" applyAlignment="1">
      <alignment horizontal="center" vertical="center" wrapText="1"/>
    </xf>
    <xf numFmtId="0" fontId="61" fillId="74" borderId="30" xfId="0" applyFont="1" applyFill="1" applyBorder="1" applyAlignment="1">
      <alignment horizontal="center" vertical="center" wrapText="1"/>
    </xf>
    <xf numFmtId="3" fontId="61" fillId="74" borderId="26" xfId="0" applyNumberFormat="1" applyFont="1" applyFill="1" applyBorder="1" applyAlignment="1">
      <alignment horizontal="center" vertical="center" wrapText="1"/>
    </xf>
    <xf numFmtId="3" fontId="61" fillId="74" borderId="27" xfId="0" applyNumberFormat="1" applyFont="1" applyFill="1" applyBorder="1" applyAlignment="1">
      <alignment horizontal="center" vertical="center" wrapText="1"/>
    </xf>
    <xf numFmtId="3" fontId="61" fillId="74" borderId="28" xfId="0" applyNumberFormat="1" applyFont="1" applyFill="1" applyBorder="1" applyAlignment="1">
      <alignment horizontal="center" vertical="center" wrapText="1"/>
    </xf>
    <xf numFmtId="3" fontId="61" fillId="74" borderId="30" xfId="0" applyNumberFormat="1" applyFont="1" applyFill="1" applyBorder="1" applyAlignment="1">
      <alignment horizontal="center" vertical="center"/>
    </xf>
    <xf numFmtId="0" fontId="61" fillId="74" borderId="29" xfId="57742" applyFont="1" applyFill="1" applyBorder="1" applyAlignment="1">
      <alignment horizontal="center" vertical="center" wrapText="1"/>
    </xf>
    <xf numFmtId="0" fontId="61" fillId="74" borderId="32" xfId="57742" applyFont="1" applyFill="1" applyBorder="1" applyAlignment="1">
      <alignment horizontal="center" vertical="center" wrapText="1"/>
    </xf>
    <xf numFmtId="0" fontId="61" fillId="74" borderId="31" xfId="0" applyFont="1" applyFill="1" applyBorder="1" applyAlignment="1">
      <alignment horizontal="center" vertical="center" wrapText="1"/>
    </xf>
    <xf numFmtId="0" fontId="67" fillId="74" borderId="0" xfId="0" applyFont="1" applyFill="1" applyAlignment="1">
      <alignment horizontal="center" vertical="center"/>
    </xf>
    <xf numFmtId="0" fontId="68" fillId="74" borderId="0" xfId="0" applyFont="1" applyFill="1" applyAlignment="1">
      <alignment horizontal="center"/>
    </xf>
    <xf numFmtId="3" fontId="61" fillId="74" borderId="24" xfId="0" applyNumberFormat="1" applyFont="1" applyFill="1" applyBorder="1" applyAlignment="1">
      <alignment horizontal="right" wrapText="1"/>
    </xf>
    <xf numFmtId="0" fontId="70" fillId="74" borderId="24" xfId="0" applyFont="1" applyFill="1" applyBorder="1" applyAlignment="1">
      <alignment horizontal="right" wrapText="1"/>
    </xf>
    <xf numFmtId="3" fontId="61" fillId="74" borderId="28" xfId="0" applyNumberFormat="1" applyFont="1" applyFill="1" applyBorder="1" applyAlignment="1" applyProtection="1">
      <alignment horizontal="center" vertical="center" wrapText="1"/>
      <protection locked="0"/>
    </xf>
    <xf numFmtId="3" fontId="61" fillId="74" borderId="33" xfId="0" applyNumberFormat="1" applyFont="1" applyFill="1" applyBorder="1" applyAlignment="1" applyProtection="1">
      <alignment horizontal="center" vertical="center" wrapText="1"/>
      <protection locked="0"/>
    </xf>
    <xf numFmtId="3" fontId="61" fillId="74" borderId="28" xfId="0" applyNumberFormat="1" applyFont="1" applyFill="1" applyBorder="1" applyAlignment="1" applyProtection="1">
      <alignment horizontal="center" vertical="center"/>
      <protection locked="0"/>
    </xf>
    <xf numFmtId="3" fontId="61" fillId="74" borderId="33" xfId="0" applyNumberFormat="1" applyFont="1" applyFill="1" applyBorder="1" applyAlignment="1" applyProtection="1">
      <alignment horizontal="center" vertical="center"/>
      <protection locked="0"/>
    </xf>
    <xf numFmtId="3" fontId="71" fillId="74" borderId="25" xfId="0" applyNumberFormat="1" applyFont="1" applyFill="1" applyBorder="1" applyAlignment="1" applyProtection="1">
      <alignment horizontal="center" vertical="center" wrapText="1"/>
      <protection locked="0"/>
    </xf>
    <xf numFmtId="3" fontId="71" fillId="74" borderId="26" xfId="0" applyNumberFormat="1" applyFont="1" applyFill="1" applyBorder="1" applyAlignment="1" applyProtection="1">
      <alignment horizontal="center" vertical="center" wrapText="1"/>
      <protection locked="0"/>
    </xf>
    <xf numFmtId="3" fontId="71" fillId="74" borderId="25" xfId="0" applyNumberFormat="1" applyFont="1" applyFill="1" applyBorder="1" applyAlignment="1">
      <alignment horizontal="center" vertical="center"/>
    </xf>
    <xf numFmtId="3" fontId="71" fillId="74" borderId="26" xfId="0" applyNumberFormat="1" applyFont="1" applyFill="1" applyBorder="1" applyAlignment="1">
      <alignment horizontal="center" vertical="center"/>
    </xf>
    <xf numFmtId="3" fontId="71" fillId="74" borderId="27" xfId="0" applyNumberFormat="1" applyFont="1" applyFill="1" applyBorder="1" applyAlignment="1">
      <alignment horizontal="center" vertical="center"/>
    </xf>
    <xf numFmtId="0" fontId="72" fillId="74" borderId="10" xfId="0" applyFont="1" applyFill="1" applyBorder="1" applyAlignment="1">
      <alignment horizontal="center" vertical="center" wrapText="1"/>
    </xf>
    <xf numFmtId="0" fontId="70" fillId="74" borderId="10" xfId="0" applyFont="1" applyFill="1" applyBorder="1" applyAlignment="1">
      <alignment horizontal="center" vertical="center" wrapText="1"/>
    </xf>
    <xf numFmtId="3" fontId="73" fillId="74" borderId="10" xfId="0" applyNumberFormat="1" applyFont="1" applyFill="1" applyBorder="1" applyAlignment="1">
      <alignment horizontal="center" vertical="center"/>
    </xf>
    <xf numFmtId="3" fontId="73" fillId="74" borderId="29" xfId="0" applyNumberFormat="1" applyFont="1" applyFill="1" applyBorder="1" applyAlignment="1" applyProtection="1">
      <alignment horizontal="center" vertical="center" wrapText="1"/>
      <protection locked="0"/>
    </xf>
    <xf numFmtId="3" fontId="73" fillId="74" borderId="34" xfId="0" applyNumberFormat="1" applyFont="1" applyFill="1" applyBorder="1" applyAlignment="1" applyProtection="1">
      <alignment horizontal="center" vertical="center" wrapText="1"/>
      <protection locked="0"/>
    </xf>
    <xf numFmtId="3" fontId="73" fillId="74" borderId="25" xfId="0" applyNumberFormat="1" applyFont="1" applyFill="1" applyBorder="1" applyAlignment="1" applyProtection="1">
      <alignment horizontal="center" vertical="center" wrapText="1"/>
      <protection locked="0"/>
    </xf>
    <xf numFmtId="3" fontId="73" fillId="74" borderId="26" xfId="0" applyNumberFormat="1" applyFont="1" applyFill="1" applyBorder="1" applyAlignment="1" applyProtection="1">
      <alignment horizontal="center" vertical="center" wrapText="1"/>
      <protection locked="0"/>
    </xf>
    <xf numFmtId="3" fontId="73" fillId="74" borderId="25" xfId="0" applyNumberFormat="1" applyFont="1" applyFill="1" applyBorder="1" applyAlignment="1" applyProtection="1">
      <alignment horizontal="center" vertical="center"/>
      <protection locked="0"/>
    </xf>
    <xf numFmtId="3" fontId="73" fillId="74" borderId="26" xfId="0" applyNumberFormat="1" applyFont="1" applyFill="1" applyBorder="1" applyAlignment="1" applyProtection="1">
      <alignment horizontal="center" vertical="center"/>
      <protection locked="0"/>
    </xf>
    <xf numFmtId="3" fontId="73" fillId="74" borderId="28" xfId="0" applyNumberFormat="1" applyFont="1" applyFill="1" applyBorder="1" applyAlignment="1">
      <alignment horizontal="center" vertical="center"/>
    </xf>
    <xf numFmtId="3" fontId="73" fillId="74" borderId="33" xfId="0" applyNumberFormat="1" applyFont="1" applyFill="1" applyBorder="1" applyAlignment="1">
      <alignment horizontal="center" vertical="center"/>
    </xf>
    <xf numFmtId="3" fontId="73" fillId="74" borderId="30" xfId="0" applyNumberFormat="1" applyFont="1" applyFill="1" applyBorder="1" applyAlignment="1">
      <alignment horizontal="center" vertical="center"/>
    </xf>
    <xf numFmtId="3" fontId="73" fillId="74" borderId="25" xfId="0" applyNumberFormat="1" applyFont="1" applyFill="1" applyBorder="1" applyAlignment="1">
      <alignment horizontal="center" vertical="center" wrapText="1"/>
    </xf>
    <xf numFmtId="3" fontId="73" fillId="74" borderId="27" xfId="0" applyNumberFormat="1" applyFont="1" applyFill="1" applyBorder="1" applyAlignment="1">
      <alignment horizontal="center" vertical="center" wrapText="1"/>
    </xf>
    <xf numFmtId="3" fontId="73" fillId="74" borderId="10" xfId="0" applyNumberFormat="1" applyFont="1" applyFill="1" applyBorder="1" applyAlignment="1">
      <alignment horizontal="center" vertical="center" wrapText="1"/>
    </xf>
    <xf numFmtId="0" fontId="73" fillId="74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3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2" fillId="0" borderId="10" xfId="0" applyNumberFormat="1" applyFont="1" applyFill="1" applyBorder="1" applyAlignment="1" applyProtection="1">
      <alignment horizontal="center" vertical="center"/>
      <protection locked="0"/>
    </xf>
    <xf numFmtId="3" fontId="62" fillId="0" borderId="25" xfId="0" applyNumberFormat="1" applyFont="1" applyFill="1" applyBorder="1" applyAlignment="1">
      <alignment horizontal="center" vertical="center" wrapText="1"/>
    </xf>
    <xf numFmtId="3" fontId="62" fillId="0" borderId="26" xfId="0" applyNumberFormat="1" applyFont="1" applyFill="1" applyBorder="1" applyAlignment="1">
      <alignment horizontal="center" vertical="center" wrapText="1"/>
    </xf>
    <xf numFmtId="3" fontId="62" fillId="0" borderId="27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3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10" xfId="0" applyNumberFormat="1" applyFont="1" applyFill="1" applyBorder="1" applyAlignment="1" applyProtection="1">
      <alignment horizontal="center" vertical="center"/>
      <protection locked="0"/>
    </xf>
    <xf numFmtId="0" fontId="90" fillId="74" borderId="10" xfId="0" applyFont="1" applyFill="1" applyBorder="1" applyAlignment="1">
      <alignment horizontal="center" vertical="center"/>
    </xf>
    <xf numFmtId="0" fontId="89" fillId="74" borderId="28" xfId="57572" applyFont="1" applyFill="1" applyBorder="1" applyAlignment="1">
      <alignment horizontal="center" vertical="center" wrapText="1"/>
    </xf>
    <xf numFmtId="0" fontId="89" fillId="74" borderId="30" xfId="57572" applyFont="1" applyFill="1" applyBorder="1" applyAlignment="1">
      <alignment horizontal="center" vertical="center" wrapText="1"/>
    </xf>
    <xf numFmtId="0" fontId="89" fillId="74" borderId="10" xfId="57572" applyFont="1" applyFill="1" applyBorder="1" applyAlignment="1">
      <alignment horizontal="center" vertical="center" wrapText="1"/>
    </xf>
    <xf numFmtId="0" fontId="89" fillId="74" borderId="33" xfId="57572" applyFont="1" applyFill="1" applyBorder="1" applyAlignment="1">
      <alignment horizontal="center" vertical="center" wrapText="1"/>
    </xf>
    <xf numFmtId="0" fontId="88" fillId="74" borderId="0" xfId="0" applyFont="1" applyFill="1" applyAlignment="1">
      <alignment horizontal="center" vertical="center"/>
    </xf>
    <xf numFmtId="0" fontId="80" fillId="74" borderId="24" xfId="0" applyFont="1" applyFill="1" applyBorder="1" applyAlignment="1">
      <alignment horizontal="center"/>
    </xf>
    <xf numFmtId="0" fontId="89" fillId="74" borderId="25" xfId="57572" applyFont="1" applyFill="1" applyBorder="1" applyAlignment="1">
      <alignment horizontal="center" vertical="center" wrapText="1"/>
    </xf>
    <xf numFmtId="0" fontId="89" fillId="74" borderId="26" xfId="57572" applyFont="1" applyFill="1" applyBorder="1" applyAlignment="1">
      <alignment horizontal="center" vertical="center" wrapText="1"/>
    </xf>
    <xf numFmtId="0" fontId="90" fillId="74" borderId="47" xfId="0" applyFont="1" applyFill="1" applyBorder="1" applyAlignment="1">
      <alignment horizontal="center" vertical="center"/>
    </xf>
    <xf numFmtId="0" fontId="89" fillId="74" borderId="49" xfId="57572" applyFont="1" applyFill="1" applyBorder="1" applyAlignment="1">
      <alignment horizontal="center" vertical="top" wrapText="1"/>
    </xf>
    <xf numFmtId="0" fontId="89" fillId="74" borderId="27" xfId="57572" applyFont="1" applyFill="1" applyBorder="1" applyAlignment="1">
      <alignment horizontal="center" vertical="top" wrapText="1"/>
    </xf>
    <xf numFmtId="0" fontId="89" fillId="74" borderId="10" xfId="57572" applyFont="1" applyFill="1" applyBorder="1" applyAlignment="1">
      <alignment horizontal="center" vertical="top" wrapText="1"/>
    </xf>
    <xf numFmtId="0" fontId="89" fillId="74" borderId="50" xfId="57572" applyFont="1" applyFill="1" applyBorder="1" applyAlignment="1">
      <alignment horizontal="center" vertical="top" wrapText="1"/>
    </xf>
    <xf numFmtId="0" fontId="89" fillId="74" borderId="53" xfId="57572" applyFont="1" applyFill="1" applyBorder="1" applyAlignment="1">
      <alignment horizontal="center" vertical="top" wrapText="1"/>
    </xf>
    <xf numFmtId="0" fontId="89" fillId="74" borderId="35" xfId="57572" applyFont="1" applyFill="1" applyBorder="1" applyAlignment="1">
      <alignment horizontal="center" vertical="center" wrapText="1"/>
    </xf>
    <xf numFmtId="0" fontId="89" fillId="74" borderId="44" xfId="57572" applyFont="1" applyFill="1" applyBorder="1" applyAlignment="1">
      <alignment horizontal="center" vertical="center" wrapText="1"/>
    </xf>
    <xf numFmtId="0" fontId="89" fillId="74" borderId="51" xfId="57572" applyFont="1" applyFill="1" applyBorder="1" applyAlignment="1">
      <alignment horizontal="center" vertical="center" wrapText="1"/>
    </xf>
    <xf numFmtId="0" fontId="89" fillId="74" borderId="36" xfId="57572" applyFont="1" applyFill="1" applyBorder="1" applyAlignment="1">
      <alignment horizontal="center" vertical="center" wrapText="1"/>
    </xf>
    <xf numFmtId="0" fontId="89" fillId="74" borderId="45" xfId="57572" applyFont="1" applyFill="1" applyBorder="1" applyAlignment="1">
      <alignment horizontal="center" vertical="center" wrapText="1"/>
    </xf>
    <xf numFmtId="0" fontId="89" fillId="74" borderId="34" xfId="57572" applyFont="1" applyFill="1" applyBorder="1" applyAlignment="1">
      <alignment horizontal="center" vertical="center" wrapText="1"/>
    </xf>
    <xf numFmtId="0" fontId="89" fillId="74" borderId="37" xfId="57572" applyFont="1" applyFill="1" applyBorder="1" applyAlignment="1">
      <alignment horizontal="center" vertical="center" wrapText="1"/>
    </xf>
    <xf numFmtId="0" fontId="89" fillId="74" borderId="46" xfId="57572" applyFont="1" applyFill="1" applyBorder="1" applyAlignment="1">
      <alignment horizontal="center" vertical="center" wrapText="1"/>
    </xf>
    <xf numFmtId="0" fontId="89" fillId="74" borderId="52" xfId="57572" applyFont="1" applyFill="1" applyBorder="1" applyAlignment="1">
      <alignment horizontal="center" vertical="center" wrapText="1"/>
    </xf>
    <xf numFmtId="0" fontId="89" fillId="74" borderId="38" xfId="57572" applyFont="1" applyFill="1" applyBorder="1" applyAlignment="1">
      <alignment horizontal="center" vertical="center" wrapText="1"/>
    </xf>
    <xf numFmtId="0" fontId="89" fillId="74" borderId="39" xfId="57572" applyFont="1" applyFill="1" applyBorder="1" applyAlignment="1">
      <alignment horizontal="center" vertical="center" wrapText="1"/>
    </xf>
    <xf numFmtId="0" fontId="89" fillId="74" borderId="40" xfId="57572" applyFont="1" applyFill="1" applyBorder="1" applyAlignment="1">
      <alignment horizontal="center" vertical="center" wrapText="1"/>
    </xf>
    <xf numFmtId="0" fontId="89" fillId="74" borderId="41" xfId="57572" applyFont="1" applyFill="1" applyBorder="1" applyAlignment="1">
      <alignment horizontal="center" vertical="center" wrapText="1"/>
    </xf>
    <xf numFmtId="0" fontId="89" fillId="74" borderId="42" xfId="57572" applyFont="1" applyFill="1" applyBorder="1" applyAlignment="1">
      <alignment horizontal="center" vertical="center" wrapText="1"/>
    </xf>
    <xf numFmtId="0" fontId="89" fillId="74" borderId="43" xfId="57572" applyFont="1" applyFill="1" applyBorder="1" applyAlignment="1">
      <alignment horizontal="center" vertical="center" wrapText="1"/>
    </xf>
    <xf numFmtId="0" fontId="89" fillId="74" borderId="47" xfId="57572" applyFont="1" applyFill="1" applyBorder="1" applyAlignment="1">
      <alignment horizontal="center" vertical="center" wrapText="1"/>
    </xf>
    <xf numFmtId="0" fontId="89" fillId="74" borderId="48" xfId="57572" applyFont="1" applyFill="1" applyBorder="1" applyAlignment="1">
      <alignment horizontal="center" vertical="center" wrapText="1"/>
    </xf>
    <xf numFmtId="0" fontId="89" fillId="74" borderId="49" xfId="57572" applyFont="1" applyFill="1" applyBorder="1" applyAlignment="1">
      <alignment horizontal="center" vertical="center" wrapText="1"/>
    </xf>
    <xf numFmtId="0" fontId="81" fillId="74" borderId="10" xfId="0" applyFont="1" applyFill="1" applyBorder="1" applyAlignment="1">
      <alignment horizontal="center" vertical="center" wrapText="1"/>
    </xf>
    <xf numFmtId="0" fontId="76" fillId="74" borderId="0" xfId="0" applyFont="1" applyFill="1" applyAlignment="1">
      <alignment horizontal="center" vertical="center" wrapText="1"/>
    </xf>
    <xf numFmtId="0" fontId="78" fillId="74" borderId="24" xfId="0" applyFont="1" applyFill="1" applyBorder="1" applyAlignment="1">
      <alignment horizontal="right" wrapText="1"/>
    </xf>
    <xf numFmtId="0" fontId="81" fillId="74" borderId="28" xfId="0" applyFont="1" applyFill="1" applyBorder="1" applyAlignment="1">
      <alignment horizontal="center" vertical="center" wrapText="1"/>
    </xf>
    <xf numFmtId="0" fontId="81" fillId="74" borderId="33" xfId="0" applyFont="1" applyFill="1" applyBorder="1" applyAlignment="1">
      <alignment horizontal="center" vertical="center" wrapText="1"/>
    </xf>
    <xf numFmtId="0" fontId="81" fillId="74" borderId="30" xfId="0" applyFont="1" applyFill="1" applyBorder="1" applyAlignment="1">
      <alignment horizontal="center" vertical="center" wrapText="1"/>
    </xf>
    <xf numFmtId="0" fontId="70" fillId="74" borderId="25" xfId="0" applyFont="1" applyFill="1" applyBorder="1" applyAlignment="1">
      <alignment horizontal="center" vertical="center" wrapText="1"/>
    </xf>
    <xf numFmtId="0" fontId="70" fillId="74" borderId="27" xfId="0" applyFont="1" applyFill="1" applyBorder="1" applyAlignment="1">
      <alignment horizontal="center" vertical="center" wrapText="1"/>
    </xf>
    <xf numFmtId="0" fontId="70" fillId="74" borderId="26" xfId="0" applyFont="1" applyFill="1" applyBorder="1" applyAlignment="1">
      <alignment horizontal="center" vertical="center" wrapText="1"/>
    </xf>
    <xf numFmtId="0" fontId="81" fillId="74" borderId="25" xfId="0" applyFont="1" applyFill="1" applyBorder="1" applyAlignment="1">
      <alignment horizontal="center" vertical="center" wrapText="1"/>
    </xf>
    <xf numFmtId="0" fontId="81" fillId="74" borderId="26" xfId="0" applyFont="1" applyFill="1" applyBorder="1" applyAlignment="1">
      <alignment horizontal="center" vertical="center" wrapText="1"/>
    </xf>
    <xf numFmtId="0" fontId="81" fillId="74" borderId="27" xfId="0" applyFont="1" applyFill="1" applyBorder="1" applyAlignment="1">
      <alignment horizontal="center" vertical="center" wrapText="1"/>
    </xf>
    <xf numFmtId="0" fontId="81" fillId="74" borderId="29" xfId="0" applyFont="1" applyFill="1" applyBorder="1" applyAlignment="1">
      <alignment horizontal="center" vertical="center" wrapText="1"/>
    </xf>
    <xf numFmtId="0" fontId="81" fillId="74" borderId="34" xfId="0" applyFont="1" applyFill="1" applyBorder="1" applyAlignment="1">
      <alignment horizontal="center" vertical="center" wrapText="1"/>
    </xf>
    <xf numFmtId="3" fontId="62" fillId="74" borderId="28" xfId="57896" applyNumberFormat="1" applyFont="1" applyFill="1" applyBorder="1" applyAlignment="1">
      <alignment horizontal="center" vertical="center" wrapText="1"/>
    </xf>
    <xf numFmtId="3" fontId="62" fillId="74" borderId="33" xfId="57896" applyNumberFormat="1" applyFont="1" applyFill="1" applyBorder="1" applyAlignment="1">
      <alignment horizontal="center" vertical="center" wrapText="1"/>
    </xf>
    <xf numFmtId="3" fontId="62" fillId="74" borderId="30" xfId="57896" applyNumberFormat="1" applyFont="1" applyFill="1" applyBorder="1" applyAlignment="1">
      <alignment horizontal="center" vertical="center" wrapText="1"/>
    </xf>
    <xf numFmtId="3" fontId="62" fillId="74" borderId="10" xfId="57896" applyNumberFormat="1" applyFont="1" applyFill="1" applyBorder="1" applyAlignment="1">
      <alignment horizontal="center" vertical="center" wrapText="1"/>
    </xf>
    <xf numFmtId="3" fontId="101" fillId="74" borderId="28" xfId="0" applyNumberFormat="1" applyFont="1" applyFill="1" applyBorder="1" applyAlignment="1">
      <alignment horizontal="center" vertical="center" wrapText="1"/>
    </xf>
    <xf numFmtId="3" fontId="80" fillId="74" borderId="30" xfId="0" applyNumberFormat="1" applyFont="1" applyFill="1" applyBorder="1" applyAlignment="1">
      <alignment horizontal="center" vertical="center" wrapText="1"/>
    </xf>
    <xf numFmtId="0" fontId="99" fillId="74" borderId="0" xfId="0" applyFont="1" applyFill="1" applyAlignment="1">
      <alignment horizontal="center" vertical="center" wrapText="1"/>
    </xf>
    <xf numFmtId="0" fontId="0" fillId="74" borderId="0" xfId="0" applyFill="1" applyAlignment="1">
      <alignment wrapText="1"/>
    </xf>
    <xf numFmtId="0" fontId="79" fillId="74" borderId="28" xfId="0" applyFont="1" applyFill="1" applyBorder="1" applyAlignment="1">
      <alignment horizontal="center" vertical="center" wrapText="1"/>
    </xf>
    <xf numFmtId="0" fontId="79" fillId="74" borderId="33" xfId="0" applyFont="1" applyFill="1" applyBorder="1" applyAlignment="1">
      <alignment horizontal="center" vertical="center" wrapText="1"/>
    </xf>
    <xf numFmtId="0" fontId="79" fillId="74" borderId="30" xfId="0" applyFont="1" applyFill="1" applyBorder="1" applyAlignment="1">
      <alignment horizontal="center" vertical="center" wrapText="1"/>
    </xf>
    <xf numFmtId="3" fontId="80" fillId="74" borderId="33" xfId="0" applyNumberFormat="1" applyFont="1" applyFill="1" applyBorder="1" applyAlignment="1">
      <alignment horizontal="center" vertical="center" wrapText="1"/>
    </xf>
    <xf numFmtId="3" fontId="101" fillId="74" borderId="29" xfId="0" applyNumberFormat="1" applyFont="1" applyFill="1" applyBorder="1" applyAlignment="1">
      <alignment horizontal="center" vertical="center" wrapText="1"/>
    </xf>
    <xf numFmtId="3" fontId="80" fillId="74" borderId="31" xfId="0" applyNumberFormat="1" applyFont="1" applyFill="1" applyBorder="1" applyAlignment="1">
      <alignment horizontal="center" vertical="center" wrapText="1"/>
    </xf>
    <xf numFmtId="3" fontId="80" fillId="74" borderId="34" xfId="0" applyNumberFormat="1" applyFont="1" applyFill="1" applyBorder="1" applyAlignment="1">
      <alignment horizontal="center" vertical="center" wrapText="1"/>
    </xf>
    <xf numFmtId="3" fontId="80" fillId="74" borderId="62" xfId="0" applyNumberFormat="1" applyFont="1" applyFill="1" applyBorder="1" applyAlignment="1">
      <alignment horizontal="center" vertical="center" wrapText="1"/>
    </xf>
    <xf numFmtId="3" fontId="62" fillId="74" borderId="25" xfId="57896" applyNumberFormat="1" applyFont="1" applyFill="1" applyBorder="1" applyAlignment="1">
      <alignment horizontal="center" vertical="center" wrapText="1"/>
    </xf>
    <xf numFmtId="3" fontId="62" fillId="74" borderId="26" xfId="57896" applyNumberFormat="1" applyFont="1" applyFill="1" applyBorder="1" applyAlignment="1">
      <alignment horizontal="center" vertical="center" wrapText="1"/>
    </xf>
    <xf numFmtId="3" fontId="62" fillId="74" borderId="27" xfId="57896" applyNumberFormat="1" applyFont="1" applyFill="1" applyBorder="1" applyAlignment="1">
      <alignment horizontal="center" vertical="center" wrapText="1"/>
    </xf>
    <xf numFmtId="0" fontId="68" fillId="74" borderId="0" xfId="0" applyFont="1" applyFill="1" applyAlignment="1">
      <alignment horizontal="center" wrapText="1"/>
    </xf>
    <xf numFmtId="0" fontId="68" fillId="74" borderId="0" xfId="0" applyFont="1" applyFill="1" applyAlignment="1">
      <alignment horizontal="center" vertical="center" wrapText="1"/>
    </xf>
    <xf numFmtId="0" fontId="68" fillId="74" borderId="0" xfId="0" applyFont="1" applyFill="1" applyAlignment="1">
      <alignment horizontal="center" vertical="center"/>
    </xf>
    <xf numFmtId="0" fontId="70" fillId="74" borderId="10" xfId="0" applyFont="1" applyFill="1" applyBorder="1" applyAlignment="1">
      <alignment horizontal="center" vertical="center"/>
    </xf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8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49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1"/>
    <cellStyle name="Обычный_Ежемесячный отчет 2004 г." xfId="59250"/>
    <cellStyle name="Обычный_Лист1" xfId="59252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foms-rb.ru/&#1054;&#1090;&#1076;&#1077;&#1083;&#1099;/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/&#1046;&#1077;&#1088;&#1085;&#1086;&#1074;&#1082;&#1086;&#1074;&#1072;%20&#1045;&#1042;/&#1054;&#1073;&#1098;&#1077;&#1084;&#1099;%20&#1084;&#1077;&#1076;&#1080;&#1094;&#1080;&#1085;&#1089;&#1082;&#1086;&#1081;%20&#1087;&#1086;&#1084;&#1086;&#1097;&#1080;%20&#1085;&#1072;%202019%20&#1075;/&#1040;&#1055;&#1059;%202019/&#1053;&#1077;&#1086;&#1090;&#1083;&#1086;&#1078;&#1082;&#1072;/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Normal="100" workbookViewId="0">
      <pane xSplit="2" ySplit="5" topLeftCell="C87" activePane="bottomRight" state="frozen"/>
      <selection pane="topRight" activeCell="C1" sqref="C1"/>
      <selection pane="bottomLeft" activeCell="A7" sqref="A7"/>
      <selection pane="bottomRight" activeCell="J93" sqref="J93"/>
    </sheetView>
  </sheetViews>
  <sheetFormatPr defaultRowHeight="12.75" x14ac:dyDescent="0.2"/>
  <cols>
    <col min="1" max="1" width="4.42578125" style="138" customWidth="1"/>
    <col min="2" max="2" width="52.42578125" style="115" customWidth="1"/>
    <col min="3" max="3" width="10.5703125" style="115" customWidth="1"/>
    <col min="4" max="4" width="10" style="117" customWidth="1"/>
    <col min="5" max="5" width="11.140625" style="117" customWidth="1"/>
    <col min="6" max="6" width="12.85546875" style="117" customWidth="1"/>
    <col min="7" max="7" width="12.42578125" style="117" customWidth="1"/>
    <col min="8" max="8" width="12.7109375" style="117" customWidth="1"/>
    <col min="9" max="16384" width="9.140625" style="115"/>
  </cols>
  <sheetData>
    <row r="1" spans="1:8" ht="23.25" customHeight="1" x14ac:dyDescent="0.2">
      <c r="A1" s="277" t="s">
        <v>277</v>
      </c>
      <c r="B1" s="278"/>
      <c r="C1" s="278"/>
      <c r="D1" s="278"/>
      <c r="E1" s="278"/>
      <c r="F1" s="278"/>
      <c r="G1" s="278"/>
      <c r="H1" s="278"/>
    </row>
    <row r="2" spans="1:8" ht="17.25" customHeight="1" x14ac:dyDescent="0.2">
      <c r="A2" s="116"/>
      <c r="E2" s="279" t="s">
        <v>278</v>
      </c>
      <c r="F2" s="279"/>
      <c r="G2" s="279"/>
      <c r="H2" s="279"/>
    </row>
    <row r="3" spans="1:8" ht="17.25" customHeight="1" x14ac:dyDescent="0.2">
      <c r="A3" s="272" t="s">
        <v>0</v>
      </c>
      <c r="B3" s="272" t="s">
        <v>61</v>
      </c>
      <c r="C3" s="272" t="s">
        <v>62</v>
      </c>
      <c r="D3" s="280" t="s">
        <v>279</v>
      </c>
      <c r="E3" s="282" t="s">
        <v>63</v>
      </c>
      <c r="F3" s="284" t="s">
        <v>280</v>
      </c>
      <c r="G3" s="285"/>
      <c r="H3" s="280" t="s">
        <v>281</v>
      </c>
    </row>
    <row r="4" spans="1:8" s="119" customFormat="1" ht="50.25" customHeight="1" x14ac:dyDescent="0.25">
      <c r="A4" s="272"/>
      <c r="B4" s="272"/>
      <c r="C4" s="272"/>
      <c r="D4" s="281"/>
      <c r="E4" s="283"/>
      <c r="F4" s="118" t="s">
        <v>282</v>
      </c>
      <c r="G4" s="118" t="s">
        <v>283</v>
      </c>
      <c r="H4" s="286"/>
    </row>
    <row r="5" spans="1:8" x14ac:dyDescent="0.2">
      <c r="A5" s="120">
        <v>1</v>
      </c>
      <c r="B5" s="120">
        <v>2</v>
      </c>
      <c r="C5" s="120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</row>
    <row r="6" spans="1:8" x14ac:dyDescent="0.2">
      <c r="A6" s="121">
        <v>1</v>
      </c>
      <c r="B6" s="122" t="s">
        <v>1</v>
      </c>
      <c r="C6" s="123">
        <f>D6+E6+H6</f>
        <v>9269</v>
      </c>
      <c r="D6" s="123"/>
      <c r="E6" s="123">
        <v>9269</v>
      </c>
      <c r="F6" s="123"/>
      <c r="G6" s="123">
        <v>42</v>
      </c>
      <c r="H6" s="123"/>
    </row>
    <row r="7" spans="1:8" x14ac:dyDescent="0.2">
      <c r="A7" s="121">
        <f>A6+1</f>
        <v>2</v>
      </c>
      <c r="B7" s="122" t="s">
        <v>2</v>
      </c>
      <c r="C7" s="123">
        <f t="shared" ref="C7:C70" si="0">D7+E7+H7</f>
        <v>8206</v>
      </c>
      <c r="D7" s="123"/>
      <c r="E7" s="123">
        <v>8206</v>
      </c>
      <c r="F7" s="123"/>
      <c r="G7" s="123">
        <v>40</v>
      </c>
      <c r="H7" s="123"/>
    </row>
    <row r="8" spans="1:8" x14ac:dyDescent="0.2">
      <c r="A8" s="270">
        <f>A7+1</f>
        <v>3</v>
      </c>
      <c r="B8" s="122" t="s">
        <v>3</v>
      </c>
      <c r="C8" s="123">
        <f t="shared" si="0"/>
        <v>23539</v>
      </c>
      <c r="D8" s="123"/>
      <c r="E8" s="123">
        <v>23539</v>
      </c>
      <c r="F8" s="123">
        <v>627</v>
      </c>
      <c r="G8" s="123">
        <v>2142</v>
      </c>
      <c r="H8" s="123"/>
    </row>
    <row r="9" spans="1:8" ht="25.5" x14ac:dyDescent="0.2">
      <c r="A9" s="271"/>
      <c r="B9" s="124" t="s">
        <v>70</v>
      </c>
      <c r="C9" s="123">
        <f t="shared" si="0"/>
        <v>1493</v>
      </c>
      <c r="D9" s="123"/>
      <c r="E9" s="125">
        <v>1493</v>
      </c>
      <c r="F9" s="123"/>
      <c r="G9" s="123"/>
      <c r="H9" s="123"/>
    </row>
    <row r="10" spans="1:8" x14ac:dyDescent="0.2">
      <c r="A10" s="121">
        <f>A8+1</f>
        <v>4</v>
      </c>
      <c r="B10" s="122" t="s">
        <v>4</v>
      </c>
      <c r="C10" s="123">
        <f t="shared" si="0"/>
        <v>5483</v>
      </c>
      <c r="D10" s="123"/>
      <c r="E10" s="123">
        <v>5483</v>
      </c>
      <c r="F10" s="123"/>
      <c r="G10" s="123">
        <v>8</v>
      </c>
      <c r="H10" s="123"/>
    </row>
    <row r="11" spans="1:8" ht="12.75" customHeight="1" x14ac:dyDescent="0.2">
      <c r="A11" s="121">
        <f t="shared" ref="A11:A31" si="1">A10+1</f>
        <v>5</v>
      </c>
      <c r="B11" s="122" t="s">
        <v>5</v>
      </c>
      <c r="C11" s="123">
        <f t="shared" si="0"/>
        <v>2417</v>
      </c>
      <c r="D11" s="123"/>
      <c r="E11" s="123">
        <v>2417</v>
      </c>
      <c r="F11" s="123"/>
      <c r="G11" s="123"/>
      <c r="H11" s="123"/>
    </row>
    <row r="12" spans="1:8" x14ac:dyDescent="0.2">
      <c r="A12" s="121">
        <f t="shared" si="1"/>
        <v>6</v>
      </c>
      <c r="B12" s="122" t="s">
        <v>6</v>
      </c>
      <c r="C12" s="123">
        <f t="shared" si="0"/>
        <v>1946</v>
      </c>
      <c r="D12" s="123"/>
      <c r="E12" s="123">
        <v>1946</v>
      </c>
      <c r="F12" s="123"/>
      <c r="G12" s="123">
        <v>11</v>
      </c>
      <c r="H12" s="123"/>
    </row>
    <row r="13" spans="1:8" x14ac:dyDescent="0.2">
      <c r="A13" s="121">
        <f t="shared" si="1"/>
        <v>7</v>
      </c>
      <c r="B13" s="122" t="s">
        <v>7</v>
      </c>
      <c r="C13" s="123">
        <f t="shared" si="0"/>
        <v>2146</v>
      </c>
      <c r="D13" s="123"/>
      <c r="E13" s="123">
        <v>2146</v>
      </c>
      <c r="F13" s="123"/>
      <c r="G13" s="123">
        <v>3</v>
      </c>
      <c r="H13" s="123"/>
    </row>
    <row r="14" spans="1:8" x14ac:dyDescent="0.2">
      <c r="A14" s="121">
        <f t="shared" si="1"/>
        <v>8</v>
      </c>
      <c r="B14" s="122" t="s">
        <v>8</v>
      </c>
      <c r="C14" s="123">
        <f t="shared" si="0"/>
        <v>2583</v>
      </c>
      <c r="D14" s="123"/>
      <c r="E14" s="123">
        <v>2583</v>
      </c>
      <c r="F14" s="123"/>
      <c r="G14" s="123">
        <v>4</v>
      </c>
      <c r="H14" s="123"/>
    </row>
    <row r="15" spans="1:8" x14ac:dyDescent="0.2">
      <c r="A15" s="121">
        <f t="shared" si="1"/>
        <v>9</v>
      </c>
      <c r="B15" s="122" t="s">
        <v>9</v>
      </c>
      <c r="C15" s="123">
        <f t="shared" si="0"/>
        <v>2109</v>
      </c>
      <c r="D15" s="123"/>
      <c r="E15" s="123">
        <v>2109</v>
      </c>
      <c r="F15" s="123"/>
      <c r="G15" s="123">
        <v>7</v>
      </c>
      <c r="H15" s="123"/>
    </row>
    <row r="16" spans="1:8" x14ac:dyDescent="0.2">
      <c r="A16" s="121">
        <f t="shared" si="1"/>
        <v>10</v>
      </c>
      <c r="B16" s="122" t="s">
        <v>10</v>
      </c>
      <c r="C16" s="123">
        <f t="shared" si="0"/>
        <v>3113</v>
      </c>
      <c r="D16" s="123"/>
      <c r="E16" s="123">
        <v>3113</v>
      </c>
      <c r="F16" s="123"/>
      <c r="G16" s="123">
        <v>12</v>
      </c>
      <c r="H16" s="123"/>
    </row>
    <row r="17" spans="1:8" x14ac:dyDescent="0.2">
      <c r="A17" s="121">
        <f t="shared" si="1"/>
        <v>11</v>
      </c>
      <c r="B17" s="122" t="s">
        <v>71</v>
      </c>
      <c r="C17" s="123">
        <f t="shared" si="0"/>
        <v>2241</v>
      </c>
      <c r="D17" s="123"/>
      <c r="E17" s="123">
        <v>2241</v>
      </c>
      <c r="F17" s="123"/>
      <c r="G17" s="123"/>
      <c r="H17" s="123"/>
    </row>
    <row r="18" spans="1:8" x14ac:dyDescent="0.2">
      <c r="A18" s="121">
        <f t="shared" si="1"/>
        <v>12</v>
      </c>
      <c r="B18" s="122" t="s">
        <v>11</v>
      </c>
      <c r="C18" s="123">
        <f t="shared" si="0"/>
        <v>2824</v>
      </c>
      <c r="D18" s="123"/>
      <c r="E18" s="123">
        <v>2824</v>
      </c>
      <c r="F18" s="123"/>
      <c r="G18" s="123">
        <v>15</v>
      </c>
      <c r="H18" s="123"/>
    </row>
    <row r="19" spans="1:8" x14ac:dyDescent="0.2">
      <c r="A19" s="121">
        <f t="shared" si="1"/>
        <v>13</v>
      </c>
      <c r="B19" s="122" t="s">
        <v>53</v>
      </c>
      <c r="C19" s="123">
        <f t="shared" si="0"/>
        <v>10061</v>
      </c>
      <c r="D19" s="123"/>
      <c r="E19" s="123">
        <v>10061</v>
      </c>
      <c r="F19" s="123">
        <v>193</v>
      </c>
      <c r="G19" s="123">
        <v>117</v>
      </c>
      <c r="H19" s="123"/>
    </row>
    <row r="20" spans="1:8" x14ac:dyDescent="0.2">
      <c r="A20" s="121">
        <f t="shared" si="1"/>
        <v>14</v>
      </c>
      <c r="B20" s="122" t="s">
        <v>12</v>
      </c>
      <c r="C20" s="123">
        <f t="shared" si="0"/>
        <v>6660</v>
      </c>
      <c r="D20" s="123"/>
      <c r="E20" s="123">
        <v>6660</v>
      </c>
      <c r="F20" s="123"/>
      <c r="G20" s="123">
        <v>19</v>
      </c>
      <c r="H20" s="123"/>
    </row>
    <row r="21" spans="1:8" x14ac:dyDescent="0.2">
      <c r="A21" s="121">
        <f t="shared" si="1"/>
        <v>15</v>
      </c>
      <c r="B21" s="122" t="s">
        <v>13</v>
      </c>
      <c r="C21" s="123">
        <f t="shared" si="0"/>
        <v>19174</v>
      </c>
      <c r="D21" s="123"/>
      <c r="E21" s="123">
        <v>19174</v>
      </c>
      <c r="F21" s="123">
        <v>312</v>
      </c>
      <c r="G21" s="123">
        <v>612</v>
      </c>
      <c r="H21" s="123"/>
    </row>
    <row r="22" spans="1:8" x14ac:dyDescent="0.2">
      <c r="A22" s="121">
        <f t="shared" si="1"/>
        <v>16</v>
      </c>
      <c r="B22" s="122" t="s">
        <v>14</v>
      </c>
      <c r="C22" s="123">
        <f t="shared" si="0"/>
        <v>9552</v>
      </c>
      <c r="D22" s="123"/>
      <c r="E22" s="123">
        <v>9552</v>
      </c>
      <c r="F22" s="123"/>
      <c r="G22" s="123">
        <v>133</v>
      </c>
      <c r="H22" s="123"/>
    </row>
    <row r="23" spans="1:8" x14ac:dyDescent="0.2">
      <c r="A23" s="121">
        <f t="shared" si="1"/>
        <v>17</v>
      </c>
      <c r="B23" s="122" t="s">
        <v>54</v>
      </c>
      <c r="C23" s="123">
        <f t="shared" si="0"/>
        <v>2409</v>
      </c>
      <c r="D23" s="123"/>
      <c r="E23" s="123">
        <v>2409</v>
      </c>
      <c r="F23" s="123"/>
      <c r="G23" s="123">
        <v>26</v>
      </c>
      <c r="H23" s="123"/>
    </row>
    <row r="24" spans="1:8" x14ac:dyDescent="0.2">
      <c r="A24" s="121">
        <f t="shared" si="1"/>
        <v>18</v>
      </c>
      <c r="B24" s="122" t="s">
        <v>15</v>
      </c>
      <c r="C24" s="123">
        <f t="shared" si="0"/>
        <v>3272</v>
      </c>
      <c r="D24" s="123"/>
      <c r="E24" s="123">
        <v>3272</v>
      </c>
      <c r="F24" s="123"/>
      <c r="G24" s="123">
        <v>1</v>
      </c>
      <c r="H24" s="123"/>
    </row>
    <row r="25" spans="1:8" x14ac:dyDescent="0.2">
      <c r="A25" s="121">
        <f t="shared" si="1"/>
        <v>19</v>
      </c>
      <c r="B25" s="122" t="s">
        <v>16</v>
      </c>
      <c r="C25" s="123">
        <f t="shared" si="0"/>
        <v>4328</v>
      </c>
      <c r="D25" s="123"/>
      <c r="E25" s="123">
        <v>4328</v>
      </c>
      <c r="F25" s="123"/>
      <c r="G25" s="123">
        <v>8</v>
      </c>
      <c r="H25" s="123"/>
    </row>
    <row r="26" spans="1:8" x14ac:dyDescent="0.2">
      <c r="A26" s="121">
        <f t="shared" si="1"/>
        <v>20</v>
      </c>
      <c r="B26" s="122" t="s">
        <v>17</v>
      </c>
      <c r="C26" s="123">
        <f t="shared" si="0"/>
        <v>1785</v>
      </c>
      <c r="D26" s="123"/>
      <c r="E26" s="123">
        <v>1785</v>
      </c>
      <c r="F26" s="123"/>
      <c r="G26" s="123">
        <v>4</v>
      </c>
      <c r="H26" s="123"/>
    </row>
    <row r="27" spans="1:8" x14ac:dyDescent="0.2">
      <c r="A27" s="121">
        <f t="shared" si="1"/>
        <v>21</v>
      </c>
      <c r="B27" s="122" t="s">
        <v>18</v>
      </c>
      <c r="C27" s="123">
        <f t="shared" si="0"/>
        <v>1728</v>
      </c>
      <c r="D27" s="123"/>
      <c r="E27" s="123">
        <v>1728</v>
      </c>
      <c r="F27" s="123"/>
      <c r="G27" s="123"/>
      <c r="H27" s="123"/>
    </row>
    <row r="28" spans="1:8" x14ac:dyDescent="0.2">
      <c r="A28" s="121">
        <f t="shared" si="1"/>
        <v>22</v>
      </c>
      <c r="B28" s="122" t="s">
        <v>74</v>
      </c>
      <c r="C28" s="123">
        <f t="shared" si="0"/>
        <v>28022</v>
      </c>
      <c r="D28" s="123">
        <v>861</v>
      </c>
      <c r="E28" s="123">
        <v>27161</v>
      </c>
      <c r="F28" s="123"/>
      <c r="G28" s="123">
        <v>4361</v>
      </c>
      <c r="H28" s="123"/>
    </row>
    <row r="29" spans="1:8" x14ac:dyDescent="0.2">
      <c r="A29" s="121">
        <f t="shared" si="1"/>
        <v>23</v>
      </c>
      <c r="B29" s="122" t="s">
        <v>75</v>
      </c>
      <c r="C29" s="123">
        <f t="shared" si="0"/>
        <v>3330</v>
      </c>
      <c r="D29" s="123"/>
      <c r="E29" s="123">
        <v>3330</v>
      </c>
      <c r="F29" s="123">
        <v>627</v>
      </c>
      <c r="G29" s="123"/>
      <c r="H29" s="123"/>
    </row>
    <row r="30" spans="1:8" x14ac:dyDescent="0.2">
      <c r="A30" s="121">
        <f t="shared" si="1"/>
        <v>24</v>
      </c>
      <c r="B30" s="122" t="s">
        <v>76</v>
      </c>
      <c r="C30" s="123">
        <f t="shared" si="0"/>
        <v>12263</v>
      </c>
      <c r="D30" s="123"/>
      <c r="E30" s="123">
        <v>12263</v>
      </c>
      <c r="F30" s="123"/>
      <c r="G30" s="123">
        <v>100</v>
      </c>
      <c r="H30" s="123"/>
    </row>
    <row r="31" spans="1:8" x14ac:dyDescent="0.2">
      <c r="A31" s="272">
        <f t="shared" si="1"/>
        <v>25</v>
      </c>
      <c r="B31" s="122" t="s">
        <v>77</v>
      </c>
      <c r="C31" s="123">
        <f t="shared" si="0"/>
        <v>2769</v>
      </c>
      <c r="D31" s="123"/>
      <c r="E31" s="123">
        <v>2769</v>
      </c>
      <c r="F31" s="123"/>
      <c r="G31" s="123">
        <v>5</v>
      </c>
      <c r="H31" s="123"/>
    </row>
    <row r="32" spans="1:8" s="127" customFormat="1" ht="37.5" customHeight="1" x14ac:dyDescent="0.2">
      <c r="A32" s="272"/>
      <c r="B32" s="126" t="s">
        <v>78</v>
      </c>
      <c r="C32" s="123">
        <f t="shared" si="0"/>
        <v>791</v>
      </c>
      <c r="D32" s="125"/>
      <c r="E32" s="125">
        <v>791</v>
      </c>
      <c r="F32" s="125"/>
      <c r="G32" s="125"/>
      <c r="H32" s="125"/>
    </row>
    <row r="33" spans="1:8" ht="26.25" customHeight="1" x14ac:dyDescent="0.2">
      <c r="A33" s="121">
        <f>A31+1</f>
        <v>26</v>
      </c>
      <c r="B33" s="128" t="s">
        <v>284</v>
      </c>
      <c r="C33" s="123">
        <f t="shared" si="0"/>
        <v>3868</v>
      </c>
      <c r="D33" s="123"/>
      <c r="E33" s="123">
        <v>3868</v>
      </c>
      <c r="F33" s="123"/>
      <c r="G33" s="123"/>
      <c r="H33" s="123"/>
    </row>
    <row r="34" spans="1:8" x14ac:dyDescent="0.2">
      <c r="A34" s="121">
        <f>A33+1</f>
        <v>27</v>
      </c>
      <c r="B34" s="122" t="s">
        <v>80</v>
      </c>
      <c r="C34" s="123">
        <f t="shared" si="0"/>
        <v>5763</v>
      </c>
      <c r="D34" s="123"/>
      <c r="E34" s="123">
        <v>5763</v>
      </c>
      <c r="F34" s="123"/>
      <c r="G34" s="123"/>
      <c r="H34" s="123"/>
    </row>
    <row r="35" spans="1:8" x14ac:dyDescent="0.2">
      <c r="A35" s="121">
        <f>A34+1</f>
        <v>28</v>
      </c>
      <c r="B35" s="122" t="s">
        <v>82</v>
      </c>
      <c r="C35" s="123">
        <f t="shared" si="0"/>
        <v>729</v>
      </c>
      <c r="D35" s="123"/>
      <c r="E35" s="123">
        <v>729</v>
      </c>
      <c r="F35" s="123"/>
      <c r="G35" s="123"/>
      <c r="H35" s="123"/>
    </row>
    <row r="36" spans="1:8" x14ac:dyDescent="0.2">
      <c r="A36" s="272">
        <f>A35+1</f>
        <v>29</v>
      </c>
      <c r="B36" s="122" t="s">
        <v>55</v>
      </c>
      <c r="C36" s="123">
        <f t="shared" si="0"/>
        <v>11277</v>
      </c>
      <c r="D36" s="123">
        <v>20</v>
      </c>
      <c r="E36" s="123">
        <v>11257</v>
      </c>
      <c r="F36" s="123"/>
      <c r="G36" s="123">
        <v>1061</v>
      </c>
      <c r="H36" s="123"/>
    </row>
    <row r="37" spans="1:8" s="127" customFormat="1" ht="25.5" x14ac:dyDescent="0.2">
      <c r="A37" s="273"/>
      <c r="B37" s="126" t="s">
        <v>83</v>
      </c>
      <c r="C37" s="123">
        <f t="shared" si="0"/>
        <v>3226</v>
      </c>
      <c r="D37" s="125"/>
      <c r="E37" s="125">
        <v>3226</v>
      </c>
      <c r="F37" s="125"/>
      <c r="G37" s="125"/>
      <c r="H37" s="125"/>
    </row>
    <row r="38" spans="1:8" x14ac:dyDescent="0.2">
      <c r="A38" s="121">
        <f>A36+1</f>
        <v>30</v>
      </c>
      <c r="B38" s="122" t="s">
        <v>84</v>
      </c>
      <c r="C38" s="123">
        <f t="shared" si="0"/>
        <v>755</v>
      </c>
      <c r="D38" s="123"/>
      <c r="E38" s="123">
        <v>755</v>
      </c>
      <c r="F38" s="123"/>
      <c r="G38" s="123"/>
      <c r="H38" s="123"/>
    </row>
    <row r="39" spans="1:8" x14ac:dyDescent="0.2">
      <c r="A39" s="274">
        <f>A38+1</f>
        <v>31</v>
      </c>
      <c r="B39" s="122" t="s">
        <v>56</v>
      </c>
      <c r="C39" s="123">
        <f t="shared" si="0"/>
        <v>11425</v>
      </c>
      <c r="D39" s="123">
        <v>32</v>
      </c>
      <c r="E39" s="123">
        <v>11393</v>
      </c>
      <c r="F39" s="123">
        <v>312</v>
      </c>
      <c r="G39" s="123">
        <v>1150</v>
      </c>
      <c r="H39" s="123"/>
    </row>
    <row r="40" spans="1:8" s="127" customFormat="1" ht="25.5" x14ac:dyDescent="0.2">
      <c r="A40" s="275"/>
      <c r="B40" s="126" t="s">
        <v>285</v>
      </c>
      <c r="C40" s="123">
        <f t="shared" si="0"/>
        <v>1209</v>
      </c>
      <c r="D40" s="125"/>
      <c r="E40" s="125">
        <v>1209</v>
      </c>
      <c r="F40" s="125"/>
      <c r="G40" s="125"/>
      <c r="H40" s="125"/>
    </row>
    <row r="41" spans="1:8" x14ac:dyDescent="0.2">
      <c r="A41" s="121">
        <f>A39+1</f>
        <v>32</v>
      </c>
      <c r="B41" s="122" t="s">
        <v>19</v>
      </c>
      <c r="C41" s="123">
        <f t="shared" si="0"/>
        <v>11145</v>
      </c>
      <c r="D41" s="123"/>
      <c r="E41" s="123">
        <v>11145</v>
      </c>
      <c r="F41" s="123"/>
      <c r="G41" s="123">
        <v>83</v>
      </c>
      <c r="H41" s="123"/>
    </row>
    <row r="42" spans="1:8" x14ac:dyDescent="0.2">
      <c r="A42" s="121">
        <f t="shared" ref="A42:A105" si="2">A41+1</f>
        <v>33</v>
      </c>
      <c r="B42" s="122" t="s">
        <v>20</v>
      </c>
      <c r="C42" s="123">
        <f t="shared" si="0"/>
        <v>10996</v>
      </c>
      <c r="D42" s="123"/>
      <c r="E42" s="123">
        <v>10996</v>
      </c>
      <c r="F42" s="123"/>
      <c r="G42" s="123">
        <v>572</v>
      </c>
      <c r="H42" s="123"/>
    </row>
    <row r="43" spans="1:8" x14ac:dyDescent="0.2">
      <c r="A43" s="121">
        <f t="shared" si="2"/>
        <v>34</v>
      </c>
      <c r="B43" s="122" t="s">
        <v>21</v>
      </c>
      <c r="C43" s="123">
        <f t="shared" si="0"/>
        <v>3088</v>
      </c>
      <c r="D43" s="123"/>
      <c r="E43" s="123">
        <v>3088</v>
      </c>
      <c r="F43" s="123"/>
      <c r="G43" s="123">
        <v>3</v>
      </c>
      <c r="H43" s="123"/>
    </row>
    <row r="44" spans="1:8" x14ac:dyDescent="0.2">
      <c r="A44" s="121">
        <f t="shared" si="2"/>
        <v>35</v>
      </c>
      <c r="B44" s="122" t="s">
        <v>22</v>
      </c>
      <c r="C44" s="123">
        <f t="shared" si="0"/>
        <v>3436</v>
      </c>
      <c r="D44" s="123"/>
      <c r="E44" s="123">
        <v>3436</v>
      </c>
      <c r="F44" s="123"/>
      <c r="G44" s="123"/>
      <c r="H44" s="123"/>
    </row>
    <row r="45" spans="1:8" x14ac:dyDescent="0.2">
      <c r="A45" s="121">
        <f t="shared" si="2"/>
        <v>36</v>
      </c>
      <c r="B45" s="122" t="s">
        <v>23</v>
      </c>
      <c r="C45" s="123">
        <f t="shared" si="0"/>
        <v>3529</v>
      </c>
      <c r="D45" s="123"/>
      <c r="E45" s="123">
        <v>3529</v>
      </c>
      <c r="F45" s="123"/>
      <c r="G45" s="123">
        <v>13</v>
      </c>
      <c r="H45" s="123"/>
    </row>
    <row r="46" spans="1:8" x14ac:dyDescent="0.2">
      <c r="A46" s="121">
        <f t="shared" si="2"/>
        <v>37</v>
      </c>
      <c r="B46" s="122" t="s">
        <v>24</v>
      </c>
      <c r="C46" s="123">
        <f t="shared" si="0"/>
        <v>2164</v>
      </c>
      <c r="D46" s="123"/>
      <c r="E46" s="123">
        <v>2164</v>
      </c>
      <c r="F46" s="123"/>
      <c r="G46" s="123">
        <v>3</v>
      </c>
      <c r="H46" s="123"/>
    </row>
    <row r="47" spans="1:8" x14ac:dyDescent="0.2">
      <c r="A47" s="121">
        <f t="shared" si="2"/>
        <v>38</v>
      </c>
      <c r="B47" s="122" t="s">
        <v>25</v>
      </c>
      <c r="C47" s="123">
        <f t="shared" si="0"/>
        <v>2949</v>
      </c>
      <c r="D47" s="123"/>
      <c r="E47" s="123">
        <v>2949</v>
      </c>
      <c r="F47" s="123"/>
      <c r="G47" s="123">
        <v>7</v>
      </c>
      <c r="H47" s="123"/>
    </row>
    <row r="48" spans="1:8" x14ac:dyDescent="0.2">
      <c r="A48" s="121">
        <f t="shared" si="2"/>
        <v>39</v>
      </c>
      <c r="B48" s="122" t="s">
        <v>26</v>
      </c>
      <c r="C48" s="123">
        <f t="shared" si="0"/>
        <v>1687</v>
      </c>
      <c r="D48" s="123"/>
      <c r="E48" s="123">
        <v>1687</v>
      </c>
      <c r="F48" s="123"/>
      <c r="G48" s="123">
        <v>6</v>
      </c>
      <c r="H48" s="123"/>
    </row>
    <row r="49" spans="1:8" x14ac:dyDescent="0.2">
      <c r="A49" s="121">
        <f t="shared" si="2"/>
        <v>40</v>
      </c>
      <c r="B49" s="122" t="s">
        <v>86</v>
      </c>
      <c r="C49" s="123">
        <f t="shared" si="0"/>
        <v>6300</v>
      </c>
      <c r="D49" s="123"/>
      <c r="E49" s="123">
        <v>6300</v>
      </c>
      <c r="F49" s="123"/>
      <c r="G49" s="123"/>
      <c r="H49" s="123"/>
    </row>
    <row r="50" spans="1:8" x14ac:dyDescent="0.2">
      <c r="A50" s="121">
        <f t="shared" si="2"/>
        <v>41</v>
      </c>
      <c r="B50" s="122" t="s">
        <v>159</v>
      </c>
      <c r="C50" s="123">
        <f t="shared" si="0"/>
        <v>936</v>
      </c>
      <c r="D50" s="123">
        <v>247</v>
      </c>
      <c r="E50" s="123">
        <v>689</v>
      </c>
      <c r="F50" s="123"/>
      <c r="G50" s="123">
        <v>67</v>
      </c>
      <c r="H50" s="123"/>
    </row>
    <row r="51" spans="1:8" x14ac:dyDescent="0.2">
      <c r="A51" s="121">
        <f t="shared" si="2"/>
        <v>42</v>
      </c>
      <c r="B51" s="122" t="s">
        <v>27</v>
      </c>
      <c r="C51" s="123">
        <f t="shared" si="0"/>
        <v>16091</v>
      </c>
      <c r="D51" s="123"/>
      <c r="E51" s="123">
        <v>16091</v>
      </c>
      <c r="F51" s="123"/>
      <c r="G51" s="123">
        <v>479</v>
      </c>
      <c r="H51" s="123"/>
    </row>
    <row r="52" spans="1:8" x14ac:dyDescent="0.2">
      <c r="A52" s="121">
        <f t="shared" si="2"/>
        <v>43</v>
      </c>
      <c r="B52" s="139" t="s">
        <v>28</v>
      </c>
      <c r="C52" s="123">
        <f t="shared" si="0"/>
        <v>14302</v>
      </c>
      <c r="D52" s="123"/>
      <c r="E52" s="123">
        <v>14302</v>
      </c>
      <c r="F52" s="123"/>
      <c r="G52" s="123">
        <v>592</v>
      </c>
      <c r="H52" s="123"/>
    </row>
    <row r="53" spans="1:8" x14ac:dyDescent="0.2">
      <c r="A53" s="121">
        <f t="shared" si="2"/>
        <v>44</v>
      </c>
      <c r="B53" s="122" t="s">
        <v>57</v>
      </c>
      <c r="C53" s="123">
        <f t="shared" si="0"/>
        <v>18043</v>
      </c>
      <c r="D53" s="123"/>
      <c r="E53" s="123">
        <v>18043</v>
      </c>
      <c r="F53" s="123">
        <v>627</v>
      </c>
      <c r="G53" s="123">
        <v>1465</v>
      </c>
      <c r="H53" s="123"/>
    </row>
    <row r="54" spans="1:8" x14ac:dyDescent="0.2">
      <c r="A54" s="121">
        <f t="shared" si="2"/>
        <v>45</v>
      </c>
      <c r="B54" s="122" t="s">
        <v>29</v>
      </c>
      <c r="C54" s="123">
        <f t="shared" si="0"/>
        <v>4505</v>
      </c>
      <c r="D54" s="123"/>
      <c r="E54" s="123">
        <v>4505</v>
      </c>
      <c r="F54" s="123"/>
      <c r="G54" s="123">
        <v>4</v>
      </c>
      <c r="H54" s="123"/>
    </row>
    <row r="55" spans="1:8" x14ac:dyDescent="0.2">
      <c r="A55" s="121">
        <f t="shared" si="2"/>
        <v>46</v>
      </c>
      <c r="B55" s="122" t="s">
        <v>30</v>
      </c>
      <c r="C55" s="123">
        <f t="shared" si="0"/>
        <v>3159</v>
      </c>
      <c r="D55" s="123"/>
      <c r="E55" s="123">
        <v>3159</v>
      </c>
      <c r="F55" s="123"/>
      <c r="G55" s="123">
        <v>7</v>
      </c>
      <c r="H55" s="123"/>
    </row>
    <row r="56" spans="1:8" x14ac:dyDescent="0.2">
      <c r="A56" s="121">
        <f t="shared" si="2"/>
        <v>47</v>
      </c>
      <c r="B56" s="122" t="s">
        <v>31</v>
      </c>
      <c r="C56" s="123">
        <f t="shared" si="0"/>
        <v>2456</v>
      </c>
      <c r="D56" s="123"/>
      <c r="E56" s="123">
        <v>2456</v>
      </c>
      <c r="F56" s="123"/>
      <c r="G56" s="123">
        <v>6</v>
      </c>
      <c r="H56" s="123"/>
    </row>
    <row r="57" spans="1:8" x14ac:dyDescent="0.2">
      <c r="A57" s="121">
        <f t="shared" si="2"/>
        <v>48</v>
      </c>
      <c r="B57" s="122" t="s">
        <v>32</v>
      </c>
      <c r="C57" s="123">
        <f t="shared" si="0"/>
        <v>3699</v>
      </c>
      <c r="D57" s="123"/>
      <c r="E57" s="123">
        <v>3699</v>
      </c>
      <c r="F57" s="123"/>
      <c r="G57" s="123">
        <v>10</v>
      </c>
      <c r="H57" s="123"/>
    </row>
    <row r="58" spans="1:8" x14ac:dyDescent="0.2">
      <c r="A58" s="121">
        <f t="shared" si="2"/>
        <v>49</v>
      </c>
      <c r="B58" s="122" t="s">
        <v>33</v>
      </c>
      <c r="C58" s="123">
        <f t="shared" si="0"/>
        <v>1706</v>
      </c>
      <c r="D58" s="123"/>
      <c r="E58" s="123">
        <v>1706</v>
      </c>
      <c r="F58" s="123"/>
      <c r="G58" s="123">
        <v>2</v>
      </c>
      <c r="H58" s="123"/>
    </row>
    <row r="59" spans="1:8" x14ac:dyDescent="0.2">
      <c r="A59" s="121">
        <f t="shared" si="2"/>
        <v>50</v>
      </c>
      <c r="B59" s="122" t="s">
        <v>34</v>
      </c>
      <c r="C59" s="123">
        <f t="shared" si="0"/>
        <v>3252</v>
      </c>
      <c r="D59" s="123"/>
      <c r="E59" s="123">
        <v>3252</v>
      </c>
      <c r="F59" s="123"/>
      <c r="G59" s="123">
        <v>14</v>
      </c>
      <c r="H59" s="123"/>
    </row>
    <row r="60" spans="1:8" x14ac:dyDescent="0.2">
      <c r="A60" s="121">
        <f t="shared" si="2"/>
        <v>51</v>
      </c>
      <c r="B60" s="122" t="s">
        <v>35</v>
      </c>
      <c r="C60" s="123">
        <f t="shared" si="0"/>
        <v>4512</v>
      </c>
      <c r="D60" s="123"/>
      <c r="E60" s="123">
        <v>4512</v>
      </c>
      <c r="F60" s="123"/>
      <c r="G60" s="123">
        <v>18</v>
      </c>
      <c r="H60" s="123"/>
    </row>
    <row r="61" spans="1:8" x14ac:dyDescent="0.2">
      <c r="A61" s="121">
        <f t="shared" si="2"/>
        <v>52</v>
      </c>
      <c r="B61" s="122" t="s">
        <v>36</v>
      </c>
      <c r="C61" s="123">
        <f t="shared" si="0"/>
        <v>2711</v>
      </c>
      <c r="D61" s="123"/>
      <c r="E61" s="123">
        <v>2711</v>
      </c>
      <c r="F61" s="123"/>
      <c r="G61" s="123">
        <v>58</v>
      </c>
      <c r="H61" s="123"/>
    </row>
    <row r="62" spans="1:8" x14ac:dyDescent="0.2">
      <c r="A62" s="121">
        <f t="shared" si="2"/>
        <v>53</v>
      </c>
      <c r="B62" s="122" t="s">
        <v>105</v>
      </c>
      <c r="C62" s="123">
        <f t="shared" si="0"/>
        <v>9669</v>
      </c>
      <c r="D62" s="123"/>
      <c r="E62" s="123">
        <v>9669</v>
      </c>
      <c r="F62" s="123"/>
      <c r="G62" s="123">
        <v>16</v>
      </c>
      <c r="H62" s="123"/>
    </row>
    <row r="63" spans="1:8" x14ac:dyDescent="0.2">
      <c r="A63" s="121">
        <f t="shared" si="2"/>
        <v>54</v>
      </c>
      <c r="B63" s="122" t="s">
        <v>106</v>
      </c>
      <c r="C63" s="123">
        <f t="shared" si="0"/>
        <v>3592</v>
      </c>
      <c r="D63" s="123"/>
      <c r="E63" s="123">
        <v>3592</v>
      </c>
      <c r="F63" s="123">
        <v>623</v>
      </c>
      <c r="G63" s="123">
        <v>4</v>
      </c>
      <c r="H63" s="123"/>
    </row>
    <row r="64" spans="1:8" x14ac:dyDescent="0.2">
      <c r="A64" s="121">
        <f t="shared" si="2"/>
        <v>55</v>
      </c>
      <c r="B64" s="122" t="s">
        <v>107</v>
      </c>
      <c r="C64" s="123">
        <f t="shared" si="0"/>
        <v>17555</v>
      </c>
      <c r="D64" s="123"/>
      <c r="E64" s="123">
        <v>17555</v>
      </c>
      <c r="F64" s="123"/>
      <c r="G64" s="123">
        <v>48</v>
      </c>
      <c r="H64" s="123"/>
    </row>
    <row r="65" spans="1:8" x14ac:dyDescent="0.2">
      <c r="A65" s="121">
        <f t="shared" si="2"/>
        <v>56</v>
      </c>
      <c r="B65" s="122" t="s">
        <v>108</v>
      </c>
      <c r="C65" s="123">
        <f t="shared" si="0"/>
        <v>927</v>
      </c>
      <c r="D65" s="123"/>
      <c r="E65" s="123">
        <v>927</v>
      </c>
      <c r="F65" s="123"/>
      <c r="G65" s="123"/>
      <c r="H65" s="123"/>
    </row>
    <row r="66" spans="1:8" x14ac:dyDescent="0.2">
      <c r="A66" s="121">
        <f t="shared" si="2"/>
        <v>57</v>
      </c>
      <c r="B66" s="122" t="s">
        <v>109</v>
      </c>
      <c r="C66" s="123">
        <f t="shared" si="0"/>
        <v>6734</v>
      </c>
      <c r="D66" s="123">
        <v>200</v>
      </c>
      <c r="E66" s="123">
        <v>6534</v>
      </c>
      <c r="F66" s="123">
        <v>623</v>
      </c>
      <c r="G66" s="123">
        <v>3</v>
      </c>
      <c r="H66" s="123"/>
    </row>
    <row r="67" spans="1:8" x14ac:dyDescent="0.2">
      <c r="A67" s="121">
        <f t="shared" si="2"/>
        <v>58</v>
      </c>
      <c r="B67" s="122" t="s">
        <v>110</v>
      </c>
      <c r="C67" s="123">
        <f t="shared" si="0"/>
        <v>927</v>
      </c>
      <c r="D67" s="123"/>
      <c r="E67" s="123">
        <v>927</v>
      </c>
      <c r="F67" s="123"/>
      <c r="G67" s="123"/>
      <c r="H67" s="123"/>
    </row>
    <row r="68" spans="1:8" x14ac:dyDescent="0.2">
      <c r="A68" s="121">
        <f t="shared" si="2"/>
        <v>59</v>
      </c>
      <c r="B68" s="122" t="s">
        <v>111</v>
      </c>
      <c r="C68" s="123">
        <f t="shared" si="0"/>
        <v>12144</v>
      </c>
      <c r="D68" s="123">
        <v>277</v>
      </c>
      <c r="E68" s="123">
        <f>11863+4</f>
        <v>11867</v>
      </c>
      <c r="F68" s="123">
        <v>627</v>
      </c>
      <c r="G68" s="123">
        <v>50</v>
      </c>
      <c r="H68" s="123"/>
    </row>
    <row r="69" spans="1:8" x14ac:dyDescent="0.2">
      <c r="A69" s="121">
        <f t="shared" si="2"/>
        <v>60</v>
      </c>
      <c r="B69" s="122" t="s">
        <v>112</v>
      </c>
      <c r="C69" s="123">
        <f t="shared" si="0"/>
        <v>14135</v>
      </c>
      <c r="D69" s="123">
        <v>442</v>
      </c>
      <c r="E69" s="123">
        <v>13693</v>
      </c>
      <c r="F69" s="123">
        <v>652</v>
      </c>
      <c r="G69" s="123"/>
      <c r="H69" s="123"/>
    </row>
    <row r="70" spans="1:8" x14ac:dyDescent="0.2">
      <c r="A70" s="121">
        <f t="shared" si="2"/>
        <v>61</v>
      </c>
      <c r="B70" s="122" t="s">
        <v>113</v>
      </c>
      <c r="C70" s="123">
        <f t="shared" si="0"/>
        <v>13686</v>
      </c>
      <c r="D70" s="123">
        <v>665</v>
      </c>
      <c r="E70" s="123">
        <v>13021</v>
      </c>
      <c r="F70" s="123">
        <v>1300</v>
      </c>
      <c r="G70" s="123">
        <v>303</v>
      </c>
      <c r="H70" s="123"/>
    </row>
    <row r="71" spans="1:8" ht="14.25" customHeight="1" x14ac:dyDescent="0.2">
      <c r="A71" s="121">
        <f t="shared" si="2"/>
        <v>62</v>
      </c>
      <c r="B71" s="122" t="s">
        <v>114</v>
      </c>
      <c r="C71" s="123">
        <f t="shared" ref="C71:C110" si="3">D71+E71+H71</f>
        <v>9302</v>
      </c>
      <c r="D71" s="123">
        <v>20</v>
      </c>
      <c r="E71" s="123">
        <v>9282</v>
      </c>
      <c r="F71" s="123"/>
      <c r="G71" s="123"/>
      <c r="H71" s="123"/>
    </row>
    <row r="72" spans="1:8" x14ac:dyDescent="0.2">
      <c r="A72" s="121">
        <f t="shared" si="2"/>
        <v>63</v>
      </c>
      <c r="B72" s="122" t="s">
        <v>115</v>
      </c>
      <c r="C72" s="123">
        <f t="shared" si="3"/>
        <v>21520</v>
      </c>
      <c r="D72" s="123">
        <v>1593</v>
      </c>
      <c r="E72" s="123">
        <v>19927</v>
      </c>
      <c r="F72" s="123">
        <v>623</v>
      </c>
      <c r="G72" s="123">
        <v>3229</v>
      </c>
      <c r="H72" s="123"/>
    </row>
    <row r="73" spans="1:8" x14ac:dyDescent="0.2">
      <c r="A73" s="121">
        <f t="shared" si="2"/>
        <v>64</v>
      </c>
      <c r="B73" s="129" t="s">
        <v>286</v>
      </c>
      <c r="C73" s="123">
        <f t="shared" si="3"/>
        <v>2800</v>
      </c>
      <c r="D73" s="123"/>
      <c r="E73" s="123">
        <v>2800</v>
      </c>
      <c r="F73" s="123"/>
      <c r="G73" s="123"/>
      <c r="H73" s="123"/>
    </row>
    <row r="74" spans="1:8" x14ac:dyDescent="0.2">
      <c r="A74" s="121">
        <f t="shared" si="2"/>
        <v>65</v>
      </c>
      <c r="B74" s="122" t="s">
        <v>37</v>
      </c>
      <c r="C74" s="123">
        <f t="shared" si="3"/>
        <v>2001</v>
      </c>
      <c r="D74" s="123"/>
      <c r="E74" s="123">
        <v>2001</v>
      </c>
      <c r="F74" s="123"/>
      <c r="G74" s="123"/>
      <c r="H74" s="123"/>
    </row>
    <row r="75" spans="1:8" x14ac:dyDescent="0.2">
      <c r="A75" s="121">
        <f t="shared" si="2"/>
        <v>66</v>
      </c>
      <c r="B75" s="122" t="s">
        <v>38</v>
      </c>
      <c r="C75" s="123">
        <f t="shared" si="3"/>
        <v>2278</v>
      </c>
      <c r="D75" s="123"/>
      <c r="E75" s="123">
        <v>2278</v>
      </c>
      <c r="F75" s="123"/>
      <c r="G75" s="123">
        <v>2</v>
      </c>
      <c r="H75" s="123"/>
    </row>
    <row r="76" spans="1:8" x14ac:dyDescent="0.2">
      <c r="A76" s="121">
        <f t="shared" si="2"/>
        <v>67</v>
      </c>
      <c r="B76" s="122" t="s">
        <v>39</v>
      </c>
      <c r="C76" s="123">
        <f t="shared" si="3"/>
        <v>5425</v>
      </c>
      <c r="D76" s="123"/>
      <c r="E76" s="123">
        <v>5425</v>
      </c>
      <c r="F76" s="123"/>
      <c r="G76" s="123">
        <v>23</v>
      </c>
      <c r="H76" s="123"/>
    </row>
    <row r="77" spans="1:8" x14ac:dyDescent="0.2">
      <c r="A77" s="121">
        <f t="shared" si="2"/>
        <v>68</v>
      </c>
      <c r="B77" s="122" t="s">
        <v>40</v>
      </c>
      <c r="C77" s="123">
        <f t="shared" si="3"/>
        <v>2766</v>
      </c>
      <c r="D77" s="123"/>
      <c r="E77" s="123">
        <v>2766</v>
      </c>
      <c r="F77" s="123"/>
      <c r="G77" s="123">
        <v>6</v>
      </c>
      <c r="H77" s="123"/>
    </row>
    <row r="78" spans="1:8" x14ac:dyDescent="0.2">
      <c r="A78" s="121">
        <f t="shared" si="2"/>
        <v>69</v>
      </c>
      <c r="B78" s="122" t="s">
        <v>41</v>
      </c>
      <c r="C78" s="123">
        <f t="shared" si="3"/>
        <v>3741</v>
      </c>
      <c r="D78" s="123"/>
      <c r="E78" s="123">
        <v>3741</v>
      </c>
      <c r="F78" s="123"/>
      <c r="G78" s="123">
        <v>36</v>
      </c>
      <c r="H78" s="123"/>
    </row>
    <row r="79" spans="1:8" x14ac:dyDescent="0.2">
      <c r="A79" s="121">
        <f t="shared" si="2"/>
        <v>70</v>
      </c>
      <c r="B79" s="122" t="s">
        <v>42</v>
      </c>
      <c r="C79" s="123">
        <f t="shared" si="3"/>
        <v>3599</v>
      </c>
      <c r="D79" s="123"/>
      <c r="E79" s="123">
        <v>3599</v>
      </c>
      <c r="F79" s="123"/>
      <c r="G79" s="123">
        <v>4</v>
      </c>
      <c r="H79" s="123"/>
    </row>
    <row r="80" spans="1:8" x14ac:dyDescent="0.2">
      <c r="A80" s="121">
        <f t="shared" si="2"/>
        <v>71</v>
      </c>
      <c r="B80" s="122" t="s">
        <v>43</v>
      </c>
      <c r="C80" s="123">
        <f t="shared" si="3"/>
        <v>4766</v>
      </c>
      <c r="D80" s="123"/>
      <c r="E80" s="123">
        <v>4766</v>
      </c>
      <c r="F80" s="123"/>
      <c r="G80" s="123">
        <v>37</v>
      </c>
      <c r="H80" s="123"/>
    </row>
    <row r="81" spans="1:8" x14ac:dyDescent="0.2">
      <c r="A81" s="121">
        <f t="shared" si="2"/>
        <v>72</v>
      </c>
      <c r="B81" s="122" t="s">
        <v>44</v>
      </c>
      <c r="C81" s="123">
        <f t="shared" si="3"/>
        <v>1789</v>
      </c>
      <c r="D81" s="123"/>
      <c r="E81" s="123">
        <v>1789</v>
      </c>
      <c r="F81" s="123"/>
      <c r="G81" s="123">
        <v>9</v>
      </c>
      <c r="H81" s="123"/>
    </row>
    <row r="82" spans="1:8" x14ac:dyDescent="0.2">
      <c r="A82" s="121">
        <f t="shared" si="2"/>
        <v>73</v>
      </c>
      <c r="B82" s="122" t="s">
        <v>45</v>
      </c>
      <c r="C82" s="123">
        <f t="shared" si="3"/>
        <v>2584</v>
      </c>
      <c r="D82" s="123"/>
      <c r="E82" s="123">
        <v>2584</v>
      </c>
      <c r="F82" s="123"/>
      <c r="G82" s="123">
        <v>18</v>
      </c>
      <c r="H82" s="123"/>
    </row>
    <row r="83" spans="1:8" x14ac:dyDescent="0.2">
      <c r="A83" s="121">
        <f t="shared" si="2"/>
        <v>74</v>
      </c>
      <c r="B83" s="122" t="s">
        <v>46</v>
      </c>
      <c r="C83" s="123">
        <f t="shared" si="3"/>
        <v>3635</v>
      </c>
      <c r="D83" s="123"/>
      <c r="E83" s="123">
        <v>3635</v>
      </c>
      <c r="F83" s="123"/>
      <c r="G83" s="123">
        <v>248</v>
      </c>
      <c r="H83" s="123"/>
    </row>
    <row r="84" spans="1:8" x14ac:dyDescent="0.2">
      <c r="A84" s="121">
        <f t="shared" si="2"/>
        <v>75</v>
      </c>
      <c r="B84" s="122" t="s">
        <v>47</v>
      </c>
      <c r="C84" s="123">
        <f t="shared" si="3"/>
        <v>5209</v>
      </c>
      <c r="D84" s="123">
        <v>238</v>
      </c>
      <c r="E84" s="123">
        <v>4971</v>
      </c>
      <c r="F84" s="123">
        <v>312</v>
      </c>
      <c r="G84" s="123">
        <v>438</v>
      </c>
      <c r="H84" s="123"/>
    </row>
    <row r="85" spans="1:8" x14ac:dyDescent="0.2">
      <c r="A85" s="121">
        <f t="shared" si="2"/>
        <v>76</v>
      </c>
      <c r="B85" s="122" t="s">
        <v>48</v>
      </c>
      <c r="C85" s="123">
        <f t="shared" si="3"/>
        <v>2103</v>
      </c>
      <c r="D85" s="123"/>
      <c r="E85" s="123">
        <v>2103</v>
      </c>
      <c r="F85" s="123"/>
      <c r="G85" s="123">
        <v>11</v>
      </c>
      <c r="H85" s="123"/>
    </row>
    <row r="86" spans="1:8" x14ac:dyDescent="0.2">
      <c r="A86" s="121">
        <f t="shared" si="2"/>
        <v>77</v>
      </c>
      <c r="B86" s="122" t="s">
        <v>49</v>
      </c>
      <c r="C86" s="123">
        <f t="shared" si="3"/>
        <v>3033</v>
      </c>
      <c r="D86" s="123"/>
      <c r="E86" s="123">
        <v>3033</v>
      </c>
      <c r="F86" s="123"/>
      <c r="G86" s="123">
        <v>3</v>
      </c>
      <c r="H86" s="123"/>
    </row>
    <row r="87" spans="1:8" x14ac:dyDescent="0.2">
      <c r="A87" s="121">
        <f t="shared" si="2"/>
        <v>78</v>
      </c>
      <c r="B87" s="122" t="s">
        <v>50</v>
      </c>
      <c r="C87" s="123">
        <f t="shared" si="3"/>
        <v>4426</v>
      </c>
      <c r="D87" s="123"/>
      <c r="E87" s="123">
        <v>4426</v>
      </c>
      <c r="F87" s="123"/>
      <c r="G87" s="123">
        <v>10</v>
      </c>
      <c r="H87" s="123"/>
    </row>
    <row r="88" spans="1:8" x14ac:dyDescent="0.2">
      <c r="A88" s="121">
        <f t="shared" si="2"/>
        <v>79</v>
      </c>
      <c r="B88" s="122" t="s">
        <v>51</v>
      </c>
      <c r="C88" s="123">
        <f t="shared" si="3"/>
        <v>2244</v>
      </c>
      <c r="D88" s="123"/>
      <c r="E88" s="123">
        <v>2244</v>
      </c>
      <c r="F88" s="123"/>
      <c r="G88" s="123">
        <v>1</v>
      </c>
      <c r="H88" s="123"/>
    </row>
    <row r="89" spans="1:8" ht="25.5" customHeight="1" x14ac:dyDescent="0.2">
      <c r="A89" s="121">
        <f t="shared" si="2"/>
        <v>80</v>
      </c>
      <c r="B89" s="128" t="s">
        <v>117</v>
      </c>
      <c r="C89" s="123">
        <f t="shared" si="3"/>
        <v>7611</v>
      </c>
      <c r="D89" s="123"/>
      <c r="E89" s="123">
        <v>7611</v>
      </c>
      <c r="F89" s="123">
        <v>522</v>
      </c>
      <c r="G89" s="123">
        <v>14</v>
      </c>
      <c r="H89" s="123"/>
    </row>
    <row r="90" spans="1:8" x14ac:dyDescent="0.2">
      <c r="A90" s="121">
        <f t="shared" si="2"/>
        <v>81</v>
      </c>
      <c r="B90" s="122" t="s">
        <v>287</v>
      </c>
      <c r="C90" s="123">
        <f t="shared" si="3"/>
        <v>299</v>
      </c>
      <c r="D90" s="123">
        <v>240</v>
      </c>
      <c r="E90" s="123">
        <v>59</v>
      </c>
      <c r="F90" s="123"/>
      <c r="G90" s="123"/>
      <c r="H90" s="123"/>
    </row>
    <row r="91" spans="1:8" x14ac:dyDescent="0.2">
      <c r="A91" s="121">
        <f t="shared" si="2"/>
        <v>82</v>
      </c>
      <c r="B91" s="122" t="s">
        <v>288</v>
      </c>
      <c r="C91" s="123">
        <f t="shared" si="3"/>
        <v>17</v>
      </c>
      <c r="D91" s="123"/>
      <c r="E91" s="123">
        <v>17</v>
      </c>
      <c r="F91" s="123"/>
      <c r="G91" s="123"/>
      <c r="H91" s="123"/>
    </row>
    <row r="92" spans="1:8" x14ac:dyDescent="0.2">
      <c r="A92" s="121">
        <f t="shared" si="2"/>
        <v>83</v>
      </c>
      <c r="B92" s="130" t="s">
        <v>123</v>
      </c>
      <c r="C92" s="123">
        <f t="shared" si="3"/>
        <v>17</v>
      </c>
      <c r="D92" s="123"/>
      <c r="E92" s="123">
        <v>17</v>
      </c>
      <c r="F92" s="123"/>
      <c r="G92" s="123"/>
      <c r="H92" s="123"/>
    </row>
    <row r="93" spans="1:8" ht="15" customHeight="1" x14ac:dyDescent="0.2">
      <c r="A93" s="121">
        <f t="shared" si="2"/>
        <v>84</v>
      </c>
      <c r="B93" s="131" t="s">
        <v>289</v>
      </c>
      <c r="C93" s="123">
        <f t="shared" si="3"/>
        <v>4135</v>
      </c>
      <c r="D93" s="123"/>
      <c r="E93" s="123"/>
      <c r="F93" s="123"/>
      <c r="G93" s="123"/>
      <c r="H93" s="123">
        <v>4135</v>
      </c>
    </row>
    <row r="94" spans="1:8" x14ac:dyDescent="0.2">
      <c r="A94" s="121">
        <f t="shared" si="2"/>
        <v>85</v>
      </c>
      <c r="B94" s="129" t="s">
        <v>290</v>
      </c>
      <c r="C94" s="123">
        <f t="shared" si="3"/>
        <v>1500</v>
      </c>
      <c r="D94" s="123"/>
      <c r="E94" s="123"/>
      <c r="F94" s="123"/>
      <c r="G94" s="123"/>
      <c r="H94" s="123">
        <v>1500</v>
      </c>
    </row>
    <row r="95" spans="1:8" x14ac:dyDescent="0.2">
      <c r="A95" s="121">
        <f t="shared" si="2"/>
        <v>86</v>
      </c>
      <c r="B95" s="122" t="s">
        <v>291</v>
      </c>
      <c r="C95" s="123">
        <f t="shared" si="3"/>
        <v>17</v>
      </c>
      <c r="D95" s="123"/>
      <c r="E95" s="123">
        <v>17</v>
      </c>
      <c r="F95" s="123"/>
      <c r="G95" s="123"/>
      <c r="H95" s="123"/>
    </row>
    <row r="96" spans="1:8" x14ac:dyDescent="0.2">
      <c r="A96" s="121">
        <f t="shared" si="2"/>
        <v>87</v>
      </c>
      <c r="B96" s="132" t="s">
        <v>160</v>
      </c>
      <c r="C96" s="123">
        <f t="shared" si="3"/>
        <v>27343</v>
      </c>
      <c r="D96" s="123">
        <v>2399</v>
      </c>
      <c r="E96" s="123">
        <v>24944</v>
      </c>
      <c r="F96" s="123">
        <v>831</v>
      </c>
      <c r="G96" s="123">
        <v>886</v>
      </c>
      <c r="H96" s="123"/>
    </row>
    <row r="97" spans="1:8" x14ac:dyDescent="0.2">
      <c r="A97" s="121">
        <f t="shared" si="2"/>
        <v>88</v>
      </c>
      <c r="B97" s="132" t="s">
        <v>292</v>
      </c>
      <c r="C97" s="123">
        <f t="shared" si="3"/>
        <v>19650</v>
      </c>
      <c r="D97" s="123">
        <v>1224</v>
      </c>
      <c r="E97" s="123">
        <v>18426</v>
      </c>
      <c r="F97" s="123"/>
      <c r="G97" s="123">
        <v>15943</v>
      </c>
      <c r="H97" s="123"/>
    </row>
    <row r="98" spans="1:8" x14ac:dyDescent="0.2">
      <c r="A98" s="121">
        <f t="shared" si="2"/>
        <v>89</v>
      </c>
      <c r="B98" s="131" t="s">
        <v>130</v>
      </c>
      <c r="C98" s="123">
        <f t="shared" si="3"/>
        <v>11816</v>
      </c>
      <c r="D98" s="123">
        <v>3318</v>
      </c>
      <c r="E98" s="123">
        <v>8498</v>
      </c>
      <c r="F98" s="123">
        <v>624</v>
      </c>
      <c r="G98" s="123"/>
      <c r="H98" s="123"/>
    </row>
    <row r="99" spans="1:8" x14ac:dyDescent="0.2">
      <c r="A99" s="121">
        <f t="shared" si="2"/>
        <v>90</v>
      </c>
      <c r="B99" s="131" t="s">
        <v>293</v>
      </c>
      <c r="C99" s="123">
        <f t="shared" si="3"/>
        <v>17909</v>
      </c>
      <c r="D99" s="123">
        <v>927</v>
      </c>
      <c r="E99" s="123">
        <v>16982</v>
      </c>
      <c r="F99" s="123">
        <v>296</v>
      </c>
      <c r="G99" s="123">
        <v>427</v>
      </c>
      <c r="H99" s="123"/>
    </row>
    <row r="100" spans="1:8" x14ac:dyDescent="0.2">
      <c r="A100" s="121">
        <f t="shared" si="2"/>
        <v>91</v>
      </c>
      <c r="B100" s="131" t="s">
        <v>134</v>
      </c>
      <c r="C100" s="123">
        <f t="shared" si="3"/>
        <v>12051</v>
      </c>
      <c r="D100" s="123">
        <v>2424</v>
      </c>
      <c r="E100" s="123">
        <v>9627</v>
      </c>
      <c r="F100" s="123"/>
      <c r="G100" s="123"/>
      <c r="H100" s="123"/>
    </row>
    <row r="101" spans="1:8" x14ac:dyDescent="0.2">
      <c r="A101" s="121">
        <f t="shared" si="2"/>
        <v>92</v>
      </c>
      <c r="B101" s="131" t="s">
        <v>135</v>
      </c>
      <c r="C101" s="123">
        <f t="shared" si="3"/>
        <v>5366</v>
      </c>
      <c r="D101" s="123">
        <v>52</v>
      </c>
      <c r="E101" s="123">
        <v>5314</v>
      </c>
      <c r="F101" s="123"/>
      <c r="G101" s="123"/>
      <c r="H101" s="123"/>
    </row>
    <row r="102" spans="1:8" x14ac:dyDescent="0.2">
      <c r="A102" s="121">
        <f t="shared" si="2"/>
        <v>93</v>
      </c>
      <c r="B102" s="131" t="s">
        <v>136</v>
      </c>
      <c r="C102" s="123">
        <f t="shared" si="3"/>
        <v>22914</v>
      </c>
      <c r="D102" s="123">
        <v>647</v>
      </c>
      <c r="E102" s="123">
        <v>22267</v>
      </c>
      <c r="F102" s="123"/>
      <c r="G102" s="123"/>
      <c r="H102" s="123"/>
    </row>
    <row r="103" spans="1:8" x14ac:dyDescent="0.2">
      <c r="A103" s="121">
        <f t="shared" si="2"/>
        <v>94</v>
      </c>
      <c r="B103" s="133" t="s">
        <v>139</v>
      </c>
      <c r="C103" s="123">
        <f t="shared" si="3"/>
        <v>5424</v>
      </c>
      <c r="D103" s="123">
        <v>216</v>
      </c>
      <c r="E103" s="123">
        <v>5208</v>
      </c>
      <c r="F103" s="123">
        <v>1350</v>
      </c>
      <c r="G103" s="123"/>
      <c r="H103" s="123"/>
    </row>
    <row r="104" spans="1:8" x14ac:dyDescent="0.2">
      <c r="A104" s="121">
        <f t="shared" si="2"/>
        <v>95</v>
      </c>
      <c r="B104" s="133" t="s">
        <v>153</v>
      </c>
      <c r="C104" s="123">
        <f t="shared" si="3"/>
        <v>24616</v>
      </c>
      <c r="D104" s="123">
        <v>1101</v>
      </c>
      <c r="E104" s="123">
        <v>23515</v>
      </c>
      <c r="F104" s="123">
        <v>1246</v>
      </c>
      <c r="G104" s="123">
        <v>304</v>
      </c>
      <c r="H104" s="123"/>
    </row>
    <row r="105" spans="1:8" x14ac:dyDescent="0.2">
      <c r="A105" s="270">
        <f t="shared" si="2"/>
        <v>96</v>
      </c>
      <c r="B105" s="133" t="s">
        <v>154</v>
      </c>
      <c r="C105" s="123">
        <f t="shared" si="3"/>
        <v>22376</v>
      </c>
      <c r="D105" s="123">
        <v>1254</v>
      </c>
      <c r="E105" s="123">
        <f>21126-4</f>
        <v>21122</v>
      </c>
      <c r="F105" s="123">
        <v>800</v>
      </c>
      <c r="G105" s="123">
        <v>1127</v>
      </c>
      <c r="H105" s="123"/>
    </row>
    <row r="106" spans="1:8" s="127" customFormat="1" ht="25.5" x14ac:dyDescent="0.2">
      <c r="A106" s="276"/>
      <c r="B106" s="126" t="s">
        <v>294</v>
      </c>
      <c r="C106" s="123">
        <f t="shared" si="3"/>
        <v>2258</v>
      </c>
      <c r="D106" s="125"/>
      <c r="E106" s="125">
        <v>2258</v>
      </c>
      <c r="F106" s="125"/>
      <c r="G106" s="125"/>
      <c r="H106" s="125"/>
    </row>
    <row r="107" spans="1:8" x14ac:dyDescent="0.2">
      <c r="A107" s="121">
        <f>A105+1</f>
        <v>97</v>
      </c>
      <c r="B107" s="133" t="s">
        <v>295</v>
      </c>
      <c r="C107" s="123">
        <f t="shared" si="3"/>
        <v>15841</v>
      </c>
      <c r="D107" s="123"/>
      <c r="E107" s="123">
        <v>15841</v>
      </c>
      <c r="F107" s="123"/>
      <c r="G107" s="123">
        <v>1</v>
      </c>
      <c r="H107" s="123"/>
    </row>
    <row r="108" spans="1:8" ht="14.25" customHeight="1" x14ac:dyDescent="0.2">
      <c r="A108" s="121">
        <v>98</v>
      </c>
      <c r="B108" s="134" t="s">
        <v>296</v>
      </c>
      <c r="C108" s="123">
        <f t="shared" si="3"/>
        <v>792</v>
      </c>
      <c r="D108" s="123"/>
      <c r="E108" s="123">
        <v>792</v>
      </c>
      <c r="F108" s="123"/>
      <c r="G108" s="123"/>
      <c r="H108" s="123"/>
    </row>
    <row r="109" spans="1:8" x14ac:dyDescent="0.2">
      <c r="A109" s="121">
        <v>99</v>
      </c>
      <c r="B109" s="131" t="s">
        <v>297</v>
      </c>
      <c r="C109" s="123">
        <f t="shared" si="3"/>
        <v>1010</v>
      </c>
      <c r="D109" s="123">
        <v>300</v>
      </c>
      <c r="E109" s="123">
        <v>710</v>
      </c>
      <c r="F109" s="123"/>
      <c r="G109" s="123"/>
      <c r="H109" s="123"/>
    </row>
    <row r="110" spans="1:8" x14ac:dyDescent="0.2">
      <c r="A110" s="121"/>
      <c r="B110" s="140" t="s">
        <v>298</v>
      </c>
      <c r="C110" s="123">
        <f t="shared" si="3"/>
        <v>15391</v>
      </c>
      <c r="D110" s="123">
        <v>133</v>
      </c>
      <c r="E110" s="141">
        <v>15258</v>
      </c>
      <c r="F110" s="123"/>
      <c r="G110" s="123">
        <v>374</v>
      </c>
      <c r="H110" s="123"/>
    </row>
    <row r="111" spans="1:8" x14ac:dyDescent="0.2">
      <c r="A111" s="135"/>
      <c r="B111" s="136" t="s">
        <v>52</v>
      </c>
      <c r="C111" s="137">
        <f t="shared" ref="C111:H111" si="4">SUM(C6:C110)</f>
        <v>713374</v>
      </c>
      <c r="D111" s="137">
        <f t="shared" si="4"/>
        <v>18830</v>
      </c>
      <c r="E111" s="137">
        <f t="shared" si="4"/>
        <v>688909</v>
      </c>
      <c r="F111" s="137">
        <f t="shared" si="4"/>
        <v>13127</v>
      </c>
      <c r="G111" s="137">
        <f>SUM(G6:G110)</f>
        <v>36865</v>
      </c>
      <c r="H111" s="137">
        <f t="shared" si="4"/>
        <v>5635</v>
      </c>
    </row>
    <row r="112" spans="1:8" x14ac:dyDescent="0.2">
      <c r="C112" s="117"/>
    </row>
  </sheetData>
  <mergeCells count="14">
    <mergeCell ref="A1:H1"/>
    <mergeCell ref="E2:H2"/>
    <mergeCell ref="A3:A4"/>
    <mergeCell ref="B3:B4"/>
    <mergeCell ref="C3:C4"/>
    <mergeCell ref="D3:D4"/>
    <mergeCell ref="E3:E4"/>
    <mergeCell ref="F3:G3"/>
    <mergeCell ref="H3:H4"/>
    <mergeCell ref="A8:A9"/>
    <mergeCell ref="A31:A32"/>
    <mergeCell ref="A36:A37"/>
    <mergeCell ref="A39:A40"/>
    <mergeCell ref="A105:A106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D36" sqref="D36"/>
    </sheetView>
  </sheetViews>
  <sheetFormatPr defaultRowHeight="12.75" x14ac:dyDescent="0.2"/>
  <cols>
    <col min="1" max="1" width="4.28515625" style="205" customWidth="1"/>
    <col min="2" max="2" width="47" style="205" customWidth="1"/>
    <col min="3" max="3" width="15.42578125" style="205" customWidth="1"/>
    <col min="4" max="4" width="16.140625" style="205" customWidth="1"/>
    <col min="5" max="5" width="14.28515625" style="205" customWidth="1"/>
    <col min="6" max="6" width="10.85546875" style="205" customWidth="1"/>
    <col min="7" max="7" width="11.28515625" style="205" customWidth="1"/>
    <col min="8" max="8" width="12.140625" style="205" customWidth="1"/>
    <col min="9" max="10" width="9.140625" style="205"/>
    <col min="11" max="11" width="10.7109375" style="205" customWidth="1"/>
    <col min="12" max="12" width="10.42578125" style="205" customWidth="1"/>
    <col min="13" max="16384" width="9.140625" style="205"/>
  </cols>
  <sheetData>
    <row r="1" spans="1:8" ht="36.75" customHeight="1" x14ac:dyDescent="0.2">
      <c r="A1" s="204"/>
      <c r="B1" s="384" t="s">
        <v>418</v>
      </c>
      <c r="C1" s="384"/>
      <c r="D1" s="384"/>
      <c r="E1" s="384"/>
      <c r="F1" s="384"/>
      <c r="G1" s="384"/>
      <c r="H1" s="384"/>
    </row>
    <row r="2" spans="1:8" x14ac:dyDescent="0.2">
      <c r="A2" s="204"/>
      <c r="B2" s="206"/>
      <c r="C2" s="206"/>
      <c r="D2" s="206"/>
      <c r="E2" s="206"/>
      <c r="F2" s="206"/>
      <c r="G2" s="206"/>
      <c r="H2" s="206"/>
    </row>
    <row r="3" spans="1:8" x14ac:dyDescent="0.2">
      <c r="A3" s="207"/>
      <c r="B3" s="208"/>
      <c r="C3" s="208"/>
      <c r="D3" s="208"/>
      <c r="E3" s="208"/>
      <c r="F3" s="208"/>
      <c r="G3" s="385" t="s">
        <v>419</v>
      </c>
      <c r="H3" s="385"/>
    </row>
    <row r="4" spans="1:8" s="209" customFormat="1" ht="21.75" customHeight="1" x14ac:dyDescent="0.2">
      <c r="A4" s="386" t="s">
        <v>0</v>
      </c>
      <c r="B4" s="383" t="s">
        <v>301</v>
      </c>
      <c r="C4" s="389" t="s">
        <v>420</v>
      </c>
      <c r="D4" s="390"/>
      <c r="E4" s="389" t="s">
        <v>421</v>
      </c>
      <c r="F4" s="391"/>
      <c r="G4" s="391"/>
      <c r="H4" s="390"/>
    </row>
    <row r="5" spans="1:8" s="209" customFormat="1" ht="26.25" customHeight="1" x14ac:dyDescent="0.2">
      <c r="A5" s="387"/>
      <c r="B5" s="383"/>
      <c r="C5" s="210" t="s">
        <v>422</v>
      </c>
      <c r="D5" s="392" t="s">
        <v>423</v>
      </c>
      <c r="E5" s="393"/>
      <c r="F5" s="393"/>
      <c r="G5" s="393"/>
      <c r="H5" s="394"/>
    </row>
    <row r="6" spans="1:8" s="209" customFormat="1" ht="12" x14ac:dyDescent="0.2">
      <c r="A6" s="387"/>
      <c r="B6" s="383"/>
      <c r="C6" s="386" t="s">
        <v>424</v>
      </c>
      <c r="D6" s="386" t="s">
        <v>425</v>
      </c>
      <c r="E6" s="395" t="s">
        <v>426</v>
      </c>
      <c r="F6" s="383" t="s">
        <v>225</v>
      </c>
      <c r="G6" s="383"/>
      <c r="H6" s="383"/>
    </row>
    <row r="7" spans="1:8" s="209" customFormat="1" ht="63" customHeight="1" x14ac:dyDescent="0.2">
      <c r="A7" s="388"/>
      <c r="B7" s="383"/>
      <c r="C7" s="388"/>
      <c r="D7" s="388"/>
      <c r="E7" s="396"/>
      <c r="F7" s="211" t="s">
        <v>427</v>
      </c>
      <c r="G7" s="211" t="s">
        <v>428</v>
      </c>
      <c r="H7" s="210" t="s">
        <v>429</v>
      </c>
    </row>
    <row r="8" spans="1:8" x14ac:dyDescent="0.2">
      <c r="A8" s="121">
        <v>1</v>
      </c>
      <c r="B8" s="212" t="s">
        <v>1</v>
      </c>
      <c r="C8" s="213"/>
      <c r="D8" s="214"/>
      <c r="E8" s="213">
        <f>F8+G8+H8</f>
        <v>445</v>
      </c>
      <c r="F8" s="213">
        <v>287</v>
      </c>
      <c r="G8" s="213">
        <v>46</v>
      </c>
      <c r="H8" s="214">
        <v>112</v>
      </c>
    </row>
    <row r="9" spans="1:8" s="216" customFormat="1" x14ac:dyDescent="0.2">
      <c r="A9" s="142">
        <v>2</v>
      </c>
      <c r="B9" s="215" t="s">
        <v>3</v>
      </c>
      <c r="C9" s="213"/>
      <c r="D9" s="214"/>
      <c r="E9" s="213">
        <f t="shared" ref="E9:E28" si="0">F9+G9+H9</f>
        <v>587</v>
      </c>
      <c r="F9" s="213">
        <v>381</v>
      </c>
      <c r="G9" s="213">
        <v>59</v>
      </c>
      <c r="H9" s="214">
        <v>147</v>
      </c>
    </row>
    <row r="10" spans="1:8" s="216" customFormat="1" x14ac:dyDescent="0.2">
      <c r="A10" s="121">
        <v>3</v>
      </c>
      <c r="B10" s="217" t="s">
        <v>161</v>
      </c>
      <c r="C10" s="213"/>
      <c r="D10" s="214"/>
      <c r="E10" s="213">
        <f t="shared" si="0"/>
        <v>138</v>
      </c>
      <c r="F10" s="213">
        <v>89</v>
      </c>
      <c r="G10" s="213">
        <v>14</v>
      </c>
      <c r="H10" s="214">
        <v>35</v>
      </c>
    </row>
    <row r="11" spans="1:8" s="216" customFormat="1" x14ac:dyDescent="0.2">
      <c r="A11" s="142">
        <v>4</v>
      </c>
      <c r="B11" s="217" t="s">
        <v>13</v>
      </c>
      <c r="C11" s="213"/>
      <c r="D11" s="214">
        <f>22598-5960-8</f>
        <v>16630</v>
      </c>
      <c r="E11" s="213">
        <f t="shared" si="0"/>
        <v>580</v>
      </c>
      <c r="F11" s="213">
        <v>375</v>
      </c>
      <c r="G11" s="213">
        <v>59</v>
      </c>
      <c r="H11" s="214">
        <v>146</v>
      </c>
    </row>
    <row r="12" spans="1:8" s="216" customFormat="1" x14ac:dyDescent="0.2">
      <c r="A12" s="121">
        <v>5</v>
      </c>
      <c r="B12" s="217" t="s">
        <v>14</v>
      </c>
      <c r="C12" s="213"/>
      <c r="D12" s="214"/>
      <c r="E12" s="213">
        <f t="shared" si="0"/>
        <v>186</v>
      </c>
      <c r="F12" s="213">
        <v>120</v>
      </c>
      <c r="G12" s="213">
        <v>19</v>
      </c>
      <c r="H12" s="214">
        <v>47</v>
      </c>
    </row>
    <row r="13" spans="1:8" s="216" customFormat="1" x14ac:dyDescent="0.2">
      <c r="A13" s="142">
        <v>6</v>
      </c>
      <c r="B13" s="217" t="s">
        <v>329</v>
      </c>
      <c r="C13" s="213"/>
      <c r="D13" s="214">
        <f>47648+1471+190</f>
        <v>49309</v>
      </c>
      <c r="E13" s="213">
        <f t="shared" si="0"/>
        <v>1094</v>
      </c>
      <c r="F13" s="213">
        <v>710</v>
      </c>
      <c r="G13" s="213">
        <v>110</v>
      </c>
      <c r="H13" s="214">
        <v>274</v>
      </c>
    </row>
    <row r="14" spans="1:8" s="216" customFormat="1" x14ac:dyDescent="0.2">
      <c r="A14" s="121">
        <v>7</v>
      </c>
      <c r="B14" s="217" t="s">
        <v>162</v>
      </c>
      <c r="C14" s="213"/>
      <c r="D14" s="214"/>
      <c r="E14" s="213">
        <f t="shared" si="0"/>
        <v>594</v>
      </c>
      <c r="F14" s="213">
        <v>386</v>
      </c>
      <c r="G14" s="213">
        <v>59</v>
      </c>
      <c r="H14" s="214">
        <v>149</v>
      </c>
    </row>
    <row r="15" spans="1:8" s="216" customFormat="1" x14ac:dyDescent="0.2">
      <c r="A15" s="142">
        <v>8</v>
      </c>
      <c r="B15" s="217" t="s">
        <v>163</v>
      </c>
      <c r="C15" s="213"/>
      <c r="D15" s="214"/>
      <c r="E15" s="213">
        <f t="shared" si="0"/>
        <v>572</v>
      </c>
      <c r="F15" s="213">
        <v>372</v>
      </c>
      <c r="G15" s="213">
        <v>57</v>
      </c>
      <c r="H15" s="214">
        <v>143</v>
      </c>
    </row>
    <row r="16" spans="1:8" s="216" customFormat="1" x14ac:dyDescent="0.2">
      <c r="A16" s="121">
        <v>9</v>
      </c>
      <c r="B16" s="212" t="s">
        <v>344</v>
      </c>
      <c r="C16" s="213"/>
      <c r="D16" s="214">
        <f>27789-4672-346</f>
        <v>22771</v>
      </c>
      <c r="E16" s="213">
        <f t="shared" si="0"/>
        <v>1063</v>
      </c>
      <c r="F16" s="213">
        <v>690</v>
      </c>
      <c r="G16" s="213">
        <v>107</v>
      </c>
      <c r="H16" s="214">
        <v>266</v>
      </c>
    </row>
    <row r="17" spans="1:12" s="216" customFormat="1" ht="14.25" customHeight="1" x14ac:dyDescent="0.2">
      <c r="A17" s="142">
        <v>10</v>
      </c>
      <c r="B17" s="218" t="s">
        <v>373</v>
      </c>
      <c r="C17" s="213"/>
      <c r="D17" s="214"/>
      <c r="E17" s="213">
        <f t="shared" si="0"/>
        <v>132</v>
      </c>
      <c r="F17" s="213">
        <v>86</v>
      </c>
      <c r="G17" s="213">
        <v>13</v>
      </c>
      <c r="H17" s="214">
        <v>33</v>
      </c>
    </row>
    <row r="18" spans="1:12" s="216" customFormat="1" x14ac:dyDescent="0.2">
      <c r="A18" s="121">
        <v>11</v>
      </c>
      <c r="B18" s="218" t="s">
        <v>167</v>
      </c>
      <c r="C18" s="213"/>
      <c r="D18" s="214"/>
      <c r="E18" s="213">
        <f t="shared" si="0"/>
        <v>613</v>
      </c>
      <c r="F18" s="213">
        <v>397</v>
      </c>
      <c r="G18" s="213">
        <v>62</v>
      </c>
      <c r="H18" s="214">
        <v>154</v>
      </c>
    </row>
    <row r="19" spans="1:12" s="216" customFormat="1" x14ac:dyDescent="0.2">
      <c r="A19" s="142">
        <v>12</v>
      </c>
      <c r="B19" s="218" t="s">
        <v>155</v>
      </c>
      <c r="C19" s="213"/>
      <c r="D19" s="214">
        <f>56758+2469+844</f>
        <v>60071</v>
      </c>
      <c r="E19" s="213">
        <f t="shared" si="0"/>
        <v>721</v>
      </c>
      <c r="F19" s="213">
        <v>466</v>
      </c>
      <c r="G19" s="213">
        <v>73</v>
      </c>
      <c r="H19" s="214">
        <v>182</v>
      </c>
    </row>
    <row r="20" spans="1:12" s="216" customFormat="1" ht="15.75" customHeight="1" x14ac:dyDescent="0.2">
      <c r="A20" s="121">
        <v>13</v>
      </c>
      <c r="B20" s="218" t="s">
        <v>115</v>
      </c>
      <c r="C20" s="213"/>
      <c r="D20" s="214"/>
      <c r="E20" s="213">
        <f t="shared" si="0"/>
        <v>314</v>
      </c>
      <c r="F20" s="213">
        <v>203</v>
      </c>
      <c r="G20" s="213">
        <v>32</v>
      </c>
      <c r="H20" s="214">
        <v>79</v>
      </c>
    </row>
    <row r="21" spans="1:12" s="216" customFormat="1" x14ac:dyDescent="0.2">
      <c r="A21" s="142">
        <v>14</v>
      </c>
      <c r="B21" s="217" t="s">
        <v>47</v>
      </c>
      <c r="C21" s="213"/>
      <c r="D21" s="214"/>
      <c r="E21" s="213">
        <f t="shared" si="0"/>
        <v>289</v>
      </c>
      <c r="F21" s="213">
        <v>188</v>
      </c>
      <c r="G21" s="213">
        <v>28</v>
      </c>
      <c r="H21" s="214">
        <v>73</v>
      </c>
    </row>
    <row r="22" spans="1:12" s="216" customFormat="1" ht="24.75" customHeight="1" x14ac:dyDescent="0.2">
      <c r="A22" s="121">
        <v>15</v>
      </c>
      <c r="B22" s="218" t="s">
        <v>117</v>
      </c>
      <c r="C22" s="213"/>
      <c r="D22" s="214"/>
      <c r="E22" s="213">
        <f t="shared" si="0"/>
        <v>169</v>
      </c>
      <c r="F22" s="213">
        <v>109</v>
      </c>
      <c r="G22" s="213">
        <v>17</v>
      </c>
      <c r="H22" s="214">
        <v>43</v>
      </c>
    </row>
    <row r="23" spans="1:12" x14ac:dyDescent="0.2">
      <c r="A23" s="142">
        <v>16</v>
      </c>
      <c r="B23" s="217" t="s">
        <v>430</v>
      </c>
      <c r="C23" s="219">
        <f>31403+25033</f>
        <v>56436</v>
      </c>
      <c r="D23" s="220"/>
      <c r="E23" s="213">
        <f t="shared" si="0"/>
        <v>0</v>
      </c>
      <c r="F23" s="219"/>
      <c r="G23" s="219"/>
      <c r="H23" s="220"/>
    </row>
    <row r="24" spans="1:12" x14ac:dyDescent="0.2">
      <c r="A24" s="121">
        <v>17</v>
      </c>
      <c r="B24" s="217" t="s">
        <v>220</v>
      </c>
      <c r="C24" s="219"/>
      <c r="D24" s="220"/>
      <c r="E24" s="213">
        <f t="shared" si="0"/>
        <v>869</v>
      </c>
      <c r="F24" s="219">
        <v>563</v>
      </c>
      <c r="G24" s="219">
        <v>87</v>
      </c>
      <c r="H24" s="220">
        <v>219</v>
      </c>
    </row>
    <row r="25" spans="1:12" x14ac:dyDescent="0.2">
      <c r="A25" s="142">
        <v>18</v>
      </c>
      <c r="B25" s="217" t="s">
        <v>292</v>
      </c>
      <c r="C25" s="219">
        <f>32154-5713</f>
        <v>26441</v>
      </c>
      <c r="D25" s="220">
        <f>56858+6692-680</f>
        <v>62870</v>
      </c>
      <c r="E25" s="213">
        <f t="shared" si="0"/>
        <v>773</v>
      </c>
      <c r="F25" s="219">
        <v>502</v>
      </c>
      <c r="G25" s="219">
        <v>77</v>
      </c>
      <c r="H25" s="220">
        <v>194</v>
      </c>
    </row>
    <row r="26" spans="1:12" x14ac:dyDescent="0.2">
      <c r="A26" s="121">
        <v>19</v>
      </c>
      <c r="B26" s="217" t="s">
        <v>169</v>
      </c>
      <c r="C26" s="219">
        <f>32265-19320</f>
        <v>12945</v>
      </c>
      <c r="D26" s="220"/>
      <c r="E26" s="213">
        <f t="shared" si="0"/>
        <v>0</v>
      </c>
      <c r="F26" s="219"/>
      <c r="G26" s="219"/>
      <c r="H26" s="220"/>
    </row>
    <row r="27" spans="1:12" x14ac:dyDescent="0.2">
      <c r="A27" s="142">
        <v>20</v>
      </c>
      <c r="B27" s="217" t="s">
        <v>403</v>
      </c>
      <c r="C27" s="219"/>
      <c r="D27" s="220"/>
      <c r="E27" s="213">
        <f t="shared" si="0"/>
        <v>476</v>
      </c>
      <c r="F27" s="219">
        <v>309</v>
      </c>
      <c r="G27" s="219">
        <v>48</v>
      </c>
      <c r="H27" s="220">
        <v>119</v>
      </c>
    </row>
    <row r="28" spans="1:12" x14ac:dyDescent="0.2">
      <c r="A28" s="142">
        <v>21</v>
      </c>
      <c r="B28" s="212" t="s">
        <v>4</v>
      </c>
      <c r="C28" s="219"/>
      <c r="D28" s="220"/>
      <c r="E28" s="213">
        <f t="shared" si="0"/>
        <v>121</v>
      </c>
      <c r="F28" s="219">
        <v>79</v>
      </c>
      <c r="G28" s="219">
        <v>12</v>
      </c>
      <c r="H28" s="220">
        <v>30</v>
      </c>
    </row>
    <row r="29" spans="1:12" ht="18" customHeight="1" x14ac:dyDescent="0.2">
      <c r="A29" s="221"/>
      <c r="B29" s="137" t="s">
        <v>52</v>
      </c>
      <c r="C29" s="222">
        <f>SUM(C8:C27)</f>
        <v>95822</v>
      </c>
      <c r="D29" s="222">
        <f>SUM(D8:D27)</f>
        <v>211651</v>
      </c>
      <c r="E29" s="222">
        <f>SUM(E8:E28)</f>
        <v>9736</v>
      </c>
      <c r="F29" s="222">
        <f>SUM(F8:F28)</f>
        <v>6312</v>
      </c>
      <c r="G29" s="222">
        <f>SUM(G8:G28)</f>
        <v>979</v>
      </c>
      <c r="H29" s="222">
        <f>SUM(H8:H28)</f>
        <v>2445</v>
      </c>
      <c r="I29" s="223"/>
      <c r="J29" s="223"/>
      <c r="K29" s="223"/>
      <c r="L29" s="223"/>
    </row>
    <row r="31" spans="1:12" x14ac:dyDescent="0.2">
      <c r="B31" s="224"/>
      <c r="C31" s="224"/>
      <c r="D31" s="224"/>
      <c r="E31" s="224"/>
      <c r="F31" s="224"/>
      <c r="G31" s="224"/>
      <c r="H31" s="224"/>
    </row>
    <row r="32" spans="1:12" x14ac:dyDescent="0.2">
      <c r="B32" s="224"/>
      <c r="C32" s="225"/>
      <c r="D32" s="225"/>
      <c r="E32" s="225"/>
      <c r="F32" s="225"/>
      <c r="G32" s="225"/>
      <c r="H32" s="225"/>
    </row>
  </sheetData>
  <mergeCells count="11">
    <mergeCell ref="F6:H6"/>
    <mergeCell ref="B1:H1"/>
    <mergeCell ref="G3:H3"/>
    <mergeCell ref="A4:A7"/>
    <mergeCell ref="B4:B7"/>
    <mergeCell ref="C4:D4"/>
    <mergeCell ref="E4:H4"/>
    <mergeCell ref="D5:H5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zoomScale="90" zoomScaleNormal="90" workbookViewId="0">
      <pane xSplit="2" ySplit="6" topLeftCell="C121" activePane="bottomRight" state="frozen"/>
      <selection pane="topRight" activeCell="C1" sqref="C1"/>
      <selection pane="bottomLeft" activeCell="A7" sqref="A7"/>
      <selection pane="bottomRight" activeCell="C124" sqref="C124"/>
    </sheetView>
  </sheetViews>
  <sheetFormatPr defaultRowHeight="12.75" x14ac:dyDescent="0.2"/>
  <cols>
    <col min="1" max="1" width="3.5703125" style="205" customWidth="1"/>
    <col min="2" max="2" width="44.5703125" style="205" customWidth="1"/>
    <col min="3" max="3" width="9.5703125" style="225" customWidth="1"/>
    <col min="4" max="5" width="8.28515625" style="225" customWidth="1"/>
    <col min="6" max="6" width="10.42578125" style="216" customWidth="1"/>
    <col min="7" max="7" width="7.85546875" style="225" customWidth="1"/>
    <col min="8" max="8" width="8.85546875" style="225" customWidth="1"/>
    <col min="9" max="9" width="8" style="225" customWidth="1"/>
    <col min="10" max="10" width="8.7109375" style="225" customWidth="1"/>
    <col min="11" max="11" width="10.140625" style="225" customWidth="1"/>
    <col min="12" max="12" width="12.42578125" style="249" customWidth="1"/>
    <col min="13" max="13" width="13" style="225" customWidth="1"/>
    <col min="14" max="16384" width="9.140625" style="205"/>
  </cols>
  <sheetData>
    <row r="1" spans="1:15" ht="42.75" customHeight="1" x14ac:dyDescent="0.25">
      <c r="A1" s="403" t="s">
        <v>431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5" ht="16.5" customHeight="1" x14ac:dyDescent="0.25">
      <c r="A2" s="226"/>
      <c r="B2" s="226"/>
      <c r="C2" s="226"/>
      <c r="D2" s="226"/>
      <c r="E2" s="226"/>
      <c r="F2" s="227"/>
      <c r="G2" s="227"/>
      <c r="H2" s="227"/>
      <c r="I2" s="227"/>
      <c r="J2" s="227"/>
      <c r="K2" s="227"/>
      <c r="L2" s="243"/>
      <c r="M2" s="227"/>
    </row>
    <row r="3" spans="1:15" s="146" customFormat="1" ht="18" customHeight="1" x14ac:dyDescent="0.2">
      <c r="A3" s="405" t="s">
        <v>0</v>
      </c>
      <c r="B3" s="405" t="s">
        <v>301</v>
      </c>
      <c r="C3" s="401" t="s">
        <v>432</v>
      </c>
      <c r="D3" s="409" t="s">
        <v>433</v>
      </c>
      <c r="E3" s="410"/>
      <c r="F3" s="400" t="s">
        <v>434</v>
      </c>
      <c r="G3" s="413" t="s">
        <v>408</v>
      </c>
      <c r="H3" s="414"/>
      <c r="I3" s="414"/>
      <c r="J3" s="414"/>
      <c r="K3" s="414"/>
      <c r="L3" s="414"/>
      <c r="M3" s="415"/>
    </row>
    <row r="4" spans="1:15" s="146" customFormat="1" ht="20.25" customHeight="1" x14ac:dyDescent="0.2">
      <c r="A4" s="406"/>
      <c r="B4" s="406"/>
      <c r="C4" s="408"/>
      <c r="D4" s="411"/>
      <c r="E4" s="412"/>
      <c r="F4" s="400"/>
      <c r="G4" s="397" t="s">
        <v>435</v>
      </c>
      <c r="H4" s="397" t="s">
        <v>436</v>
      </c>
      <c r="I4" s="397" t="s">
        <v>437</v>
      </c>
      <c r="J4" s="397" t="s">
        <v>438</v>
      </c>
      <c r="K4" s="400" t="s">
        <v>439</v>
      </c>
      <c r="L4" s="400"/>
      <c r="M4" s="400"/>
    </row>
    <row r="5" spans="1:15" s="146" customFormat="1" ht="24" customHeight="1" x14ac:dyDescent="0.2">
      <c r="A5" s="406"/>
      <c r="B5" s="406"/>
      <c r="C5" s="408"/>
      <c r="D5" s="401" t="s">
        <v>440</v>
      </c>
      <c r="E5" s="401" t="s">
        <v>441</v>
      </c>
      <c r="F5" s="400"/>
      <c r="G5" s="398"/>
      <c r="H5" s="398"/>
      <c r="I5" s="398"/>
      <c r="J5" s="398"/>
      <c r="K5" s="400" t="s">
        <v>151</v>
      </c>
      <c r="L5" s="400" t="s">
        <v>225</v>
      </c>
      <c r="M5" s="400"/>
    </row>
    <row r="6" spans="1:15" s="146" customFormat="1" ht="91.5" customHeight="1" x14ac:dyDescent="0.2">
      <c r="A6" s="407"/>
      <c r="B6" s="407"/>
      <c r="C6" s="402"/>
      <c r="D6" s="402"/>
      <c r="E6" s="402"/>
      <c r="F6" s="400"/>
      <c r="G6" s="399"/>
      <c r="H6" s="399"/>
      <c r="I6" s="399"/>
      <c r="J6" s="399"/>
      <c r="K6" s="400"/>
      <c r="L6" s="244" t="s">
        <v>316</v>
      </c>
      <c r="M6" s="228" t="s">
        <v>317</v>
      </c>
    </row>
    <row r="7" spans="1:15" ht="12.75" customHeight="1" x14ac:dyDescent="0.2">
      <c r="A7" s="121">
        <v>1</v>
      </c>
      <c r="B7" s="212" t="s">
        <v>1</v>
      </c>
      <c r="C7" s="213">
        <v>32260</v>
      </c>
      <c r="D7" s="213"/>
      <c r="E7" s="213"/>
      <c r="F7" s="213">
        <f>G7+H7+I7+J7+K7</f>
        <v>92074</v>
      </c>
      <c r="G7" s="213">
        <v>4031</v>
      </c>
      <c r="H7" s="213"/>
      <c r="I7" s="213"/>
      <c r="J7" s="213"/>
      <c r="K7" s="213">
        <f>L7+M7</f>
        <v>88043</v>
      </c>
      <c r="L7" s="245">
        <v>20998</v>
      </c>
      <c r="M7" s="213">
        <v>67045</v>
      </c>
      <c r="N7" s="216"/>
      <c r="O7" s="216"/>
    </row>
    <row r="8" spans="1:15" ht="15.75" customHeight="1" x14ac:dyDescent="0.2">
      <c r="A8" s="121">
        <v>2</v>
      </c>
      <c r="B8" s="212" t="s">
        <v>318</v>
      </c>
      <c r="C8" s="213">
        <v>1100</v>
      </c>
      <c r="D8" s="213"/>
      <c r="E8" s="213"/>
      <c r="F8" s="213">
        <f t="shared" ref="F8:F72" si="0">G8+H8+I8+J8+K8</f>
        <v>14751</v>
      </c>
      <c r="G8" s="213"/>
      <c r="H8" s="213">
        <v>14751</v>
      </c>
      <c r="I8" s="213"/>
      <c r="J8" s="213"/>
      <c r="K8" s="213">
        <f t="shared" ref="K8:K72" si="1">L8+M8</f>
        <v>0</v>
      </c>
      <c r="L8" s="245"/>
      <c r="M8" s="213"/>
      <c r="N8" s="216"/>
      <c r="O8" s="216"/>
    </row>
    <row r="9" spans="1:15" ht="13.5" customHeight="1" x14ac:dyDescent="0.2">
      <c r="A9" s="121">
        <v>3</v>
      </c>
      <c r="B9" s="217" t="s">
        <v>2</v>
      </c>
      <c r="C9" s="213">
        <v>32272</v>
      </c>
      <c r="D9" s="213"/>
      <c r="E9" s="213"/>
      <c r="F9" s="213">
        <f t="shared" si="0"/>
        <v>96246</v>
      </c>
      <c r="G9" s="213"/>
      <c r="H9" s="213"/>
      <c r="I9" s="213"/>
      <c r="J9" s="213"/>
      <c r="K9" s="213">
        <f t="shared" si="1"/>
        <v>96246</v>
      </c>
      <c r="L9" s="245">
        <v>22952</v>
      </c>
      <c r="M9" s="213">
        <v>73294</v>
      </c>
      <c r="N9" s="216"/>
      <c r="O9" s="216"/>
    </row>
    <row r="10" spans="1:15" ht="12.75" customHeight="1" x14ac:dyDescent="0.2">
      <c r="A10" s="121">
        <v>4</v>
      </c>
      <c r="B10" s="217" t="s">
        <v>319</v>
      </c>
      <c r="C10" s="213">
        <v>1800</v>
      </c>
      <c r="D10" s="213"/>
      <c r="E10" s="213"/>
      <c r="F10" s="213">
        <f t="shared" si="0"/>
        <v>8940</v>
      </c>
      <c r="G10" s="213"/>
      <c r="H10" s="213">
        <v>8940</v>
      </c>
      <c r="I10" s="213"/>
      <c r="J10" s="213"/>
      <c r="K10" s="213">
        <f t="shared" si="1"/>
        <v>0</v>
      </c>
      <c r="L10" s="245"/>
      <c r="M10" s="213"/>
      <c r="N10" s="216"/>
      <c r="O10" s="216"/>
    </row>
    <row r="11" spans="1:15" ht="13.5" customHeight="1" x14ac:dyDescent="0.2">
      <c r="A11" s="270">
        <v>5</v>
      </c>
      <c r="B11" s="215" t="s">
        <v>3</v>
      </c>
      <c r="C11" s="213">
        <v>75909</v>
      </c>
      <c r="D11" s="213"/>
      <c r="E11" s="213"/>
      <c r="F11" s="213">
        <f t="shared" si="0"/>
        <v>237255</v>
      </c>
      <c r="G11" s="213">
        <v>6647</v>
      </c>
      <c r="H11" s="213"/>
      <c r="I11" s="213"/>
      <c r="J11" s="213"/>
      <c r="K11" s="213">
        <f t="shared" si="1"/>
        <v>230608</v>
      </c>
      <c r="L11" s="245">
        <v>59601</v>
      </c>
      <c r="M11" s="213">
        <v>171007</v>
      </c>
      <c r="N11" s="216"/>
      <c r="O11" s="216"/>
    </row>
    <row r="12" spans="1:15" s="230" customFormat="1" ht="37.5" customHeight="1" x14ac:dyDescent="0.2">
      <c r="A12" s="271"/>
      <c r="B12" s="124" t="s">
        <v>320</v>
      </c>
      <c r="C12" s="229">
        <v>9837</v>
      </c>
      <c r="D12" s="229"/>
      <c r="E12" s="229"/>
      <c r="F12" s="229">
        <f t="shared" si="0"/>
        <v>30360</v>
      </c>
      <c r="G12" s="229"/>
      <c r="H12" s="229"/>
      <c r="I12" s="229"/>
      <c r="J12" s="229"/>
      <c r="K12" s="229">
        <f t="shared" si="1"/>
        <v>30360</v>
      </c>
      <c r="L12" s="246">
        <v>8266</v>
      </c>
      <c r="M12" s="229">
        <v>22094</v>
      </c>
      <c r="N12" s="216"/>
      <c r="O12" s="216"/>
    </row>
    <row r="13" spans="1:15" ht="15" customHeight="1" x14ac:dyDescent="0.2">
      <c r="A13" s="121">
        <v>6</v>
      </c>
      <c r="B13" s="217" t="s">
        <v>4</v>
      </c>
      <c r="C13" s="213">
        <v>25538</v>
      </c>
      <c r="D13" s="213"/>
      <c r="E13" s="213"/>
      <c r="F13" s="213">
        <f t="shared" si="0"/>
        <v>78888</v>
      </c>
      <c r="G13" s="213"/>
      <c r="H13" s="213"/>
      <c r="I13" s="213"/>
      <c r="J13" s="213"/>
      <c r="K13" s="213">
        <f t="shared" si="1"/>
        <v>78888</v>
      </c>
      <c r="L13" s="245">
        <v>24352</v>
      </c>
      <c r="M13" s="213">
        <v>54536</v>
      </c>
      <c r="N13" s="216"/>
      <c r="O13" s="216"/>
    </row>
    <row r="14" spans="1:15" ht="12.75" customHeight="1" x14ac:dyDescent="0.2">
      <c r="A14" s="121">
        <v>7</v>
      </c>
      <c r="B14" s="217" t="s">
        <v>5</v>
      </c>
      <c r="C14" s="213">
        <v>11158</v>
      </c>
      <c r="D14" s="213"/>
      <c r="E14" s="213"/>
      <c r="F14" s="213">
        <f t="shared" si="0"/>
        <v>34479</v>
      </c>
      <c r="G14" s="213"/>
      <c r="H14" s="213"/>
      <c r="I14" s="213"/>
      <c r="J14" s="213"/>
      <c r="K14" s="213">
        <f t="shared" si="1"/>
        <v>34479</v>
      </c>
      <c r="L14" s="245">
        <v>7539</v>
      </c>
      <c r="M14" s="213">
        <v>26940</v>
      </c>
      <c r="N14" s="216"/>
      <c r="O14" s="216"/>
    </row>
    <row r="15" spans="1:15" ht="12.75" customHeight="1" x14ac:dyDescent="0.2">
      <c r="A15" s="121">
        <v>8</v>
      </c>
      <c r="B15" s="217" t="s">
        <v>6</v>
      </c>
      <c r="C15" s="213">
        <v>11531</v>
      </c>
      <c r="D15" s="213"/>
      <c r="E15" s="213"/>
      <c r="F15" s="213">
        <f t="shared" si="0"/>
        <v>35979</v>
      </c>
      <c r="G15" s="213"/>
      <c r="H15" s="213"/>
      <c r="I15" s="213"/>
      <c r="J15" s="213"/>
      <c r="K15" s="213">
        <f t="shared" si="1"/>
        <v>35979</v>
      </c>
      <c r="L15" s="245">
        <f>7197+371</f>
        <v>7568</v>
      </c>
      <c r="M15" s="213">
        <v>28411</v>
      </c>
      <c r="N15" s="216"/>
      <c r="O15" s="216"/>
    </row>
    <row r="16" spans="1:15" ht="12.75" customHeight="1" x14ac:dyDescent="0.2">
      <c r="A16" s="121">
        <v>9</v>
      </c>
      <c r="B16" s="217" t="s">
        <v>7</v>
      </c>
      <c r="C16" s="213">
        <v>12468</v>
      </c>
      <c r="D16" s="213"/>
      <c r="E16" s="213"/>
      <c r="F16" s="213">
        <f t="shared" si="0"/>
        <v>38493</v>
      </c>
      <c r="G16" s="213"/>
      <c r="H16" s="213"/>
      <c r="I16" s="213"/>
      <c r="J16" s="213"/>
      <c r="K16" s="213">
        <f t="shared" si="1"/>
        <v>38493</v>
      </c>
      <c r="L16" s="245">
        <v>8233</v>
      </c>
      <c r="M16" s="213">
        <v>30260</v>
      </c>
      <c r="N16" s="216"/>
      <c r="O16" s="216"/>
    </row>
    <row r="17" spans="1:15" ht="12.75" customHeight="1" x14ac:dyDescent="0.2">
      <c r="A17" s="121">
        <v>10</v>
      </c>
      <c r="B17" s="217" t="s">
        <v>8</v>
      </c>
      <c r="C17" s="213">
        <v>13193</v>
      </c>
      <c r="D17" s="213"/>
      <c r="E17" s="213"/>
      <c r="F17" s="213">
        <f t="shared" si="0"/>
        <v>40755</v>
      </c>
      <c r="G17" s="213"/>
      <c r="H17" s="213"/>
      <c r="I17" s="213"/>
      <c r="J17" s="213"/>
      <c r="K17" s="213">
        <f t="shared" si="1"/>
        <v>40755</v>
      </c>
      <c r="L17" s="245">
        <v>9493</v>
      </c>
      <c r="M17" s="213">
        <v>31262</v>
      </c>
      <c r="N17" s="216"/>
      <c r="O17" s="216"/>
    </row>
    <row r="18" spans="1:15" ht="13.5" customHeight="1" x14ac:dyDescent="0.2">
      <c r="A18" s="121">
        <v>11</v>
      </c>
      <c r="B18" s="215" t="s">
        <v>9</v>
      </c>
      <c r="C18" s="213">
        <v>14071</v>
      </c>
      <c r="D18" s="213"/>
      <c r="E18" s="213"/>
      <c r="F18" s="213">
        <f t="shared" si="0"/>
        <v>43481</v>
      </c>
      <c r="G18" s="213"/>
      <c r="H18" s="213"/>
      <c r="I18" s="213"/>
      <c r="J18" s="213"/>
      <c r="K18" s="213">
        <f t="shared" si="1"/>
        <v>43481</v>
      </c>
      <c r="L18" s="245">
        <v>14403</v>
      </c>
      <c r="M18" s="213">
        <v>29078</v>
      </c>
      <c r="N18" s="216"/>
      <c r="O18" s="216"/>
    </row>
    <row r="19" spans="1:15" ht="15" customHeight="1" x14ac:dyDescent="0.2">
      <c r="A19" s="121">
        <v>12</v>
      </c>
      <c r="B19" s="217" t="s">
        <v>10</v>
      </c>
      <c r="C19" s="213">
        <v>13080</v>
      </c>
      <c r="D19" s="213"/>
      <c r="E19" s="213"/>
      <c r="F19" s="213">
        <f t="shared" si="0"/>
        <v>40406</v>
      </c>
      <c r="G19" s="213"/>
      <c r="H19" s="213"/>
      <c r="I19" s="213"/>
      <c r="J19" s="213"/>
      <c r="K19" s="213">
        <f t="shared" si="1"/>
        <v>40406</v>
      </c>
      <c r="L19" s="245">
        <v>9328</v>
      </c>
      <c r="M19" s="213">
        <v>31078</v>
      </c>
      <c r="N19" s="216"/>
      <c r="O19" s="216"/>
    </row>
    <row r="20" spans="1:15" ht="12.75" customHeight="1" x14ac:dyDescent="0.2">
      <c r="A20" s="121">
        <v>13</v>
      </c>
      <c r="B20" s="215" t="s">
        <v>71</v>
      </c>
      <c r="C20" s="213">
        <v>15307</v>
      </c>
      <c r="D20" s="213"/>
      <c r="E20" s="213"/>
      <c r="F20" s="213">
        <f t="shared" si="0"/>
        <v>47274</v>
      </c>
      <c r="G20" s="213"/>
      <c r="H20" s="213"/>
      <c r="I20" s="213"/>
      <c r="J20" s="213"/>
      <c r="K20" s="213">
        <f t="shared" si="1"/>
        <v>47274</v>
      </c>
      <c r="L20" s="245">
        <v>11129</v>
      </c>
      <c r="M20" s="213">
        <v>36145</v>
      </c>
      <c r="N20" s="216"/>
      <c r="O20" s="216"/>
    </row>
    <row r="21" spans="1:15" ht="15" customHeight="1" x14ac:dyDescent="0.2">
      <c r="A21" s="121">
        <v>14</v>
      </c>
      <c r="B21" s="217" t="s">
        <v>11</v>
      </c>
      <c r="C21" s="213">
        <v>12907</v>
      </c>
      <c r="D21" s="213"/>
      <c r="E21" s="213"/>
      <c r="F21" s="213">
        <f t="shared" si="0"/>
        <v>39895</v>
      </c>
      <c r="G21" s="213"/>
      <c r="H21" s="213"/>
      <c r="I21" s="213"/>
      <c r="J21" s="213"/>
      <c r="K21" s="213">
        <f t="shared" si="1"/>
        <v>39895</v>
      </c>
      <c r="L21" s="245">
        <v>8442</v>
      </c>
      <c r="M21" s="213">
        <v>31453</v>
      </c>
      <c r="N21" s="216"/>
      <c r="O21" s="216"/>
    </row>
    <row r="22" spans="1:15" ht="10.5" customHeight="1" x14ac:dyDescent="0.2">
      <c r="A22" s="121">
        <v>15</v>
      </c>
      <c r="B22" s="217" t="s">
        <v>321</v>
      </c>
      <c r="C22" s="213">
        <v>0</v>
      </c>
      <c r="D22" s="213"/>
      <c r="E22" s="213"/>
      <c r="F22" s="213">
        <f t="shared" si="0"/>
        <v>0</v>
      </c>
      <c r="G22" s="213"/>
      <c r="H22" s="213">
        <f>150-150</f>
        <v>0</v>
      </c>
      <c r="I22" s="213"/>
      <c r="J22" s="213"/>
      <c r="K22" s="213">
        <f t="shared" si="1"/>
        <v>0</v>
      </c>
      <c r="L22" s="245"/>
      <c r="M22" s="213"/>
      <c r="N22" s="216"/>
      <c r="O22" s="216"/>
    </row>
    <row r="23" spans="1:15" ht="12" customHeight="1" x14ac:dyDescent="0.2">
      <c r="A23" s="121">
        <v>16</v>
      </c>
      <c r="B23" s="215" t="s">
        <v>72</v>
      </c>
      <c r="C23" s="213">
        <v>80</v>
      </c>
      <c r="D23" s="213"/>
      <c r="E23" s="213"/>
      <c r="F23" s="213">
        <f t="shared" si="0"/>
        <v>572</v>
      </c>
      <c r="G23" s="213"/>
      <c r="H23" s="213">
        <v>572</v>
      </c>
      <c r="I23" s="213"/>
      <c r="J23" s="213"/>
      <c r="K23" s="213">
        <f t="shared" si="1"/>
        <v>0</v>
      </c>
      <c r="L23" s="245"/>
      <c r="M23" s="213"/>
      <c r="N23" s="216"/>
      <c r="O23" s="216"/>
    </row>
    <row r="24" spans="1:15" ht="13.5" customHeight="1" x14ac:dyDescent="0.2">
      <c r="A24" s="121">
        <v>17</v>
      </c>
      <c r="B24" s="217" t="s">
        <v>442</v>
      </c>
      <c r="C24" s="213">
        <v>80</v>
      </c>
      <c r="D24" s="213"/>
      <c r="E24" s="213"/>
      <c r="F24" s="213">
        <f t="shared" si="0"/>
        <v>572</v>
      </c>
      <c r="G24" s="213"/>
      <c r="H24" s="213">
        <v>572</v>
      </c>
      <c r="I24" s="213"/>
      <c r="J24" s="213"/>
      <c r="K24" s="213">
        <f t="shared" si="1"/>
        <v>0</v>
      </c>
      <c r="L24" s="245"/>
      <c r="M24" s="213"/>
      <c r="N24" s="216"/>
      <c r="O24" s="216"/>
    </row>
    <row r="25" spans="1:15" ht="12.75" customHeight="1" x14ac:dyDescent="0.2">
      <c r="A25" s="121">
        <v>18</v>
      </c>
      <c r="B25" s="217" t="s">
        <v>322</v>
      </c>
      <c r="C25" s="213">
        <v>80</v>
      </c>
      <c r="D25" s="213"/>
      <c r="E25" s="213"/>
      <c r="F25" s="213">
        <f t="shared" si="0"/>
        <v>572</v>
      </c>
      <c r="G25" s="213"/>
      <c r="H25" s="213">
        <v>572</v>
      </c>
      <c r="I25" s="213"/>
      <c r="J25" s="213"/>
      <c r="K25" s="213">
        <f t="shared" si="1"/>
        <v>0</v>
      </c>
      <c r="L25" s="245"/>
      <c r="M25" s="213"/>
      <c r="N25" s="216"/>
      <c r="O25" s="216"/>
    </row>
    <row r="26" spans="1:15" ht="13.5" customHeight="1" x14ac:dyDescent="0.2">
      <c r="A26" s="121">
        <v>19</v>
      </c>
      <c r="B26" s="217" t="s">
        <v>323</v>
      </c>
      <c r="C26" s="213">
        <v>0</v>
      </c>
      <c r="D26" s="213"/>
      <c r="E26" s="213"/>
      <c r="F26" s="213">
        <f t="shared" si="0"/>
        <v>597</v>
      </c>
      <c r="G26" s="213"/>
      <c r="H26" s="213">
        <v>597</v>
      </c>
      <c r="I26" s="213"/>
      <c r="J26" s="213"/>
      <c r="K26" s="213">
        <f t="shared" si="1"/>
        <v>0</v>
      </c>
      <c r="L26" s="245"/>
      <c r="M26" s="213"/>
      <c r="N26" s="216"/>
      <c r="O26" s="216"/>
    </row>
    <row r="27" spans="1:15" ht="23.25" customHeight="1" x14ac:dyDescent="0.2">
      <c r="A27" s="121">
        <v>20</v>
      </c>
      <c r="B27" s="217" t="s">
        <v>443</v>
      </c>
      <c r="C27" s="213">
        <v>80</v>
      </c>
      <c r="D27" s="213"/>
      <c r="E27" s="213"/>
      <c r="F27" s="213">
        <f t="shared" si="0"/>
        <v>572</v>
      </c>
      <c r="G27" s="213"/>
      <c r="H27" s="213">
        <v>572</v>
      </c>
      <c r="I27" s="213"/>
      <c r="J27" s="213"/>
      <c r="K27" s="213">
        <f t="shared" si="1"/>
        <v>0</v>
      </c>
      <c r="L27" s="245"/>
      <c r="M27" s="213"/>
      <c r="N27" s="216"/>
      <c r="O27" s="216"/>
    </row>
    <row r="28" spans="1:15" ht="23.25" customHeight="1" x14ac:dyDescent="0.2">
      <c r="A28" s="121"/>
      <c r="B28" s="217" t="s">
        <v>444</v>
      </c>
      <c r="C28" s="213"/>
      <c r="D28" s="213"/>
      <c r="E28" s="213"/>
      <c r="F28" s="213">
        <f t="shared" si="0"/>
        <v>573</v>
      </c>
      <c r="G28" s="213"/>
      <c r="H28" s="213">
        <v>573</v>
      </c>
      <c r="I28" s="213"/>
      <c r="J28" s="213"/>
      <c r="K28" s="213"/>
      <c r="L28" s="245"/>
      <c r="M28" s="213"/>
      <c r="N28" s="216"/>
      <c r="O28" s="216"/>
    </row>
    <row r="29" spans="1:15" ht="10.5" customHeight="1" x14ac:dyDescent="0.2">
      <c r="A29" s="121">
        <v>21</v>
      </c>
      <c r="B29" s="217" t="s">
        <v>445</v>
      </c>
      <c r="C29" s="213">
        <v>0</v>
      </c>
      <c r="D29" s="213"/>
      <c r="E29" s="213"/>
      <c r="F29" s="213">
        <f t="shared" si="0"/>
        <v>572</v>
      </c>
      <c r="G29" s="213"/>
      <c r="H29" s="213">
        <v>572</v>
      </c>
      <c r="I29" s="213"/>
      <c r="J29" s="213"/>
      <c r="K29" s="213">
        <f t="shared" si="1"/>
        <v>0</v>
      </c>
      <c r="L29" s="245"/>
      <c r="M29" s="213"/>
      <c r="N29" s="216"/>
      <c r="O29" s="216"/>
    </row>
    <row r="30" spans="1:15" ht="13.5" customHeight="1" x14ac:dyDescent="0.2">
      <c r="A30" s="121">
        <v>22</v>
      </c>
      <c r="B30" s="215" t="s">
        <v>446</v>
      </c>
      <c r="C30" s="213">
        <v>80</v>
      </c>
      <c r="D30" s="213"/>
      <c r="E30" s="213"/>
      <c r="F30" s="213">
        <f t="shared" si="0"/>
        <v>572</v>
      </c>
      <c r="G30" s="213"/>
      <c r="H30" s="213">
        <v>572</v>
      </c>
      <c r="I30" s="213"/>
      <c r="J30" s="213"/>
      <c r="K30" s="213">
        <f t="shared" si="1"/>
        <v>0</v>
      </c>
      <c r="L30" s="245"/>
      <c r="M30" s="213"/>
      <c r="N30" s="216"/>
      <c r="O30" s="216"/>
    </row>
    <row r="31" spans="1:15" s="127" customFormat="1" ht="15" customHeight="1" x14ac:dyDescent="0.2">
      <c r="A31" s="121">
        <v>23</v>
      </c>
      <c r="B31" s="217" t="s">
        <v>324</v>
      </c>
      <c r="C31" s="213">
        <v>0</v>
      </c>
      <c r="D31" s="213"/>
      <c r="E31" s="213"/>
      <c r="F31" s="213">
        <f t="shared" si="0"/>
        <v>0</v>
      </c>
      <c r="G31" s="213"/>
      <c r="H31" s="213">
        <f>25-25</f>
        <v>0</v>
      </c>
      <c r="I31" s="213"/>
      <c r="J31" s="213"/>
      <c r="K31" s="213">
        <f t="shared" si="1"/>
        <v>0</v>
      </c>
      <c r="L31" s="245"/>
      <c r="M31" s="213"/>
      <c r="N31" s="216"/>
      <c r="O31" s="216"/>
    </row>
    <row r="32" spans="1:15" ht="12" customHeight="1" x14ac:dyDescent="0.2">
      <c r="A32" s="121">
        <v>24</v>
      </c>
      <c r="B32" s="217" t="s">
        <v>447</v>
      </c>
      <c r="C32" s="213">
        <v>0</v>
      </c>
      <c r="D32" s="213"/>
      <c r="E32" s="213"/>
      <c r="F32" s="213">
        <f t="shared" si="0"/>
        <v>325</v>
      </c>
      <c r="G32" s="213"/>
      <c r="H32" s="213">
        <v>325</v>
      </c>
      <c r="I32" s="213"/>
      <c r="J32" s="213"/>
      <c r="K32" s="213">
        <f t="shared" si="1"/>
        <v>0</v>
      </c>
      <c r="L32" s="245"/>
      <c r="M32" s="213"/>
      <c r="N32" s="216"/>
      <c r="O32" s="216"/>
    </row>
    <row r="33" spans="1:15" ht="10.5" customHeight="1" x14ac:dyDescent="0.2">
      <c r="A33" s="121">
        <v>25</v>
      </c>
      <c r="B33" s="217" t="s">
        <v>448</v>
      </c>
      <c r="C33" s="213">
        <v>0</v>
      </c>
      <c r="D33" s="213"/>
      <c r="E33" s="213"/>
      <c r="F33" s="213">
        <f t="shared" si="0"/>
        <v>572</v>
      </c>
      <c r="G33" s="213"/>
      <c r="H33" s="213">
        <v>572</v>
      </c>
      <c r="I33" s="213"/>
      <c r="J33" s="213"/>
      <c r="K33" s="213">
        <f t="shared" si="1"/>
        <v>0</v>
      </c>
      <c r="L33" s="245"/>
      <c r="M33" s="213"/>
      <c r="N33" s="216"/>
      <c r="O33" s="216"/>
    </row>
    <row r="34" spans="1:15" ht="15" customHeight="1" x14ac:dyDescent="0.2">
      <c r="A34" s="121">
        <v>26</v>
      </c>
      <c r="B34" s="217" t="s">
        <v>73</v>
      </c>
      <c r="C34" s="213">
        <v>0</v>
      </c>
      <c r="D34" s="213"/>
      <c r="E34" s="213"/>
      <c r="F34" s="213">
        <f t="shared" si="0"/>
        <v>275</v>
      </c>
      <c r="G34" s="213"/>
      <c r="H34" s="213">
        <v>275</v>
      </c>
      <c r="I34" s="213"/>
      <c r="J34" s="213"/>
      <c r="K34" s="213">
        <f t="shared" si="1"/>
        <v>0</v>
      </c>
      <c r="L34" s="245"/>
      <c r="M34" s="213"/>
      <c r="N34" s="216"/>
      <c r="O34" s="216"/>
    </row>
    <row r="35" spans="1:15" ht="12.75" customHeight="1" x14ac:dyDescent="0.2">
      <c r="A35" s="121">
        <v>27</v>
      </c>
      <c r="B35" s="217" t="s">
        <v>161</v>
      </c>
      <c r="C35" s="213">
        <v>33205</v>
      </c>
      <c r="D35" s="213"/>
      <c r="E35" s="213"/>
      <c r="F35" s="213">
        <f t="shared" si="0"/>
        <v>95011</v>
      </c>
      <c r="G35" s="213">
        <v>3819</v>
      </c>
      <c r="H35" s="213"/>
      <c r="I35" s="213"/>
      <c r="J35" s="213"/>
      <c r="K35" s="213">
        <f t="shared" si="1"/>
        <v>91192</v>
      </c>
      <c r="L35" s="245">
        <v>20236</v>
      </c>
      <c r="M35" s="213">
        <v>70956</v>
      </c>
      <c r="N35" s="216"/>
      <c r="O35" s="216"/>
    </row>
    <row r="36" spans="1:15" ht="15" customHeight="1" x14ac:dyDescent="0.2">
      <c r="A36" s="121">
        <v>28</v>
      </c>
      <c r="B36" s="231" t="s">
        <v>326</v>
      </c>
      <c r="C36" s="213">
        <v>1800</v>
      </c>
      <c r="D36" s="213"/>
      <c r="E36" s="213"/>
      <c r="F36" s="213">
        <f t="shared" si="0"/>
        <v>16986</v>
      </c>
      <c r="G36" s="213"/>
      <c r="H36" s="213">
        <v>16986</v>
      </c>
      <c r="I36" s="213"/>
      <c r="J36" s="213"/>
      <c r="K36" s="213">
        <f t="shared" si="1"/>
        <v>0</v>
      </c>
      <c r="L36" s="245"/>
      <c r="M36" s="213"/>
      <c r="N36" s="216"/>
      <c r="O36" s="216"/>
    </row>
    <row r="37" spans="1:15" ht="12.75" customHeight="1" x14ac:dyDescent="0.2">
      <c r="A37" s="121">
        <v>29</v>
      </c>
      <c r="B37" s="217" t="s">
        <v>12</v>
      </c>
      <c r="C37" s="213">
        <v>32546</v>
      </c>
      <c r="D37" s="213"/>
      <c r="E37" s="213"/>
      <c r="F37" s="213">
        <f t="shared" si="0"/>
        <v>98135</v>
      </c>
      <c r="G37" s="213"/>
      <c r="H37" s="213"/>
      <c r="I37" s="213"/>
      <c r="J37" s="213"/>
      <c r="K37" s="213">
        <f t="shared" si="1"/>
        <v>98135</v>
      </c>
      <c r="L37" s="245">
        <v>28124</v>
      </c>
      <c r="M37" s="213">
        <v>70011</v>
      </c>
      <c r="N37" s="216"/>
      <c r="O37" s="216"/>
    </row>
    <row r="38" spans="1:15" ht="12.75" customHeight="1" x14ac:dyDescent="0.2">
      <c r="A38" s="121">
        <v>30</v>
      </c>
      <c r="B38" s="217" t="s">
        <v>13</v>
      </c>
      <c r="C38" s="213">
        <v>58312</v>
      </c>
      <c r="D38" s="213"/>
      <c r="E38" s="213"/>
      <c r="F38" s="213">
        <f t="shared" si="0"/>
        <v>185640</v>
      </c>
      <c r="G38" s="213">
        <v>5532</v>
      </c>
      <c r="H38" s="213"/>
      <c r="I38" s="213"/>
      <c r="J38" s="213"/>
      <c r="K38" s="213">
        <f t="shared" si="1"/>
        <v>180108</v>
      </c>
      <c r="L38" s="245">
        <v>53568</v>
      </c>
      <c r="M38" s="213">
        <v>126540</v>
      </c>
      <c r="N38" s="216"/>
      <c r="O38" s="216"/>
    </row>
    <row r="39" spans="1:15" ht="12.75" customHeight="1" x14ac:dyDescent="0.2">
      <c r="A39" s="121">
        <v>31</v>
      </c>
      <c r="B39" s="217" t="s">
        <v>14</v>
      </c>
      <c r="C39" s="213">
        <v>41028</v>
      </c>
      <c r="D39" s="213"/>
      <c r="E39" s="213"/>
      <c r="F39" s="213">
        <f t="shared" si="0"/>
        <v>126735</v>
      </c>
      <c r="G39" s="213"/>
      <c r="H39" s="213"/>
      <c r="I39" s="213"/>
      <c r="J39" s="213"/>
      <c r="K39" s="213">
        <f t="shared" si="1"/>
        <v>126735</v>
      </c>
      <c r="L39" s="245">
        <v>44440</v>
      </c>
      <c r="M39" s="213">
        <v>82295</v>
      </c>
      <c r="N39" s="216"/>
      <c r="O39" s="216"/>
    </row>
    <row r="40" spans="1:15" ht="12.75" customHeight="1" x14ac:dyDescent="0.2">
      <c r="A40" s="121">
        <v>32</v>
      </c>
      <c r="B40" s="217" t="s">
        <v>327</v>
      </c>
      <c r="C40" s="213">
        <v>7734</v>
      </c>
      <c r="D40" s="213"/>
      <c r="E40" s="213"/>
      <c r="F40" s="213">
        <f t="shared" si="0"/>
        <v>24445</v>
      </c>
      <c r="G40" s="213"/>
      <c r="H40" s="213"/>
      <c r="I40" s="213"/>
      <c r="J40" s="213"/>
      <c r="K40" s="213">
        <f t="shared" si="1"/>
        <v>24445</v>
      </c>
      <c r="L40" s="245">
        <v>7882</v>
      </c>
      <c r="M40" s="213">
        <v>16563</v>
      </c>
      <c r="N40" s="216"/>
      <c r="O40" s="216"/>
    </row>
    <row r="41" spans="1:15" ht="13.5" customHeight="1" x14ac:dyDescent="0.2">
      <c r="A41" s="121">
        <v>33</v>
      </c>
      <c r="B41" s="217" t="s">
        <v>15</v>
      </c>
      <c r="C41" s="213">
        <v>17003</v>
      </c>
      <c r="D41" s="213"/>
      <c r="E41" s="213"/>
      <c r="F41" s="213">
        <f t="shared" si="0"/>
        <v>52562</v>
      </c>
      <c r="G41" s="213"/>
      <c r="H41" s="213"/>
      <c r="I41" s="213"/>
      <c r="J41" s="213"/>
      <c r="K41" s="213">
        <f t="shared" si="1"/>
        <v>52562</v>
      </c>
      <c r="L41" s="245">
        <v>10345</v>
      </c>
      <c r="M41" s="213">
        <v>42217</v>
      </c>
      <c r="N41" s="216"/>
      <c r="O41" s="216"/>
    </row>
    <row r="42" spans="1:15" ht="12.75" customHeight="1" x14ac:dyDescent="0.2">
      <c r="A42" s="121">
        <v>34</v>
      </c>
      <c r="B42" s="217" t="s">
        <v>16</v>
      </c>
      <c r="C42" s="213">
        <v>22442</v>
      </c>
      <c r="D42" s="213"/>
      <c r="E42" s="213"/>
      <c r="F42" s="213">
        <f t="shared" si="0"/>
        <v>69198</v>
      </c>
      <c r="G42" s="213"/>
      <c r="H42" s="213"/>
      <c r="I42" s="213"/>
      <c r="J42" s="213"/>
      <c r="K42" s="213">
        <f t="shared" si="1"/>
        <v>69198</v>
      </c>
      <c r="L42" s="245">
        <v>8819</v>
      </c>
      <c r="M42" s="213">
        <v>60379</v>
      </c>
      <c r="N42" s="216"/>
      <c r="O42" s="216"/>
    </row>
    <row r="43" spans="1:15" ht="15" customHeight="1" x14ac:dyDescent="0.2">
      <c r="A43" s="121">
        <v>35</v>
      </c>
      <c r="B43" s="217" t="s">
        <v>17</v>
      </c>
      <c r="C43" s="213">
        <v>9634</v>
      </c>
      <c r="D43" s="213"/>
      <c r="E43" s="213"/>
      <c r="F43" s="213">
        <f t="shared" si="0"/>
        <v>31066</v>
      </c>
      <c r="G43" s="213"/>
      <c r="H43" s="213"/>
      <c r="I43" s="213"/>
      <c r="J43" s="213"/>
      <c r="K43" s="213">
        <f t="shared" si="1"/>
        <v>31066</v>
      </c>
      <c r="L43" s="245">
        <f>8932+258+1000</f>
        <v>10190</v>
      </c>
      <c r="M43" s="213">
        <v>20876</v>
      </c>
      <c r="N43" s="216"/>
      <c r="O43" s="216"/>
    </row>
    <row r="44" spans="1:15" ht="13.5" customHeight="1" x14ac:dyDescent="0.2">
      <c r="A44" s="121">
        <v>36</v>
      </c>
      <c r="B44" s="217" t="s">
        <v>18</v>
      </c>
      <c r="C44" s="213">
        <v>8036</v>
      </c>
      <c r="D44" s="213"/>
      <c r="E44" s="213"/>
      <c r="F44" s="213">
        <f t="shared" si="0"/>
        <v>24832</v>
      </c>
      <c r="G44" s="213"/>
      <c r="H44" s="213"/>
      <c r="I44" s="213"/>
      <c r="J44" s="213"/>
      <c r="K44" s="213">
        <f t="shared" si="1"/>
        <v>24832</v>
      </c>
      <c r="L44" s="245">
        <v>4630</v>
      </c>
      <c r="M44" s="213">
        <v>20202</v>
      </c>
      <c r="N44" s="216"/>
      <c r="O44" s="216"/>
    </row>
    <row r="45" spans="1:15" ht="13.5" customHeight="1" x14ac:dyDescent="0.2">
      <c r="A45" s="121">
        <v>37</v>
      </c>
      <c r="B45" s="217" t="s">
        <v>449</v>
      </c>
      <c r="C45" s="213">
        <v>0</v>
      </c>
      <c r="D45" s="213"/>
      <c r="E45" s="213"/>
      <c r="F45" s="213">
        <f t="shared" si="0"/>
        <v>670</v>
      </c>
      <c r="G45" s="213"/>
      <c r="H45" s="213">
        <v>670</v>
      </c>
      <c r="I45" s="213"/>
      <c r="J45" s="213"/>
      <c r="K45" s="213">
        <f t="shared" si="1"/>
        <v>0</v>
      </c>
      <c r="L45" s="245"/>
      <c r="M45" s="213"/>
      <c r="N45" s="216"/>
      <c r="O45" s="216"/>
    </row>
    <row r="46" spans="1:15" ht="12.75" customHeight="1" x14ac:dyDescent="0.2">
      <c r="A46" s="121">
        <v>38</v>
      </c>
      <c r="B46" s="217" t="s">
        <v>450</v>
      </c>
      <c r="C46" s="213">
        <v>0</v>
      </c>
      <c r="D46" s="213"/>
      <c r="E46" s="213"/>
      <c r="F46" s="213">
        <f t="shared" si="0"/>
        <v>1788</v>
      </c>
      <c r="G46" s="213"/>
      <c r="H46" s="213">
        <v>1788</v>
      </c>
      <c r="I46" s="213"/>
      <c r="J46" s="213"/>
      <c r="K46" s="213">
        <f t="shared" si="1"/>
        <v>0</v>
      </c>
      <c r="L46" s="245"/>
      <c r="M46" s="213"/>
      <c r="N46" s="216"/>
      <c r="O46" s="216"/>
    </row>
    <row r="47" spans="1:15" ht="12.75" customHeight="1" x14ac:dyDescent="0.2">
      <c r="A47" s="121">
        <v>39</v>
      </c>
      <c r="B47" s="217" t="s">
        <v>328</v>
      </c>
      <c r="C47" s="213">
        <v>0</v>
      </c>
      <c r="D47" s="213"/>
      <c r="E47" s="213"/>
      <c r="F47" s="213">
        <f t="shared" si="0"/>
        <v>36</v>
      </c>
      <c r="G47" s="213"/>
      <c r="H47" s="213">
        <f>200-164</f>
        <v>36</v>
      </c>
      <c r="I47" s="213"/>
      <c r="J47" s="213"/>
      <c r="K47" s="213">
        <f t="shared" si="1"/>
        <v>0</v>
      </c>
      <c r="L47" s="245"/>
      <c r="M47" s="213"/>
      <c r="N47" s="216"/>
      <c r="O47" s="216"/>
    </row>
    <row r="48" spans="1:15" ht="14.25" customHeight="1" x14ac:dyDescent="0.2">
      <c r="A48" s="121">
        <v>40</v>
      </c>
      <c r="B48" s="217" t="s">
        <v>329</v>
      </c>
      <c r="C48" s="213">
        <v>32781</v>
      </c>
      <c r="D48" s="213">
        <v>6211</v>
      </c>
      <c r="E48" s="213"/>
      <c r="F48" s="213">
        <f t="shared" si="0"/>
        <v>87834</v>
      </c>
      <c r="G48" s="213">
        <v>10096</v>
      </c>
      <c r="H48" s="213"/>
      <c r="I48" s="213"/>
      <c r="J48" s="213"/>
      <c r="K48" s="213">
        <f t="shared" si="1"/>
        <v>77738</v>
      </c>
      <c r="L48" s="245">
        <v>16397</v>
      </c>
      <c r="M48" s="213">
        <v>61341</v>
      </c>
      <c r="N48" s="216"/>
      <c r="O48" s="216"/>
    </row>
    <row r="49" spans="1:15" ht="15.75" customHeight="1" x14ac:dyDescent="0.2">
      <c r="A49" s="121">
        <v>41</v>
      </c>
      <c r="B49" s="217" t="s">
        <v>330</v>
      </c>
      <c r="C49" s="213">
        <v>28004</v>
      </c>
      <c r="D49" s="213"/>
      <c r="E49" s="213"/>
      <c r="F49" s="213">
        <f t="shared" si="0"/>
        <v>81932</v>
      </c>
      <c r="G49" s="213"/>
      <c r="H49" s="213"/>
      <c r="I49" s="213"/>
      <c r="J49" s="213"/>
      <c r="K49" s="213">
        <f t="shared" si="1"/>
        <v>81932</v>
      </c>
      <c r="L49" s="245">
        <v>27459</v>
      </c>
      <c r="M49" s="213">
        <v>54473</v>
      </c>
      <c r="N49" s="216"/>
      <c r="O49" s="216"/>
    </row>
    <row r="50" spans="1:15" ht="15.75" customHeight="1" x14ac:dyDescent="0.2">
      <c r="A50" s="121">
        <v>42</v>
      </c>
      <c r="B50" s="217" t="s">
        <v>331</v>
      </c>
      <c r="C50" s="213">
        <v>33192</v>
      </c>
      <c r="D50" s="213"/>
      <c r="E50" s="213"/>
      <c r="F50" s="213">
        <f t="shared" si="0"/>
        <v>88168</v>
      </c>
      <c r="G50" s="213">
        <v>658</v>
      </c>
      <c r="H50" s="213"/>
      <c r="I50" s="213"/>
      <c r="J50" s="213"/>
      <c r="K50" s="213">
        <f t="shared" si="1"/>
        <v>87510</v>
      </c>
      <c r="L50" s="245">
        <f>29578-658</f>
        <v>28920</v>
      </c>
      <c r="M50" s="213">
        <v>58590</v>
      </c>
      <c r="N50" s="216"/>
      <c r="O50" s="216"/>
    </row>
    <row r="51" spans="1:15" ht="14.25" customHeight="1" x14ac:dyDescent="0.2">
      <c r="A51" s="270">
        <v>43</v>
      </c>
      <c r="B51" s="217" t="s">
        <v>332</v>
      </c>
      <c r="C51" s="213">
        <v>15621</v>
      </c>
      <c r="D51" s="213"/>
      <c r="E51" s="213"/>
      <c r="F51" s="213">
        <f t="shared" si="0"/>
        <v>46863</v>
      </c>
      <c r="G51" s="213"/>
      <c r="H51" s="213"/>
      <c r="I51" s="213"/>
      <c r="J51" s="213"/>
      <c r="K51" s="213">
        <f t="shared" si="1"/>
        <v>46863</v>
      </c>
      <c r="L51" s="245">
        <v>9670</v>
      </c>
      <c r="M51" s="213">
        <v>37193</v>
      </c>
      <c r="N51" s="216"/>
      <c r="O51" s="216"/>
    </row>
    <row r="52" spans="1:15" s="230" customFormat="1" ht="36.75" customHeight="1" x14ac:dyDescent="0.2">
      <c r="A52" s="271"/>
      <c r="B52" s="124" t="s">
        <v>333</v>
      </c>
      <c r="C52" s="229">
        <v>21844</v>
      </c>
      <c r="D52" s="229"/>
      <c r="E52" s="229"/>
      <c r="F52" s="229">
        <f t="shared" si="0"/>
        <v>69842</v>
      </c>
      <c r="G52" s="229"/>
      <c r="H52" s="229"/>
      <c r="I52" s="229"/>
      <c r="J52" s="229"/>
      <c r="K52" s="229">
        <f t="shared" si="1"/>
        <v>69842</v>
      </c>
      <c r="L52" s="246">
        <v>14732</v>
      </c>
      <c r="M52" s="229">
        <v>55110</v>
      </c>
      <c r="N52" s="216"/>
      <c r="O52" s="216"/>
    </row>
    <row r="53" spans="1:15" ht="16.5" customHeight="1" x14ac:dyDescent="0.2">
      <c r="A53" s="121">
        <v>44</v>
      </c>
      <c r="B53" s="217" t="s">
        <v>335</v>
      </c>
      <c r="C53" s="213">
        <v>22759</v>
      </c>
      <c r="D53" s="213"/>
      <c r="E53" s="213"/>
      <c r="F53" s="213">
        <f t="shared" si="0"/>
        <v>72292</v>
      </c>
      <c r="G53" s="213"/>
      <c r="H53" s="213"/>
      <c r="I53" s="213"/>
      <c r="J53" s="213"/>
      <c r="K53" s="213">
        <f t="shared" si="1"/>
        <v>72292</v>
      </c>
      <c r="L53" s="245">
        <v>13575</v>
      </c>
      <c r="M53" s="213">
        <v>58717</v>
      </c>
      <c r="N53" s="216"/>
      <c r="O53" s="216"/>
    </row>
    <row r="54" spans="1:15" ht="27" customHeight="1" x14ac:dyDescent="0.2">
      <c r="A54" s="121">
        <v>45</v>
      </c>
      <c r="B54" s="217" t="s">
        <v>336</v>
      </c>
      <c r="C54" s="213">
        <v>11000</v>
      </c>
      <c r="D54" s="213"/>
      <c r="E54" s="213"/>
      <c r="F54" s="213">
        <f t="shared" si="0"/>
        <v>63474</v>
      </c>
      <c r="G54" s="213"/>
      <c r="H54" s="213">
        <v>63474</v>
      </c>
      <c r="I54" s="213"/>
      <c r="J54" s="213"/>
      <c r="K54" s="213">
        <f t="shared" si="1"/>
        <v>0</v>
      </c>
      <c r="L54" s="245"/>
      <c r="M54" s="213"/>
      <c r="N54" s="216"/>
      <c r="O54" s="216"/>
    </row>
    <row r="55" spans="1:15" ht="12" customHeight="1" x14ac:dyDescent="0.2">
      <c r="A55" s="121">
        <v>46</v>
      </c>
      <c r="B55" s="217" t="s">
        <v>337</v>
      </c>
      <c r="C55" s="213"/>
      <c r="D55" s="213"/>
      <c r="E55" s="213"/>
      <c r="F55" s="213">
        <f t="shared" si="0"/>
        <v>10558</v>
      </c>
      <c r="G55" s="213"/>
      <c r="H55" s="213">
        <v>10558</v>
      </c>
      <c r="I55" s="213"/>
      <c r="J55" s="213"/>
      <c r="K55" s="213">
        <f t="shared" si="1"/>
        <v>0</v>
      </c>
      <c r="L55" s="245"/>
      <c r="M55" s="213"/>
      <c r="N55" s="216"/>
      <c r="O55" s="216"/>
    </row>
    <row r="56" spans="1:15" ht="13.5" customHeight="1" x14ac:dyDescent="0.2">
      <c r="A56" s="270">
        <v>47</v>
      </c>
      <c r="B56" s="217" t="s">
        <v>162</v>
      </c>
      <c r="C56" s="213">
        <f>51089-1350</f>
        <v>49739</v>
      </c>
      <c r="D56" s="213"/>
      <c r="E56" s="213"/>
      <c r="F56" s="213">
        <f t="shared" si="0"/>
        <v>133129</v>
      </c>
      <c r="G56" s="213">
        <f>3686+600</f>
        <v>4286</v>
      </c>
      <c r="H56" s="213"/>
      <c r="I56" s="213"/>
      <c r="J56" s="213"/>
      <c r="K56" s="213">
        <f t="shared" si="1"/>
        <v>128843</v>
      </c>
      <c r="L56" s="245">
        <v>27267</v>
      </c>
      <c r="M56" s="213">
        <v>101576</v>
      </c>
      <c r="N56" s="216"/>
      <c r="O56" s="216"/>
    </row>
    <row r="57" spans="1:15" s="230" customFormat="1" ht="38.25" customHeight="1" x14ac:dyDescent="0.2">
      <c r="A57" s="271"/>
      <c r="B57" s="124" t="s">
        <v>338</v>
      </c>
      <c r="C57" s="229">
        <f>13984+1350</f>
        <v>15334</v>
      </c>
      <c r="D57" s="229"/>
      <c r="E57" s="229"/>
      <c r="F57" s="229">
        <f t="shared" si="0"/>
        <v>42537</v>
      </c>
      <c r="G57" s="229"/>
      <c r="H57" s="229"/>
      <c r="I57" s="229"/>
      <c r="J57" s="229"/>
      <c r="K57" s="229">
        <f t="shared" si="1"/>
        <v>42537</v>
      </c>
      <c r="L57" s="246">
        <v>5104</v>
      </c>
      <c r="M57" s="229">
        <v>37433</v>
      </c>
      <c r="N57" s="216"/>
      <c r="O57" s="216"/>
    </row>
    <row r="58" spans="1:15" ht="15.75" customHeight="1" x14ac:dyDescent="0.2">
      <c r="A58" s="121">
        <v>48</v>
      </c>
      <c r="B58" s="217" t="s">
        <v>339</v>
      </c>
      <c r="C58" s="213">
        <v>5710</v>
      </c>
      <c r="D58" s="213"/>
      <c r="E58" s="213"/>
      <c r="F58" s="213">
        <f t="shared" si="0"/>
        <v>26820</v>
      </c>
      <c r="G58" s="213"/>
      <c r="H58" s="213">
        <v>26820</v>
      </c>
      <c r="I58" s="213"/>
      <c r="J58" s="213"/>
      <c r="K58" s="213">
        <f t="shared" si="1"/>
        <v>0</v>
      </c>
      <c r="L58" s="245"/>
      <c r="M58" s="213"/>
      <c r="N58" s="216"/>
      <c r="O58" s="216"/>
    </row>
    <row r="59" spans="1:15" ht="13.5" customHeight="1" x14ac:dyDescent="0.2">
      <c r="A59" s="121">
        <v>49</v>
      </c>
      <c r="B59" s="217" t="s">
        <v>340</v>
      </c>
      <c r="C59" s="213">
        <v>0</v>
      </c>
      <c r="D59" s="213"/>
      <c r="E59" s="213"/>
      <c r="F59" s="213">
        <f t="shared" si="0"/>
        <v>8493</v>
      </c>
      <c r="G59" s="213"/>
      <c r="H59" s="213">
        <v>8493</v>
      </c>
      <c r="I59" s="213"/>
      <c r="J59" s="213"/>
      <c r="K59" s="213">
        <f t="shared" si="1"/>
        <v>0</v>
      </c>
      <c r="L59" s="245"/>
      <c r="M59" s="213"/>
      <c r="N59" s="216"/>
      <c r="O59" s="216"/>
    </row>
    <row r="60" spans="1:15" ht="14.25" customHeight="1" x14ac:dyDescent="0.2">
      <c r="A60" s="270">
        <v>50</v>
      </c>
      <c r="B60" s="217" t="s">
        <v>163</v>
      </c>
      <c r="C60" s="213">
        <v>34650</v>
      </c>
      <c r="D60" s="213"/>
      <c r="E60" s="213"/>
      <c r="F60" s="213">
        <f t="shared" si="0"/>
        <v>112811</v>
      </c>
      <c r="G60" s="213">
        <v>5807</v>
      </c>
      <c r="H60" s="213"/>
      <c r="I60" s="213"/>
      <c r="J60" s="213"/>
      <c r="K60" s="213">
        <f t="shared" si="1"/>
        <v>107004</v>
      </c>
      <c r="L60" s="245">
        <v>35242</v>
      </c>
      <c r="M60" s="213">
        <v>71762</v>
      </c>
      <c r="N60" s="216"/>
      <c r="O60" s="216"/>
    </row>
    <row r="61" spans="1:15" s="230" customFormat="1" ht="37.5" customHeight="1" x14ac:dyDescent="0.2">
      <c r="A61" s="271"/>
      <c r="B61" s="124" t="s">
        <v>341</v>
      </c>
      <c r="C61" s="229">
        <v>13626</v>
      </c>
      <c r="D61" s="229"/>
      <c r="E61" s="229"/>
      <c r="F61" s="229">
        <f t="shared" si="0"/>
        <v>42087</v>
      </c>
      <c r="G61" s="229"/>
      <c r="H61" s="229"/>
      <c r="I61" s="229"/>
      <c r="J61" s="229"/>
      <c r="K61" s="229">
        <f t="shared" si="1"/>
        <v>42087</v>
      </c>
      <c r="L61" s="246">
        <v>14659</v>
      </c>
      <c r="M61" s="229">
        <v>27428</v>
      </c>
      <c r="N61" s="216"/>
      <c r="O61" s="216"/>
    </row>
    <row r="62" spans="1:15" ht="13.5" customHeight="1" x14ac:dyDescent="0.2">
      <c r="A62" s="121">
        <v>51</v>
      </c>
      <c r="B62" s="217" t="s">
        <v>19</v>
      </c>
      <c r="C62" s="213">
        <v>48474</v>
      </c>
      <c r="D62" s="213"/>
      <c r="E62" s="213"/>
      <c r="F62" s="213">
        <f t="shared" si="0"/>
        <v>149625</v>
      </c>
      <c r="G62" s="213"/>
      <c r="H62" s="213"/>
      <c r="I62" s="213"/>
      <c r="J62" s="213"/>
      <c r="K62" s="213">
        <f t="shared" si="1"/>
        <v>149625</v>
      </c>
      <c r="L62" s="245">
        <v>45352</v>
      </c>
      <c r="M62" s="213">
        <v>104273</v>
      </c>
      <c r="N62" s="216"/>
      <c r="O62" s="216"/>
    </row>
    <row r="63" spans="1:15" s="127" customFormat="1" ht="12.75" customHeight="1" x14ac:dyDescent="0.2">
      <c r="A63" s="121">
        <v>52</v>
      </c>
      <c r="B63" s="217" t="s">
        <v>20</v>
      </c>
      <c r="C63" s="213">
        <v>47372</v>
      </c>
      <c r="D63" s="213"/>
      <c r="E63" s="213"/>
      <c r="F63" s="213">
        <f t="shared" si="0"/>
        <v>146326</v>
      </c>
      <c r="G63" s="213"/>
      <c r="H63" s="213"/>
      <c r="I63" s="213"/>
      <c r="J63" s="213"/>
      <c r="K63" s="213">
        <f t="shared" si="1"/>
        <v>146326</v>
      </c>
      <c r="L63" s="245">
        <v>31957</v>
      </c>
      <c r="M63" s="213">
        <v>114369</v>
      </c>
      <c r="N63" s="216"/>
      <c r="O63" s="216"/>
    </row>
    <row r="64" spans="1:15" ht="10.5" customHeight="1" x14ac:dyDescent="0.2">
      <c r="A64" s="121">
        <v>53</v>
      </c>
      <c r="B64" s="217" t="s">
        <v>21</v>
      </c>
      <c r="C64" s="213">
        <v>14707</v>
      </c>
      <c r="D64" s="213"/>
      <c r="E64" s="213"/>
      <c r="F64" s="213">
        <f t="shared" si="0"/>
        <v>45461</v>
      </c>
      <c r="G64" s="213"/>
      <c r="H64" s="213"/>
      <c r="I64" s="213"/>
      <c r="J64" s="213"/>
      <c r="K64" s="213">
        <f t="shared" si="1"/>
        <v>45461</v>
      </c>
      <c r="L64" s="245">
        <v>12564</v>
      </c>
      <c r="M64" s="213">
        <v>32897</v>
      </c>
      <c r="N64" s="216"/>
      <c r="O64" s="216"/>
    </row>
    <row r="65" spans="1:15" ht="10.5" customHeight="1" x14ac:dyDescent="0.2">
      <c r="A65" s="121">
        <v>54</v>
      </c>
      <c r="B65" s="217" t="s">
        <v>22</v>
      </c>
      <c r="C65" s="213">
        <v>18046</v>
      </c>
      <c r="D65" s="213"/>
      <c r="E65" s="213"/>
      <c r="F65" s="213">
        <f t="shared" si="0"/>
        <v>55780</v>
      </c>
      <c r="G65" s="213"/>
      <c r="H65" s="213"/>
      <c r="I65" s="213"/>
      <c r="J65" s="213"/>
      <c r="K65" s="213">
        <f t="shared" si="1"/>
        <v>55780</v>
      </c>
      <c r="L65" s="245">
        <v>20154</v>
      </c>
      <c r="M65" s="213">
        <v>35626</v>
      </c>
      <c r="N65" s="216"/>
      <c r="O65" s="216"/>
    </row>
    <row r="66" spans="1:15" ht="10.5" customHeight="1" x14ac:dyDescent="0.2">
      <c r="A66" s="121">
        <v>55</v>
      </c>
      <c r="B66" s="217" t="s">
        <v>23</v>
      </c>
      <c r="C66" s="213">
        <v>16520</v>
      </c>
      <c r="D66" s="213"/>
      <c r="E66" s="213"/>
      <c r="F66" s="213">
        <f t="shared" si="0"/>
        <v>51058</v>
      </c>
      <c r="G66" s="213"/>
      <c r="H66" s="213"/>
      <c r="I66" s="213"/>
      <c r="J66" s="213"/>
      <c r="K66" s="213">
        <f t="shared" si="1"/>
        <v>51058</v>
      </c>
      <c r="L66" s="245">
        <v>15317</v>
      </c>
      <c r="M66" s="213">
        <v>35741</v>
      </c>
      <c r="N66" s="216"/>
      <c r="O66" s="216"/>
    </row>
    <row r="67" spans="1:15" ht="11.25" customHeight="1" x14ac:dyDescent="0.2">
      <c r="A67" s="121">
        <v>56</v>
      </c>
      <c r="B67" s="217" t="s">
        <v>24</v>
      </c>
      <c r="C67" s="213">
        <v>10847</v>
      </c>
      <c r="D67" s="213"/>
      <c r="E67" s="213"/>
      <c r="F67" s="213">
        <f t="shared" si="0"/>
        <v>33497</v>
      </c>
      <c r="G67" s="213"/>
      <c r="H67" s="213"/>
      <c r="I67" s="213"/>
      <c r="J67" s="213"/>
      <c r="K67" s="213">
        <f t="shared" si="1"/>
        <v>33497</v>
      </c>
      <c r="L67" s="245">
        <v>10049</v>
      </c>
      <c r="M67" s="213">
        <v>23448</v>
      </c>
      <c r="N67" s="216"/>
      <c r="O67" s="216"/>
    </row>
    <row r="68" spans="1:15" ht="10.5" customHeight="1" x14ac:dyDescent="0.2">
      <c r="A68" s="121">
        <v>57</v>
      </c>
      <c r="B68" s="217" t="s">
        <v>25</v>
      </c>
      <c r="C68" s="213">
        <v>18810</v>
      </c>
      <c r="D68" s="213"/>
      <c r="E68" s="213"/>
      <c r="F68" s="213">
        <f t="shared" si="0"/>
        <v>58093</v>
      </c>
      <c r="G68" s="213"/>
      <c r="H68" s="213"/>
      <c r="I68" s="213"/>
      <c r="J68" s="213"/>
      <c r="K68" s="213">
        <f t="shared" si="1"/>
        <v>58093</v>
      </c>
      <c r="L68" s="245">
        <v>15070</v>
      </c>
      <c r="M68" s="213">
        <v>43023</v>
      </c>
      <c r="N68" s="216"/>
      <c r="O68" s="216"/>
    </row>
    <row r="69" spans="1:15" ht="10.5" customHeight="1" x14ac:dyDescent="0.2">
      <c r="A69" s="121">
        <v>58</v>
      </c>
      <c r="B69" s="217" t="s">
        <v>26</v>
      </c>
      <c r="C69" s="213">
        <v>8603</v>
      </c>
      <c r="D69" s="213"/>
      <c r="E69" s="213"/>
      <c r="F69" s="213">
        <f t="shared" si="0"/>
        <v>26569</v>
      </c>
      <c r="G69" s="213"/>
      <c r="H69" s="213"/>
      <c r="I69" s="213"/>
      <c r="J69" s="213"/>
      <c r="K69" s="213">
        <f t="shared" si="1"/>
        <v>26569</v>
      </c>
      <c r="L69" s="245">
        <v>7269</v>
      </c>
      <c r="M69" s="213">
        <v>19300</v>
      </c>
      <c r="N69" s="216"/>
      <c r="O69" s="216"/>
    </row>
    <row r="70" spans="1:15" s="127" customFormat="1" ht="27" customHeight="1" x14ac:dyDescent="0.2">
      <c r="A70" s="121">
        <v>59</v>
      </c>
      <c r="B70" s="217" t="s">
        <v>342</v>
      </c>
      <c r="C70" s="213">
        <v>3925</v>
      </c>
      <c r="D70" s="213"/>
      <c r="E70" s="213"/>
      <c r="F70" s="213">
        <f t="shared" si="0"/>
        <v>11481</v>
      </c>
      <c r="G70" s="213"/>
      <c r="H70" s="213"/>
      <c r="I70" s="213"/>
      <c r="J70" s="213"/>
      <c r="K70" s="213">
        <f t="shared" si="1"/>
        <v>11481</v>
      </c>
      <c r="L70" s="245">
        <v>4822</v>
      </c>
      <c r="M70" s="213">
        <v>6659</v>
      </c>
      <c r="N70" s="216"/>
      <c r="O70" s="216"/>
    </row>
    <row r="71" spans="1:15" ht="12.75" customHeight="1" x14ac:dyDescent="0.2">
      <c r="A71" s="121">
        <v>60</v>
      </c>
      <c r="B71" s="217" t="s">
        <v>86</v>
      </c>
      <c r="C71" s="213">
        <v>1170</v>
      </c>
      <c r="D71" s="213"/>
      <c r="E71" s="213"/>
      <c r="F71" s="213">
        <f t="shared" si="0"/>
        <v>19000</v>
      </c>
      <c r="G71" s="213"/>
      <c r="H71" s="213">
        <v>19000</v>
      </c>
      <c r="I71" s="213"/>
      <c r="J71" s="213"/>
      <c r="K71" s="213">
        <f t="shared" si="1"/>
        <v>0</v>
      </c>
      <c r="L71" s="245"/>
      <c r="M71" s="213"/>
      <c r="N71" s="216"/>
      <c r="O71" s="216"/>
    </row>
    <row r="72" spans="1:15" s="127" customFormat="1" ht="15.75" customHeight="1" x14ac:dyDescent="0.2">
      <c r="A72" s="121">
        <v>61</v>
      </c>
      <c r="B72" s="217" t="s">
        <v>343</v>
      </c>
      <c r="C72" s="213">
        <v>7920</v>
      </c>
      <c r="D72" s="213"/>
      <c r="E72" s="213"/>
      <c r="F72" s="213">
        <f t="shared" si="0"/>
        <v>20773</v>
      </c>
      <c r="G72" s="213"/>
      <c r="H72" s="213"/>
      <c r="I72" s="213"/>
      <c r="J72" s="213"/>
      <c r="K72" s="213">
        <f t="shared" si="1"/>
        <v>20773</v>
      </c>
      <c r="L72" s="245">
        <v>7529</v>
      </c>
      <c r="M72" s="213">
        <v>13244</v>
      </c>
      <c r="N72" s="216"/>
      <c r="O72" s="216"/>
    </row>
    <row r="73" spans="1:15" ht="14.25" customHeight="1" x14ac:dyDescent="0.2">
      <c r="A73" s="121">
        <v>62</v>
      </c>
      <c r="B73" s="217" t="s">
        <v>451</v>
      </c>
      <c r="C73" s="213">
        <v>0</v>
      </c>
      <c r="D73" s="213"/>
      <c r="E73" s="213"/>
      <c r="F73" s="213">
        <f t="shared" ref="F73:F136" si="2">G73+H73+I73+J73+K73</f>
        <v>2000</v>
      </c>
      <c r="G73" s="213">
        <v>2000</v>
      </c>
      <c r="H73" s="213"/>
      <c r="I73" s="213"/>
      <c r="J73" s="213"/>
      <c r="K73" s="213">
        <f t="shared" ref="K73:K136" si="3">L73+M73</f>
        <v>0</v>
      </c>
      <c r="L73" s="245"/>
      <c r="M73" s="213"/>
      <c r="N73" s="216"/>
      <c r="O73" s="216"/>
    </row>
    <row r="74" spans="1:15" ht="13.5" customHeight="1" x14ac:dyDescent="0.2">
      <c r="A74" s="121">
        <v>63</v>
      </c>
      <c r="B74" s="217" t="s">
        <v>452</v>
      </c>
      <c r="C74" s="213">
        <v>0</v>
      </c>
      <c r="D74" s="213"/>
      <c r="E74" s="213"/>
      <c r="F74" s="213">
        <f t="shared" si="2"/>
        <v>100</v>
      </c>
      <c r="G74" s="213"/>
      <c r="H74" s="213">
        <v>100</v>
      </c>
      <c r="I74" s="213"/>
      <c r="J74" s="213"/>
      <c r="K74" s="213">
        <f t="shared" si="3"/>
        <v>0</v>
      </c>
      <c r="L74" s="245"/>
      <c r="M74" s="213"/>
      <c r="N74" s="216"/>
      <c r="O74" s="216"/>
    </row>
    <row r="75" spans="1:15" ht="10.5" customHeight="1" x14ac:dyDescent="0.2">
      <c r="A75" s="121">
        <v>64</v>
      </c>
      <c r="B75" s="212" t="s">
        <v>27</v>
      </c>
      <c r="C75" s="213">
        <v>73298</v>
      </c>
      <c r="D75" s="213"/>
      <c r="E75" s="213"/>
      <c r="F75" s="213">
        <f t="shared" si="2"/>
        <v>226431</v>
      </c>
      <c r="G75" s="213"/>
      <c r="H75" s="213"/>
      <c r="I75" s="213"/>
      <c r="J75" s="213"/>
      <c r="K75" s="213">
        <f t="shared" si="3"/>
        <v>226431</v>
      </c>
      <c r="L75" s="245">
        <v>48493</v>
      </c>
      <c r="M75" s="213">
        <v>177938</v>
      </c>
      <c r="N75" s="216"/>
      <c r="O75" s="216"/>
    </row>
    <row r="76" spans="1:15" ht="10.5" customHeight="1" x14ac:dyDescent="0.2">
      <c r="A76" s="121">
        <v>65</v>
      </c>
      <c r="B76" s="217" t="s">
        <v>28</v>
      </c>
      <c r="C76" s="213">
        <v>51984</v>
      </c>
      <c r="D76" s="213"/>
      <c r="E76" s="213"/>
      <c r="F76" s="213">
        <f t="shared" si="2"/>
        <v>161914</v>
      </c>
      <c r="G76" s="213">
        <v>2288</v>
      </c>
      <c r="H76" s="213"/>
      <c r="I76" s="213"/>
      <c r="J76" s="213"/>
      <c r="K76" s="213">
        <f t="shared" si="3"/>
        <v>159626</v>
      </c>
      <c r="L76" s="245">
        <v>34228</v>
      </c>
      <c r="M76" s="213">
        <v>125398</v>
      </c>
      <c r="N76" s="216"/>
      <c r="O76" s="216"/>
    </row>
    <row r="77" spans="1:15" ht="10.5" customHeight="1" x14ac:dyDescent="0.2">
      <c r="A77" s="121">
        <v>66</v>
      </c>
      <c r="B77" s="212" t="s">
        <v>344</v>
      </c>
      <c r="C77" s="213">
        <v>55981</v>
      </c>
      <c r="D77" s="213"/>
      <c r="E77" s="213"/>
      <c r="F77" s="213">
        <f t="shared" si="2"/>
        <v>162006</v>
      </c>
      <c r="G77" s="213">
        <v>4587</v>
      </c>
      <c r="H77" s="213"/>
      <c r="I77" s="213"/>
      <c r="J77" s="213"/>
      <c r="K77" s="213">
        <f t="shared" si="3"/>
        <v>157419</v>
      </c>
      <c r="L77" s="245">
        <v>32513</v>
      </c>
      <c r="M77" s="213">
        <v>124906</v>
      </c>
      <c r="N77" s="216"/>
      <c r="O77" s="216"/>
    </row>
    <row r="78" spans="1:15" ht="24" customHeight="1" x14ac:dyDescent="0.2">
      <c r="A78" s="121">
        <v>67</v>
      </c>
      <c r="B78" s="212" t="s">
        <v>345</v>
      </c>
      <c r="C78" s="213">
        <v>3000</v>
      </c>
      <c r="D78" s="213"/>
      <c r="E78" s="213"/>
      <c r="F78" s="213">
        <f t="shared" si="2"/>
        <v>24758</v>
      </c>
      <c r="G78" s="213"/>
      <c r="H78" s="213">
        <v>24758</v>
      </c>
      <c r="I78" s="213"/>
      <c r="J78" s="213"/>
      <c r="K78" s="213">
        <f t="shared" si="3"/>
        <v>0</v>
      </c>
      <c r="L78" s="245"/>
      <c r="M78" s="213"/>
      <c r="N78" s="216"/>
      <c r="O78" s="216"/>
    </row>
    <row r="79" spans="1:15" ht="10.5" customHeight="1" x14ac:dyDescent="0.2">
      <c r="A79" s="121">
        <v>68</v>
      </c>
      <c r="B79" s="217" t="s">
        <v>29</v>
      </c>
      <c r="C79" s="213">
        <v>22614</v>
      </c>
      <c r="D79" s="213"/>
      <c r="E79" s="213"/>
      <c r="F79" s="213">
        <f t="shared" si="2"/>
        <v>69853</v>
      </c>
      <c r="G79" s="213"/>
      <c r="H79" s="213"/>
      <c r="I79" s="213"/>
      <c r="J79" s="213"/>
      <c r="K79" s="213">
        <f t="shared" si="3"/>
        <v>69853</v>
      </c>
      <c r="L79" s="245">
        <v>15368</v>
      </c>
      <c r="M79" s="213">
        <v>54485</v>
      </c>
      <c r="N79" s="216"/>
      <c r="O79" s="216"/>
    </row>
    <row r="80" spans="1:15" ht="10.5" customHeight="1" x14ac:dyDescent="0.2">
      <c r="A80" s="121">
        <v>69</v>
      </c>
      <c r="B80" s="212" t="s">
        <v>30</v>
      </c>
      <c r="C80" s="213">
        <v>15153</v>
      </c>
      <c r="D80" s="213"/>
      <c r="E80" s="213"/>
      <c r="F80" s="213">
        <f t="shared" si="2"/>
        <v>46800</v>
      </c>
      <c r="G80" s="213"/>
      <c r="H80" s="213"/>
      <c r="I80" s="213"/>
      <c r="J80" s="213"/>
      <c r="K80" s="213">
        <f t="shared" si="3"/>
        <v>46800</v>
      </c>
      <c r="L80" s="245">
        <v>9705</v>
      </c>
      <c r="M80" s="213">
        <v>37095</v>
      </c>
      <c r="N80" s="216"/>
      <c r="O80" s="216"/>
    </row>
    <row r="81" spans="1:15" ht="10.5" customHeight="1" x14ac:dyDescent="0.2">
      <c r="A81" s="121">
        <v>70</v>
      </c>
      <c r="B81" s="217" t="s">
        <v>31</v>
      </c>
      <c r="C81" s="213">
        <v>11760</v>
      </c>
      <c r="D81" s="213"/>
      <c r="E81" s="213"/>
      <c r="F81" s="213">
        <f t="shared" si="2"/>
        <v>37600</v>
      </c>
      <c r="G81" s="213"/>
      <c r="H81" s="213"/>
      <c r="I81" s="213"/>
      <c r="J81" s="213"/>
      <c r="K81" s="213">
        <f t="shared" si="3"/>
        <v>37600</v>
      </c>
      <c r="L81" s="245">
        <v>8428</v>
      </c>
      <c r="M81" s="213">
        <v>29172</v>
      </c>
      <c r="N81" s="216"/>
      <c r="O81" s="216"/>
    </row>
    <row r="82" spans="1:15" ht="10.5" customHeight="1" x14ac:dyDescent="0.2">
      <c r="A82" s="121">
        <v>71</v>
      </c>
      <c r="B82" s="212" t="s">
        <v>32</v>
      </c>
      <c r="C82" s="213">
        <v>17827</v>
      </c>
      <c r="D82" s="213"/>
      <c r="E82" s="213"/>
      <c r="F82" s="213">
        <f t="shared" si="2"/>
        <v>54888</v>
      </c>
      <c r="G82" s="213"/>
      <c r="H82" s="213"/>
      <c r="I82" s="213"/>
      <c r="J82" s="213"/>
      <c r="K82" s="213">
        <f t="shared" si="3"/>
        <v>54888</v>
      </c>
      <c r="L82" s="245">
        <v>12243</v>
      </c>
      <c r="M82" s="213">
        <v>42645</v>
      </c>
      <c r="N82" s="216"/>
      <c r="O82" s="216"/>
    </row>
    <row r="83" spans="1:15" ht="10.5" customHeight="1" x14ac:dyDescent="0.2">
      <c r="A83" s="121">
        <v>72</v>
      </c>
      <c r="B83" s="217" t="s">
        <v>33</v>
      </c>
      <c r="C83" s="213">
        <v>7799</v>
      </c>
      <c r="D83" s="213"/>
      <c r="E83" s="213"/>
      <c r="F83" s="213">
        <f t="shared" si="2"/>
        <v>24082</v>
      </c>
      <c r="G83" s="213"/>
      <c r="H83" s="213"/>
      <c r="I83" s="213"/>
      <c r="J83" s="213"/>
      <c r="K83" s="213">
        <f t="shared" si="3"/>
        <v>24082</v>
      </c>
      <c r="L83" s="245">
        <v>7306</v>
      </c>
      <c r="M83" s="213">
        <v>16776</v>
      </c>
      <c r="N83" s="216"/>
      <c r="O83" s="216"/>
    </row>
    <row r="84" spans="1:15" ht="10.5" customHeight="1" x14ac:dyDescent="0.2">
      <c r="A84" s="121">
        <v>73</v>
      </c>
      <c r="B84" s="217" t="s">
        <v>34</v>
      </c>
      <c r="C84" s="213">
        <v>14699</v>
      </c>
      <c r="D84" s="213"/>
      <c r="E84" s="213"/>
      <c r="F84" s="213">
        <f t="shared" si="2"/>
        <v>45610</v>
      </c>
      <c r="G84" s="213"/>
      <c r="H84" s="213"/>
      <c r="I84" s="213"/>
      <c r="J84" s="213"/>
      <c r="K84" s="213">
        <f t="shared" si="3"/>
        <v>45610</v>
      </c>
      <c r="L84" s="245">
        <v>11153</v>
      </c>
      <c r="M84" s="213">
        <v>34457</v>
      </c>
      <c r="N84" s="216"/>
      <c r="O84" s="216"/>
    </row>
    <row r="85" spans="1:15" ht="11.25" customHeight="1" x14ac:dyDescent="0.2">
      <c r="A85" s="121">
        <v>74</v>
      </c>
      <c r="B85" s="217" t="s">
        <v>35</v>
      </c>
      <c r="C85" s="213">
        <v>22079</v>
      </c>
      <c r="D85" s="213"/>
      <c r="E85" s="213"/>
      <c r="F85" s="213">
        <f t="shared" si="2"/>
        <v>68210</v>
      </c>
      <c r="G85" s="213"/>
      <c r="H85" s="213"/>
      <c r="I85" s="213"/>
      <c r="J85" s="213"/>
      <c r="K85" s="213">
        <f t="shared" si="3"/>
        <v>68210</v>
      </c>
      <c r="L85" s="245">
        <v>18545</v>
      </c>
      <c r="M85" s="213">
        <v>49665</v>
      </c>
      <c r="N85" s="216"/>
      <c r="O85" s="216"/>
    </row>
    <row r="86" spans="1:15" ht="10.5" customHeight="1" x14ac:dyDescent="0.2">
      <c r="A86" s="121">
        <v>75</v>
      </c>
      <c r="B86" s="212" t="s">
        <v>36</v>
      </c>
      <c r="C86" s="213">
        <v>12123</v>
      </c>
      <c r="D86" s="213"/>
      <c r="E86" s="213"/>
      <c r="F86" s="213">
        <f t="shared" si="2"/>
        <v>37450</v>
      </c>
      <c r="G86" s="213"/>
      <c r="H86" s="213"/>
      <c r="I86" s="213"/>
      <c r="J86" s="213"/>
      <c r="K86" s="213">
        <f t="shared" si="3"/>
        <v>37450</v>
      </c>
      <c r="L86" s="245">
        <v>8981</v>
      </c>
      <c r="M86" s="213">
        <v>28469</v>
      </c>
      <c r="N86" s="216"/>
      <c r="O86" s="216"/>
    </row>
    <row r="87" spans="1:15" ht="10.5" customHeight="1" x14ac:dyDescent="0.2">
      <c r="A87" s="121">
        <v>76</v>
      </c>
      <c r="B87" s="217" t="s">
        <v>346</v>
      </c>
      <c r="C87" s="213">
        <v>225</v>
      </c>
      <c r="D87" s="213"/>
      <c r="E87" s="213"/>
      <c r="F87" s="213">
        <f t="shared" si="2"/>
        <v>150</v>
      </c>
      <c r="G87" s="213"/>
      <c r="H87" s="213">
        <v>150</v>
      </c>
      <c r="I87" s="213"/>
      <c r="J87" s="213"/>
      <c r="K87" s="213">
        <f t="shared" si="3"/>
        <v>0</v>
      </c>
      <c r="L87" s="245"/>
      <c r="M87" s="213"/>
      <c r="N87" s="216"/>
      <c r="O87" s="216"/>
    </row>
    <row r="88" spans="1:15" ht="10.5" customHeight="1" x14ac:dyDescent="0.2">
      <c r="A88" s="121">
        <v>77</v>
      </c>
      <c r="B88" s="217" t="s">
        <v>347</v>
      </c>
      <c r="C88" s="213">
        <v>250</v>
      </c>
      <c r="D88" s="213"/>
      <c r="E88" s="213"/>
      <c r="F88" s="213">
        <f t="shared" si="2"/>
        <v>50</v>
      </c>
      <c r="G88" s="213"/>
      <c r="H88" s="213">
        <v>50</v>
      </c>
      <c r="I88" s="213"/>
      <c r="J88" s="213"/>
      <c r="K88" s="213">
        <f t="shared" si="3"/>
        <v>0</v>
      </c>
      <c r="L88" s="245"/>
      <c r="M88" s="213"/>
      <c r="N88" s="216"/>
      <c r="O88" s="216"/>
    </row>
    <row r="89" spans="1:15" ht="10.5" customHeight="1" x14ac:dyDescent="0.2">
      <c r="A89" s="121">
        <v>78</v>
      </c>
      <c r="B89" s="232" t="s">
        <v>453</v>
      </c>
      <c r="C89" s="213">
        <v>0</v>
      </c>
      <c r="D89" s="213"/>
      <c r="E89" s="213"/>
      <c r="F89" s="213">
        <f t="shared" si="2"/>
        <v>175</v>
      </c>
      <c r="G89" s="213"/>
      <c r="H89" s="213">
        <v>175</v>
      </c>
      <c r="I89" s="213"/>
      <c r="J89" s="213"/>
      <c r="K89" s="213">
        <f t="shared" si="3"/>
        <v>0</v>
      </c>
      <c r="L89" s="245"/>
      <c r="M89" s="213"/>
      <c r="N89" s="216"/>
      <c r="O89" s="216"/>
    </row>
    <row r="90" spans="1:15" ht="10.5" customHeight="1" x14ac:dyDescent="0.2">
      <c r="A90" s="121">
        <v>79</v>
      </c>
      <c r="B90" s="217" t="s">
        <v>348</v>
      </c>
      <c r="C90" s="213">
        <v>115</v>
      </c>
      <c r="D90" s="213"/>
      <c r="E90" s="213"/>
      <c r="F90" s="213">
        <f t="shared" si="2"/>
        <v>50</v>
      </c>
      <c r="G90" s="213"/>
      <c r="H90" s="213">
        <v>50</v>
      </c>
      <c r="I90" s="213"/>
      <c r="J90" s="213"/>
      <c r="K90" s="213">
        <f t="shared" si="3"/>
        <v>0</v>
      </c>
      <c r="L90" s="245"/>
      <c r="M90" s="213"/>
      <c r="N90" s="216"/>
      <c r="O90" s="216"/>
    </row>
    <row r="91" spans="1:15" ht="15" customHeight="1" x14ac:dyDescent="0.2">
      <c r="A91" s="121">
        <v>80</v>
      </c>
      <c r="B91" s="217" t="s">
        <v>349</v>
      </c>
      <c r="C91" s="213">
        <v>0</v>
      </c>
      <c r="D91" s="213"/>
      <c r="E91" s="213"/>
      <c r="F91" s="213">
        <f t="shared" si="2"/>
        <v>100</v>
      </c>
      <c r="G91" s="213"/>
      <c r="H91" s="213">
        <v>100</v>
      </c>
      <c r="I91" s="213"/>
      <c r="J91" s="213"/>
      <c r="K91" s="213">
        <f t="shared" si="3"/>
        <v>0</v>
      </c>
      <c r="L91" s="245"/>
      <c r="M91" s="213"/>
      <c r="N91" s="216"/>
      <c r="O91" s="216"/>
    </row>
    <row r="92" spans="1:15" ht="10.5" customHeight="1" x14ac:dyDescent="0.2">
      <c r="A92" s="121">
        <v>81</v>
      </c>
      <c r="B92" s="233" t="s">
        <v>454</v>
      </c>
      <c r="C92" s="213">
        <v>0</v>
      </c>
      <c r="D92" s="213"/>
      <c r="E92" s="213"/>
      <c r="F92" s="213">
        <f t="shared" si="2"/>
        <v>894</v>
      </c>
      <c r="G92" s="213"/>
      <c r="H92" s="213">
        <v>894</v>
      </c>
      <c r="I92" s="213"/>
      <c r="J92" s="213"/>
      <c r="K92" s="213">
        <f t="shared" si="3"/>
        <v>0</v>
      </c>
      <c r="L92" s="245"/>
      <c r="M92" s="213"/>
      <c r="N92" s="216"/>
      <c r="O92" s="216"/>
    </row>
    <row r="93" spans="1:15" ht="10.5" customHeight="1" x14ac:dyDescent="0.2">
      <c r="A93" s="121">
        <v>82</v>
      </c>
      <c r="B93" s="218" t="s">
        <v>350</v>
      </c>
      <c r="C93" s="213">
        <f>13953-430</f>
        <v>13523</v>
      </c>
      <c r="D93" s="213"/>
      <c r="E93" s="213"/>
      <c r="F93" s="213">
        <f t="shared" si="2"/>
        <v>63560</v>
      </c>
      <c r="G93" s="213"/>
      <c r="H93" s="213"/>
      <c r="I93" s="213"/>
      <c r="J93" s="213"/>
      <c r="K93" s="213">
        <f t="shared" si="3"/>
        <v>63560</v>
      </c>
      <c r="L93" s="245">
        <v>13361</v>
      </c>
      <c r="M93" s="213">
        <v>50199</v>
      </c>
      <c r="N93" s="216"/>
      <c r="O93" s="216"/>
    </row>
    <row r="94" spans="1:15" ht="10.5" customHeight="1" x14ac:dyDescent="0.2">
      <c r="A94" s="121">
        <v>83</v>
      </c>
      <c r="B94" s="218" t="s">
        <v>351</v>
      </c>
      <c r="C94" s="213">
        <f>11980-290</f>
        <v>11690</v>
      </c>
      <c r="D94" s="213"/>
      <c r="E94" s="213"/>
      <c r="F94" s="213">
        <f t="shared" si="2"/>
        <v>54572</v>
      </c>
      <c r="G94" s="213"/>
      <c r="H94" s="213"/>
      <c r="I94" s="213"/>
      <c r="J94" s="213"/>
      <c r="K94" s="213">
        <f t="shared" si="3"/>
        <v>54572</v>
      </c>
      <c r="L94" s="245">
        <v>10628</v>
      </c>
      <c r="M94" s="213">
        <v>43944</v>
      </c>
      <c r="N94" s="216"/>
      <c r="O94" s="216"/>
    </row>
    <row r="95" spans="1:15" ht="10.5" customHeight="1" x14ac:dyDescent="0.2">
      <c r="A95" s="121">
        <v>84</v>
      </c>
      <c r="B95" s="218" t="s">
        <v>352</v>
      </c>
      <c r="C95" s="213">
        <f>23443-60</f>
        <v>23383</v>
      </c>
      <c r="D95" s="213">
        <v>7392</v>
      </c>
      <c r="E95" s="213"/>
      <c r="F95" s="213">
        <f t="shared" si="2"/>
        <v>74206</v>
      </c>
      <c r="G95" s="213"/>
      <c r="H95" s="213"/>
      <c r="I95" s="213"/>
      <c r="J95" s="213">
        <v>1090</v>
      </c>
      <c r="K95" s="213">
        <f t="shared" si="3"/>
        <v>73116</v>
      </c>
      <c r="L95" s="245">
        <v>16723</v>
      </c>
      <c r="M95" s="213">
        <v>56393</v>
      </c>
      <c r="N95" s="216"/>
      <c r="O95" s="216"/>
    </row>
    <row r="96" spans="1:15" ht="10.5" customHeight="1" x14ac:dyDescent="0.2">
      <c r="A96" s="121">
        <v>85</v>
      </c>
      <c r="B96" s="218" t="s">
        <v>353</v>
      </c>
      <c r="C96" s="213">
        <f>26846-221</f>
        <v>26625</v>
      </c>
      <c r="D96" s="213">
        <v>7210</v>
      </c>
      <c r="E96" s="213"/>
      <c r="F96" s="213">
        <f t="shared" si="2"/>
        <v>90520</v>
      </c>
      <c r="G96" s="213"/>
      <c r="H96" s="213"/>
      <c r="I96" s="213"/>
      <c r="J96" s="213">
        <v>1063</v>
      </c>
      <c r="K96" s="213">
        <f t="shared" si="3"/>
        <v>89457</v>
      </c>
      <c r="L96" s="245">
        <v>22570</v>
      </c>
      <c r="M96" s="213">
        <v>66887</v>
      </c>
      <c r="N96" s="216"/>
      <c r="O96" s="216"/>
    </row>
    <row r="97" spans="1:15" ht="10.5" customHeight="1" x14ac:dyDescent="0.2">
      <c r="A97" s="121">
        <v>86</v>
      </c>
      <c r="B97" s="218" t="s">
        <v>354</v>
      </c>
      <c r="C97" s="213">
        <f>7572-66</f>
        <v>7506</v>
      </c>
      <c r="D97" s="213"/>
      <c r="E97" s="213"/>
      <c r="F97" s="213">
        <f t="shared" si="2"/>
        <v>34493</v>
      </c>
      <c r="G97" s="213"/>
      <c r="H97" s="213"/>
      <c r="I97" s="213"/>
      <c r="J97" s="213"/>
      <c r="K97" s="213">
        <f t="shared" si="3"/>
        <v>34493</v>
      </c>
      <c r="L97" s="245">
        <v>8081</v>
      </c>
      <c r="M97" s="213">
        <v>26412</v>
      </c>
      <c r="N97" s="216"/>
      <c r="O97" s="216"/>
    </row>
    <row r="98" spans="1:15" ht="22.5" customHeight="1" x14ac:dyDescent="0.2">
      <c r="A98" s="121">
        <v>87</v>
      </c>
      <c r="B98" s="218" t="s">
        <v>355</v>
      </c>
      <c r="C98" s="213">
        <v>0</v>
      </c>
      <c r="D98" s="213"/>
      <c r="E98" s="213"/>
      <c r="F98" s="213">
        <f t="shared" si="2"/>
        <v>20562</v>
      </c>
      <c r="G98" s="213"/>
      <c r="H98" s="213">
        <v>20562</v>
      </c>
      <c r="I98" s="213"/>
      <c r="J98" s="213"/>
      <c r="K98" s="213">
        <f t="shared" si="3"/>
        <v>0</v>
      </c>
      <c r="L98" s="245"/>
      <c r="M98" s="213"/>
      <c r="N98" s="216"/>
      <c r="O98" s="216"/>
    </row>
    <row r="99" spans="1:15" ht="24" customHeight="1" x14ac:dyDescent="0.2">
      <c r="A99" s="121">
        <v>88</v>
      </c>
      <c r="B99" s="218" t="s">
        <v>356</v>
      </c>
      <c r="C99" s="213">
        <v>9725</v>
      </c>
      <c r="D99" s="213"/>
      <c r="E99" s="213"/>
      <c r="F99" s="213">
        <f t="shared" si="2"/>
        <v>30217</v>
      </c>
      <c r="G99" s="213"/>
      <c r="H99" s="213">
        <v>30217</v>
      </c>
      <c r="I99" s="213"/>
      <c r="J99" s="213"/>
      <c r="K99" s="213">
        <f t="shared" si="3"/>
        <v>0</v>
      </c>
      <c r="L99" s="245"/>
      <c r="M99" s="213"/>
      <c r="N99" s="216"/>
      <c r="O99" s="216"/>
    </row>
    <row r="100" spans="1:15" ht="10.5" customHeight="1" x14ac:dyDescent="0.2">
      <c r="A100" s="121">
        <v>89</v>
      </c>
      <c r="B100" s="218" t="s">
        <v>357</v>
      </c>
      <c r="C100" s="213">
        <v>27360</v>
      </c>
      <c r="D100" s="213"/>
      <c r="E100" s="213"/>
      <c r="F100" s="213">
        <f t="shared" si="2"/>
        <v>96868</v>
      </c>
      <c r="G100" s="213"/>
      <c r="H100" s="213"/>
      <c r="I100" s="213"/>
      <c r="J100" s="213"/>
      <c r="K100" s="213">
        <f t="shared" si="3"/>
        <v>96868</v>
      </c>
      <c r="L100" s="245">
        <v>23662</v>
      </c>
      <c r="M100" s="213">
        <v>73206</v>
      </c>
      <c r="N100" s="216"/>
      <c r="O100" s="216"/>
    </row>
    <row r="101" spans="1:15" ht="10.5" customHeight="1" x14ac:dyDescent="0.2">
      <c r="A101" s="121">
        <v>90</v>
      </c>
      <c r="B101" s="218" t="s">
        <v>358</v>
      </c>
      <c r="C101" s="213">
        <v>15309</v>
      </c>
      <c r="D101" s="213"/>
      <c r="E101" s="213"/>
      <c r="F101" s="213">
        <f t="shared" si="2"/>
        <v>52712</v>
      </c>
      <c r="G101" s="213"/>
      <c r="H101" s="213"/>
      <c r="I101" s="213"/>
      <c r="J101" s="213"/>
      <c r="K101" s="213">
        <f t="shared" si="3"/>
        <v>52712</v>
      </c>
      <c r="L101" s="245">
        <v>14136</v>
      </c>
      <c r="M101" s="213">
        <v>38576</v>
      </c>
      <c r="N101" s="216"/>
      <c r="O101" s="216"/>
    </row>
    <row r="102" spans="1:15" ht="10.5" customHeight="1" x14ac:dyDescent="0.2">
      <c r="A102" s="121">
        <v>91</v>
      </c>
      <c r="B102" s="218" t="s">
        <v>359</v>
      </c>
      <c r="C102" s="213">
        <v>14721</v>
      </c>
      <c r="D102" s="213"/>
      <c r="E102" s="213"/>
      <c r="F102" s="213">
        <f t="shared" si="2"/>
        <v>64293</v>
      </c>
      <c r="G102" s="213">
        <v>4774</v>
      </c>
      <c r="H102" s="213"/>
      <c r="I102" s="213"/>
      <c r="J102" s="213"/>
      <c r="K102" s="213">
        <f t="shared" si="3"/>
        <v>59519</v>
      </c>
      <c r="L102" s="245">
        <v>16945</v>
      </c>
      <c r="M102" s="213">
        <v>42574</v>
      </c>
      <c r="N102" s="216"/>
      <c r="O102" s="216"/>
    </row>
    <row r="103" spans="1:15" ht="10.5" customHeight="1" x14ac:dyDescent="0.2">
      <c r="A103" s="121">
        <v>92</v>
      </c>
      <c r="B103" s="218" t="s">
        <v>360</v>
      </c>
      <c r="C103" s="213">
        <v>11459</v>
      </c>
      <c r="D103" s="213"/>
      <c r="E103" s="213"/>
      <c r="F103" s="213">
        <f t="shared" si="2"/>
        <v>39765</v>
      </c>
      <c r="G103" s="213"/>
      <c r="H103" s="213"/>
      <c r="I103" s="213"/>
      <c r="J103" s="213"/>
      <c r="K103" s="213">
        <f t="shared" si="3"/>
        <v>39765</v>
      </c>
      <c r="L103" s="245">
        <v>10507</v>
      </c>
      <c r="M103" s="213">
        <v>29258</v>
      </c>
      <c r="N103" s="216"/>
      <c r="O103" s="216"/>
    </row>
    <row r="104" spans="1:15" ht="10.5" customHeight="1" x14ac:dyDescent="0.2">
      <c r="A104" s="121">
        <v>93</v>
      </c>
      <c r="B104" s="218" t="s">
        <v>164</v>
      </c>
      <c r="C104" s="213">
        <v>28200</v>
      </c>
      <c r="D104" s="213"/>
      <c r="E104" s="213"/>
      <c r="F104" s="213">
        <f t="shared" si="2"/>
        <v>117591</v>
      </c>
      <c r="G104" s="213">
        <v>4675</v>
      </c>
      <c r="H104" s="213"/>
      <c r="I104" s="213"/>
      <c r="J104" s="213"/>
      <c r="K104" s="213">
        <f t="shared" si="3"/>
        <v>112916</v>
      </c>
      <c r="L104" s="245">
        <v>28679</v>
      </c>
      <c r="M104" s="213">
        <v>84237</v>
      </c>
      <c r="N104" s="216"/>
      <c r="O104" s="216"/>
    </row>
    <row r="105" spans="1:15" ht="10.5" customHeight="1" x14ac:dyDescent="0.2">
      <c r="A105" s="121">
        <v>94</v>
      </c>
      <c r="B105" s="218" t="s">
        <v>361</v>
      </c>
      <c r="C105" s="213">
        <v>15028</v>
      </c>
      <c r="D105" s="213"/>
      <c r="E105" s="213"/>
      <c r="F105" s="213">
        <f t="shared" si="2"/>
        <v>60177</v>
      </c>
      <c r="G105" s="213"/>
      <c r="H105" s="213"/>
      <c r="I105" s="213"/>
      <c r="J105" s="213"/>
      <c r="K105" s="213">
        <f t="shared" si="3"/>
        <v>60177</v>
      </c>
      <c r="L105" s="245">
        <v>20396</v>
      </c>
      <c r="M105" s="213">
        <v>39781</v>
      </c>
      <c r="N105" s="216"/>
      <c r="O105" s="216"/>
    </row>
    <row r="106" spans="1:15" ht="10.5" customHeight="1" x14ac:dyDescent="0.2">
      <c r="A106" s="121">
        <v>95</v>
      </c>
      <c r="B106" s="218" t="s">
        <v>165</v>
      </c>
      <c r="C106" s="213">
        <v>16995</v>
      </c>
      <c r="D106" s="213"/>
      <c r="E106" s="213"/>
      <c r="F106" s="213">
        <f t="shared" si="2"/>
        <v>59686</v>
      </c>
      <c r="G106" s="213"/>
      <c r="H106" s="213"/>
      <c r="I106" s="213"/>
      <c r="J106" s="213"/>
      <c r="K106" s="213">
        <f t="shared" si="3"/>
        <v>59686</v>
      </c>
      <c r="L106" s="245">
        <v>17192</v>
      </c>
      <c r="M106" s="213">
        <v>42494</v>
      </c>
      <c r="N106" s="216"/>
      <c r="O106" s="216"/>
    </row>
    <row r="107" spans="1:15" ht="10.5" customHeight="1" x14ac:dyDescent="0.2">
      <c r="A107" s="121">
        <v>96</v>
      </c>
      <c r="B107" s="218" t="s">
        <v>362</v>
      </c>
      <c r="C107" s="213">
        <v>10374</v>
      </c>
      <c r="D107" s="213"/>
      <c r="E107" s="213"/>
      <c r="F107" s="213">
        <f t="shared" si="2"/>
        <v>42906</v>
      </c>
      <c r="G107" s="213">
        <v>7016</v>
      </c>
      <c r="H107" s="213"/>
      <c r="I107" s="213"/>
      <c r="J107" s="213"/>
      <c r="K107" s="213">
        <f t="shared" si="3"/>
        <v>35890</v>
      </c>
      <c r="L107" s="245">
        <v>11205</v>
      </c>
      <c r="M107" s="213">
        <v>24685</v>
      </c>
      <c r="N107" s="216"/>
      <c r="O107" s="216"/>
    </row>
    <row r="108" spans="1:15" ht="10.5" customHeight="1" x14ac:dyDescent="0.2">
      <c r="A108" s="121">
        <v>97</v>
      </c>
      <c r="B108" s="218" t="s">
        <v>363</v>
      </c>
      <c r="C108" s="213">
        <v>28528</v>
      </c>
      <c r="D108" s="213"/>
      <c r="E108" s="213"/>
      <c r="F108" s="213">
        <f t="shared" si="2"/>
        <v>123377</v>
      </c>
      <c r="G108" s="213">
        <v>5815</v>
      </c>
      <c r="H108" s="213"/>
      <c r="I108" s="213"/>
      <c r="J108" s="213"/>
      <c r="K108" s="213">
        <f t="shared" si="3"/>
        <v>117562</v>
      </c>
      <c r="L108" s="245">
        <v>28322</v>
      </c>
      <c r="M108" s="213">
        <v>89240</v>
      </c>
      <c r="N108" s="216"/>
      <c r="O108" s="216"/>
    </row>
    <row r="109" spans="1:15" ht="10.5" customHeight="1" x14ac:dyDescent="0.2">
      <c r="A109" s="121">
        <v>98</v>
      </c>
      <c r="B109" s="218" t="s">
        <v>364</v>
      </c>
      <c r="C109" s="213">
        <v>12983</v>
      </c>
      <c r="D109" s="213"/>
      <c r="E109" s="213"/>
      <c r="F109" s="213">
        <f t="shared" si="2"/>
        <v>45037</v>
      </c>
      <c r="G109" s="213"/>
      <c r="H109" s="213"/>
      <c r="I109" s="213"/>
      <c r="J109" s="213"/>
      <c r="K109" s="213">
        <f t="shared" si="3"/>
        <v>45037</v>
      </c>
      <c r="L109" s="245">
        <v>12727</v>
      </c>
      <c r="M109" s="213">
        <v>32310</v>
      </c>
      <c r="N109" s="216"/>
      <c r="O109" s="216"/>
    </row>
    <row r="110" spans="1:15" ht="10.5" customHeight="1" x14ac:dyDescent="0.2">
      <c r="A110" s="121">
        <v>99</v>
      </c>
      <c r="B110" s="218" t="s">
        <v>365</v>
      </c>
      <c r="C110" s="213">
        <v>12553</v>
      </c>
      <c r="D110" s="213"/>
      <c r="E110" s="213"/>
      <c r="F110" s="213">
        <f t="shared" si="2"/>
        <v>44038</v>
      </c>
      <c r="G110" s="213"/>
      <c r="H110" s="213"/>
      <c r="I110" s="213"/>
      <c r="J110" s="213"/>
      <c r="K110" s="213">
        <f t="shared" si="3"/>
        <v>44038</v>
      </c>
      <c r="L110" s="245">
        <f>15481+371</f>
        <v>15852</v>
      </c>
      <c r="M110" s="213">
        <v>28186</v>
      </c>
      <c r="N110" s="216"/>
      <c r="O110" s="216"/>
    </row>
    <row r="111" spans="1:15" ht="12.75" customHeight="1" x14ac:dyDescent="0.2">
      <c r="A111" s="121">
        <v>100</v>
      </c>
      <c r="B111" s="218" t="s">
        <v>366</v>
      </c>
      <c r="C111" s="213">
        <v>0</v>
      </c>
      <c r="D111" s="213"/>
      <c r="E111" s="213"/>
      <c r="F111" s="213">
        <f t="shared" si="2"/>
        <v>16487</v>
      </c>
      <c r="G111" s="213"/>
      <c r="H111" s="213">
        <v>16487</v>
      </c>
      <c r="I111" s="213"/>
      <c r="J111" s="213"/>
      <c r="K111" s="213">
        <f t="shared" si="3"/>
        <v>0</v>
      </c>
      <c r="L111" s="245"/>
      <c r="M111" s="213"/>
      <c r="N111" s="216"/>
      <c r="O111" s="216"/>
    </row>
    <row r="112" spans="1:15" ht="14.25" customHeight="1" x14ac:dyDescent="0.2">
      <c r="A112" s="121">
        <v>101</v>
      </c>
      <c r="B112" s="218" t="s">
        <v>367</v>
      </c>
      <c r="C112" s="213">
        <v>23001</v>
      </c>
      <c r="D112" s="213"/>
      <c r="E112" s="213"/>
      <c r="F112" s="213">
        <f t="shared" si="2"/>
        <v>19227</v>
      </c>
      <c r="G112" s="213"/>
      <c r="H112" s="213">
        <v>19227</v>
      </c>
      <c r="I112" s="213"/>
      <c r="J112" s="213"/>
      <c r="K112" s="213">
        <f t="shared" si="3"/>
        <v>0</v>
      </c>
      <c r="L112" s="245"/>
      <c r="M112" s="213"/>
      <c r="N112" s="216"/>
      <c r="O112" s="216"/>
    </row>
    <row r="113" spans="1:15" ht="13.5" customHeight="1" x14ac:dyDescent="0.2">
      <c r="A113" s="121">
        <v>102</v>
      </c>
      <c r="B113" s="218" t="s">
        <v>368</v>
      </c>
      <c r="C113" s="213">
        <v>0</v>
      </c>
      <c r="D113" s="213"/>
      <c r="E113" s="213"/>
      <c r="F113" s="213">
        <f t="shared" si="2"/>
        <v>22812</v>
      </c>
      <c r="G113" s="213"/>
      <c r="H113" s="213">
        <v>22812</v>
      </c>
      <c r="I113" s="213"/>
      <c r="J113" s="213"/>
      <c r="K113" s="213">
        <f t="shared" si="3"/>
        <v>0</v>
      </c>
      <c r="L113" s="245"/>
      <c r="M113" s="213"/>
      <c r="N113" s="216"/>
      <c r="O113" s="216"/>
    </row>
    <row r="114" spans="1:15" ht="15" customHeight="1" x14ac:dyDescent="0.2">
      <c r="A114" s="121">
        <v>103</v>
      </c>
      <c r="B114" s="218" t="s">
        <v>369</v>
      </c>
      <c r="C114" s="213">
        <v>0</v>
      </c>
      <c r="D114" s="213"/>
      <c r="E114" s="213"/>
      <c r="F114" s="213">
        <f t="shared" si="2"/>
        <v>18511</v>
      </c>
      <c r="G114" s="213"/>
      <c r="H114" s="213">
        <v>18511</v>
      </c>
      <c r="I114" s="213"/>
      <c r="J114" s="213"/>
      <c r="K114" s="213">
        <f t="shared" si="3"/>
        <v>0</v>
      </c>
      <c r="L114" s="245"/>
      <c r="M114" s="213"/>
      <c r="N114" s="216"/>
      <c r="O114" s="216"/>
    </row>
    <row r="115" spans="1:15" ht="15.75" customHeight="1" x14ac:dyDescent="0.2">
      <c r="A115" s="121">
        <v>104</v>
      </c>
      <c r="B115" s="218" t="s">
        <v>370</v>
      </c>
      <c r="C115" s="213">
        <v>0</v>
      </c>
      <c r="D115" s="213"/>
      <c r="E115" s="213"/>
      <c r="F115" s="213">
        <f t="shared" si="2"/>
        <v>27899</v>
      </c>
      <c r="G115" s="213"/>
      <c r="H115" s="213">
        <v>27899</v>
      </c>
      <c r="I115" s="213"/>
      <c r="J115" s="213"/>
      <c r="K115" s="213">
        <f t="shared" si="3"/>
        <v>0</v>
      </c>
      <c r="L115" s="245"/>
      <c r="M115" s="213"/>
      <c r="N115" s="216"/>
      <c r="O115" s="216"/>
    </row>
    <row r="116" spans="1:15" ht="15.75" customHeight="1" x14ac:dyDescent="0.2">
      <c r="A116" s="121">
        <v>105</v>
      </c>
      <c r="B116" s="218" t="s">
        <v>371</v>
      </c>
      <c r="C116" s="213">
        <v>0</v>
      </c>
      <c r="D116" s="213"/>
      <c r="E116" s="213"/>
      <c r="F116" s="213">
        <f t="shared" si="2"/>
        <v>16867</v>
      </c>
      <c r="G116" s="213"/>
      <c r="H116" s="213">
        <v>16867</v>
      </c>
      <c r="I116" s="213"/>
      <c r="J116" s="213"/>
      <c r="K116" s="213">
        <f t="shared" si="3"/>
        <v>0</v>
      </c>
      <c r="L116" s="245"/>
      <c r="M116" s="213"/>
      <c r="N116" s="216"/>
      <c r="O116" s="216"/>
    </row>
    <row r="117" spans="1:15" ht="13.5" customHeight="1" x14ac:dyDescent="0.2">
      <c r="A117" s="121">
        <v>106</v>
      </c>
      <c r="B117" s="218" t="s">
        <v>372</v>
      </c>
      <c r="C117" s="213">
        <v>0</v>
      </c>
      <c r="D117" s="213"/>
      <c r="E117" s="213"/>
      <c r="F117" s="213">
        <f t="shared" si="2"/>
        <v>14605</v>
      </c>
      <c r="G117" s="213"/>
      <c r="H117" s="213">
        <v>14605</v>
      </c>
      <c r="I117" s="213"/>
      <c r="J117" s="213"/>
      <c r="K117" s="213">
        <f t="shared" si="3"/>
        <v>0</v>
      </c>
      <c r="L117" s="245"/>
      <c r="M117" s="213"/>
      <c r="N117" s="216"/>
      <c r="O117" s="216"/>
    </row>
    <row r="118" spans="1:15" ht="10.5" customHeight="1" x14ac:dyDescent="0.2">
      <c r="A118" s="121">
        <v>107</v>
      </c>
      <c r="B118" s="218" t="s">
        <v>373</v>
      </c>
      <c r="C118" s="213">
        <f>38543-60</f>
        <v>38483</v>
      </c>
      <c r="D118" s="213">
        <v>9233</v>
      </c>
      <c r="E118" s="213"/>
      <c r="F118" s="213">
        <f t="shared" si="2"/>
        <v>112234</v>
      </c>
      <c r="G118" s="213"/>
      <c r="H118" s="213"/>
      <c r="I118" s="213"/>
      <c r="J118" s="213">
        <v>1361</v>
      </c>
      <c r="K118" s="213">
        <f t="shared" si="3"/>
        <v>110873</v>
      </c>
      <c r="L118" s="245">
        <v>25651</v>
      </c>
      <c r="M118" s="213">
        <v>85222</v>
      </c>
      <c r="N118" s="216"/>
      <c r="O118" s="216"/>
    </row>
    <row r="119" spans="1:15" ht="10.5" customHeight="1" x14ac:dyDescent="0.2">
      <c r="A119" s="121">
        <v>108</v>
      </c>
      <c r="B119" s="218" t="s">
        <v>374</v>
      </c>
      <c r="C119" s="213">
        <f>41087+103</f>
        <v>41190</v>
      </c>
      <c r="D119" s="213">
        <f>24625+103</f>
        <v>24728</v>
      </c>
      <c r="E119" s="213"/>
      <c r="F119" s="213">
        <f t="shared" si="2"/>
        <v>74597</v>
      </c>
      <c r="G119" s="213"/>
      <c r="H119" s="213"/>
      <c r="I119" s="213"/>
      <c r="J119" s="213">
        <v>3629</v>
      </c>
      <c r="K119" s="213">
        <f t="shared" si="3"/>
        <v>70968</v>
      </c>
      <c r="L119" s="245">
        <v>26101</v>
      </c>
      <c r="M119" s="213">
        <v>44867</v>
      </c>
      <c r="N119" s="216"/>
      <c r="O119" s="216"/>
    </row>
    <row r="120" spans="1:15" ht="10.5" customHeight="1" x14ac:dyDescent="0.2">
      <c r="A120" s="121">
        <v>109</v>
      </c>
      <c r="B120" s="218" t="s">
        <v>166</v>
      </c>
      <c r="C120" s="213">
        <v>14481</v>
      </c>
      <c r="D120" s="213"/>
      <c r="E120" s="213"/>
      <c r="F120" s="213">
        <f t="shared" si="2"/>
        <v>63752</v>
      </c>
      <c r="G120" s="213"/>
      <c r="H120" s="213"/>
      <c r="I120" s="213"/>
      <c r="J120" s="213"/>
      <c r="K120" s="213">
        <f t="shared" si="3"/>
        <v>63752</v>
      </c>
      <c r="L120" s="245">
        <v>12912</v>
      </c>
      <c r="M120" s="213">
        <v>50840</v>
      </c>
      <c r="N120" s="216"/>
      <c r="O120" s="216"/>
    </row>
    <row r="121" spans="1:15" ht="10.5" customHeight="1" x14ac:dyDescent="0.2">
      <c r="A121" s="121">
        <v>110</v>
      </c>
      <c r="B121" s="218" t="s">
        <v>375</v>
      </c>
      <c r="C121" s="213">
        <v>8209</v>
      </c>
      <c r="D121" s="213"/>
      <c r="E121" s="213"/>
      <c r="F121" s="213">
        <f t="shared" si="2"/>
        <v>37189</v>
      </c>
      <c r="G121" s="213"/>
      <c r="H121" s="213"/>
      <c r="I121" s="213"/>
      <c r="J121" s="213"/>
      <c r="K121" s="213">
        <f t="shared" si="3"/>
        <v>37189</v>
      </c>
      <c r="L121" s="245">
        <v>11096</v>
      </c>
      <c r="M121" s="213">
        <v>26093</v>
      </c>
      <c r="N121" s="216"/>
      <c r="O121" s="216"/>
    </row>
    <row r="122" spans="1:15" ht="10.5" customHeight="1" x14ac:dyDescent="0.2">
      <c r="A122" s="121">
        <v>111</v>
      </c>
      <c r="B122" s="218" t="s">
        <v>376</v>
      </c>
      <c r="C122" s="213">
        <v>43627</v>
      </c>
      <c r="D122" s="213">
        <v>26209</v>
      </c>
      <c r="E122" s="213">
        <v>13682</v>
      </c>
      <c r="F122" s="213">
        <f t="shared" si="2"/>
        <v>16942</v>
      </c>
      <c r="G122" s="213"/>
      <c r="H122" s="213"/>
      <c r="I122" s="213"/>
      <c r="J122" s="213">
        <v>3862</v>
      </c>
      <c r="K122" s="213">
        <f t="shared" si="3"/>
        <v>13080</v>
      </c>
      <c r="L122" s="245">
        <v>3059</v>
      </c>
      <c r="M122" s="213">
        <v>10021</v>
      </c>
      <c r="N122" s="216"/>
      <c r="O122" s="216"/>
    </row>
    <row r="123" spans="1:15" ht="10.5" customHeight="1" x14ac:dyDescent="0.2">
      <c r="A123" s="121">
        <v>112</v>
      </c>
      <c r="B123" s="218" t="s">
        <v>377</v>
      </c>
      <c r="C123" s="213">
        <v>6990</v>
      </c>
      <c r="D123" s="213"/>
      <c r="E123" s="213"/>
      <c r="F123" s="213">
        <f t="shared" si="2"/>
        <v>31888</v>
      </c>
      <c r="G123" s="213"/>
      <c r="H123" s="213"/>
      <c r="I123" s="213"/>
      <c r="J123" s="213"/>
      <c r="K123" s="213">
        <f t="shared" si="3"/>
        <v>31888</v>
      </c>
      <c r="L123" s="245">
        <f>9892+225</f>
        <v>10117</v>
      </c>
      <c r="M123" s="213">
        <v>21771</v>
      </c>
      <c r="N123" s="216"/>
      <c r="O123" s="216"/>
    </row>
    <row r="124" spans="1:15" ht="10.5" customHeight="1" x14ac:dyDescent="0.2">
      <c r="A124" s="121">
        <v>113</v>
      </c>
      <c r="B124" s="218" t="s">
        <v>167</v>
      </c>
      <c r="C124" s="213">
        <f>42904+11</f>
        <v>42915</v>
      </c>
      <c r="D124" s="213"/>
      <c r="E124" s="213"/>
      <c r="F124" s="213">
        <f t="shared" si="2"/>
        <v>189431</v>
      </c>
      <c r="G124" s="213">
        <v>5935</v>
      </c>
      <c r="H124" s="213"/>
      <c r="I124" s="213"/>
      <c r="J124" s="213"/>
      <c r="K124" s="213">
        <f t="shared" si="3"/>
        <v>183496</v>
      </c>
      <c r="L124" s="245">
        <v>58794</v>
      </c>
      <c r="M124" s="213">
        <v>124702</v>
      </c>
      <c r="N124" s="216"/>
      <c r="O124" s="216"/>
    </row>
    <row r="125" spans="1:15" ht="10.5" customHeight="1" x14ac:dyDescent="0.2">
      <c r="A125" s="121">
        <v>114</v>
      </c>
      <c r="B125" s="218" t="s">
        <v>378</v>
      </c>
      <c r="C125" s="213">
        <v>28184</v>
      </c>
      <c r="D125" s="213"/>
      <c r="E125" s="213"/>
      <c r="F125" s="213">
        <f t="shared" si="2"/>
        <v>53352</v>
      </c>
      <c r="G125" s="213"/>
      <c r="H125" s="213"/>
      <c r="I125" s="213"/>
      <c r="J125" s="213"/>
      <c r="K125" s="213">
        <f t="shared" si="3"/>
        <v>53352</v>
      </c>
      <c r="L125" s="245">
        <v>11225</v>
      </c>
      <c r="M125" s="213">
        <v>42127</v>
      </c>
      <c r="N125" s="216"/>
      <c r="O125" s="216"/>
    </row>
    <row r="126" spans="1:15" ht="10.5" customHeight="1" x14ac:dyDescent="0.2">
      <c r="A126" s="121">
        <v>115</v>
      </c>
      <c r="B126" s="218" t="s">
        <v>155</v>
      </c>
      <c r="C126" s="213">
        <v>16114</v>
      </c>
      <c r="D126" s="213"/>
      <c r="E126" s="213"/>
      <c r="F126" s="213">
        <f t="shared" si="2"/>
        <v>71952</v>
      </c>
      <c r="G126" s="213"/>
      <c r="H126" s="213"/>
      <c r="I126" s="213"/>
      <c r="J126" s="213"/>
      <c r="K126" s="213">
        <f t="shared" si="3"/>
        <v>71952</v>
      </c>
      <c r="L126" s="245">
        <v>18708</v>
      </c>
      <c r="M126" s="213">
        <v>53244</v>
      </c>
      <c r="N126" s="216"/>
      <c r="O126" s="216"/>
    </row>
    <row r="127" spans="1:15" ht="10.5" customHeight="1" x14ac:dyDescent="0.2">
      <c r="A127" s="121">
        <v>116</v>
      </c>
      <c r="B127" s="218" t="s">
        <v>168</v>
      </c>
      <c r="C127" s="213">
        <v>0</v>
      </c>
      <c r="D127" s="213"/>
      <c r="E127" s="213"/>
      <c r="F127" s="213">
        <f t="shared" si="2"/>
        <v>34164</v>
      </c>
      <c r="G127" s="213"/>
      <c r="H127" s="213">
        <v>34164</v>
      </c>
      <c r="I127" s="213"/>
      <c r="J127" s="213"/>
      <c r="K127" s="213">
        <f t="shared" si="3"/>
        <v>0</v>
      </c>
      <c r="L127" s="245"/>
      <c r="M127" s="213"/>
      <c r="N127" s="216"/>
      <c r="O127" s="216"/>
    </row>
    <row r="128" spans="1:15" ht="10.5" customHeight="1" x14ac:dyDescent="0.2">
      <c r="A128" s="270">
        <v>117</v>
      </c>
      <c r="B128" s="218" t="s">
        <v>115</v>
      </c>
      <c r="C128" s="213">
        <v>4245</v>
      </c>
      <c r="D128" s="213"/>
      <c r="E128" s="213"/>
      <c r="F128" s="213">
        <f t="shared" si="2"/>
        <v>13417</v>
      </c>
      <c r="G128" s="213"/>
      <c r="H128" s="213"/>
      <c r="I128" s="213"/>
      <c r="J128" s="213"/>
      <c r="K128" s="213">
        <f t="shared" si="3"/>
        <v>13417</v>
      </c>
      <c r="L128" s="245">
        <v>2851</v>
      </c>
      <c r="M128" s="213">
        <v>10566</v>
      </c>
      <c r="N128" s="216"/>
      <c r="O128" s="216"/>
    </row>
    <row r="129" spans="1:15" ht="26.25" customHeight="1" x14ac:dyDescent="0.2">
      <c r="A129" s="271"/>
      <c r="B129" s="234" t="s">
        <v>379</v>
      </c>
      <c r="C129" s="235">
        <v>0</v>
      </c>
      <c r="D129" s="235"/>
      <c r="E129" s="235"/>
      <c r="F129" s="235">
        <f t="shared" si="2"/>
        <v>4470</v>
      </c>
      <c r="G129" s="235"/>
      <c r="H129" s="235">
        <v>4470</v>
      </c>
      <c r="I129" s="235"/>
      <c r="J129" s="235"/>
      <c r="K129" s="235">
        <f t="shared" si="3"/>
        <v>0</v>
      </c>
      <c r="L129" s="247"/>
      <c r="M129" s="235"/>
      <c r="N129" s="216"/>
      <c r="O129" s="216"/>
    </row>
    <row r="130" spans="1:15" ht="23.25" customHeight="1" x14ac:dyDescent="0.2">
      <c r="A130" s="121">
        <v>118</v>
      </c>
      <c r="B130" s="218" t="s">
        <v>380</v>
      </c>
      <c r="C130" s="213">
        <v>0</v>
      </c>
      <c r="D130" s="213"/>
      <c r="E130" s="213"/>
      <c r="F130" s="213">
        <f t="shared" si="2"/>
        <v>1341</v>
      </c>
      <c r="G130" s="213"/>
      <c r="H130" s="213">
        <v>1341</v>
      </c>
      <c r="I130" s="213"/>
      <c r="J130" s="213"/>
      <c r="K130" s="213">
        <f t="shared" si="3"/>
        <v>0</v>
      </c>
      <c r="L130" s="245"/>
      <c r="M130" s="213"/>
      <c r="N130" s="216"/>
      <c r="O130" s="216"/>
    </row>
    <row r="131" spans="1:15" ht="10.5" customHeight="1" x14ac:dyDescent="0.2">
      <c r="A131" s="121">
        <v>119</v>
      </c>
      <c r="B131" s="217" t="s">
        <v>381</v>
      </c>
      <c r="C131" s="213">
        <v>2365</v>
      </c>
      <c r="D131" s="213"/>
      <c r="E131" s="213"/>
      <c r="F131" s="213">
        <f t="shared" si="2"/>
        <v>8023</v>
      </c>
      <c r="G131" s="213"/>
      <c r="H131" s="213"/>
      <c r="I131" s="213"/>
      <c r="J131" s="213"/>
      <c r="K131" s="213">
        <f t="shared" si="3"/>
        <v>8023</v>
      </c>
      <c r="L131" s="245">
        <v>1807</v>
      </c>
      <c r="M131" s="213">
        <v>6216</v>
      </c>
      <c r="N131" s="216"/>
      <c r="O131" s="216"/>
    </row>
    <row r="132" spans="1:15" ht="10.5" customHeight="1" x14ac:dyDescent="0.2">
      <c r="A132" s="121">
        <v>120</v>
      </c>
      <c r="B132" s="212" t="s">
        <v>37</v>
      </c>
      <c r="C132" s="213">
        <v>9927</v>
      </c>
      <c r="D132" s="213"/>
      <c r="E132" s="213"/>
      <c r="F132" s="213">
        <f t="shared" si="2"/>
        <v>30677</v>
      </c>
      <c r="G132" s="213"/>
      <c r="H132" s="213"/>
      <c r="I132" s="213"/>
      <c r="J132" s="213"/>
      <c r="K132" s="213">
        <f t="shared" si="3"/>
        <v>30677</v>
      </c>
      <c r="L132" s="245">
        <v>9323</v>
      </c>
      <c r="M132" s="213">
        <v>21354</v>
      </c>
      <c r="N132" s="216"/>
      <c r="O132" s="216"/>
    </row>
    <row r="133" spans="1:15" ht="10.5" customHeight="1" x14ac:dyDescent="0.2">
      <c r="A133" s="121">
        <v>121</v>
      </c>
      <c r="B133" s="217" t="s">
        <v>38</v>
      </c>
      <c r="C133" s="213">
        <v>10074</v>
      </c>
      <c r="D133" s="213"/>
      <c r="E133" s="213"/>
      <c r="F133" s="213">
        <f t="shared" si="2"/>
        <v>31135</v>
      </c>
      <c r="G133" s="213"/>
      <c r="H133" s="213"/>
      <c r="I133" s="213"/>
      <c r="J133" s="213"/>
      <c r="K133" s="213">
        <f t="shared" si="3"/>
        <v>31135</v>
      </c>
      <c r="L133" s="245">
        <v>9284</v>
      </c>
      <c r="M133" s="213">
        <v>21851</v>
      </c>
      <c r="N133" s="216"/>
      <c r="O133" s="216"/>
    </row>
    <row r="134" spans="1:15" ht="11.25" customHeight="1" x14ac:dyDescent="0.2">
      <c r="A134" s="121">
        <v>122</v>
      </c>
      <c r="B134" s="212" t="s">
        <v>39</v>
      </c>
      <c r="C134" s="213">
        <v>28337</v>
      </c>
      <c r="D134" s="213"/>
      <c r="E134" s="213"/>
      <c r="F134" s="213">
        <f t="shared" si="2"/>
        <v>87884</v>
      </c>
      <c r="G134" s="213"/>
      <c r="H134" s="213"/>
      <c r="I134" s="213"/>
      <c r="J134" s="213"/>
      <c r="K134" s="213">
        <f t="shared" si="3"/>
        <v>87884</v>
      </c>
      <c r="L134" s="245">
        <v>21432</v>
      </c>
      <c r="M134" s="213">
        <v>66452</v>
      </c>
      <c r="N134" s="216"/>
      <c r="O134" s="216"/>
    </row>
    <row r="135" spans="1:15" ht="10.5" customHeight="1" x14ac:dyDescent="0.2">
      <c r="A135" s="121">
        <v>123</v>
      </c>
      <c r="B135" s="217" t="s">
        <v>40</v>
      </c>
      <c r="C135" s="213">
        <v>12355</v>
      </c>
      <c r="D135" s="213"/>
      <c r="E135" s="213"/>
      <c r="F135" s="213">
        <f t="shared" si="2"/>
        <v>38175</v>
      </c>
      <c r="G135" s="213"/>
      <c r="H135" s="213"/>
      <c r="I135" s="213"/>
      <c r="J135" s="213"/>
      <c r="K135" s="213">
        <f t="shared" si="3"/>
        <v>38175</v>
      </c>
      <c r="L135" s="245">
        <v>9050</v>
      </c>
      <c r="M135" s="213">
        <v>29125</v>
      </c>
      <c r="N135" s="216"/>
      <c r="O135" s="216"/>
    </row>
    <row r="136" spans="1:15" ht="10.5" customHeight="1" x14ac:dyDescent="0.2">
      <c r="A136" s="121">
        <v>124</v>
      </c>
      <c r="B136" s="217" t="s">
        <v>41</v>
      </c>
      <c r="C136" s="213">
        <v>15121</v>
      </c>
      <c r="D136" s="213"/>
      <c r="E136" s="213"/>
      <c r="F136" s="213">
        <f t="shared" si="2"/>
        <v>46694</v>
      </c>
      <c r="G136" s="213"/>
      <c r="H136" s="213"/>
      <c r="I136" s="213"/>
      <c r="J136" s="213"/>
      <c r="K136" s="213">
        <f t="shared" si="3"/>
        <v>46694</v>
      </c>
      <c r="L136" s="245">
        <v>11207</v>
      </c>
      <c r="M136" s="213">
        <v>35487</v>
      </c>
      <c r="N136" s="216"/>
      <c r="O136" s="216"/>
    </row>
    <row r="137" spans="1:15" ht="10.5" customHeight="1" x14ac:dyDescent="0.2">
      <c r="A137" s="121">
        <v>125</v>
      </c>
      <c r="B137" s="212" t="s">
        <v>42</v>
      </c>
      <c r="C137" s="213">
        <v>29340</v>
      </c>
      <c r="D137" s="213"/>
      <c r="E137" s="213"/>
      <c r="F137" s="213">
        <f t="shared" ref="F137:F188" si="4">G137+H137+I137+J137+K137</f>
        <v>90717</v>
      </c>
      <c r="G137" s="213"/>
      <c r="H137" s="213"/>
      <c r="I137" s="213"/>
      <c r="J137" s="213"/>
      <c r="K137" s="213">
        <f t="shared" ref="K137:K189" si="5">L137+M137</f>
        <v>90717</v>
      </c>
      <c r="L137" s="245">
        <v>27838</v>
      </c>
      <c r="M137" s="213">
        <v>62879</v>
      </c>
      <c r="N137" s="216"/>
      <c r="O137" s="216"/>
    </row>
    <row r="138" spans="1:15" ht="10.5" customHeight="1" x14ac:dyDescent="0.2">
      <c r="A138" s="121">
        <v>126</v>
      </c>
      <c r="B138" s="212" t="s">
        <v>43</v>
      </c>
      <c r="C138" s="213">
        <v>25635</v>
      </c>
      <c r="D138" s="213"/>
      <c r="E138" s="213"/>
      <c r="F138" s="213">
        <f t="shared" si="4"/>
        <v>79209</v>
      </c>
      <c r="G138" s="213"/>
      <c r="H138" s="213"/>
      <c r="I138" s="213"/>
      <c r="J138" s="213"/>
      <c r="K138" s="213">
        <f t="shared" si="5"/>
        <v>79209</v>
      </c>
      <c r="L138" s="245">
        <v>16634</v>
      </c>
      <c r="M138" s="213">
        <v>62575</v>
      </c>
      <c r="N138" s="216"/>
      <c r="O138" s="216"/>
    </row>
    <row r="139" spans="1:15" ht="10.5" customHeight="1" x14ac:dyDescent="0.2">
      <c r="A139" s="121">
        <v>127</v>
      </c>
      <c r="B139" s="217" t="s">
        <v>44</v>
      </c>
      <c r="C139" s="213">
        <v>9300</v>
      </c>
      <c r="D139" s="213"/>
      <c r="E139" s="213"/>
      <c r="F139" s="213">
        <f t="shared" si="4"/>
        <v>28695</v>
      </c>
      <c r="G139" s="213"/>
      <c r="H139" s="213"/>
      <c r="I139" s="213"/>
      <c r="J139" s="213"/>
      <c r="K139" s="213">
        <f t="shared" si="5"/>
        <v>28695</v>
      </c>
      <c r="L139" s="245">
        <v>7743</v>
      </c>
      <c r="M139" s="213">
        <v>20952</v>
      </c>
      <c r="N139" s="216"/>
      <c r="O139" s="216"/>
    </row>
    <row r="140" spans="1:15" ht="10.5" customHeight="1" x14ac:dyDescent="0.2">
      <c r="A140" s="121">
        <v>128</v>
      </c>
      <c r="B140" s="212" t="s">
        <v>45</v>
      </c>
      <c r="C140" s="213">
        <v>14613</v>
      </c>
      <c r="D140" s="213"/>
      <c r="E140" s="213"/>
      <c r="F140" s="213">
        <f t="shared" si="4"/>
        <v>45142</v>
      </c>
      <c r="G140" s="213"/>
      <c r="H140" s="213"/>
      <c r="I140" s="213"/>
      <c r="J140" s="213"/>
      <c r="K140" s="213">
        <f t="shared" si="5"/>
        <v>45142</v>
      </c>
      <c r="L140" s="245">
        <v>8594</v>
      </c>
      <c r="M140" s="213">
        <v>36548</v>
      </c>
      <c r="N140" s="216"/>
      <c r="O140" s="216"/>
    </row>
    <row r="141" spans="1:15" ht="10.5" customHeight="1" x14ac:dyDescent="0.2">
      <c r="A141" s="121">
        <v>129</v>
      </c>
      <c r="B141" s="217" t="s">
        <v>46</v>
      </c>
      <c r="C141" s="213">
        <v>13934</v>
      </c>
      <c r="D141" s="213"/>
      <c r="E141" s="213"/>
      <c r="F141" s="213">
        <f t="shared" si="4"/>
        <v>43067</v>
      </c>
      <c r="G141" s="213"/>
      <c r="H141" s="213"/>
      <c r="I141" s="213"/>
      <c r="J141" s="213"/>
      <c r="K141" s="213">
        <f t="shared" si="5"/>
        <v>43067</v>
      </c>
      <c r="L141" s="245">
        <v>12239</v>
      </c>
      <c r="M141" s="213">
        <v>30828</v>
      </c>
      <c r="N141" s="216"/>
      <c r="O141" s="216"/>
    </row>
    <row r="142" spans="1:15" ht="10.5" customHeight="1" x14ac:dyDescent="0.2">
      <c r="A142" s="121">
        <v>130</v>
      </c>
      <c r="B142" s="217" t="s">
        <v>47</v>
      </c>
      <c r="C142" s="213">
        <v>16861</v>
      </c>
      <c r="D142" s="213"/>
      <c r="E142" s="213"/>
      <c r="F142" s="213">
        <f t="shared" si="4"/>
        <v>54694</v>
      </c>
      <c r="G142" s="213">
        <v>2552</v>
      </c>
      <c r="H142" s="213"/>
      <c r="I142" s="213"/>
      <c r="J142" s="213"/>
      <c r="K142" s="213">
        <f t="shared" si="5"/>
        <v>52142</v>
      </c>
      <c r="L142" s="245">
        <v>10249</v>
      </c>
      <c r="M142" s="213">
        <v>41893</v>
      </c>
      <c r="N142" s="216"/>
      <c r="O142" s="216"/>
    </row>
    <row r="143" spans="1:15" ht="10.5" customHeight="1" x14ac:dyDescent="0.2">
      <c r="A143" s="121">
        <v>131</v>
      </c>
      <c r="B143" s="212" t="s">
        <v>48</v>
      </c>
      <c r="C143" s="213">
        <v>10773</v>
      </c>
      <c r="D143" s="213"/>
      <c r="E143" s="213"/>
      <c r="F143" s="213">
        <f t="shared" si="4"/>
        <v>33297</v>
      </c>
      <c r="G143" s="213"/>
      <c r="H143" s="213"/>
      <c r="I143" s="213"/>
      <c r="J143" s="213"/>
      <c r="K143" s="213">
        <f t="shared" si="5"/>
        <v>33297</v>
      </c>
      <c r="L143" s="245">
        <v>8880</v>
      </c>
      <c r="M143" s="213">
        <v>24417</v>
      </c>
      <c r="N143" s="216"/>
      <c r="O143" s="216"/>
    </row>
    <row r="144" spans="1:15" ht="10.5" customHeight="1" x14ac:dyDescent="0.2">
      <c r="A144" s="121">
        <v>132</v>
      </c>
      <c r="B144" s="217" t="s">
        <v>49</v>
      </c>
      <c r="C144" s="213">
        <v>15929</v>
      </c>
      <c r="D144" s="213"/>
      <c r="E144" s="213"/>
      <c r="F144" s="213">
        <f t="shared" si="4"/>
        <v>49200</v>
      </c>
      <c r="G144" s="213"/>
      <c r="H144" s="213"/>
      <c r="I144" s="213"/>
      <c r="J144" s="213"/>
      <c r="K144" s="213">
        <f t="shared" si="5"/>
        <v>49200</v>
      </c>
      <c r="L144" s="245">
        <v>10296</v>
      </c>
      <c r="M144" s="213">
        <v>38904</v>
      </c>
      <c r="N144" s="216"/>
      <c r="O144" s="216"/>
    </row>
    <row r="145" spans="1:15" ht="10.5" customHeight="1" x14ac:dyDescent="0.2">
      <c r="A145" s="121">
        <v>133</v>
      </c>
      <c r="B145" s="217" t="s">
        <v>50</v>
      </c>
      <c r="C145" s="213">
        <v>26621</v>
      </c>
      <c r="D145" s="213"/>
      <c r="E145" s="213"/>
      <c r="F145" s="213">
        <f t="shared" si="4"/>
        <v>82240</v>
      </c>
      <c r="G145" s="213"/>
      <c r="H145" s="213"/>
      <c r="I145" s="213"/>
      <c r="J145" s="213"/>
      <c r="K145" s="213">
        <f t="shared" si="5"/>
        <v>82240</v>
      </c>
      <c r="L145" s="245">
        <v>21410</v>
      </c>
      <c r="M145" s="213">
        <v>60830</v>
      </c>
      <c r="N145" s="216"/>
      <c r="O145" s="216"/>
    </row>
    <row r="146" spans="1:15" ht="10.5" customHeight="1" x14ac:dyDescent="0.2">
      <c r="A146" s="121">
        <v>134</v>
      </c>
      <c r="B146" s="217" t="s">
        <v>51</v>
      </c>
      <c r="C146" s="213">
        <v>12725</v>
      </c>
      <c r="D146" s="213"/>
      <c r="E146" s="213"/>
      <c r="F146" s="213">
        <f t="shared" si="4"/>
        <v>39314</v>
      </c>
      <c r="G146" s="213"/>
      <c r="H146" s="213"/>
      <c r="I146" s="213"/>
      <c r="J146" s="213"/>
      <c r="K146" s="213">
        <f t="shared" si="5"/>
        <v>39314</v>
      </c>
      <c r="L146" s="245">
        <v>7856</v>
      </c>
      <c r="M146" s="213">
        <v>31458</v>
      </c>
      <c r="N146" s="216"/>
      <c r="O146" s="216"/>
    </row>
    <row r="147" spans="1:15" ht="24" customHeight="1" x14ac:dyDescent="0.2">
      <c r="A147" s="121">
        <v>135</v>
      </c>
      <c r="B147" s="218" t="s">
        <v>117</v>
      </c>
      <c r="C147" s="213">
        <v>7086</v>
      </c>
      <c r="D147" s="213"/>
      <c r="E147" s="213"/>
      <c r="F147" s="213">
        <f t="shared" si="4"/>
        <v>32104</v>
      </c>
      <c r="G147" s="213"/>
      <c r="H147" s="213"/>
      <c r="I147" s="213"/>
      <c r="J147" s="213"/>
      <c r="K147" s="213">
        <f t="shared" si="5"/>
        <v>32104</v>
      </c>
      <c r="L147" s="245">
        <v>7343</v>
      </c>
      <c r="M147" s="213">
        <v>24761</v>
      </c>
      <c r="N147" s="216"/>
      <c r="O147" s="216"/>
    </row>
    <row r="148" spans="1:15" ht="10.5" customHeight="1" x14ac:dyDescent="0.2">
      <c r="A148" s="121">
        <v>136</v>
      </c>
      <c r="B148" s="236" t="s">
        <v>455</v>
      </c>
      <c r="C148" s="213">
        <v>0</v>
      </c>
      <c r="D148" s="213"/>
      <c r="E148" s="213"/>
      <c r="F148" s="213">
        <f t="shared" si="4"/>
        <v>1003</v>
      </c>
      <c r="G148" s="213"/>
      <c r="H148" s="213"/>
      <c r="I148" s="213">
        <f>240+602+210-49</f>
        <v>1003</v>
      </c>
      <c r="J148" s="213"/>
      <c r="K148" s="213">
        <f t="shared" si="5"/>
        <v>0</v>
      </c>
      <c r="L148" s="245"/>
      <c r="M148" s="213"/>
      <c r="N148" s="216"/>
      <c r="O148" s="216"/>
    </row>
    <row r="149" spans="1:15" ht="10.5" customHeight="1" x14ac:dyDescent="0.2">
      <c r="A149" s="121">
        <v>137</v>
      </c>
      <c r="B149" s="218" t="s">
        <v>382</v>
      </c>
      <c r="C149" s="213">
        <v>0</v>
      </c>
      <c r="D149" s="213"/>
      <c r="E149" s="213"/>
      <c r="F149" s="213">
        <f t="shared" si="4"/>
        <v>0</v>
      </c>
      <c r="G149" s="213"/>
      <c r="H149" s="213">
        <f>56-56</f>
        <v>0</v>
      </c>
      <c r="I149" s="213"/>
      <c r="J149" s="213"/>
      <c r="K149" s="213">
        <f t="shared" si="5"/>
        <v>0</v>
      </c>
      <c r="L149" s="245"/>
      <c r="M149" s="213"/>
      <c r="N149" s="216"/>
      <c r="O149" s="216"/>
    </row>
    <row r="150" spans="1:15" ht="10.5" customHeight="1" x14ac:dyDescent="0.2">
      <c r="A150" s="121">
        <v>138</v>
      </c>
      <c r="B150" s="218" t="s">
        <v>383</v>
      </c>
      <c r="C150" s="213">
        <v>0</v>
      </c>
      <c r="D150" s="213"/>
      <c r="E150" s="213"/>
      <c r="F150" s="213">
        <f t="shared" si="4"/>
        <v>31</v>
      </c>
      <c r="G150" s="213"/>
      <c r="H150" s="213">
        <v>31</v>
      </c>
      <c r="I150" s="213"/>
      <c r="J150" s="213"/>
      <c r="K150" s="213">
        <f t="shared" si="5"/>
        <v>0</v>
      </c>
      <c r="L150" s="245"/>
      <c r="M150" s="213"/>
      <c r="N150" s="216"/>
      <c r="O150" s="216"/>
    </row>
    <row r="151" spans="1:15" ht="10.5" customHeight="1" x14ac:dyDescent="0.2">
      <c r="A151" s="121">
        <v>139</v>
      </c>
      <c r="B151" s="217" t="s">
        <v>385</v>
      </c>
      <c r="C151" s="213">
        <f>103-92</f>
        <v>11</v>
      </c>
      <c r="D151" s="213"/>
      <c r="E151" s="213"/>
      <c r="F151" s="213">
        <f t="shared" si="4"/>
        <v>19</v>
      </c>
      <c r="G151" s="213"/>
      <c r="H151" s="213">
        <f>113-94</f>
        <v>19</v>
      </c>
      <c r="I151" s="213"/>
      <c r="J151" s="213"/>
      <c r="K151" s="213">
        <f t="shared" si="5"/>
        <v>0</v>
      </c>
      <c r="L151" s="245"/>
      <c r="M151" s="213"/>
      <c r="N151" s="216"/>
      <c r="O151" s="216"/>
    </row>
    <row r="152" spans="1:15" ht="10.5" customHeight="1" x14ac:dyDescent="0.2">
      <c r="A152" s="121">
        <v>140</v>
      </c>
      <c r="B152" s="217" t="s">
        <v>386</v>
      </c>
      <c r="C152" s="213">
        <f>50-50</f>
        <v>0</v>
      </c>
      <c r="D152" s="213"/>
      <c r="E152" s="213"/>
      <c r="F152" s="213">
        <f t="shared" si="4"/>
        <v>0</v>
      </c>
      <c r="G152" s="213"/>
      <c r="H152" s="213">
        <f>113-113</f>
        <v>0</v>
      </c>
      <c r="I152" s="213"/>
      <c r="J152" s="213"/>
      <c r="K152" s="213">
        <f t="shared" si="5"/>
        <v>0</v>
      </c>
      <c r="L152" s="245"/>
      <c r="M152" s="213"/>
      <c r="N152" s="216"/>
      <c r="O152" s="216"/>
    </row>
    <row r="153" spans="1:15" ht="10.5" customHeight="1" x14ac:dyDescent="0.2">
      <c r="A153" s="121">
        <v>141</v>
      </c>
      <c r="B153" s="212" t="s">
        <v>387</v>
      </c>
      <c r="C153" s="213">
        <v>250</v>
      </c>
      <c r="D153" s="213"/>
      <c r="E153" s="213"/>
      <c r="F153" s="213">
        <f t="shared" si="4"/>
        <v>447</v>
      </c>
      <c r="G153" s="213"/>
      <c r="H153" s="213">
        <v>447</v>
      </c>
      <c r="I153" s="213"/>
      <c r="J153" s="213"/>
      <c r="K153" s="213">
        <f t="shared" si="5"/>
        <v>0</v>
      </c>
      <c r="L153" s="245"/>
      <c r="M153" s="213"/>
      <c r="N153" s="216"/>
      <c r="O153" s="216"/>
    </row>
    <row r="154" spans="1:15" ht="10.5" customHeight="1" x14ac:dyDescent="0.2">
      <c r="A154" s="121">
        <v>142</v>
      </c>
      <c r="B154" s="217" t="s">
        <v>456</v>
      </c>
      <c r="C154" s="213">
        <v>0</v>
      </c>
      <c r="D154" s="213"/>
      <c r="E154" s="213"/>
      <c r="F154" s="213">
        <f t="shared" si="4"/>
        <v>113</v>
      </c>
      <c r="G154" s="213"/>
      <c r="H154" s="213">
        <v>113</v>
      </c>
      <c r="I154" s="213"/>
      <c r="J154" s="213"/>
      <c r="K154" s="213">
        <f t="shared" si="5"/>
        <v>0</v>
      </c>
      <c r="L154" s="245"/>
      <c r="M154" s="213"/>
      <c r="N154" s="216"/>
      <c r="O154" s="216"/>
    </row>
    <row r="155" spans="1:15" ht="10.5" customHeight="1" x14ac:dyDescent="0.2">
      <c r="A155" s="121">
        <v>143</v>
      </c>
      <c r="B155" s="217" t="s">
        <v>388</v>
      </c>
      <c r="C155" s="213">
        <v>0</v>
      </c>
      <c r="D155" s="213"/>
      <c r="E155" s="213"/>
      <c r="F155" s="213">
        <f t="shared" si="4"/>
        <v>0</v>
      </c>
      <c r="G155" s="213"/>
      <c r="H155" s="213">
        <f>56-56</f>
        <v>0</v>
      </c>
      <c r="I155" s="213"/>
      <c r="J155" s="213"/>
      <c r="K155" s="213">
        <f t="shared" si="5"/>
        <v>0</v>
      </c>
      <c r="L155" s="245"/>
      <c r="M155" s="213"/>
      <c r="N155" s="216"/>
      <c r="O155" s="216"/>
    </row>
    <row r="156" spans="1:15" ht="10.5" customHeight="1" x14ac:dyDescent="0.2">
      <c r="A156" s="121">
        <v>144</v>
      </c>
      <c r="B156" s="217" t="s">
        <v>389</v>
      </c>
      <c r="C156" s="213">
        <v>0</v>
      </c>
      <c r="D156" s="213"/>
      <c r="E156" s="213"/>
      <c r="F156" s="213">
        <f t="shared" si="4"/>
        <v>56</v>
      </c>
      <c r="G156" s="213"/>
      <c r="H156" s="213">
        <v>56</v>
      </c>
      <c r="I156" s="213"/>
      <c r="J156" s="213"/>
      <c r="K156" s="213">
        <f t="shared" si="5"/>
        <v>0</v>
      </c>
      <c r="L156" s="245"/>
      <c r="M156" s="213"/>
      <c r="N156" s="216"/>
      <c r="O156" s="216"/>
    </row>
    <row r="157" spans="1:15" ht="10.5" customHeight="1" x14ac:dyDescent="0.2">
      <c r="A157" s="121">
        <v>145</v>
      </c>
      <c r="B157" s="217" t="s">
        <v>457</v>
      </c>
      <c r="C157" s="213">
        <v>0</v>
      </c>
      <c r="D157" s="213"/>
      <c r="E157" s="213"/>
      <c r="F157" s="213">
        <f t="shared" si="4"/>
        <v>56</v>
      </c>
      <c r="G157" s="213"/>
      <c r="H157" s="213">
        <v>56</v>
      </c>
      <c r="I157" s="213"/>
      <c r="J157" s="213"/>
      <c r="K157" s="213">
        <f t="shared" si="5"/>
        <v>0</v>
      </c>
      <c r="L157" s="245"/>
      <c r="M157" s="213"/>
      <c r="N157" s="216"/>
      <c r="O157" s="216"/>
    </row>
    <row r="158" spans="1:15" s="127" customFormat="1" ht="12.75" customHeight="1" x14ac:dyDescent="0.2">
      <c r="A158" s="121">
        <v>146</v>
      </c>
      <c r="B158" s="218" t="s">
        <v>458</v>
      </c>
      <c r="C158" s="213">
        <v>0</v>
      </c>
      <c r="D158" s="213"/>
      <c r="E158" s="213"/>
      <c r="F158" s="213">
        <f t="shared" si="4"/>
        <v>5390</v>
      </c>
      <c r="G158" s="213"/>
      <c r="H158" s="213"/>
      <c r="I158" s="213">
        <f>1332+3624+210+224</f>
        <v>5390</v>
      </c>
      <c r="J158" s="213"/>
      <c r="K158" s="213">
        <f t="shared" si="5"/>
        <v>0</v>
      </c>
      <c r="L158" s="245"/>
      <c r="M158" s="213"/>
      <c r="N158" s="216"/>
      <c r="O158" s="216"/>
    </row>
    <row r="159" spans="1:15" ht="12" customHeight="1" x14ac:dyDescent="0.2">
      <c r="A159" s="121">
        <v>147</v>
      </c>
      <c r="B159" s="217" t="s">
        <v>391</v>
      </c>
      <c r="C159" s="213">
        <v>103</v>
      </c>
      <c r="D159" s="213"/>
      <c r="E159" s="213"/>
      <c r="F159" s="213">
        <f t="shared" si="4"/>
        <v>113</v>
      </c>
      <c r="G159" s="213"/>
      <c r="H159" s="213">
        <v>113</v>
      </c>
      <c r="I159" s="213"/>
      <c r="J159" s="213"/>
      <c r="K159" s="213">
        <f t="shared" si="5"/>
        <v>0</v>
      </c>
      <c r="L159" s="245"/>
      <c r="M159" s="213"/>
      <c r="N159" s="216"/>
      <c r="O159" s="216"/>
    </row>
    <row r="160" spans="1:15" ht="10.5" customHeight="1" x14ac:dyDescent="0.2">
      <c r="A160" s="121">
        <v>148</v>
      </c>
      <c r="B160" s="217" t="s">
        <v>430</v>
      </c>
      <c r="C160" s="213">
        <v>0</v>
      </c>
      <c r="D160" s="213"/>
      <c r="E160" s="213"/>
      <c r="F160" s="213">
        <f t="shared" si="4"/>
        <v>31</v>
      </c>
      <c r="G160" s="213"/>
      <c r="H160" s="213">
        <f>31</f>
        <v>31</v>
      </c>
      <c r="I160" s="213"/>
      <c r="J160" s="213"/>
      <c r="K160" s="213">
        <f t="shared" si="5"/>
        <v>0</v>
      </c>
      <c r="L160" s="245"/>
      <c r="M160" s="213"/>
      <c r="N160" s="216"/>
      <c r="O160" s="216"/>
    </row>
    <row r="161" spans="1:15" ht="12.75" customHeight="1" x14ac:dyDescent="0.2">
      <c r="A161" s="121">
        <v>149</v>
      </c>
      <c r="B161" s="217" t="s">
        <v>392</v>
      </c>
      <c r="C161" s="213">
        <v>0</v>
      </c>
      <c r="D161" s="213"/>
      <c r="E161" s="213"/>
      <c r="F161" s="213">
        <f t="shared" si="4"/>
        <v>0</v>
      </c>
      <c r="G161" s="213"/>
      <c r="H161" s="213">
        <f>31-31</f>
        <v>0</v>
      </c>
      <c r="I161" s="213"/>
      <c r="J161" s="213"/>
      <c r="K161" s="213">
        <f t="shared" si="5"/>
        <v>0</v>
      </c>
      <c r="L161" s="245"/>
      <c r="M161" s="213"/>
      <c r="N161" s="216"/>
      <c r="O161" s="216"/>
    </row>
    <row r="162" spans="1:15" s="237" customFormat="1" ht="12.75" customHeight="1" x14ac:dyDescent="0.2">
      <c r="A162" s="121">
        <v>150</v>
      </c>
      <c r="B162" s="217" t="s">
        <v>393</v>
      </c>
      <c r="C162" s="213">
        <v>0</v>
      </c>
      <c r="D162" s="213"/>
      <c r="E162" s="213"/>
      <c r="F162" s="213">
        <f t="shared" si="4"/>
        <v>31</v>
      </c>
      <c r="G162" s="213"/>
      <c r="H162" s="213">
        <v>31</v>
      </c>
      <c r="I162" s="213"/>
      <c r="J162" s="213"/>
      <c r="K162" s="213">
        <f t="shared" si="5"/>
        <v>0</v>
      </c>
      <c r="L162" s="245"/>
      <c r="M162" s="213"/>
      <c r="N162" s="216"/>
      <c r="O162" s="216"/>
    </row>
    <row r="163" spans="1:15" x14ac:dyDescent="0.2">
      <c r="A163" s="121">
        <v>151</v>
      </c>
      <c r="B163" s="217" t="s">
        <v>459</v>
      </c>
      <c r="C163" s="213">
        <v>0</v>
      </c>
      <c r="D163" s="213"/>
      <c r="E163" s="213"/>
      <c r="F163" s="213">
        <f t="shared" si="4"/>
        <v>26</v>
      </c>
      <c r="G163" s="213"/>
      <c r="H163" s="213">
        <v>26</v>
      </c>
      <c r="I163" s="213"/>
      <c r="J163" s="213"/>
      <c r="K163" s="213">
        <f t="shared" si="5"/>
        <v>0</v>
      </c>
      <c r="L163" s="245"/>
      <c r="M163" s="213"/>
      <c r="N163" s="216"/>
      <c r="O163" s="216"/>
    </row>
    <row r="164" spans="1:15" x14ac:dyDescent="0.2">
      <c r="A164" s="121">
        <v>152</v>
      </c>
      <c r="B164" s="217" t="s">
        <v>123</v>
      </c>
      <c r="C164" s="213">
        <v>25</v>
      </c>
      <c r="D164" s="213"/>
      <c r="E164" s="213"/>
      <c r="F164" s="213">
        <f t="shared" si="4"/>
        <v>459</v>
      </c>
      <c r="G164" s="213"/>
      <c r="H164" s="213">
        <v>459</v>
      </c>
      <c r="I164" s="213"/>
      <c r="J164" s="213"/>
      <c r="K164" s="213">
        <f t="shared" si="5"/>
        <v>0</v>
      </c>
      <c r="L164" s="245"/>
      <c r="M164" s="213"/>
      <c r="N164" s="216"/>
      <c r="O164" s="216"/>
    </row>
    <row r="165" spans="1:15" ht="14.25" customHeight="1" x14ac:dyDescent="0.2">
      <c r="A165" s="121">
        <v>153</v>
      </c>
      <c r="B165" s="217" t="s">
        <v>394</v>
      </c>
      <c r="C165" s="213">
        <v>0</v>
      </c>
      <c r="D165" s="213"/>
      <c r="E165" s="213"/>
      <c r="F165" s="213">
        <f t="shared" si="4"/>
        <v>50</v>
      </c>
      <c r="G165" s="213"/>
      <c r="H165" s="213">
        <v>50</v>
      </c>
      <c r="I165" s="213"/>
      <c r="J165" s="213"/>
      <c r="K165" s="213">
        <f t="shared" si="5"/>
        <v>0</v>
      </c>
      <c r="L165" s="245"/>
      <c r="M165" s="213"/>
      <c r="N165" s="216"/>
      <c r="O165" s="216"/>
    </row>
    <row r="166" spans="1:15" x14ac:dyDescent="0.2">
      <c r="A166" s="121">
        <v>154</v>
      </c>
      <c r="B166" s="217" t="s">
        <v>395</v>
      </c>
      <c r="C166" s="213">
        <v>103</v>
      </c>
      <c r="D166" s="213"/>
      <c r="E166" s="213"/>
      <c r="F166" s="213">
        <f t="shared" si="4"/>
        <v>169</v>
      </c>
      <c r="G166" s="213"/>
      <c r="H166" s="213">
        <v>169</v>
      </c>
      <c r="I166" s="213"/>
      <c r="J166" s="213"/>
      <c r="K166" s="213">
        <f t="shared" si="5"/>
        <v>0</v>
      </c>
      <c r="L166" s="245"/>
      <c r="M166" s="213"/>
      <c r="N166" s="216"/>
      <c r="O166" s="216"/>
    </row>
    <row r="167" spans="1:15" x14ac:dyDescent="0.2">
      <c r="A167" s="121">
        <v>155</v>
      </c>
      <c r="B167" s="217" t="s">
        <v>396</v>
      </c>
      <c r="C167" s="213">
        <v>103</v>
      </c>
      <c r="D167" s="213"/>
      <c r="E167" s="213"/>
      <c r="F167" s="213">
        <f t="shared" si="4"/>
        <v>113</v>
      </c>
      <c r="G167" s="213"/>
      <c r="H167" s="213">
        <v>113</v>
      </c>
      <c r="I167" s="213"/>
      <c r="J167" s="213"/>
      <c r="K167" s="213">
        <f t="shared" si="5"/>
        <v>0</v>
      </c>
      <c r="L167" s="245"/>
      <c r="M167" s="213"/>
      <c r="N167" s="216"/>
      <c r="O167" s="216"/>
    </row>
    <row r="168" spans="1:15" x14ac:dyDescent="0.2">
      <c r="A168" s="121">
        <v>156</v>
      </c>
      <c r="B168" s="217" t="s">
        <v>460</v>
      </c>
      <c r="C168" s="213">
        <v>0</v>
      </c>
      <c r="D168" s="213"/>
      <c r="E168" s="213"/>
      <c r="F168" s="213">
        <f t="shared" si="4"/>
        <v>853</v>
      </c>
      <c r="G168" s="213"/>
      <c r="H168" s="213"/>
      <c r="I168" s="213">
        <f>120+908-175</f>
        <v>853</v>
      </c>
      <c r="J168" s="213"/>
      <c r="K168" s="213">
        <f t="shared" si="5"/>
        <v>0</v>
      </c>
      <c r="L168" s="245"/>
      <c r="M168" s="213"/>
      <c r="N168" s="216"/>
      <c r="O168" s="216"/>
    </row>
    <row r="169" spans="1:15" x14ac:dyDescent="0.2">
      <c r="A169" s="121">
        <v>157</v>
      </c>
      <c r="B169" s="217" t="s">
        <v>397</v>
      </c>
      <c r="C169" s="213">
        <v>0</v>
      </c>
      <c r="D169" s="213"/>
      <c r="E169" s="213"/>
      <c r="F169" s="213">
        <f t="shared" si="4"/>
        <v>25</v>
      </c>
      <c r="G169" s="213"/>
      <c r="H169" s="213">
        <v>25</v>
      </c>
      <c r="I169" s="213"/>
      <c r="J169" s="213"/>
      <c r="K169" s="213">
        <f t="shared" si="5"/>
        <v>0</v>
      </c>
      <c r="L169" s="245"/>
      <c r="M169" s="213"/>
      <c r="N169" s="216"/>
      <c r="O169" s="216"/>
    </row>
    <row r="170" spans="1:15" x14ac:dyDescent="0.2">
      <c r="A170" s="121">
        <v>158</v>
      </c>
      <c r="B170" s="217" t="s">
        <v>461</v>
      </c>
      <c r="C170" s="213">
        <v>0</v>
      </c>
      <c r="D170" s="213"/>
      <c r="E170" s="213"/>
      <c r="F170" s="213">
        <f t="shared" si="4"/>
        <v>31</v>
      </c>
      <c r="G170" s="213"/>
      <c r="H170" s="213">
        <v>31</v>
      </c>
      <c r="I170" s="213"/>
      <c r="J170" s="213"/>
      <c r="K170" s="213">
        <f t="shared" si="5"/>
        <v>0</v>
      </c>
      <c r="L170" s="245"/>
      <c r="M170" s="213"/>
      <c r="N170" s="216"/>
      <c r="O170" s="216"/>
    </row>
    <row r="171" spans="1:15" x14ac:dyDescent="0.2">
      <c r="A171" s="121">
        <v>159</v>
      </c>
      <c r="B171" s="217" t="s">
        <v>462</v>
      </c>
      <c r="C171" s="213">
        <v>0</v>
      </c>
      <c r="D171" s="213"/>
      <c r="E171" s="213"/>
      <c r="F171" s="213">
        <f t="shared" si="4"/>
        <v>2037</v>
      </c>
      <c r="G171" s="213"/>
      <c r="H171" s="213"/>
      <c r="I171" s="213">
        <f>420+1617</f>
        <v>2037</v>
      </c>
      <c r="J171" s="213"/>
      <c r="K171" s="213">
        <f t="shared" si="5"/>
        <v>0</v>
      </c>
      <c r="L171" s="245"/>
      <c r="M171" s="213"/>
      <c r="N171" s="216"/>
      <c r="O171" s="216"/>
    </row>
    <row r="172" spans="1:15" s="238" customFormat="1" ht="14.25" customHeight="1" x14ac:dyDescent="0.2">
      <c r="A172" s="121">
        <v>160</v>
      </c>
      <c r="B172" s="217" t="s">
        <v>398</v>
      </c>
      <c r="C172" s="213">
        <v>103</v>
      </c>
      <c r="D172" s="213"/>
      <c r="E172" s="213"/>
      <c r="F172" s="213">
        <f t="shared" si="4"/>
        <v>113</v>
      </c>
      <c r="G172" s="213"/>
      <c r="H172" s="213">
        <v>113</v>
      </c>
      <c r="I172" s="213"/>
      <c r="J172" s="213"/>
      <c r="K172" s="213">
        <f t="shared" si="5"/>
        <v>0</v>
      </c>
      <c r="L172" s="245"/>
      <c r="M172" s="213"/>
      <c r="N172" s="216"/>
      <c r="O172" s="216"/>
    </row>
    <row r="173" spans="1:15" s="238" customFormat="1" ht="15.75" customHeight="1" x14ac:dyDescent="0.2">
      <c r="A173" s="121">
        <v>161</v>
      </c>
      <c r="B173" s="217" t="s">
        <v>399</v>
      </c>
      <c r="C173" s="213">
        <v>103</v>
      </c>
      <c r="D173" s="213"/>
      <c r="E173" s="213"/>
      <c r="F173" s="213">
        <f t="shared" si="4"/>
        <v>113</v>
      </c>
      <c r="G173" s="213"/>
      <c r="H173" s="213">
        <v>113</v>
      </c>
      <c r="I173" s="213"/>
      <c r="J173" s="213"/>
      <c r="K173" s="213">
        <f t="shared" si="5"/>
        <v>0</v>
      </c>
      <c r="L173" s="245"/>
      <c r="M173" s="213"/>
      <c r="N173" s="216"/>
      <c r="O173" s="216"/>
    </row>
    <row r="174" spans="1:15" x14ac:dyDescent="0.2">
      <c r="A174" s="121">
        <v>162</v>
      </c>
      <c r="B174" s="217" t="s">
        <v>400</v>
      </c>
      <c r="C174" s="213">
        <v>103</v>
      </c>
      <c r="D174" s="213"/>
      <c r="E174" s="213"/>
      <c r="F174" s="213">
        <f t="shared" si="4"/>
        <v>113</v>
      </c>
      <c r="G174" s="213"/>
      <c r="H174" s="213">
        <v>113</v>
      </c>
      <c r="I174" s="213"/>
      <c r="J174" s="213"/>
      <c r="K174" s="213">
        <f t="shared" si="5"/>
        <v>0</v>
      </c>
      <c r="L174" s="245"/>
      <c r="M174" s="213"/>
      <c r="N174" s="216"/>
      <c r="O174" s="216"/>
    </row>
    <row r="175" spans="1:15" x14ac:dyDescent="0.2">
      <c r="A175" s="121">
        <v>163</v>
      </c>
      <c r="B175" s="217" t="s">
        <v>463</v>
      </c>
      <c r="C175" s="213">
        <f>96-96</f>
        <v>0</v>
      </c>
      <c r="D175" s="213"/>
      <c r="E175" s="213"/>
      <c r="F175" s="213">
        <f t="shared" si="4"/>
        <v>0</v>
      </c>
      <c r="G175" s="213"/>
      <c r="H175" s="213">
        <f>113-113</f>
        <v>0</v>
      </c>
      <c r="I175" s="213"/>
      <c r="J175" s="213"/>
      <c r="K175" s="213">
        <f t="shared" si="5"/>
        <v>0</v>
      </c>
      <c r="L175" s="245"/>
      <c r="M175" s="213"/>
      <c r="N175" s="216"/>
      <c r="O175" s="216"/>
    </row>
    <row r="176" spans="1:15" x14ac:dyDescent="0.2">
      <c r="A176" s="121">
        <v>164</v>
      </c>
      <c r="B176" s="217" t="s">
        <v>464</v>
      </c>
      <c r="C176" s="213">
        <v>0</v>
      </c>
      <c r="D176" s="213"/>
      <c r="E176" s="213"/>
      <c r="F176" s="213">
        <f t="shared" si="4"/>
        <v>0</v>
      </c>
      <c r="G176" s="213"/>
      <c r="H176" s="213">
        <f>113-113</f>
        <v>0</v>
      </c>
      <c r="I176" s="213"/>
      <c r="J176" s="213"/>
      <c r="K176" s="213">
        <f t="shared" si="5"/>
        <v>0</v>
      </c>
      <c r="L176" s="245"/>
      <c r="M176" s="213"/>
      <c r="N176" s="216"/>
      <c r="O176" s="216"/>
    </row>
    <row r="177" spans="1:15" x14ac:dyDescent="0.2">
      <c r="A177" s="121">
        <v>165</v>
      </c>
      <c r="B177" s="217" t="s">
        <v>402</v>
      </c>
      <c r="C177" s="213">
        <f>103-103</f>
        <v>0</v>
      </c>
      <c r="D177" s="213"/>
      <c r="E177" s="213"/>
      <c r="F177" s="213">
        <f t="shared" si="4"/>
        <v>0</v>
      </c>
      <c r="G177" s="213"/>
      <c r="H177" s="213">
        <f>169-169</f>
        <v>0</v>
      </c>
      <c r="I177" s="213"/>
      <c r="J177" s="213"/>
      <c r="K177" s="213">
        <f t="shared" si="5"/>
        <v>0</v>
      </c>
      <c r="L177" s="245"/>
      <c r="M177" s="213"/>
      <c r="N177" s="216"/>
      <c r="O177" s="216"/>
    </row>
    <row r="178" spans="1:15" x14ac:dyDescent="0.2">
      <c r="A178" s="121">
        <v>166</v>
      </c>
      <c r="B178" s="217" t="s">
        <v>220</v>
      </c>
      <c r="C178" s="213">
        <v>0</v>
      </c>
      <c r="D178" s="213"/>
      <c r="E178" s="213"/>
      <c r="F178" s="213">
        <f t="shared" si="4"/>
        <v>467</v>
      </c>
      <c r="G178" s="213"/>
      <c r="H178" s="213"/>
      <c r="I178" s="213">
        <f>457+10</f>
        <v>467</v>
      </c>
      <c r="J178" s="213"/>
      <c r="K178" s="213">
        <f t="shared" si="5"/>
        <v>0</v>
      </c>
      <c r="L178" s="245"/>
      <c r="M178" s="213"/>
      <c r="N178" s="216"/>
      <c r="O178" s="216"/>
    </row>
    <row r="179" spans="1:15" x14ac:dyDescent="0.2">
      <c r="A179" s="121">
        <v>167</v>
      </c>
      <c r="B179" s="217" t="s">
        <v>152</v>
      </c>
      <c r="C179" s="213">
        <f>13584+238</f>
        <v>13822</v>
      </c>
      <c r="D179" s="213">
        <f>10854+238</f>
        <v>11092</v>
      </c>
      <c r="E179" s="213"/>
      <c r="F179" s="213">
        <f t="shared" si="4"/>
        <v>1608</v>
      </c>
      <c r="G179" s="213"/>
      <c r="H179" s="213"/>
      <c r="I179" s="213">
        <f>87+12-90</f>
        <v>9</v>
      </c>
      <c r="J179" s="213">
        <v>1599</v>
      </c>
      <c r="K179" s="213">
        <f t="shared" si="5"/>
        <v>0</v>
      </c>
      <c r="L179" s="245"/>
      <c r="M179" s="213"/>
      <c r="N179" s="216"/>
      <c r="O179" s="216"/>
    </row>
    <row r="180" spans="1:15" x14ac:dyDescent="0.2">
      <c r="A180" s="121">
        <v>168</v>
      </c>
      <c r="B180" s="217" t="s">
        <v>134</v>
      </c>
      <c r="C180" s="213">
        <v>12283</v>
      </c>
      <c r="D180" s="213"/>
      <c r="E180" s="213">
        <v>12283</v>
      </c>
      <c r="F180" s="213">
        <f t="shared" si="4"/>
        <v>23691</v>
      </c>
      <c r="G180" s="213"/>
      <c r="H180" s="213">
        <v>23691</v>
      </c>
      <c r="I180" s="213"/>
      <c r="J180" s="213"/>
      <c r="K180" s="213">
        <f t="shared" si="5"/>
        <v>0</v>
      </c>
      <c r="L180" s="245"/>
      <c r="M180" s="213"/>
      <c r="N180" s="216"/>
      <c r="O180" s="216"/>
    </row>
    <row r="181" spans="1:15" x14ac:dyDescent="0.2">
      <c r="A181" s="121">
        <v>169</v>
      </c>
      <c r="B181" s="217" t="s">
        <v>240</v>
      </c>
      <c r="C181" s="213">
        <v>0</v>
      </c>
      <c r="D181" s="213"/>
      <c r="E181" s="213"/>
      <c r="F181" s="213">
        <f t="shared" si="4"/>
        <v>35562</v>
      </c>
      <c r="G181" s="213"/>
      <c r="H181" s="213">
        <v>35562</v>
      </c>
      <c r="I181" s="213"/>
      <c r="J181" s="213"/>
      <c r="K181" s="213">
        <f t="shared" si="5"/>
        <v>0</v>
      </c>
      <c r="L181" s="245"/>
      <c r="M181" s="213"/>
      <c r="N181" s="216"/>
      <c r="O181" s="216"/>
    </row>
    <row r="182" spans="1:15" x14ac:dyDescent="0.2">
      <c r="A182" s="121">
        <v>170</v>
      </c>
      <c r="B182" s="217" t="s">
        <v>239</v>
      </c>
      <c r="C182" s="213">
        <v>0</v>
      </c>
      <c r="D182" s="213"/>
      <c r="E182" s="213"/>
      <c r="F182" s="213">
        <f t="shared" si="4"/>
        <v>35453</v>
      </c>
      <c r="G182" s="213"/>
      <c r="H182" s="213">
        <v>35453</v>
      </c>
      <c r="I182" s="213"/>
      <c r="J182" s="213"/>
      <c r="K182" s="213">
        <f t="shared" si="5"/>
        <v>0</v>
      </c>
      <c r="L182" s="245"/>
      <c r="M182" s="213"/>
      <c r="N182" s="216"/>
      <c r="O182" s="216"/>
    </row>
    <row r="183" spans="1:15" x14ac:dyDescent="0.2">
      <c r="A183" s="121">
        <v>171</v>
      </c>
      <c r="B183" s="217" t="s">
        <v>153</v>
      </c>
      <c r="C183" s="213">
        <f>30000+1127</f>
        <v>31127</v>
      </c>
      <c r="D183" s="213"/>
      <c r="E183" s="213"/>
      <c r="F183" s="213">
        <f t="shared" si="4"/>
        <v>0</v>
      </c>
      <c r="G183" s="213"/>
      <c r="H183" s="213"/>
      <c r="I183" s="213"/>
      <c r="J183" s="213"/>
      <c r="K183" s="213">
        <f t="shared" si="5"/>
        <v>0</v>
      </c>
      <c r="L183" s="245"/>
      <c r="M183" s="213"/>
      <c r="N183" s="216"/>
      <c r="O183" s="216"/>
    </row>
    <row r="184" spans="1:15" x14ac:dyDescent="0.2">
      <c r="A184" s="270">
        <v>172</v>
      </c>
      <c r="B184" s="217" t="s">
        <v>403</v>
      </c>
      <c r="C184" s="213">
        <f>48492-11</f>
        <v>48481</v>
      </c>
      <c r="D184" s="213">
        <v>34804</v>
      </c>
      <c r="E184" s="213"/>
      <c r="F184" s="213">
        <f t="shared" si="4"/>
        <v>69935</v>
      </c>
      <c r="G184" s="213"/>
      <c r="H184" s="213"/>
      <c r="I184" s="213"/>
      <c r="J184" s="213">
        <v>5128</v>
      </c>
      <c r="K184" s="213">
        <f t="shared" si="5"/>
        <v>64807</v>
      </c>
      <c r="L184" s="245">
        <v>17714</v>
      </c>
      <c r="M184" s="213">
        <v>47093</v>
      </c>
      <c r="N184" s="216"/>
      <c r="O184" s="216"/>
    </row>
    <row r="185" spans="1:15" s="240" customFormat="1" ht="39.75" customHeight="1" x14ac:dyDescent="0.2">
      <c r="A185" s="271"/>
      <c r="B185" s="239" t="s">
        <v>141</v>
      </c>
      <c r="C185" s="229">
        <v>33814</v>
      </c>
      <c r="D185" s="229"/>
      <c r="E185" s="229"/>
      <c r="F185" s="229">
        <f t="shared" si="4"/>
        <v>119519</v>
      </c>
      <c r="G185" s="229"/>
      <c r="H185" s="229"/>
      <c r="I185" s="229"/>
      <c r="J185" s="229"/>
      <c r="K185" s="229">
        <f t="shared" si="5"/>
        <v>119519</v>
      </c>
      <c r="L185" s="246">
        <v>24314</v>
      </c>
      <c r="M185" s="229">
        <v>95205</v>
      </c>
      <c r="N185" s="216"/>
      <c r="O185" s="216"/>
    </row>
    <row r="186" spans="1:15" x14ac:dyDescent="0.2">
      <c r="A186" s="121">
        <v>173</v>
      </c>
      <c r="B186" s="217" t="s">
        <v>404</v>
      </c>
      <c r="C186" s="213">
        <v>4000</v>
      </c>
      <c r="D186" s="213"/>
      <c r="E186" s="213"/>
      <c r="F186" s="213">
        <f t="shared" si="4"/>
        <v>0</v>
      </c>
      <c r="G186" s="213"/>
      <c r="H186" s="213"/>
      <c r="I186" s="213"/>
      <c r="J186" s="213"/>
      <c r="K186" s="213">
        <f t="shared" si="5"/>
        <v>0</v>
      </c>
      <c r="L186" s="245"/>
      <c r="M186" s="213"/>
      <c r="N186" s="216"/>
      <c r="O186" s="216"/>
    </row>
    <row r="187" spans="1:15" x14ac:dyDescent="0.2">
      <c r="A187" s="121">
        <v>174</v>
      </c>
      <c r="B187" s="217" t="s">
        <v>405</v>
      </c>
      <c r="C187" s="213">
        <v>0</v>
      </c>
      <c r="D187" s="213"/>
      <c r="E187" s="213"/>
      <c r="F187" s="213">
        <f t="shared" si="4"/>
        <v>13410</v>
      </c>
      <c r="G187" s="213"/>
      <c r="H187" s="213">
        <v>13410</v>
      </c>
      <c r="I187" s="213"/>
      <c r="J187" s="213"/>
      <c r="K187" s="213">
        <f t="shared" si="5"/>
        <v>0</v>
      </c>
      <c r="L187" s="245"/>
      <c r="M187" s="213"/>
      <c r="N187" s="216"/>
      <c r="O187" s="216"/>
    </row>
    <row r="188" spans="1:15" x14ac:dyDescent="0.2">
      <c r="A188" s="121">
        <v>175</v>
      </c>
      <c r="B188" s="217" t="s">
        <v>242</v>
      </c>
      <c r="C188" s="213">
        <v>0</v>
      </c>
      <c r="D188" s="213"/>
      <c r="E188" s="213"/>
      <c r="F188" s="213">
        <f t="shared" si="4"/>
        <v>894</v>
      </c>
      <c r="G188" s="213"/>
      <c r="H188" s="213">
        <v>894</v>
      </c>
      <c r="I188" s="213"/>
      <c r="J188" s="213"/>
      <c r="K188" s="213">
        <f t="shared" si="5"/>
        <v>0</v>
      </c>
      <c r="L188" s="245"/>
      <c r="M188" s="213"/>
      <c r="N188" s="216"/>
      <c r="O188" s="216"/>
    </row>
    <row r="189" spans="1:15" x14ac:dyDescent="0.2">
      <c r="A189" s="135"/>
      <c r="B189" s="217" t="s">
        <v>149</v>
      </c>
      <c r="C189" s="213">
        <v>9204</v>
      </c>
      <c r="D189" s="213"/>
      <c r="E189" s="213"/>
      <c r="F189" s="213">
        <f>20307-7295+I189</f>
        <v>13969</v>
      </c>
      <c r="G189" s="213"/>
      <c r="H189" s="213"/>
      <c r="I189" s="213">
        <f>1309-12-430+90</f>
        <v>957</v>
      </c>
      <c r="J189" s="213"/>
      <c r="K189" s="213">
        <f t="shared" si="5"/>
        <v>0</v>
      </c>
      <c r="L189" s="245"/>
      <c r="M189" s="213"/>
      <c r="N189" s="216"/>
      <c r="O189" s="216"/>
    </row>
    <row r="190" spans="1:15" x14ac:dyDescent="0.2">
      <c r="A190" s="221"/>
      <c r="B190" s="221" t="s">
        <v>52</v>
      </c>
      <c r="C190" s="241">
        <f t="shared" ref="C190:M190" si="6">SUM(C7:C189)</f>
        <v>2272164</v>
      </c>
      <c r="D190" s="241">
        <f t="shared" si="6"/>
        <v>126879</v>
      </c>
      <c r="E190" s="241">
        <f t="shared" si="6"/>
        <v>25965</v>
      </c>
      <c r="F190" s="241">
        <f t="shared" si="6"/>
        <v>7181662</v>
      </c>
      <c r="G190" s="241">
        <f t="shared" si="6"/>
        <v>80518</v>
      </c>
      <c r="H190" s="241">
        <f t="shared" si="6"/>
        <v>541848</v>
      </c>
      <c r="I190" s="241">
        <f t="shared" si="6"/>
        <v>10716</v>
      </c>
      <c r="J190" s="241">
        <f t="shared" si="6"/>
        <v>17732</v>
      </c>
      <c r="K190" s="241">
        <f t="shared" si="6"/>
        <v>6517836</v>
      </c>
      <c r="L190" s="248">
        <f t="shared" si="6"/>
        <v>1665322</v>
      </c>
      <c r="M190" s="241">
        <f t="shared" si="6"/>
        <v>4852514</v>
      </c>
      <c r="N190" s="216"/>
      <c r="O190" s="216"/>
    </row>
    <row r="191" spans="1:15" x14ac:dyDescent="0.2">
      <c r="F191" s="225"/>
    </row>
    <row r="192" spans="1:15" x14ac:dyDescent="0.2">
      <c r="C192" s="205"/>
      <c r="D192" s="205"/>
      <c r="E192" s="205"/>
      <c r="F192" s="225"/>
      <c r="G192" s="242"/>
      <c r="H192" s="242"/>
      <c r="I192" s="242"/>
      <c r="J192" s="242"/>
      <c r="K192" s="242"/>
      <c r="L192" s="250"/>
      <c r="M192" s="205"/>
    </row>
    <row r="193" spans="6:6" x14ac:dyDescent="0.2">
      <c r="F193" s="225"/>
    </row>
  </sheetData>
  <mergeCells count="22">
    <mergeCell ref="A1:M1"/>
    <mergeCell ref="A3:A6"/>
    <mergeCell ref="B3:B6"/>
    <mergeCell ref="C3:C6"/>
    <mergeCell ref="D3:E4"/>
    <mergeCell ref="F3:F6"/>
    <mergeCell ref="G3:M3"/>
    <mergeCell ref="G4:G6"/>
    <mergeCell ref="H4:H6"/>
    <mergeCell ref="I4:I6"/>
    <mergeCell ref="A184:A185"/>
    <mergeCell ref="J4:J6"/>
    <mergeCell ref="K4:M4"/>
    <mergeCell ref="D5:D6"/>
    <mergeCell ref="E5:E6"/>
    <mergeCell ref="K5:K6"/>
    <mergeCell ref="L5:M5"/>
    <mergeCell ref="A11:A12"/>
    <mergeCell ref="A51:A52"/>
    <mergeCell ref="A56:A57"/>
    <mergeCell ref="A60:A61"/>
    <mergeCell ref="A128:A129"/>
  </mergeCells>
  <pageMargins left="0.51181102362204722" right="0.39370078740157483" top="0.39370078740157483" bottom="0.19685039370078741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="80" zoomScaleNormal="80" zoomScaleSheetLayoutView="80" workbookViewId="0">
      <pane xSplit="2" ySplit="5" topLeftCell="C49" activePane="bottomRight" state="frozen"/>
      <selection activeCell="C40" sqref="C40"/>
      <selection pane="topRight" activeCell="C40" sqref="C40"/>
      <selection pane="bottomLeft" activeCell="C40" sqref="C40"/>
      <selection pane="bottomRight" activeCell="L66" sqref="L66"/>
    </sheetView>
  </sheetViews>
  <sheetFormatPr defaultRowHeight="15" x14ac:dyDescent="0.25"/>
  <cols>
    <col min="1" max="1" width="4.42578125" style="268" customWidth="1"/>
    <col min="2" max="2" width="36" style="254" customWidth="1"/>
    <col min="3" max="3" width="12" style="255" customWidth="1"/>
    <col min="4" max="6" width="7.7109375" style="255" customWidth="1"/>
    <col min="7" max="19" width="7.7109375" style="254" customWidth="1"/>
    <col min="20" max="20" width="9.140625" style="254"/>
    <col min="21" max="16384" width="9.140625" style="255"/>
  </cols>
  <sheetData>
    <row r="1" spans="1:20" ht="15.75" x14ac:dyDescent="0.25">
      <c r="A1" s="251"/>
      <c r="B1" s="252"/>
      <c r="C1" s="253"/>
      <c r="D1" s="253"/>
      <c r="E1" s="253"/>
      <c r="F1" s="253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416"/>
      <c r="S1" s="416"/>
    </row>
    <row r="2" spans="1:20" ht="40.5" customHeight="1" x14ac:dyDescent="0.25">
      <c r="A2" s="417" t="s">
        <v>465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252"/>
    </row>
    <row r="3" spans="1:20" ht="15.75" x14ac:dyDescent="0.25">
      <c r="A3" s="251"/>
      <c r="B3" s="252"/>
      <c r="C3" s="253"/>
      <c r="D3" s="253"/>
      <c r="E3" s="253"/>
      <c r="F3" s="253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20" ht="26.25" customHeight="1" x14ac:dyDescent="0.25">
      <c r="A4" s="322" t="s">
        <v>0</v>
      </c>
      <c r="B4" s="322" t="s">
        <v>204</v>
      </c>
      <c r="C4" s="322" t="s">
        <v>466</v>
      </c>
      <c r="D4" s="419" t="s">
        <v>467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</row>
    <row r="5" spans="1:20" s="257" customFormat="1" ht="111.75" customHeight="1" x14ac:dyDescent="0.25">
      <c r="A5" s="322"/>
      <c r="B5" s="322"/>
      <c r="C5" s="322"/>
      <c r="D5" s="143" t="s">
        <v>468</v>
      </c>
      <c r="E5" s="143" t="s">
        <v>469</v>
      </c>
      <c r="F5" s="143" t="s">
        <v>470</v>
      </c>
      <c r="G5" s="143" t="s">
        <v>471</v>
      </c>
      <c r="H5" s="143" t="s">
        <v>472</v>
      </c>
      <c r="I5" s="143" t="s">
        <v>473</v>
      </c>
      <c r="J5" s="143" t="s">
        <v>474</v>
      </c>
      <c r="K5" s="143" t="s">
        <v>475</v>
      </c>
      <c r="L5" s="143" t="s">
        <v>476</v>
      </c>
      <c r="M5" s="143" t="s">
        <v>477</v>
      </c>
      <c r="N5" s="143" t="s">
        <v>478</v>
      </c>
      <c r="O5" s="143" t="s">
        <v>479</v>
      </c>
      <c r="P5" s="143" t="s">
        <v>480</v>
      </c>
      <c r="Q5" s="143" t="s">
        <v>481</v>
      </c>
      <c r="R5" s="143" t="s">
        <v>482</v>
      </c>
      <c r="S5" s="143" t="s">
        <v>483</v>
      </c>
      <c r="T5" s="256"/>
    </row>
    <row r="6" spans="1:20" ht="30" customHeight="1" x14ac:dyDescent="0.25">
      <c r="A6" s="258">
        <v>1</v>
      </c>
      <c r="B6" s="35" t="s">
        <v>484</v>
      </c>
      <c r="C6" s="78">
        <f>D6+E6+G6+H6+I6+J6+K6+L6+M6+N6+O6+P6+Q6+R6+F6</f>
        <v>175</v>
      </c>
      <c r="D6" s="78">
        <v>50</v>
      </c>
      <c r="E6" s="78">
        <v>100</v>
      </c>
      <c r="F6" s="258"/>
      <c r="G6" s="143"/>
      <c r="H6" s="143"/>
      <c r="I6" s="143"/>
      <c r="J6" s="143"/>
      <c r="K6" s="143"/>
      <c r="L6" s="143"/>
      <c r="M6" s="143"/>
      <c r="N6" s="143"/>
      <c r="O6" s="143"/>
      <c r="P6" s="259">
        <v>25</v>
      </c>
      <c r="Q6" s="143"/>
      <c r="R6" s="143"/>
      <c r="S6" s="260"/>
    </row>
    <row r="7" spans="1:20" ht="30" customHeight="1" x14ac:dyDescent="0.25">
      <c r="A7" s="258">
        <v>2</v>
      </c>
      <c r="B7" s="35" t="s">
        <v>485</v>
      </c>
      <c r="C7" s="78">
        <f t="shared" ref="C7:C54" si="0">D7+E7+G7+H7+I7+J7+K7+L7+M7+N7+O7+P7+Q7+R7+F7</f>
        <v>1788</v>
      </c>
      <c r="D7" s="78">
        <v>1788</v>
      </c>
      <c r="E7" s="258"/>
      <c r="F7" s="258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260"/>
    </row>
    <row r="8" spans="1:20" ht="30" customHeight="1" x14ac:dyDescent="0.25">
      <c r="A8" s="258">
        <v>3</v>
      </c>
      <c r="B8" s="35" t="s">
        <v>486</v>
      </c>
      <c r="C8" s="78">
        <f t="shared" si="0"/>
        <v>670</v>
      </c>
      <c r="D8" s="78">
        <v>670</v>
      </c>
      <c r="E8" s="258"/>
      <c r="F8" s="258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260"/>
    </row>
    <row r="9" spans="1:20" ht="30" customHeight="1" x14ac:dyDescent="0.25">
      <c r="A9" s="258">
        <v>4</v>
      </c>
      <c r="B9" s="35" t="s">
        <v>487</v>
      </c>
      <c r="C9" s="78">
        <f t="shared" si="0"/>
        <v>894</v>
      </c>
      <c r="D9" s="78">
        <v>894</v>
      </c>
      <c r="E9" s="258"/>
      <c r="F9" s="258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260"/>
    </row>
    <row r="10" spans="1:20" ht="30" customHeight="1" x14ac:dyDescent="0.25">
      <c r="A10" s="258">
        <v>5</v>
      </c>
      <c r="B10" s="35" t="s">
        <v>488</v>
      </c>
      <c r="C10" s="78">
        <f t="shared" si="0"/>
        <v>150</v>
      </c>
      <c r="D10" s="78">
        <v>50</v>
      </c>
      <c r="E10" s="78">
        <v>100</v>
      </c>
      <c r="F10" s="258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260"/>
    </row>
    <row r="11" spans="1:20" ht="30" customHeight="1" x14ac:dyDescent="0.25">
      <c r="A11" s="258">
        <v>6</v>
      </c>
      <c r="B11" s="35" t="s">
        <v>489</v>
      </c>
      <c r="C11" s="78">
        <f t="shared" si="0"/>
        <v>50</v>
      </c>
      <c r="D11" s="78">
        <v>50</v>
      </c>
      <c r="E11" s="261"/>
      <c r="F11" s="26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260"/>
    </row>
    <row r="12" spans="1:20" ht="30" customHeight="1" x14ac:dyDescent="0.25">
      <c r="A12" s="258">
        <v>7</v>
      </c>
      <c r="B12" s="35" t="s">
        <v>490</v>
      </c>
      <c r="C12" s="78">
        <f t="shared" si="0"/>
        <v>50</v>
      </c>
      <c r="D12" s="78">
        <v>50</v>
      </c>
      <c r="E12" s="261"/>
      <c r="F12" s="261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260"/>
    </row>
    <row r="13" spans="1:20" ht="30" customHeight="1" x14ac:dyDescent="0.25">
      <c r="A13" s="258">
        <v>8</v>
      </c>
      <c r="B13" s="35" t="s">
        <v>491</v>
      </c>
      <c r="C13" s="78">
        <f t="shared" si="0"/>
        <v>50</v>
      </c>
      <c r="D13" s="78">
        <v>50</v>
      </c>
      <c r="E13" s="261"/>
      <c r="F13" s="261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260"/>
    </row>
    <row r="14" spans="1:20" ht="30" customHeight="1" x14ac:dyDescent="0.25">
      <c r="A14" s="258">
        <v>9</v>
      </c>
      <c r="B14" s="35" t="s">
        <v>492</v>
      </c>
      <c r="C14" s="78">
        <f t="shared" si="0"/>
        <v>100</v>
      </c>
      <c r="D14" s="258"/>
      <c r="E14" s="262">
        <v>100</v>
      </c>
      <c r="F14" s="26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260"/>
    </row>
    <row r="15" spans="1:20" ht="30" customHeight="1" x14ac:dyDescent="0.25">
      <c r="A15" s="258">
        <v>10</v>
      </c>
      <c r="B15" s="35" t="s">
        <v>493</v>
      </c>
      <c r="C15" s="78">
        <f t="shared" si="0"/>
        <v>447</v>
      </c>
      <c r="D15" s="78">
        <v>447</v>
      </c>
      <c r="E15" s="261"/>
      <c r="F15" s="261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260"/>
    </row>
    <row r="16" spans="1:20" ht="30" customHeight="1" x14ac:dyDescent="0.25">
      <c r="A16" s="258">
        <v>11</v>
      </c>
      <c r="B16" s="35" t="s">
        <v>494</v>
      </c>
      <c r="C16" s="78">
        <f t="shared" si="0"/>
        <v>100</v>
      </c>
      <c r="D16" s="258"/>
      <c r="E16" s="262">
        <v>100</v>
      </c>
      <c r="F16" s="261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260"/>
    </row>
    <row r="17" spans="1:19" s="255" customFormat="1" ht="30" customHeight="1" x14ac:dyDescent="0.25">
      <c r="A17" s="258">
        <v>12</v>
      </c>
      <c r="B17" s="35" t="s">
        <v>495</v>
      </c>
      <c r="C17" s="78">
        <f t="shared" si="0"/>
        <v>275</v>
      </c>
      <c r="D17" s="78">
        <v>50</v>
      </c>
      <c r="E17" s="262">
        <v>100</v>
      </c>
      <c r="F17" s="261"/>
      <c r="G17" s="259">
        <v>25</v>
      </c>
      <c r="H17" s="143"/>
      <c r="I17" s="259">
        <v>25</v>
      </c>
      <c r="J17" s="143"/>
      <c r="K17" s="143"/>
      <c r="L17" s="259">
        <v>25</v>
      </c>
      <c r="M17" s="143"/>
      <c r="N17" s="259">
        <v>25</v>
      </c>
      <c r="O17" s="143"/>
      <c r="P17" s="143"/>
      <c r="Q17" s="143"/>
      <c r="R17" s="259">
        <v>25</v>
      </c>
      <c r="S17" s="260"/>
    </row>
    <row r="18" spans="1:19" s="255" customFormat="1" ht="30" customHeight="1" x14ac:dyDescent="0.25">
      <c r="A18" s="258">
        <v>13</v>
      </c>
      <c r="B18" s="35" t="s">
        <v>496</v>
      </c>
      <c r="C18" s="78">
        <f t="shared" si="0"/>
        <v>36</v>
      </c>
      <c r="D18" s="78"/>
      <c r="E18" s="261">
        <f>100-81</f>
        <v>19</v>
      </c>
      <c r="F18" s="262">
        <f>25-25</f>
        <v>0</v>
      </c>
      <c r="G18" s="259">
        <f>25-25</f>
        <v>0</v>
      </c>
      <c r="H18" s="143"/>
      <c r="I18" s="259">
        <f>25-8</f>
        <v>17</v>
      </c>
      <c r="J18" s="143"/>
      <c r="K18" s="143"/>
      <c r="L18" s="143"/>
      <c r="M18" s="143"/>
      <c r="N18" s="143"/>
      <c r="O18" s="259">
        <f>25-25</f>
        <v>0</v>
      </c>
      <c r="P18" s="143"/>
      <c r="Q18" s="143"/>
      <c r="R18" s="143"/>
      <c r="S18" s="260"/>
    </row>
    <row r="19" spans="1:19" s="255" customFormat="1" ht="30" customHeight="1" x14ac:dyDescent="0.25">
      <c r="A19" s="258">
        <v>14</v>
      </c>
      <c r="B19" s="35" t="s">
        <v>497</v>
      </c>
      <c r="C19" s="78">
        <f t="shared" si="0"/>
        <v>572</v>
      </c>
      <c r="D19" s="78">
        <v>572</v>
      </c>
      <c r="E19" s="261"/>
      <c r="F19" s="261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260"/>
    </row>
    <row r="20" spans="1:19" s="255" customFormat="1" ht="30" customHeight="1" x14ac:dyDescent="0.25">
      <c r="A20" s="258">
        <v>15</v>
      </c>
      <c r="B20" s="35" t="s">
        <v>498</v>
      </c>
      <c r="C20" s="78">
        <f t="shared" si="0"/>
        <v>597</v>
      </c>
      <c r="D20" s="78">
        <v>572</v>
      </c>
      <c r="E20" s="262">
        <v>25</v>
      </c>
      <c r="F20" s="261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260"/>
    </row>
    <row r="21" spans="1:19" s="255" customFormat="1" ht="30" customHeight="1" x14ac:dyDescent="0.25">
      <c r="A21" s="258">
        <v>16</v>
      </c>
      <c r="B21" s="35" t="s">
        <v>499</v>
      </c>
      <c r="C21" s="78">
        <f t="shared" si="0"/>
        <v>572</v>
      </c>
      <c r="D21" s="78">
        <v>572</v>
      </c>
      <c r="E21" s="261"/>
      <c r="F21" s="26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260"/>
    </row>
    <row r="22" spans="1:19" s="255" customFormat="1" ht="30" customHeight="1" x14ac:dyDescent="0.25">
      <c r="A22" s="258">
        <v>17</v>
      </c>
      <c r="B22" s="35" t="s">
        <v>500</v>
      </c>
      <c r="C22" s="78">
        <f t="shared" si="0"/>
        <v>572</v>
      </c>
      <c r="D22" s="78">
        <v>572</v>
      </c>
      <c r="E22" s="261"/>
      <c r="F22" s="261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260"/>
    </row>
    <row r="23" spans="1:19" s="255" customFormat="1" ht="30" customHeight="1" x14ac:dyDescent="0.25">
      <c r="A23" s="258">
        <v>18</v>
      </c>
      <c r="B23" s="35" t="s">
        <v>501</v>
      </c>
      <c r="C23" s="78">
        <f t="shared" si="0"/>
        <v>572</v>
      </c>
      <c r="D23" s="78">
        <v>572</v>
      </c>
      <c r="E23" s="261"/>
      <c r="F23" s="261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260"/>
    </row>
    <row r="24" spans="1:19" s="255" customFormat="1" ht="30" customHeight="1" x14ac:dyDescent="0.25">
      <c r="A24" s="258">
        <v>19</v>
      </c>
      <c r="B24" s="35" t="s">
        <v>502</v>
      </c>
      <c r="C24" s="78">
        <f t="shared" si="0"/>
        <v>572</v>
      </c>
      <c r="D24" s="78">
        <v>572</v>
      </c>
      <c r="E24" s="261"/>
      <c r="F24" s="261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260"/>
    </row>
    <row r="25" spans="1:19" s="255" customFormat="1" ht="30" customHeight="1" x14ac:dyDescent="0.25">
      <c r="A25" s="258">
        <v>20</v>
      </c>
      <c r="B25" s="35" t="s">
        <v>503</v>
      </c>
      <c r="C25" s="78">
        <f t="shared" si="0"/>
        <v>572</v>
      </c>
      <c r="D25" s="78">
        <v>572</v>
      </c>
      <c r="E25" s="261"/>
      <c r="F25" s="261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260"/>
    </row>
    <row r="26" spans="1:19" s="255" customFormat="1" ht="30" customHeight="1" x14ac:dyDescent="0.25">
      <c r="A26" s="258">
        <v>21</v>
      </c>
      <c r="B26" s="35" t="s">
        <v>504</v>
      </c>
      <c r="C26" s="78">
        <f t="shared" si="0"/>
        <v>572</v>
      </c>
      <c r="D26" s="78">
        <v>572</v>
      </c>
      <c r="E26" s="261"/>
      <c r="F26" s="261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260"/>
    </row>
    <row r="27" spans="1:19" s="255" customFormat="1" ht="30" customHeight="1" x14ac:dyDescent="0.25">
      <c r="A27" s="258">
        <v>22</v>
      </c>
      <c r="B27" s="263" t="s">
        <v>505</v>
      </c>
      <c r="C27" s="78">
        <f t="shared" si="0"/>
        <v>325</v>
      </c>
      <c r="D27" s="78">
        <v>250</v>
      </c>
      <c r="E27" s="262">
        <v>25</v>
      </c>
      <c r="F27" s="261"/>
      <c r="G27" s="143"/>
      <c r="H27" s="143"/>
      <c r="I27" s="143">
        <v>25</v>
      </c>
      <c r="J27" s="143"/>
      <c r="K27" s="143"/>
      <c r="L27" s="143"/>
      <c r="M27" s="143"/>
      <c r="N27" s="143"/>
      <c r="O27" s="143"/>
      <c r="P27" s="143">
        <v>25</v>
      </c>
      <c r="Q27" s="143"/>
      <c r="R27" s="143"/>
      <c r="S27" s="260"/>
    </row>
    <row r="28" spans="1:19" s="255" customFormat="1" ht="30" customHeight="1" x14ac:dyDescent="0.25">
      <c r="A28" s="258">
        <v>23</v>
      </c>
      <c r="B28" s="264" t="s">
        <v>506</v>
      </c>
      <c r="C28" s="78">
        <f t="shared" si="0"/>
        <v>0</v>
      </c>
      <c r="D28" s="78"/>
      <c r="E28" s="262">
        <f>25-25</f>
        <v>0</v>
      </c>
      <c r="F28" s="261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260"/>
    </row>
    <row r="29" spans="1:19" s="255" customFormat="1" ht="30" customHeight="1" x14ac:dyDescent="0.25">
      <c r="A29" s="258">
        <v>24</v>
      </c>
      <c r="B29" s="264" t="s">
        <v>507</v>
      </c>
      <c r="C29" s="78">
        <f>D29+E29+G29+H29+I29+J29+K29+L29+M29+N29+O29+P29+Q29+R29+F29+S29</f>
        <v>0</v>
      </c>
      <c r="D29" s="78"/>
      <c r="E29" s="262">
        <f>25-25</f>
        <v>0</v>
      </c>
      <c r="F29" s="262">
        <f>25-25</f>
        <v>0</v>
      </c>
      <c r="G29" s="143"/>
      <c r="H29" s="143"/>
      <c r="I29" s="259">
        <f>25-25</f>
        <v>0</v>
      </c>
      <c r="J29" s="143"/>
      <c r="K29" s="143"/>
      <c r="L29" s="259">
        <f>25-25</f>
        <v>0</v>
      </c>
      <c r="M29" s="143"/>
      <c r="N29" s="143"/>
      <c r="O29" s="143"/>
      <c r="P29" s="143"/>
      <c r="Q29" s="143"/>
      <c r="R29" s="259">
        <f>25-25</f>
        <v>0</v>
      </c>
      <c r="S29" s="259">
        <f>25-25</f>
        <v>0</v>
      </c>
    </row>
    <row r="30" spans="1:19" s="255" customFormat="1" ht="30" customHeight="1" x14ac:dyDescent="0.25">
      <c r="A30" s="258">
        <v>25</v>
      </c>
      <c r="B30" s="263" t="s">
        <v>508</v>
      </c>
      <c r="C30" s="78">
        <f t="shared" si="0"/>
        <v>113</v>
      </c>
      <c r="D30" s="78">
        <v>113</v>
      </c>
      <c r="E30" s="261"/>
      <c r="F30" s="261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260"/>
    </row>
    <row r="31" spans="1:19" s="255" customFormat="1" ht="30" customHeight="1" x14ac:dyDescent="0.25">
      <c r="A31" s="258">
        <f>A30+1</f>
        <v>26</v>
      </c>
      <c r="B31" s="263" t="s">
        <v>509</v>
      </c>
      <c r="C31" s="78">
        <f t="shared" si="0"/>
        <v>56</v>
      </c>
      <c r="D31" s="258"/>
      <c r="E31" s="262">
        <v>31</v>
      </c>
      <c r="F31" s="261"/>
      <c r="G31" s="259">
        <v>25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260"/>
    </row>
    <row r="32" spans="1:19" s="255" customFormat="1" ht="30" customHeight="1" x14ac:dyDescent="0.25">
      <c r="A32" s="258">
        <f>A31+1</f>
        <v>27</v>
      </c>
      <c r="B32" s="263" t="s">
        <v>510</v>
      </c>
      <c r="C32" s="78">
        <f t="shared" si="0"/>
        <v>19</v>
      </c>
      <c r="D32" s="78">
        <f>113-94</f>
        <v>19</v>
      </c>
      <c r="E32" s="261"/>
      <c r="F32" s="261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260"/>
    </row>
    <row r="33" spans="1:19" s="255" customFormat="1" ht="30" customHeight="1" x14ac:dyDescent="0.25">
      <c r="A33" s="258">
        <f t="shared" ref="A33:A53" si="1">A32+1</f>
        <v>28</v>
      </c>
      <c r="B33" s="263" t="s">
        <v>511</v>
      </c>
      <c r="C33" s="78">
        <f t="shared" si="0"/>
        <v>113</v>
      </c>
      <c r="D33" s="78">
        <v>113</v>
      </c>
      <c r="E33" s="261"/>
      <c r="F33" s="261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260"/>
    </row>
    <row r="34" spans="1:19" s="255" customFormat="1" ht="30" customHeight="1" x14ac:dyDescent="0.25">
      <c r="A34" s="258">
        <f t="shared" si="1"/>
        <v>29</v>
      </c>
      <c r="B34" s="263" t="s">
        <v>288</v>
      </c>
      <c r="C34" s="78">
        <f t="shared" si="0"/>
        <v>31</v>
      </c>
      <c r="D34" s="258"/>
      <c r="E34" s="261">
        <v>31</v>
      </c>
      <c r="F34" s="261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260"/>
    </row>
    <row r="35" spans="1:19" s="255" customFormat="1" ht="30" customHeight="1" x14ac:dyDescent="0.25">
      <c r="A35" s="258">
        <f t="shared" si="1"/>
        <v>30</v>
      </c>
      <c r="B35" s="263" t="s">
        <v>512</v>
      </c>
      <c r="C35" s="78">
        <f t="shared" si="0"/>
        <v>26</v>
      </c>
      <c r="D35" s="258"/>
      <c r="E35" s="262">
        <v>26</v>
      </c>
      <c r="F35" s="261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260"/>
    </row>
    <row r="36" spans="1:19" s="255" customFormat="1" ht="30" customHeight="1" x14ac:dyDescent="0.25">
      <c r="A36" s="258">
        <f t="shared" si="1"/>
        <v>31</v>
      </c>
      <c r="B36" s="263" t="s">
        <v>513</v>
      </c>
      <c r="C36" s="78">
        <f t="shared" si="0"/>
        <v>0</v>
      </c>
      <c r="D36" s="78">
        <v>0</v>
      </c>
      <c r="E36" s="262">
        <v>0</v>
      </c>
      <c r="F36" s="261"/>
      <c r="G36" s="143"/>
      <c r="H36" s="143"/>
      <c r="I36" s="259">
        <v>0</v>
      </c>
      <c r="J36" s="143"/>
      <c r="K36" s="143"/>
      <c r="L36" s="143"/>
      <c r="M36" s="143"/>
      <c r="N36" s="143"/>
      <c r="O36" s="143"/>
      <c r="P36" s="143"/>
      <c r="Q36" s="143"/>
      <c r="R36" s="143"/>
      <c r="S36" s="260"/>
    </row>
    <row r="37" spans="1:19" s="255" customFormat="1" ht="30" customHeight="1" x14ac:dyDescent="0.25">
      <c r="A37" s="258">
        <f t="shared" si="1"/>
        <v>32</v>
      </c>
      <c r="B37" s="263" t="s">
        <v>514</v>
      </c>
      <c r="C37" s="78">
        <f t="shared" si="0"/>
        <v>0</v>
      </c>
      <c r="D37" s="78">
        <f>113-113</f>
        <v>0</v>
      </c>
      <c r="E37" s="261"/>
      <c r="F37" s="261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260"/>
    </row>
    <row r="38" spans="1:19" s="255" customFormat="1" ht="30" customHeight="1" x14ac:dyDescent="0.25">
      <c r="A38" s="258">
        <f t="shared" si="1"/>
        <v>33</v>
      </c>
      <c r="B38" s="263" t="s">
        <v>515</v>
      </c>
      <c r="C38" s="78">
        <f t="shared" si="0"/>
        <v>459</v>
      </c>
      <c r="D38" s="78">
        <v>113</v>
      </c>
      <c r="E38" s="262">
        <v>31</v>
      </c>
      <c r="F38" s="262">
        <v>25</v>
      </c>
      <c r="G38" s="259">
        <v>25</v>
      </c>
      <c r="H38" s="259">
        <v>25</v>
      </c>
      <c r="I38" s="259">
        <v>25</v>
      </c>
      <c r="J38" s="259">
        <v>25</v>
      </c>
      <c r="K38" s="259">
        <v>25</v>
      </c>
      <c r="L38" s="259">
        <v>25</v>
      </c>
      <c r="M38" s="259">
        <v>25</v>
      </c>
      <c r="N38" s="259">
        <v>15</v>
      </c>
      <c r="O38" s="259">
        <v>25</v>
      </c>
      <c r="P38" s="259">
        <v>25</v>
      </c>
      <c r="Q38" s="259">
        <v>25</v>
      </c>
      <c r="R38" s="259">
        <v>25</v>
      </c>
      <c r="S38" s="260"/>
    </row>
    <row r="39" spans="1:19" s="255" customFormat="1" ht="30" customHeight="1" x14ac:dyDescent="0.25">
      <c r="A39" s="258">
        <f t="shared" si="1"/>
        <v>34</v>
      </c>
      <c r="B39" s="263" t="s">
        <v>516</v>
      </c>
      <c r="C39" s="78">
        <f t="shared" si="0"/>
        <v>56</v>
      </c>
      <c r="D39" s="258"/>
      <c r="E39" s="262">
        <v>31</v>
      </c>
      <c r="F39" s="261"/>
      <c r="G39" s="143"/>
      <c r="H39" s="143"/>
      <c r="I39" s="143"/>
      <c r="J39" s="143"/>
      <c r="K39" s="143"/>
      <c r="L39" s="259">
        <v>25</v>
      </c>
      <c r="M39" s="143"/>
      <c r="N39" s="143"/>
      <c r="O39" s="143"/>
      <c r="P39" s="143"/>
      <c r="Q39" s="143"/>
      <c r="R39" s="143"/>
      <c r="S39" s="260"/>
    </row>
    <row r="40" spans="1:19" s="255" customFormat="1" ht="30" customHeight="1" x14ac:dyDescent="0.25">
      <c r="A40" s="258">
        <f t="shared" si="1"/>
        <v>35</v>
      </c>
      <c r="B40" s="263" t="s">
        <v>517</v>
      </c>
      <c r="C40" s="78">
        <f t="shared" si="0"/>
        <v>0</v>
      </c>
      <c r="D40" s="258"/>
      <c r="E40" s="262">
        <v>0</v>
      </c>
      <c r="F40" s="261"/>
      <c r="G40" s="143"/>
      <c r="H40" s="143"/>
      <c r="I40" s="143"/>
      <c r="J40" s="143"/>
      <c r="K40" s="143"/>
      <c r="L40" s="259">
        <v>0</v>
      </c>
      <c r="M40" s="143"/>
      <c r="N40" s="143"/>
      <c r="O40" s="143"/>
      <c r="P40" s="143"/>
      <c r="Q40" s="143"/>
      <c r="R40" s="143"/>
      <c r="S40" s="260"/>
    </row>
    <row r="41" spans="1:19" s="255" customFormat="1" ht="30" customHeight="1" x14ac:dyDescent="0.25">
      <c r="A41" s="258">
        <f t="shared" si="1"/>
        <v>36</v>
      </c>
      <c r="B41" s="263" t="s">
        <v>518</v>
      </c>
      <c r="C41" s="78">
        <f t="shared" si="0"/>
        <v>0</v>
      </c>
      <c r="D41" s="258"/>
      <c r="E41" s="262">
        <v>0</v>
      </c>
      <c r="F41" s="261"/>
      <c r="G41" s="143"/>
      <c r="H41" s="143"/>
      <c r="I41" s="259">
        <v>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260"/>
    </row>
    <row r="42" spans="1:19" s="255" customFormat="1" ht="30" customHeight="1" x14ac:dyDescent="0.25">
      <c r="A42" s="258">
        <f t="shared" si="1"/>
        <v>37</v>
      </c>
      <c r="B42" s="263" t="s">
        <v>519</v>
      </c>
      <c r="C42" s="78">
        <f t="shared" si="0"/>
        <v>0</v>
      </c>
      <c r="D42" s="258"/>
      <c r="E42" s="262">
        <v>0</v>
      </c>
      <c r="F42" s="261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260"/>
    </row>
    <row r="43" spans="1:19" s="255" customFormat="1" ht="30" customHeight="1" x14ac:dyDescent="0.25">
      <c r="A43" s="258">
        <f t="shared" si="1"/>
        <v>38</v>
      </c>
      <c r="B43" s="263" t="s">
        <v>520</v>
      </c>
      <c r="C43" s="78">
        <f t="shared" si="0"/>
        <v>113</v>
      </c>
      <c r="D43" s="78">
        <v>113</v>
      </c>
      <c r="E43" s="261"/>
      <c r="F43" s="261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260"/>
    </row>
    <row r="44" spans="1:19" s="255" customFormat="1" ht="30" customHeight="1" x14ac:dyDescent="0.25">
      <c r="A44" s="258">
        <f t="shared" si="1"/>
        <v>39</v>
      </c>
      <c r="B44" s="263" t="s">
        <v>521</v>
      </c>
      <c r="C44" s="78">
        <f t="shared" si="0"/>
        <v>113</v>
      </c>
      <c r="D44" s="78">
        <v>113</v>
      </c>
      <c r="E44" s="261"/>
      <c r="F44" s="261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260"/>
    </row>
    <row r="45" spans="1:19" s="255" customFormat="1" ht="30" customHeight="1" x14ac:dyDescent="0.25">
      <c r="A45" s="258">
        <f t="shared" si="1"/>
        <v>40</v>
      </c>
      <c r="B45" s="263" t="s">
        <v>522</v>
      </c>
      <c r="C45" s="78">
        <f t="shared" si="0"/>
        <v>169</v>
      </c>
      <c r="D45" s="78">
        <v>113</v>
      </c>
      <c r="E45" s="262">
        <v>31</v>
      </c>
      <c r="F45" s="261"/>
      <c r="G45" s="143"/>
      <c r="H45" s="143"/>
      <c r="I45" s="143">
        <v>25</v>
      </c>
      <c r="J45" s="143"/>
      <c r="K45" s="143"/>
      <c r="L45" s="143"/>
      <c r="M45" s="143"/>
      <c r="N45" s="143"/>
      <c r="O45" s="143"/>
      <c r="P45" s="143"/>
      <c r="Q45" s="143"/>
      <c r="R45" s="143"/>
      <c r="S45" s="260"/>
    </row>
    <row r="46" spans="1:19" s="255" customFormat="1" ht="30" customHeight="1" x14ac:dyDescent="0.25">
      <c r="A46" s="258">
        <f t="shared" si="1"/>
        <v>41</v>
      </c>
      <c r="B46" s="263" t="s">
        <v>523</v>
      </c>
      <c r="C46" s="78">
        <f t="shared" si="0"/>
        <v>113</v>
      </c>
      <c r="D46" s="78">
        <v>113</v>
      </c>
      <c r="E46" s="261"/>
      <c r="F46" s="261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260"/>
    </row>
    <row r="47" spans="1:19" s="255" customFormat="1" ht="30" customHeight="1" x14ac:dyDescent="0.25">
      <c r="A47" s="258">
        <f t="shared" si="1"/>
        <v>42</v>
      </c>
      <c r="B47" s="263" t="s">
        <v>524</v>
      </c>
      <c r="C47" s="78">
        <f t="shared" si="0"/>
        <v>25</v>
      </c>
      <c r="D47" s="258"/>
      <c r="E47" s="261"/>
      <c r="F47" s="261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259">
        <v>25</v>
      </c>
      <c r="S47" s="260"/>
    </row>
    <row r="48" spans="1:19" s="255" customFormat="1" ht="30" customHeight="1" x14ac:dyDescent="0.25">
      <c r="A48" s="258">
        <f t="shared" si="1"/>
        <v>43</v>
      </c>
      <c r="B48" s="263" t="s">
        <v>525</v>
      </c>
      <c r="C48" s="78">
        <f t="shared" si="0"/>
        <v>0</v>
      </c>
      <c r="D48" s="78">
        <f>113-113</f>
        <v>0</v>
      </c>
      <c r="E48" s="261"/>
      <c r="F48" s="261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260"/>
    </row>
    <row r="49" spans="1:20" ht="30" customHeight="1" x14ac:dyDescent="0.25">
      <c r="A49" s="258">
        <f t="shared" si="1"/>
        <v>44</v>
      </c>
      <c r="B49" s="263" t="s">
        <v>291</v>
      </c>
      <c r="C49" s="78">
        <f t="shared" si="0"/>
        <v>31</v>
      </c>
      <c r="D49" s="258"/>
      <c r="E49" s="262">
        <v>31</v>
      </c>
      <c r="F49" s="261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260"/>
      <c r="T49" s="255"/>
    </row>
    <row r="50" spans="1:20" ht="33.75" customHeight="1" x14ac:dyDescent="0.25">
      <c r="A50" s="258">
        <f t="shared" si="1"/>
        <v>45</v>
      </c>
      <c r="B50" s="263" t="s">
        <v>526</v>
      </c>
      <c r="C50" s="78">
        <f t="shared" si="0"/>
        <v>0</v>
      </c>
      <c r="D50" s="78">
        <v>0</v>
      </c>
      <c r="E50" s="261"/>
      <c r="F50" s="261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260"/>
      <c r="T50" s="255"/>
    </row>
    <row r="51" spans="1:20" ht="30.75" customHeight="1" x14ac:dyDescent="0.25">
      <c r="A51" s="258">
        <f t="shared" si="1"/>
        <v>46</v>
      </c>
      <c r="B51" s="263" t="s">
        <v>527</v>
      </c>
      <c r="C51" s="78">
        <f>D51+E51+G51+H51+I51+J51+K51+L51+M51+N51+O51+P51+Q51+R51+F51</f>
        <v>31</v>
      </c>
      <c r="D51" s="78"/>
      <c r="E51" s="262">
        <v>31</v>
      </c>
      <c r="F51" s="261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260"/>
      <c r="T51" s="255"/>
    </row>
    <row r="52" spans="1:20" ht="36.75" customHeight="1" x14ac:dyDescent="0.25">
      <c r="A52" s="258">
        <f t="shared" si="1"/>
        <v>47</v>
      </c>
      <c r="B52" s="263" t="s">
        <v>528</v>
      </c>
      <c r="C52" s="78">
        <f t="shared" si="0"/>
        <v>31</v>
      </c>
      <c r="D52" s="78"/>
      <c r="E52" s="262">
        <v>31</v>
      </c>
      <c r="F52" s="261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260"/>
      <c r="T52" s="255"/>
    </row>
    <row r="53" spans="1:20" ht="36.75" customHeight="1" x14ac:dyDescent="0.25">
      <c r="A53" s="258">
        <f t="shared" si="1"/>
        <v>48</v>
      </c>
      <c r="B53" s="263" t="s">
        <v>529</v>
      </c>
      <c r="C53" s="78">
        <f t="shared" si="0"/>
        <v>113</v>
      </c>
      <c r="D53" s="78">
        <v>113</v>
      </c>
      <c r="E53" s="262"/>
      <c r="F53" s="261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260"/>
      <c r="T53" s="255"/>
    </row>
    <row r="54" spans="1:20" ht="36.75" customHeight="1" x14ac:dyDescent="0.25">
      <c r="A54" s="258">
        <v>49</v>
      </c>
      <c r="B54" s="263" t="s">
        <v>444</v>
      </c>
      <c r="C54" s="78">
        <f t="shared" si="0"/>
        <v>573</v>
      </c>
      <c r="D54" s="78">
        <v>573</v>
      </c>
      <c r="E54" s="262"/>
      <c r="F54" s="261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260"/>
      <c r="T54" s="255"/>
    </row>
    <row r="55" spans="1:20" ht="30" customHeight="1" x14ac:dyDescent="0.25">
      <c r="A55" s="265"/>
      <c r="B55" s="266" t="s">
        <v>150</v>
      </c>
      <c r="C55" s="267">
        <f>SUM(C6:C54)</f>
        <v>11896</v>
      </c>
      <c r="D55" s="267">
        <f>SUM(D6:D54)</f>
        <v>10421</v>
      </c>
      <c r="E55" s="267">
        <f t="shared" ref="E55:S55" si="2">SUM(E6:E53)</f>
        <v>843</v>
      </c>
      <c r="F55" s="267">
        <f t="shared" si="2"/>
        <v>25</v>
      </c>
      <c r="G55" s="267">
        <f t="shared" si="2"/>
        <v>75</v>
      </c>
      <c r="H55" s="267">
        <f t="shared" si="2"/>
        <v>25</v>
      </c>
      <c r="I55" s="267">
        <f t="shared" si="2"/>
        <v>117</v>
      </c>
      <c r="J55" s="267">
        <f t="shared" si="2"/>
        <v>25</v>
      </c>
      <c r="K55" s="267">
        <f t="shared" si="2"/>
        <v>25</v>
      </c>
      <c r="L55" s="267">
        <f t="shared" si="2"/>
        <v>75</v>
      </c>
      <c r="M55" s="267">
        <f t="shared" si="2"/>
        <v>25</v>
      </c>
      <c r="N55" s="267">
        <f t="shared" si="2"/>
        <v>40</v>
      </c>
      <c r="O55" s="267">
        <f t="shared" si="2"/>
        <v>25</v>
      </c>
      <c r="P55" s="267">
        <f t="shared" si="2"/>
        <v>75</v>
      </c>
      <c r="Q55" s="267">
        <f t="shared" si="2"/>
        <v>25</v>
      </c>
      <c r="R55" s="267">
        <f t="shared" si="2"/>
        <v>75</v>
      </c>
      <c r="S55" s="267">
        <f t="shared" si="2"/>
        <v>0</v>
      </c>
      <c r="T55" s="255"/>
    </row>
    <row r="56" spans="1:20" x14ac:dyDescent="0.25">
      <c r="C56" s="269"/>
      <c r="T56" s="255"/>
    </row>
    <row r="58" spans="1:20" x14ac:dyDescent="0.25">
      <c r="C58" s="269"/>
      <c r="T58" s="255"/>
    </row>
    <row r="64" spans="1:20" x14ac:dyDescent="0.25">
      <c r="C64" s="269"/>
      <c r="T64" s="255"/>
    </row>
  </sheetData>
  <mergeCells count="6">
    <mergeCell ref="R1:S1"/>
    <mergeCell ref="A2:R2"/>
    <mergeCell ref="A4:A5"/>
    <mergeCell ref="B4:B5"/>
    <mergeCell ref="C4:C5"/>
    <mergeCell ref="D4:S4"/>
  </mergeCells>
  <pageMargins left="0.11811023622047245" right="0.11811023622047245" top="0.74803149606299213" bottom="0.74803149606299213" header="0.31496062992125984" footer="0.31496062992125984"/>
  <pageSetup paperSize="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110" zoomScaleNormal="110" zoomScaleSheetLayoutView="70" workbookViewId="0">
      <pane xSplit="1" ySplit="2" topLeftCell="U69" activePane="bottomRight" state="frozen"/>
      <selection pane="topRight" activeCell="E1" sqref="E1"/>
      <selection pane="bottomLeft" activeCell="A4" sqref="A4"/>
      <selection pane="bottomRight" activeCell="W93" sqref="W92:W93"/>
    </sheetView>
  </sheetViews>
  <sheetFormatPr defaultRowHeight="12.75" x14ac:dyDescent="0.2"/>
  <cols>
    <col min="1" max="1" width="19.85546875" style="113" customWidth="1"/>
    <col min="2" max="2" width="10.28515625" style="114" customWidth="1"/>
    <col min="3" max="3" width="10.42578125" style="114" customWidth="1"/>
    <col min="4" max="4" width="8.28515625" style="114" customWidth="1"/>
    <col min="5" max="5" width="9.5703125" style="114" customWidth="1"/>
    <col min="6" max="6" width="8.28515625" style="114" customWidth="1"/>
    <col min="7" max="7" width="7.28515625" style="83" customWidth="1"/>
    <col min="8" max="8" width="7" style="114" customWidth="1"/>
    <col min="9" max="9" width="7.5703125" style="114" customWidth="1"/>
    <col min="10" max="10" width="9" style="114" customWidth="1"/>
    <col min="11" max="14" width="9" style="83" customWidth="1"/>
    <col min="15" max="15" width="8.7109375" style="114" customWidth="1"/>
    <col min="16" max="16" width="8.140625" style="114" customWidth="1"/>
    <col min="17" max="17" width="9" style="83" customWidth="1"/>
    <col min="18" max="18" width="11" style="114" customWidth="1"/>
    <col min="19" max="20" width="8.5703125" style="83" customWidth="1"/>
    <col min="21" max="21" width="10" style="114" customWidth="1"/>
    <col min="22" max="22" width="9.42578125" style="114" customWidth="1"/>
    <col min="23" max="23" width="10" style="114" customWidth="1"/>
    <col min="24" max="24" width="9.140625" style="114" customWidth="1"/>
    <col min="25" max="25" width="5.85546875" style="83" customWidth="1"/>
    <col min="26" max="26" width="8.140625" style="114" customWidth="1"/>
    <col min="27" max="16384" width="9.140625" style="83"/>
  </cols>
  <sheetData>
    <row r="1" spans="1:26" ht="22.5" customHeight="1" x14ac:dyDescent="0.2">
      <c r="A1" s="287" t="s">
        <v>237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s="88" customFormat="1" ht="48.75" customHeight="1" x14ac:dyDescent="0.25">
      <c r="A2" s="84" t="s">
        <v>238</v>
      </c>
      <c r="B2" s="85" t="s">
        <v>160</v>
      </c>
      <c r="C2" s="85" t="s">
        <v>129</v>
      </c>
      <c r="D2" s="86" t="s">
        <v>130</v>
      </c>
      <c r="E2" s="87" t="s">
        <v>152</v>
      </c>
      <c r="F2" s="85" t="s">
        <v>239</v>
      </c>
      <c r="G2" s="86" t="s">
        <v>240</v>
      </c>
      <c r="H2" s="85" t="s">
        <v>139</v>
      </c>
      <c r="I2" s="85" t="s">
        <v>153</v>
      </c>
      <c r="J2" s="85" t="s">
        <v>241</v>
      </c>
      <c r="K2" s="85" t="s">
        <v>242</v>
      </c>
      <c r="L2" s="85" t="s">
        <v>243</v>
      </c>
      <c r="M2" s="85" t="s">
        <v>244</v>
      </c>
      <c r="N2" s="85" t="s">
        <v>245</v>
      </c>
      <c r="O2" s="85" t="s">
        <v>246</v>
      </c>
      <c r="P2" s="85" t="s">
        <v>247</v>
      </c>
      <c r="Q2" s="85" t="s">
        <v>248</v>
      </c>
      <c r="R2" s="85" t="s">
        <v>47</v>
      </c>
      <c r="S2" s="85" t="s">
        <v>249</v>
      </c>
      <c r="T2" s="85" t="s">
        <v>250</v>
      </c>
      <c r="U2" s="85" t="s">
        <v>251</v>
      </c>
      <c r="V2" s="85" t="s">
        <v>252</v>
      </c>
      <c r="W2" s="85" t="s">
        <v>253</v>
      </c>
      <c r="X2" s="85" t="s">
        <v>254</v>
      </c>
      <c r="Y2" s="85" t="s">
        <v>255</v>
      </c>
      <c r="Z2" s="86" t="s">
        <v>256</v>
      </c>
    </row>
    <row r="3" spans="1:26" s="90" customFormat="1" ht="11.25" customHeight="1" x14ac:dyDescent="0.2">
      <c r="A3" s="89">
        <v>1</v>
      </c>
      <c r="B3" s="89">
        <v>2</v>
      </c>
      <c r="C3" s="89">
        <v>3</v>
      </c>
      <c r="D3" s="89">
        <v>4</v>
      </c>
      <c r="E3" s="89">
        <v>5</v>
      </c>
      <c r="F3" s="89">
        <v>6</v>
      </c>
      <c r="G3" s="89">
        <v>7</v>
      </c>
      <c r="H3" s="89">
        <v>8</v>
      </c>
      <c r="I3" s="89">
        <v>9</v>
      </c>
      <c r="J3" s="89">
        <v>10</v>
      </c>
      <c r="K3" s="89">
        <v>11</v>
      </c>
      <c r="L3" s="89">
        <v>12</v>
      </c>
      <c r="M3" s="89">
        <v>13</v>
      </c>
      <c r="N3" s="89">
        <v>14</v>
      </c>
      <c r="O3" s="89">
        <v>15</v>
      </c>
      <c r="P3" s="89">
        <v>16</v>
      </c>
      <c r="Q3" s="89">
        <v>17</v>
      </c>
      <c r="R3" s="89">
        <v>18</v>
      </c>
      <c r="S3" s="89">
        <v>19</v>
      </c>
      <c r="T3" s="89">
        <v>20</v>
      </c>
      <c r="U3" s="89">
        <v>21</v>
      </c>
      <c r="V3" s="89">
        <v>22</v>
      </c>
      <c r="W3" s="89">
        <v>23</v>
      </c>
      <c r="X3" s="89">
        <v>24</v>
      </c>
      <c r="Y3" s="89">
        <v>25</v>
      </c>
      <c r="Z3" s="89">
        <v>26</v>
      </c>
    </row>
    <row r="4" spans="1:26" s="93" customFormat="1" ht="20.25" customHeight="1" x14ac:dyDescent="0.2">
      <c r="A4" s="91" t="s">
        <v>257</v>
      </c>
      <c r="B4" s="92">
        <f>B5+B6</f>
        <v>120</v>
      </c>
      <c r="C4" s="92">
        <f t="shared" ref="C4:Y4" si="0">C5+C6</f>
        <v>0</v>
      </c>
      <c r="D4" s="92">
        <f t="shared" si="0"/>
        <v>0</v>
      </c>
      <c r="E4" s="92">
        <f t="shared" si="0"/>
        <v>0</v>
      </c>
      <c r="F4" s="92">
        <f t="shared" si="0"/>
        <v>0</v>
      </c>
      <c r="G4" s="92">
        <f t="shared" si="0"/>
        <v>0</v>
      </c>
      <c r="H4" s="92">
        <f t="shared" si="0"/>
        <v>0</v>
      </c>
      <c r="I4" s="92">
        <f t="shared" si="0"/>
        <v>0</v>
      </c>
      <c r="J4" s="92">
        <f t="shared" si="0"/>
        <v>60</v>
      </c>
      <c r="K4" s="92">
        <f t="shared" si="0"/>
        <v>0</v>
      </c>
      <c r="L4" s="92">
        <f t="shared" si="0"/>
        <v>0</v>
      </c>
      <c r="M4" s="92">
        <f t="shared" si="0"/>
        <v>0</v>
      </c>
      <c r="N4" s="92">
        <f t="shared" si="0"/>
        <v>0</v>
      </c>
      <c r="O4" s="92">
        <f t="shared" si="0"/>
        <v>0</v>
      </c>
      <c r="P4" s="92">
        <f t="shared" si="0"/>
        <v>0</v>
      </c>
      <c r="Q4" s="92">
        <f t="shared" si="0"/>
        <v>0</v>
      </c>
      <c r="R4" s="92">
        <f t="shared" si="0"/>
        <v>0</v>
      </c>
      <c r="S4" s="92">
        <f t="shared" si="0"/>
        <v>0</v>
      </c>
      <c r="T4" s="92">
        <f t="shared" si="0"/>
        <v>0</v>
      </c>
      <c r="U4" s="92">
        <f t="shared" si="0"/>
        <v>0</v>
      </c>
      <c r="V4" s="92">
        <f t="shared" si="0"/>
        <v>0</v>
      </c>
      <c r="W4" s="92">
        <f t="shared" si="0"/>
        <v>20</v>
      </c>
      <c r="X4" s="92">
        <f t="shared" si="0"/>
        <v>40</v>
      </c>
      <c r="Y4" s="92">
        <f t="shared" si="0"/>
        <v>0</v>
      </c>
      <c r="Z4" s="92">
        <f t="shared" ref="Z4:Z67" si="1">SUM(B4:Y4)</f>
        <v>240</v>
      </c>
    </row>
    <row r="5" spans="1:26" s="90" customFormat="1" ht="13.5" customHeight="1" x14ac:dyDescent="0.2">
      <c r="A5" s="94">
        <v>1</v>
      </c>
      <c r="B5" s="95">
        <f>120-5</f>
        <v>115</v>
      </c>
      <c r="C5" s="95"/>
      <c r="D5" s="95"/>
      <c r="E5" s="95"/>
      <c r="F5" s="96"/>
      <c r="G5" s="95"/>
      <c r="H5" s="95"/>
      <c r="I5" s="95"/>
      <c r="J5" s="95">
        <v>60</v>
      </c>
      <c r="K5" s="95"/>
      <c r="L5" s="95"/>
      <c r="M5" s="95"/>
      <c r="N5" s="95"/>
      <c r="O5" s="95"/>
      <c r="P5" s="95"/>
      <c r="Q5" s="95"/>
      <c r="R5" s="95"/>
      <c r="S5" s="95"/>
      <c r="T5" s="96"/>
      <c r="U5" s="95"/>
      <c r="V5" s="95"/>
      <c r="W5" s="95">
        <v>15</v>
      </c>
      <c r="X5" s="95">
        <v>30</v>
      </c>
      <c r="Y5" s="97"/>
      <c r="Z5" s="92">
        <f t="shared" si="1"/>
        <v>220</v>
      </c>
    </row>
    <row r="6" spans="1:26" s="90" customFormat="1" ht="13.5" customHeight="1" x14ac:dyDescent="0.2">
      <c r="A6" s="98">
        <v>2</v>
      </c>
      <c r="B6" s="99">
        <f>0+5</f>
        <v>5</v>
      </c>
      <c r="C6" s="99"/>
      <c r="D6" s="99"/>
      <c r="E6" s="99"/>
      <c r="F6" s="100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5"/>
      <c r="T6" s="96"/>
      <c r="U6" s="99"/>
      <c r="V6" s="99"/>
      <c r="W6" s="99">
        <v>5</v>
      </c>
      <c r="X6" s="99">
        <v>10</v>
      </c>
      <c r="Y6" s="97"/>
      <c r="Z6" s="92">
        <f t="shared" si="1"/>
        <v>20</v>
      </c>
    </row>
    <row r="7" spans="1:26" s="93" customFormat="1" ht="24" customHeight="1" x14ac:dyDescent="0.2">
      <c r="A7" s="91" t="s">
        <v>258</v>
      </c>
      <c r="B7" s="92">
        <f>B8+B9</f>
        <v>400</v>
      </c>
      <c r="C7" s="92">
        <f t="shared" ref="C7:Y7" si="2">C8+C9</f>
        <v>0</v>
      </c>
      <c r="D7" s="92">
        <f t="shared" si="2"/>
        <v>0</v>
      </c>
      <c r="E7" s="92">
        <f t="shared" si="2"/>
        <v>12</v>
      </c>
      <c r="F7" s="92">
        <f t="shared" si="2"/>
        <v>267</v>
      </c>
      <c r="G7" s="92">
        <f t="shared" si="2"/>
        <v>0</v>
      </c>
      <c r="H7" s="92">
        <f t="shared" si="2"/>
        <v>0</v>
      </c>
      <c r="I7" s="92">
        <f t="shared" si="2"/>
        <v>0</v>
      </c>
      <c r="J7" s="92">
        <f t="shared" si="2"/>
        <v>50</v>
      </c>
      <c r="K7" s="92">
        <f t="shared" si="2"/>
        <v>0</v>
      </c>
      <c r="L7" s="92">
        <f t="shared" si="2"/>
        <v>0</v>
      </c>
      <c r="M7" s="92">
        <f t="shared" si="2"/>
        <v>0</v>
      </c>
      <c r="N7" s="92">
        <f t="shared" si="2"/>
        <v>0</v>
      </c>
      <c r="O7" s="92">
        <f t="shared" si="2"/>
        <v>0</v>
      </c>
      <c r="P7" s="92">
        <f t="shared" si="2"/>
        <v>180</v>
      </c>
      <c r="Q7" s="92">
        <f t="shared" si="2"/>
        <v>20</v>
      </c>
      <c r="R7" s="92">
        <f t="shared" si="2"/>
        <v>0</v>
      </c>
      <c r="S7" s="92">
        <f t="shared" si="2"/>
        <v>0</v>
      </c>
      <c r="T7" s="92">
        <f t="shared" si="2"/>
        <v>0</v>
      </c>
      <c r="U7" s="92">
        <f t="shared" si="2"/>
        <v>0</v>
      </c>
      <c r="V7" s="92">
        <f t="shared" si="2"/>
        <v>0</v>
      </c>
      <c r="W7" s="92">
        <f t="shared" si="2"/>
        <v>180</v>
      </c>
      <c r="X7" s="92">
        <f t="shared" si="2"/>
        <v>300</v>
      </c>
      <c r="Y7" s="92">
        <f t="shared" si="2"/>
        <v>0</v>
      </c>
      <c r="Z7" s="92">
        <f t="shared" si="1"/>
        <v>1409</v>
      </c>
    </row>
    <row r="8" spans="1:26" s="90" customFormat="1" ht="13.5" customHeight="1" x14ac:dyDescent="0.2">
      <c r="A8" s="98">
        <v>3</v>
      </c>
      <c r="B8" s="95">
        <v>280</v>
      </c>
      <c r="C8" s="95"/>
      <c r="D8" s="95"/>
      <c r="E8" s="95"/>
      <c r="F8" s="95">
        <v>178</v>
      </c>
      <c r="G8" s="95"/>
      <c r="H8" s="95"/>
      <c r="I8" s="95"/>
      <c r="J8" s="95">
        <v>25</v>
      </c>
      <c r="K8" s="95"/>
      <c r="L8" s="95"/>
      <c r="M8" s="95"/>
      <c r="N8" s="95"/>
      <c r="O8" s="95"/>
      <c r="P8" s="95">
        <v>105</v>
      </c>
      <c r="Q8" s="95">
        <v>20</v>
      </c>
      <c r="R8" s="95"/>
      <c r="S8" s="95"/>
      <c r="T8" s="95"/>
      <c r="U8" s="95"/>
      <c r="V8" s="95"/>
      <c r="W8" s="95">
        <v>150</v>
      </c>
      <c r="X8" s="95">
        <v>300</v>
      </c>
      <c r="Y8" s="97"/>
      <c r="Z8" s="92">
        <f t="shared" si="1"/>
        <v>1058</v>
      </c>
    </row>
    <row r="9" spans="1:26" s="90" customFormat="1" ht="13.5" customHeight="1" x14ac:dyDescent="0.2">
      <c r="A9" s="98">
        <v>4</v>
      </c>
      <c r="B9" s="99">
        <v>120</v>
      </c>
      <c r="C9" s="99"/>
      <c r="D9" s="99"/>
      <c r="E9" s="99">
        <v>12</v>
      </c>
      <c r="F9" s="100">
        <v>89</v>
      </c>
      <c r="G9" s="101"/>
      <c r="H9" s="99"/>
      <c r="I9" s="99"/>
      <c r="J9" s="99">
        <v>25</v>
      </c>
      <c r="K9" s="95"/>
      <c r="L9" s="101"/>
      <c r="M9" s="101"/>
      <c r="N9" s="101"/>
      <c r="O9" s="99"/>
      <c r="P9" s="99">
        <v>75</v>
      </c>
      <c r="Q9" s="101"/>
      <c r="R9" s="99"/>
      <c r="S9" s="95"/>
      <c r="T9" s="102"/>
      <c r="U9" s="99"/>
      <c r="V9" s="99"/>
      <c r="W9" s="99">
        <v>30</v>
      </c>
      <c r="X9" s="99"/>
      <c r="Y9" s="97"/>
      <c r="Z9" s="92">
        <f t="shared" si="1"/>
        <v>351</v>
      </c>
    </row>
    <row r="10" spans="1:26" s="90" customFormat="1" ht="20.25" customHeight="1" x14ac:dyDescent="0.2">
      <c r="A10" s="91" t="s">
        <v>259</v>
      </c>
      <c r="B10" s="92">
        <f>B11</f>
        <v>50</v>
      </c>
      <c r="C10" s="92">
        <f t="shared" ref="C10:Y10" si="3">C11</f>
        <v>0</v>
      </c>
      <c r="D10" s="92">
        <f t="shared" si="3"/>
        <v>0</v>
      </c>
      <c r="E10" s="92">
        <f t="shared" si="3"/>
        <v>32</v>
      </c>
      <c r="F10" s="92">
        <f t="shared" si="3"/>
        <v>0</v>
      </c>
      <c r="G10" s="92">
        <f t="shared" si="3"/>
        <v>0</v>
      </c>
      <c r="H10" s="92">
        <f t="shared" si="3"/>
        <v>0</v>
      </c>
      <c r="I10" s="92">
        <f t="shared" si="3"/>
        <v>0</v>
      </c>
      <c r="J10" s="92">
        <f t="shared" si="3"/>
        <v>60</v>
      </c>
      <c r="K10" s="92">
        <f t="shared" si="3"/>
        <v>0</v>
      </c>
      <c r="L10" s="92">
        <f t="shared" si="3"/>
        <v>0</v>
      </c>
      <c r="M10" s="92">
        <f t="shared" si="3"/>
        <v>0</v>
      </c>
      <c r="N10" s="92">
        <f t="shared" si="3"/>
        <v>0</v>
      </c>
      <c r="O10" s="92">
        <f t="shared" si="3"/>
        <v>0</v>
      </c>
      <c r="P10" s="92">
        <f t="shared" si="3"/>
        <v>0</v>
      </c>
      <c r="Q10" s="92">
        <f t="shared" si="3"/>
        <v>0</v>
      </c>
      <c r="R10" s="92">
        <f t="shared" si="3"/>
        <v>0</v>
      </c>
      <c r="S10" s="92">
        <f t="shared" si="3"/>
        <v>0</v>
      </c>
      <c r="T10" s="92">
        <f t="shared" si="3"/>
        <v>0</v>
      </c>
      <c r="U10" s="92">
        <f t="shared" si="3"/>
        <v>0</v>
      </c>
      <c r="V10" s="92">
        <f t="shared" si="3"/>
        <v>0</v>
      </c>
      <c r="W10" s="92">
        <f t="shared" si="3"/>
        <v>0</v>
      </c>
      <c r="X10" s="92">
        <f t="shared" si="3"/>
        <v>40</v>
      </c>
      <c r="Y10" s="92">
        <f t="shared" si="3"/>
        <v>0</v>
      </c>
      <c r="Z10" s="92">
        <f t="shared" si="1"/>
        <v>182</v>
      </c>
    </row>
    <row r="11" spans="1:26" s="90" customFormat="1" ht="15" customHeight="1" x14ac:dyDescent="0.2">
      <c r="A11" s="98">
        <v>5</v>
      </c>
      <c r="B11" s="99">
        <v>50</v>
      </c>
      <c r="C11" s="99"/>
      <c r="D11" s="99"/>
      <c r="E11" s="99">
        <v>32</v>
      </c>
      <c r="F11" s="100"/>
      <c r="G11" s="99"/>
      <c r="H11" s="99"/>
      <c r="I11" s="99"/>
      <c r="J11" s="99">
        <v>60</v>
      </c>
      <c r="K11" s="99"/>
      <c r="L11" s="99"/>
      <c r="M11" s="99"/>
      <c r="N11" s="99"/>
      <c r="O11" s="99"/>
      <c r="P11" s="99"/>
      <c r="Q11" s="99"/>
      <c r="R11" s="99"/>
      <c r="S11" s="95"/>
      <c r="T11" s="96"/>
      <c r="U11" s="99"/>
      <c r="V11" s="99"/>
      <c r="W11" s="99"/>
      <c r="X11" s="99">
        <v>40</v>
      </c>
      <c r="Y11" s="97"/>
      <c r="Z11" s="92">
        <f t="shared" si="1"/>
        <v>182</v>
      </c>
    </row>
    <row r="12" spans="1:26" s="90" customFormat="1" ht="20.25" customHeight="1" x14ac:dyDescent="0.2">
      <c r="A12" s="91" t="s">
        <v>260</v>
      </c>
      <c r="B12" s="92">
        <f>B13+B14</f>
        <v>40</v>
      </c>
      <c r="C12" s="92">
        <f t="shared" ref="C12:Y12" si="4">C13+C14</f>
        <v>0</v>
      </c>
      <c r="D12" s="92">
        <f t="shared" si="4"/>
        <v>0</v>
      </c>
      <c r="E12" s="92">
        <f t="shared" si="4"/>
        <v>24</v>
      </c>
      <c r="F12" s="92">
        <f t="shared" si="4"/>
        <v>0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  <c r="L12" s="92">
        <f t="shared" si="4"/>
        <v>0</v>
      </c>
      <c r="M12" s="92">
        <f t="shared" si="4"/>
        <v>0</v>
      </c>
      <c r="N12" s="92">
        <f t="shared" si="4"/>
        <v>12</v>
      </c>
      <c r="O12" s="92">
        <f t="shared" si="4"/>
        <v>0</v>
      </c>
      <c r="P12" s="92">
        <f t="shared" si="4"/>
        <v>0</v>
      </c>
      <c r="Q12" s="92">
        <f t="shared" si="4"/>
        <v>0</v>
      </c>
      <c r="R12" s="92">
        <f t="shared" si="4"/>
        <v>0</v>
      </c>
      <c r="S12" s="92">
        <f t="shared" si="4"/>
        <v>0</v>
      </c>
      <c r="T12" s="92">
        <f t="shared" si="4"/>
        <v>0</v>
      </c>
      <c r="U12" s="92">
        <f t="shared" si="4"/>
        <v>0</v>
      </c>
      <c r="V12" s="92">
        <f t="shared" si="4"/>
        <v>0</v>
      </c>
      <c r="W12" s="92">
        <f t="shared" si="4"/>
        <v>0</v>
      </c>
      <c r="X12" s="92">
        <f t="shared" si="4"/>
        <v>60</v>
      </c>
      <c r="Y12" s="92">
        <f t="shared" si="4"/>
        <v>0</v>
      </c>
      <c r="Z12" s="92">
        <f t="shared" si="1"/>
        <v>136</v>
      </c>
    </row>
    <row r="13" spans="1:26" s="90" customFormat="1" ht="12.75" customHeight="1" x14ac:dyDescent="0.2">
      <c r="A13" s="98">
        <v>6</v>
      </c>
      <c r="B13" s="99">
        <v>40</v>
      </c>
      <c r="C13" s="99"/>
      <c r="D13" s="99"/>
      <c r="E13" s="99">
        <f>25-1</f>
        <v>24</v>
      </c>
      <c r="F13" s="100"/>
      <c r="G13" s="99"/>
      <c r="H13" s="99"/>
      <c r="I13" s="99"/>
      <c r="J13" s="99"/>
      <c r="K13" s="99"/>
      <c r="L13" s="99"/>
      <c r="M13" s="99"/>
      <c r="N13" s="99">
        <v>12</v>
      </c>
      <c r="O13" s="99"/>
      <c r="P13" s="99"/>
      <c r="Q13" s="99"/>
      <c r="R13" s="99"/>
      <c r="S13" s="95"/>
      <c r="T13" s="96"/>
      <c r="U13" s="99"/>
      <c r="V13" s="99"/>
      <c r="W13" s="99"/>
      <c r="X13" s="99">
        <v>60</v>
      </c>
      <c r="Y13" s="97"/>
      <c r="Z13" s="92">
        <f t="shared" si="1"/>
        <v>136</v>
      </c>
    </row>
    <row r="14" spans="1:26" s="90" customFormat="1" ht="18.75" customHeight="1" x14ac:dyDescent="0.2">
      <c r="A14" s="98">
        <v>7</v>
      </c>
      <c r="B14" s="99"/>
      <c r="C14" s="99"/>
      <c r="D14" s="99"/>
      <c r="E14" s="99"/>
      <c r="F14" s="100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5"/>
      <c r="T14" s="99"/>
      <c r="U14" s="99"/>
      <c r="V14" s="99"/>
      <c r="W14" s="99"/>
      <c r="X14" s="99"/>
      <c r="Y14" s="97"/>
      <c r="Z14" s="92">
        <f t="shared" si="1"/>
        <v>0</v>
      </c>
    </row>
    <row r="15" spans="1:26" s="90" customFormat="1" ht="21.75" customHeight="1" x14ac:dyDescent="0.2">
      <c r="A15" s="91" t="s">
        <v>261</v>
      </c>
      <c r="B15" s="92">
        <f>B16</f>
        <v>0</v>
      </c>
      <c r="C15" s="92">
        <f t="shared" ref="C15:Y15" si="5">C16</f>
        <v>0</v>
      </c>
      <c r="D15" s="92">
        <f t="shared" si="5"/>
        <v>0</v>
      </c>
      <c r="E15" s="92">
        <f t="shared" si="5"/>
        <v>10</v>
      </c>
      <c r="F15" s="92">
        <f t="shared" si="5"/>
        <v>0</v>
      </c>
      <c r="G15" s="92">
        <f t="shared" si="5"/>
        <v>0</v>
      </c>
      <c r="H15" s="92">
        <f t="shared" si="5"/>
        <v>0</v>
      </c>
      <c r="I15" s="92">
        <f t="shared" si="5"/>
        <v>0</v>
      </c>
      <c r="J15" s="92">
        <f t="shared" si="5"/>
        <v>0</v>
      </c>
      <c r="K15" s="92">
        <f t="shared" si="5"/>
        <v>0</v>
      </c>
      <c r="L15" s="92">
        <f t="shared" si="5"/>
        <v>0</v>
      </c>
      <c r="M15" s="92">
        <f t="shared" si="5"/>
        <v>0</v>
      </c>
      <c r="N15" s="92">
        <f t="shared" si="5"/>
        <v>0</v>
      </c>
      <c r="O15" s="92">
        <f t="shared" si="5"/>
        <v>0</v>
      </c>
      <c r="P15" s="92">
        <f t="shared" si="5"/>
        <v>0</v>
      </c>
      <c r="Q15" s="92">
        <f t="shared" si="5"/>
        <v>0</v>
      </c>
      <c r="R15" s="92">
        <f t="shared" si="5"/>
        <v>0</v>
      </c>
      <c r="S15" s="92">
        <f t="shared" si="5"/>
        <v>0</v>
      </c>
      <c r="T15" s="92">
        <f t="shared" si="5"/>
        <v>0</v>
      </c>
      <c r="U15" s="92">
        <f t="shared" si="5"/>
        <v>0</v>
      </c>
      <c r="V15" s="92">
        <f t="shared" si="5"/>
        <v>0</v>
      </c>
      <c r="W15" s="92">
        <f t="shared" si="5"/>
        <v>0</v>
      </c>
      <c r="X15" s="92">
        <f t="shared" si="5"/>
        <v>0</v>
      </c>
      <c r="Y15" s="92">
        <f t="shared" si="5"/>
        <v>0</v>
      </c>
      <c r="Z15" s="92">
        <f t="shared" si="1"/>
        <v>10</v>
      </c>
    </row>
    <row r="16" spans="1:26" s="90" customFormat="1" ht="14.25" customHeight="1" x14ac:dyDescent="0.2">
      <c r="A16" s="98">
        <v>8</v>
      </c>
      <c r="B16" s="99"/>
      <c r="C16" s="99"/>
      <c r="D16" s="99"/>
      <c r="E16" s="99">
        <v>10</v>
      </c>
      <c r="F16" s="100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5"/>
      <c r="T16" s="100"/>
      <c r="U16" s="99"/>
      <c r="V16" s="99"/>
      <c r="W16" s="99"/>
      <c r="X16" s="99"/>
      <c r="Y16" s="97"/>
      <c r="Z16" s="92">
        <f t="shared" si="1"/>
        <v>10</v>
      </c>
    </row>
    <row r="17" spans="1:26" s="90" customFormat="1" ht="18" customHeight="1" x14ac:dyDescent="0.2">
      <c r="A17" s="91" t="s">
        <v>262</v>
      </c>
      <c r="B17" s="92">
        <f>B18</f>
        <v>0</v>
      </c>
      <c r="C17" s="92">
        <f t="shared" ref="C17:Y17" si="6">C18</f>
        <v>0</v>
      </c>
      <c r="D17" s="92">
        <f t="shared" si="6"/>
        <v>0</v>
      </c>
      <c r="E17" s="92">
        <f t="shared" si="6"/>
        <v>0</v>
      </c>
      <c r="F17" s="92">
        <f t="shared" si="6"/>
        <v>0</v>
      </c>
      <c r="G17" s="92">
        <f t="shared" si="6"/>
        <v>52</v>
      </c>
      <c r="H17" s="92">
        <f t="shared" si="6"/>
        <v>0</v>
      </c>
      <c r="I17" s="92">
        <f t="shared" si="6"/>
        <v>0</v>
      </c>
      <c r="J17" s="92">
        <f t="shared" si="6"/>
        <v>0</v>
      </c>
      <c r="K17" s="92">
        <f t="shared" si="6"/>
        <v>0</v>
      </c>
      <c r="L17" s="92">
        <f t="shared" si="6"/>
        <v>0</v>
      </c>
      <c r="M17" s="92">
        <f t="shared" si="6"/>
        <v>0</v>
      </c>
      <c r="N17" s="92">
        <f t="shared" si="6"/>
        <v>0</v>
      </c>
      <c r="O17" s="92">
        <f t="shared" si="6"/>
        <v>0</v>
      </c>
      <c r="P17" s="92">
        <f t="shared" si="6"/>
        <v>0</v>
      </c>
      <c r="Q17" s="92">
        <f t="shared" si="6"/>
        <v>0</v>
      </c>
      <c r="R17" s="92">
        <f t="shared" si="6"/>
        <v>0</v>
      </c>
      <c r="S17" s="92">
        <f t="shared" si="6"/>
        <v>0</v>
      </c>
      <c r="T17" s="92">
        <f t="shared" si="6"/>
        <v>0</v>
      </c>
      <c r="U17" s="92">
        <f t="shared" si="6"/>
        <v>0</v>
      </c>
      <c r="V17" s="92">
        <f t="shared" si="6"/>
        <v>0</v>
      </c>
      <c r="W17" s="92">
        <f t="shared" si="6"/>
        <v>0</v>
      </c>
      <c r="X17" s="92">
        <f t="shared" si="6"/>
        <v>0</v>
      </c>
      <c r="Y17" s="92">
        <f t="shared" si="6"/>
        <v>0</v>
      </c>
      <c r="Z17" s="92">
        <f t="shared" si="1"/>
        <v>52</v>
      </c>
    </row>
    <row r="18" spans="1:26" s="90" customFormat="1" ht="15.75" customHeight="1" x14ac:dyDescent="0.2">
      <c r="A18" s="98">
        <v>9</v>
      </c>
      <c r="B18" s="99"/>
      <c r="C18" s="99"/>
      <c r="D18" s="99"/>
      <c r="E18" s="99"/>
      <c r="F18" s="100"/>
      <c r="G18" s="99">
        <v>52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5"/>
      <c r="T18" s="96"/>
      <c r="U18" s="99"/>
      <c r="V18" s="99"/>
      <c r="W18" s="99"/>
      <c r="X18" s="99"/>
      <c r="Y18" s="97"/>
      <c r="Z18" s="92">
        <f t="shared" si="1"/>
        <v>52</v>
      </c>
    </row>
    <row r="19" spans="1:26" s="90" customFormat="1" ht="12.75" customHeight="1" x14ac:dyDescent="0.2">
      <c r="A19" s="91" t="s">
        <v>263</v>
      </c>
      <c r="B19" s="92">
        <f>B20+B21</f>
        <v>0</v>
      </c>
      <c r="C19" s="92">
        <f t="shared" ref="C19:Y19" si="7">C20+C21</f>
        <v>0</v>
      </c>
      <c r="D19" s="92">
        <f t="shared" si="7"/>
        <v>0</v>
      </c>
      <c r="E19" s="92">
        <f t="shared" si="7"/>
        <v>0</v>
      </c>
      <c r="F19" s="92">
        <f t="shared" si="7"/>
        <v>0</v>
      </c>
      <c r="G19" s="92">
        <f t="shared" si="7"/>
        <v>0</v>
      </c>
      <c r="H19" s="92">
        <f t="shared" si="7"/>
        <v>0</v>
      </c>
      <c r="I19" s="92">
        <f t="shared" si="7"/>
        <v>0</v>
      </c>
      <c r="J19" s="92">
        <f t="shared" si="7"/>
        <v>0</v>
      </c>
      <c r="K19" s="92">
        <f t="shared" si="7"/>
        <v>0</v>
      </c>
      <c r="L19" s="92">
        <f t="shared" si="7"/>
        <v>0</v>
      </c>
      <c r="M19" s="92">
        <f t="shared" si="7"/>
        <v>0</v>
      </c>
      <c r="N19" s="92">
        <f t="shared" si="7"/>
        <v>0</v>
      </c>
      <c r="O19" s="92">
        <f t="shared" si="7"/>
        <v>0</v>
      </c>
      <c r="P19" s="92">
        <f t="shared" si="7"/>
        <v>100</v>
      </c>
      <c r="Q19" s="92">
        <f t="shared" si="7"/>
        <v>0</v>
      </c>
      <c r="R19" s="92">
        <f t="shared" si="7"/>
        <v>0</v>
      </c>
      <c r="S19" s="92">
        <f t="shared" si="7"/>
        <v>0</v>
      </c>
      <c r="T19" s="92">
        <f t="shared" si="7"/>
        <v>0</v>
      </c>
      <c r="U19" s="92">
        <f t="shared" si="7"/>
        <v>15</v>
      </c>
      <c r="V19" s="92">
        <f t="shared" si="7"/>
        <v>0</v>
      </c>
      <c r="W19" s="92">
        <f t="shared" si="7"/>
        <v>0</v>
      </c>
      <c r="X19" s="92">
        <f t="shared" si="7"/>
        <v>0</v>
      </c>
      <c r="Y19" s="92">
        <f t="shared" si="7"/>
        <v>0</v>
      </c>
      <c r="Z19" s="92">
        <f t="shared" si="1"/>
        <v>115</v>
      </c>
    </row>
    <row r="20" spans="1:26" s="90" customFormat="1" ht="14.25" customHeight="1" x14ac:dyDescent="0.2">
      <c r="A20" s="98">
        <v>10</v>
      </c>
      <c r="B20" s="99"/>
      <c r="C20" s="99"/>
      <c r="D20" s="99"/>
      <c r="E20" s="99"/>
      <c r="F20" s="100"/>
      <c r="G20" s="101"/>
      <c r="H20" s="99"/>
      <c r="I20" s="99"/>
      <c r="J20" s="99"/>
      <c r="K20" s="101"/>
      <c r="L20" s="101"/>
      <c r="M20" s="101"/>
      <c r="N20" s="101"/>
      <c r="O20" s="99"/>
      <c r="P20" s="99">
        <v>90</v>
      </c>
      <c r="Q20" s="101"/>
      <c r="R20" s="99"/>
      <c r="S20" s="95"/>
      <c r="T20" s="102"/>
      <c r="U20" s="99">
        <v>15</v>
      </c>
      <c r="V20" s="99"/>
      <c r="W20" s="99"/>
      <c r="X20" s="99"/>
      <c r="Y20" s="97"/>
      <c r="Z20" s="92">
        <f t="shared" si="1"/>
        <v>105</v>
      </c>
    </row>
    <row r="21" spans="1:26" s="90" customFormat="1" ht="14.25" customHeight="1" x14ac:dyDescent="0.2">
      <c r="A21" s="98">
        <v>11</v>
      </c>
      <c r="B21" s="103"/>
      <c r="C21" s="103"/>
      <c r="D21" s="103"/>
      <c r="E21" s="103"/>
      <c r="F21" s="104"/>
      <c r="G21" s="105"/>
      <c r="H21" s="103"/>
      <c r="I21" s="103"/>
      <c r="J21" s="103"/>
      <c r="K21" s="105"/>
      <c r="L21" s="105"/>
      <c r="M21" s="105"/>
      <c r="N21" s="105"/>
      <c r="O21" s="103"/>
      <c r="P21" s="103">
        <v>10</v>
      </c>
      <c r="Q21" s="105"/>
      <c r="R21" s="103"/>
      <c r="S21" s="99"/>
      <c r="T21" s="106"/>
      <c r="U21" s="103"/>
      <c r="V21" s="103"/>
      <c r="W21" s="103"/>
      <c r="X21" s="103"/>
      <c r="Y21" s="97"/>
      <c r="Z21" s="92">
        <f t="shared" si="1"/>
        <v>10</v>
      </c>
    </row>
    <row r="22" spans="1:26" s="90" customFormat="1" ht="21" customHeight="1" x14ac:dyDescent="0.2">
      <c r="A22" s="91" t="s">
        <v>264</v>
      </c>
      <c r="B22" s="92">
        <f>B23+B24+B25+B26+B27+B28</f>
        <v>370</v>
      </c>
      <c r="C22" s="92">
        <f t="shared" ref="C22:Y22" si="8">C23+C24+C25+C26+C27+C28</f>
        <v>0</v>
      </c>
      <c r="D22" s="92">
        <f t="shared" si="8"/>
        <v>0</v>
      </c>
      <c r="E22" s="92">
        <f t="shared" si="8"/>
        <v>141</v>
      </c>
      <c r="F22" s="92">
        <f t="shared" si="8"/>
        <v>0</v>
      </c>
      <c r="G22" s="92">
        <f t="shared" si="8"/>
        <v>0</v>
      </c>
      <c r="H22" s="92">
        <f t="shared" si="8"/>
        <v>0</v>
      </c>
      <c r="I22" s="92">
        <f t="shared" si="8"/>
        <v>78</v>
      </c>
      <c r="J22" s="92">
        <f t="shared" si="8"/>
        <v>156</v>
      </c>
      <c r="K22" s="92">
        <f t="shared" si="8"/>
        <v>0</v>
      </c>
      <c r="L22" s="92">
        <f t="shared" si="8"/>
        <v>0</v>
      </c>
      <c r="M22" s="92">
        <f t="shared" si="8"/>
        <v>0</v>
      </c>
      <c r="N22" s="92">
        <f t="shared" si="8"/>
        <v>0</v>
      </c>
      <c r="O22" s="92">
        <f t="shared" si="8"/>
        <v>21</v>
      </c>
      <c r="P22" s="92">
        <f t="shared" si="8"/>
        <v>0</v>
      </c>
      <c r="Q22" s="92">
        <f t="shared" si="8"/>
        <v>0</v>
      </c>
      <c r="R22" s="92">
        <f t="shared" si="8"/>
        <v>0</v>
      </c>
      <c r="S22" s="92">
        <f t="shared" si="8"/>
        <v>7</v>
      </c>
      <c r="T22" s="92">
        <f t="shared" si="8"/>
        <v>0</v>
      </c>
      <c r="U22" s="92">
        <f t="shared" si="8"/>
        <v>194</v>
      </c>
      <c r="V22" s="92">
        <f t="shared" si="8"/>
        <v>0</v>
      </c>
      <c r="W22" s="92">
        <f t="shared" si="8"/>
        <v>0</v>
      </c>
      <c r="X22" s="92">
        <f t="shared" si="8"/>
        <v>60</v>
      </c>
      <c r="Y22" s="92">
        <f t="shared" si="8"/>
        <v>0</v>
      </c>
      <c r="Z22" s="92">
        <f t="shared" si="1"/>
        <v>1027</v>
      </c>
    </row>
    <row r="23" spans="1:26" s="90" customFormat="1" ht="14.25" customHeight="1" x14ac:dyDescent="0.2">
      <c r="A23" s="98">
        <v>12</v>
      </c>
      <c r="B23" s="95">
        <v>320</v>
      </c>
      <c r="C23" s="95"/>
      <c r="D23" s="95"/>
      <c r="E23" s="95">
        <v>70</v>
      </c>
      <c r="F23" s="96"/>
      <c r="G23" s="95"/>
      <c r="H23" s="95"/>
      <c r="I23" s="95">
        <f>80-20</f>
        <v>60</v>
      </c>
      <c r="J23" s="95">
        <v>136</v>
      </c>
      <c r="K23" s="95"/>
      <c r="L23" s="95"/>
      <c r="M23" s="95"/>
      <c r="N23" s="95"/>
      <c r="O23" s="95">
        <v>6</v>
      </c>
      <c r="P23" s="95"/>
      <c r="Q23" s="96"/>
      <c r="R23" s="95"/>
      <c r="S23" s="95">
        <v>5</v>
      </c>
      <c r="T23" s="96"/>
      <c r="U23" s="95">
        <v>178</v>
      </c>
      <c r="V23" s="95"/>
      <c r="W23" s="95"/>
      <c r="X23" s="95">
        <v>60</v>
      </c>
      <c r="Y23" s="97"/>
      <c r="Z23" s="92">
        <f t="shared" si="1"/>
        <v>835</v>
      </c>
    </row>
    <row r="24" spans="1:26" s="90" customFormat="1" ht="14.25" customHeight="1" x14ac:dyDescent="0.2">
      <c r="A24" s="98">
        <v>13</v>
      </c>
      <c r="B24" s="95">
        <v>5</v>
      </c>
      <c r="C24" s="95"/>
      <c r="D24" s="95"/>
      <c r="E24" s="95"/>
      <c r="F24" s="95"/>
      <c r="G24" s="107"/>
      <c r="H24" s="95"/>
      <c r="I24" s="95"/>
      <c r="J24" s="95"/>
      <c r="K24" s="107"/>
      <c r="L24" s="107"/>
      <c r="M24" s="107"/>
      <c r="N24" s="107"/>
      <c r="O24" s="95"/>
      <c r="P24" s="95"/>
      <c r="Q24" s="107"/>
      <c r="R24" s="95"/>
      <c r="S24" s="95"/>
      <c r="T24" s="107"/>
      <c r="U24" s="95">
        <v>4</v>
      </c>
      <c r="V24" s="95"/>
      <c r="W24" s="95"/>
      <c r="X24" s="95"/>
      <c r="Y24" s="97"/>
      <c r="Z24" s="92">
        <f t="shared" si="1"/>
        <v>9</v>
      </c>
    </row>
    <row r="25" spans="1:26" s="90" customFormat="1" ht="14.25" customHeight="1" x14ac:dyDescent="0.2">
      <c r="A25" s="98">
        <v>14</v>
      </c>
      <c r="B25" s="99">
        <v>15</v>
      </c>
      <c r="C25" s="99"/>
      <c r="D25" s="99"/>
      <c r="E25" s="99"/>
      <c r="F25" s="100"/>
      <c r="G25" s="101"/>
      <c r="H25" s="99"/>
      <c r="I25" s="99">
        <v>3</v>
      </c>
      <c r="J25" s="99">
        <v>10</v>
      </c>
      <c r="K25" s="101"/>
      <c r="L25" s="101"/>
      <c r="M25" s="101"/>
      <c r="N25" s="101"/>
      <c r="O25" s="99">
        <f>15-15</f>
        <v>0</v>
      </c>
      <c r="P25" s="99"/>
      <c r="Q25" s="101"/>
      <c r="R25" s="99"/>
      <c r="S25" s="99"/>
      <c r="T25" s="102"/>
      <c r="U25" s="99">
        <v>12</v>
      </c>
      <c r="V25" s="99"/>
      <c r="W25" s="99"/>
      <c r="X25" s="99"/>
      <c r="Y25" s="97"/>
      <c r="Z25" s="92">
        <f t="shared" si="1"/>
        <v>40</v>
      </c>
    </row>
    <row r="26" spans="1:26" s="90" customFormat="1" ht="12.75" customHeight="1" x14ac:dyDescent="0.2">
      <c r="A26" s="98">
        <v>15</v>
      </c>
      <c r="B26" s="103"/>
      <c r="C26" s="103"/>
      <c r="D26" s="103"/>
      <c r="E26" s="103">
        <v>71</v>
      </c>
      <c r="F26" s="104"/>
      <c r="G26" s="105"/>
      <c r="H26" s="103"/>
      <c r="I26" s="103"/>
      <c r="J26" s="103"/>
      <c r="K26" s="105"/>
      <c r="L26" s="105"/>
      <c r="M26" s="105"/>
      <c r="N26" s="105"/>
      <c r="O26" s="103">
        <f>0+15</f>
        <v>15</v>
      </c>
      <c r="P26" s="103"/>
      <c r="Q26" s="105"/>
      <c r="R26" s="103"/>
      <c r="S26" s="99"/>
      <c r="T26" s="106"/>
      <c r="U26" s="103"/>
      <c r="V26" s="103"/>
      <c r="W26" s="103"/>
      <c r="X26" s="103"/>
      <c r="Y26" s="97"/>
      <c r="Z26" s="92">
        <f t="shared" si="1"/>
        <v>86</v>
      </c>
    </row>
    <row r="27" spans="1:26" s="90" customFormat="1" ht="14.25" customHeight="1" x14ac:dyDescent="0.2">
      <c r="A27" s="98">
        <v>16</v>
      </c>
      <c r="B27" s="99">
        <v>15</v>
      </c>
      <c r="C27" s="99"/>
      <c r="D27" s="99"/>
      <c r="E27" s="99"/>
      <c r="F27" s="100"/>
      <c r="G27" s="101"/>
      <c r="H27" s="99"/>
      <c r="I27" s="99"/>
      <c r="J27" s="99"/>
      <c r="K27" s="101"/>
      <c r="L27" s="101"/>
      <c r="M27" s="101"/>
      <c r="N27" s="101"/>
      <c r="O27" s="99"/>
      <c r="P27" s="99"/>
      <c r="Q27" s="101"/>
      <c r="R27" s="99"/>
      <c r="S27" s="99">
        <v>2</v>
      </c>
      <c r="T27" s="102"/>
      <c r="U27" s="99"/>
      <c r="V27" s="99"/>
      <c r="W27" s="99"/>
      <c r="X27" s="99"/>
      <c r="Y27" s="97"/>
      <c r="Z27" s="92">
        <f t="shared" si="1"/>
        <v>17</v>
      </c>
    </row>
    <row r="28" spans="1:26" s="90" customFormat="1" ht="14.25" customHeight="1" x14ac:dyDescent="0.2">
      <c r="A28" s="98">
        <v>17</v>
      </c>
      <c r="B28" s="103">
        <v>15</v>
      </c>
      <c r="C28" s="103"/>
      <c r="D28" s="103"/>
      <c r="E28" s="103"/>
      <c r="F28" s="104"/>
      <c r="G28" s="105"/>
      <c r="H28" s="103"/>
      <c r="I28" s="103">
        <v>15</v>
      </c>
      <c r="J28" s="103">
        <v>10</v>
      </c>
      <c r="K28" s="105"/>
      <c r="L28" s="105"/>
      <c r="M28" s="105"/>
      <c r="N28" s="105"/>
      <c r="O28" s="103"/>
      <c r="P28" s="103"/>
      <c r="Q28" s="105"/>
      <c r="R28" s="103"/>
      <c r="S28" s="99"/>
      <c r="T28" s="106"/>
      <c r="U28" s="103"/>
      <c r="V28" s="103"/>
      <c r="W28" s="103"/>
      <c r="X28" s="103"/>
      <c r="Y28" s="97"/>
      <c r="Z28" s="92">
        <f t="shared" si="1"/>
        <v>40</v>
      </c>
    </row>
    <row r="29" spans="1:26" s="90" customFormat="1" ht="18.75" customHeight="1" x14ac:dyDescent="0.2">
      <c r="A29" s="91" t="s">
        <v>265</v>
      </c>
      <c r="B29" s="92">
        <f>B30+B31</f>
        <v>160</v>
      </c>
      <c r="C29" s="92">
        <f t="shared" ref="C29:Y29" si="9">C30+C31</f>
        <v>0</v>
      </c>
      <c r="D29" s="92">
        <f t="shared" si="9"/>
        <v>0</v>
      </c>
      <c r="E29" s="92">
        <f t="shared" si="9"/>
        <v>180</v>
      </c>
      <c r="F29" s="92">
        <f t="shared" si="9"/>
        <v>380</v>
      </c>
      <c r="G29" s="92">
        <f t="shared" si="9"/>
        <v>0</v>
      </c>
      <c r="H29" s="92">
        <f t="shared" si="9"/>
        <v>0</v>
      </c>
      <c r="I29" s="92">
        <f t="shared" si="9"/>
        <v>0</v>
      </c>
      <c r="J29" s="92">
        <f t="shared" si="9"/>
        <v>0</v>
      </c>
      <c r="K29" s="92">
        <f t="shared" si="9"/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158</v>
      </c>
      <c r="P29" s="92">
        <f t="shared" si="9"/>
        <v>0</v>
      </c>
      <c r="Q29" s="92">
        <f t="shared" si="9"/>
        <v>0</v>
      </c>
      <c r="R29" s="92">
        <f t="shared" si="9"/>
        <v>0</v>
      </c>
      <c r="S29" s="92">
        <f t="shared" si="9"/>
        <v>0</v>
      </c>
      <c r="T29" s="92">
        <f t="shared" si="9"/>
        <v>0</v>
      </c>
      <c r="U29" s="92">
        <f t="shared" si="9"/>
        <v>0</v>
      </c>
      <c r="V29" s="92">
        <f t="shared" si="9"/>
        <v>0</v>
      </c>
      <c r="W29" s="92">
        <f t="shared" si="9"/>
        <v>0</v>
      </c>
      <c r="X29" s="92">
        <f t="shared" si="9"/>
        <v>78</v>
      </c>
      <c r="Y29" s="92">
        <f t="shared" si="9"/>
        <v>0</v>
      </c>
      <c r="Z29" s="92">
        <f t="shared" si="1"/>
        <v>956</v>
      </c>
    </row>
    <row r="30" spans="1:26" s="90" customFormat="1" ht="14.25" customHeight="1" x14ac:dyDescent="0.2">
      <c r="A30" s="98">
        <v>18</v>
      </c>
      <c r="B30" s="95">
        <v>105</v>
      </c>
      <c r="C30" s="95"/>
      <c r="D30" s="95"/>
      <c r="E30" s="95">
        <v>134</v>
      </c>
      <c r="F30" s="95">
        <v>200</v>
      </c>
      <c r="G30" s="95"/>
      <c r="H30" s="95"/>
      <c r="I30" s="95"/>
      <c r="J30" s="95"/>
      <c r="K30" s="95"/>
      <c r="L30" s="95"/>
      <c r="M30" s="95"/>
      <c r="N30" s="95"/>
      <c r="O30" s="95">
        <v>120</v>
      </c>
      <c r="P30" s="95"/>
      <c r="Q30" s="95"/>
      <c r="R30" s="95"/>
      <c r="S30" s="95"/>
      <c r="T30" s="95"/>
      <c r="U30" s="95"/>
      <c r="V30" s="95"/>
      <c r="W30" s="95"/>
      <c r="X30" s="95">
        <v>64</v>
      </c>
      <c r="Y30" s="97"/>
      <c r="Z30" s="92">
        <f t="shared" si="1"/>
        <v>623</v>
      </c>
    </row>
    <row r="31" spans="1:26" s="90" customFormat="1" ht="14.25" customHeight="1" x14ac:dyDescent="0.2">
      <c r="A31" s="98">
        <v>19</v>
      </c>
      <c r="B31" s="95">
        <v>55</v>
      </c>
      <c r="C31" s="95"/>
      <c r="D31" s="95"/>
      <c r="E31" s="95">
        <v>46</v>
      </c>
      <c r="F31" s="95">
        <v>180</v>
      </c>
      <c r="G31" s="95"/>
      <c r="H31" s="95"/>
      <c r="I31" s="95"/>
      <c r="J31" s="95"/>
      <c r="K31" s="95"/>
      <c r="L31" s="95"/>
      <c r="M31" s="95"/>
      <c r="N31" s="95"/>
      <c r="O31" s="95">
        <v>38</v>
      </c>
      <c r="P31" s="95"/>
      <c r="Q31" s="95"/>
      <c r="R31" s="95"/>
      <c r="S31" s="95"/>
      <c r="T31" s="95"/>
      <c r="U31" s="95"/>
      <c r="V31" s="95"/>
      <c r="W31" s="95"/>
      <c r="X31" s="95">
        <v>14</v>
      </c>
      <c r="Y31" s="97"/>
      <c r="Z31" s="92">
        <f t="shared" si="1"/>
        <v>333</v>
      </c>
    </row>
    <row r="32" spans="1:26" s="90" customFormat="1" ht="18.75" customHeight="1" x14ac:dyDescent="0.2">
      <c r="A32" s="91" t="s">
        <v>266</v>
      </c>
      <c r="B32" s="92">
        <f>B33+B34+B35</f>
        <v>101</v>
      </c>
      <c r="C32" s="92">
        <f t="shared" ref="C32:Y32" si="10">C33+C34+C35</f>
        <v>1224</v>
      </c>
      <c r="D32" s="92">
        <f t="shared" si="10"/>
        <v>0</v>
      </c>
      <c r="E32" s="92">
        <f t="shared" si="10"/>
        <v>103</v>
      </c>
      <c r="F32" s="92">
        <f t="shared" si="10"/>
        <v>0</v>
      </c>
      <c r="G32" s="92">
        <f t="shared" si="10"/>
        <v>0</v>
      </c>
      <c r="H32" s="92">
        <f t="shared" si="10"/>
        <v>0</v>
      </c>
      <c r="I32" s="92">
        <f t="shared" si="10"/>
        <v>0</v>
      </c>
      <c r="J32" s="92">
        <f t="shared" si="10"/>
        <v>0</v>
      </c>
      <c r="K32" s="92">
        <f t="shared" si="10"/>
        <v>0</v>
      </c>
      <c r="L32" s="92">
        <f t="shared" si="10"/>
        <v>0</v>
      </c>
      <c r="M32" s="92">
        <f t="shared" si="10"/>
        <v>0</v>
      </c>
      <c r="N32" s="92">
        <f t="shared" si="10"/>
        <v>0</v>
      </c>
      <c r="O32" s="92">
        <f t="shared" si="10"/>
        <v>0</v>
      </c>
      <c r="P32" s="92">
        <f t="shared" si="10"/>
        <v>0</v>
      </c>
      <c r="Q32" s="92">
        <f t="shared" si="10"/>
        <v>0</v>
      </c>
      <c r="R32" s="92">
        <f t="shared" si="10"/>
        <v>0</v>
      </c>
      <c r="S32" s="92">
        <f t="shared" si="10"/>
        <v>0</v>
      </c>
      <c r="T32" s="92">
        <f t="shared" si="10"/>
        <v>0</v>
      </c>
      <c r="U32" s="92">
        <f t="shared" si="10"/>
        <v>62</v>
      </c>
      <c r="V32" s="92">
        <f t="shared" si="10"/>
        <v>20</v>
      </c>
      <c r="W32" s="92">
        <f t="shared" si="10"/>
        <v>0</v>
      </c>
      <c r="X32" s="92">
        <f t="shared" si="10"/>
        <v>150</v>
      </c>
      <c r="Y32" s="92">
        <f t="shared" si="10"/>
        <v>0</v>
      </c>
      <c r="Z32" s="92">
        <f t="shared" si="1"/>
        <v>1660</v>
      </c>
    </row>
    <row r="33" spans="1:26" s="90" customFormat="1" ht="14.25" customHeight="1" x14ac:dyDescent="0.2">
      <c r="A33" s="98">
        <v>20</v>
      </c>
      <c r="B33" s="95">
        <v>41</v>
      </c>
      <c r="C33" s="95">
        <v>940</v>
      </c>
      <c r="D33" s="95"/>
      <c r="E33" s="95">
        <v>3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>
        <v>62</v>
      </c>
      <c r="V33" s="95">
        <v>20</v>
      </c>
      <c r="W33" s="95"/>
      <c r="X33" s="95">
        <v>100</v>
      </c>
      <c r="Y33" s="97"/>
      <c r="Z33" s="92">
        <f t="shared" si="1"/>
        <v>1166</v>
      </c>
    </row>
    <row r="34" spans="1:26" s="90" customFormat="1" ht="14.25" customHeight="1" x14ac:dyDescent="0.2">
      <c r="A34" s="98">
        <v>21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5"/>
      <c r="T34" s="99"/>
      <c r="U34" s="99"/>
      <c r="V34" s="99"/>
      <c r="W34" s="99"/>
      <c r="X34" s="99"/>
      <c r="Y34" s="97"/>
      <c r="Z34" s="92">
        <f t="shared" si="1"/>
        <v>0</v>
      </c>
    </row>
    <row r="35" spans="1:26" s="90" customFormat="1" ht="14.25" customHeight="1" x14ac:dyDescent="0.2">
      <c r="A35" s="98">
        <v>22</v>
      </c>
      <c r="B35" s="103">
        <v>60</v>
      </c>
      <c r="C35" s="103">
        <v>284</v>
      </c>
      <c r="D35" s="103"/>
      <c r="E35" s="103">
        <v>100</v>
      </c>
      <c r="F35" s="103"/>
      <c r="G35" s="105"/>
      <c r="H35" s="103"/>
      <c r="I35" s="103"/>
      <c r="J35" s="103"/>
      <c r="K35" s="103"/>
      <c r="L35" s="105"/>
      <c r="M35" s="105"/>
      <c r="N35" s="105"/>
      <c r="O35" s="103"/>
      <c r="P35" s="103"/>
      <c r="Q35" s="105"/>
      <c r="R35" s="103"/>
      <c r="S35" s="95"/>
      <c r="T35" s="105"/>
      <c r="U35" s="103"/>
      <c r="V35" s="103"/>
      <c r="W35" s="103"/>
      <c r="X35" s="103">
        <v>50</v>
      </c>
      <c r="Y35" s="97"/>
      <c r="Z35" s="92">
        <f t="shared" si="1"/>
        <v>494</v>
      </c>
    </row>
    <row r="36" spans="1:26" s="90" customFormat="1" ht="19.5" customHeight="1" x14ac:dyDescent="0.2">
      <c r="A36" s="91" t="s">
        <v>267</v>
      </c>
      <c r="B36" s="92">
        <f>B37+B38</f>
        <v>120</v>
      </c>
      <c r="C36" s="92">
        <f t="shared" ref="C36:Y36" si="11">C37+C38</f>
        <v>0</v>
      </c>
      <c r="D36" s="92">
        <f t="shared" si="11"/>
        <v>0</v>
      </c>
      <c r="E36" s="92">
        <f t="shared" si="11"/>
        <v>50</v>
      </c>
      <c r="F36" s="92">
        <f t="shared" si="11"/>
        <v>0</v>
      </c>
      <c r="G36" s="92">
        <f t="shared" si="11"/>
        <v>0</v>
      </c>
      <c r="H36" s="92">
        <f t="shared" si="11"/>
        <v>0</v>
      </c>
      <c r="I36" s="92">
        <f t="shared" si="11"/>
        <v>15</v>
      </c>
      <c r="J36" s="92">
        <f t="shared" si="11"/>
        <v>65</v>
      </c>
      <c r="K36" s="92">
        <f t="shared" si="11"/>
        <v>0</v>
      </c>
      <c r="L36" s="92">
        <f t="shared" si="11"/>
        <v>0</v>
      </c>
      <c r="M36" s="92">
        <f t="shared" si="11"/>
        <v>0</v>
      </c>
      <c r="N36" s="92">
        <f t="shared" si="11"/>
        <v>92</v>
      </c>
      <c r="O36" s="92">
        <f t="shared" si="11"/>
        <v>0</v>
      </c>
      <c r="P36" s="92">
        <f t="shared" si="11"/>
        <v>0</v>
      </c>
      <c r="Q36" s="92">
        <f t="shared" si="11"/>
        <v>0</v>
      </c>
      <c r="R36" s="92">
        <f t="shared" si="11"/>
        <v>0</v>
      </c>
      <c r="S36" s="92">
        <f t="shared" si="11"/>
        <v>0</v>
      </c>
      <c r="T36" s="92">
        <f t="shared" si="11"/>
        <v>0</v>
      </c>
      <c r="U36" s="92">
        <f t="shared" si="11"/>
        <v>0</v>
      </c>
      <c r="V36" s="92">
        <f t="shared" si="11"/>
        <v>0</v>
      </c>
      <c r="W36" s="92">
        <f t="shared" si="11"/>
        <v>0</v>
      </c>
      <c r="X36" s="92">
        <f t="shared" si="11"/>
        <v>0</v>
      </c>
      <c r="Y36" s="92">
        <f t="shared" si="11"/>
        <v>0</v>
      </c>
      <c r="Z36" s="92">
        <f t="shared" si="1"/>
        <v>342</v>
      </c>
    </row>
    <row r="37" spans="1:26" s="90" customFormat="1" ht="15" customHeight="1" x14ac:dyDescent="0.2">
      <c r="A37" s="98">
        <v>23</v>
      </c>
      <c r="B37" s="99">
        <v>95</v>
      </c>
      <c r="C37" s="99"/>
      <c r="D37" s="99"/>
      <c r="E37" s="99">
        <v>27</v>
      </c>
      <c r="F37" s="99"/>
      <c r="G37" s="99"/>
      <c r="H37" s="99"/>
      <c r="I37" s="99">
        <v>10</v>
      </c>
      <c r="J37" s="99">
        <v>20</v>
      </c>
      <c r="K37" s="99"/>
      <c r="L37" s="99"/>
      <c r="M37" s="99"/>
      <c r="N37" s="99">
        <v>52</v>
      </c>
      <c r="O37" s="99"/>
      <c r="P37" s="99"/>
      <c r="Q37" s="99"/>
      <c r="R37" s="99"/>
      <c r="S37" s="95"/>
      <c r="T37" s="99"/>
      <c r="U37" s="99"/>
      <c r="V37" s="99"/>
      <c r="W37" s="99"/>
      <c r="X37" s="99"/>
      <c r="Y37" s="97"/>
      <c r="Z37" s="92">
        <f t="shared" si="1"/>
        <v>204</v>
      </c>
    </row>
    <row r="38" spans="1:26" s="90" customFormat="1" ht="15" customHeight="1" x14ac:dyDescent="0.2">
      <c r="A38" s="98">
        <v>24</v>
      </c>
      <c r="B38" s="99">
        <v>25</v>
      </c>
      <c r="C38" s="95"/>
      <c r="D38" s="99"/>
      <c r="E38" s="99">
        <v>23</v>
      </c>
      <c r="F38" s="95"/>
      <c r="G38" s="99"/>
      <c r="H38" s="99"/>
      <c r="I38" s="99">
        <v>5</v>
      </c>
      <c r="J38" s="99">
        <v>45</v>
      </c>
      <c r="K38" s="95"/>
      <c r="L38" s="99"/>
      <c r="M38" s="99"/>
      <c r="N38" s="95">
        <v>40</v>
      </c>
      <c r="O38" s="99"/>
      <c r="P38" s="95"/>
      <c r="Q38" s="95"/>
      <c r="R38" s="99"/>
      <c r="S38" s="95"/>
      <c r="T38" s="99"/>
      <c r="U38" s="95"/>
      <c r="V38" s="95"/>
      <c r="W38" s="95"/>
      <c r="X38" s="95"/>
      <c r="Y38" s="97"/>
      <c r="Z38" s="92">
        <f t="shared" si="1"/>
        <v>138</v>
      </c>
    </row>
    <row r="39" spans="1:26" s="90" customFormat="1" ht="19.5" customHeight="1" x14ac:dyDescent="0.2">
      <c r="A39" s="91" t="s">
        <v>268</v>
      </c>
      <c r="B39" s="92">
        <f>B40+B41</f>
        <v>0</v>
      </c>
      <c r="C39" s="92">
        <f t="shared" ref="C39:Y39" si="12">C40+C41</f>
        <v>0</v>
      </c>
      <c r="D39" s="92">
        <f t="shared" si="12"/>
        <v>0</v>
      </c>
      <c r="E39" s="92">
        <f t="shared" si="12"/>
        <v>60</v>
      </c>
      <c r="F39" s="92">
        <f t="shared" si="12"/>
        <v>0</v>
      </c>
      <c r="G39" s="92">
        <f t="shared" si="12"/>
        <v>0</v>
      </c>
      <c r="H39" s="92">
        <f t="shared" si="12"/>
        <v>0</v>
      </c>
      <c r="I39" s="92">
        <f t="shared" si="12"/>
        <v>0</v>
      </c>
      <c r="J39" s="92">
        <f t="shared" si="12"/>
        <v>0</v>
      </c>
      <c r="K39" s="92">
        <f t="shared" si="12"/>
        <v>300</v>
      </c>
      <c r="L39" s="92">
        <f t="shared" si="12"/>
        <v>2424</v>
      </c>
      <c r="M39" s="92">
        <f t="shared" si="12"/>
        <v>200</v>
      </c>
      <c r="N39" s="92">
        <f t="shared" si="12"/>
        <v>0</v>
      </c>
      <c r="O39" s="92">
        <f t="shared" si="12"/>
        <v>0</v>
      </c>
      <c r="P39" s="92">
        <f t="shared" si="12"/>
        <v>0</v>
      </c>
      <c r="Q39" s="92">
        <f t="shared" si="12"/>
        <v>0</v>
      </c>
      <c r="R39" s="92">
        <f t="shared" si="12"/>
        <v>0</v>
      </c>
      <c r="S39" s="92">
        <f t="shared" si="12"/>
        <v>0</v>
      </c>
      <c r="T39" s="92">
        <f t="shared" si="12"/>
        <v>0</v>
      </c>
      <c r="U39" s="92">
        <f t="shared" si="12"/>
        <v>0</v>
      </c>
      <c r="V39" s="92">
        <f t="shared" si="12"/>
        <v>0</v>
      </c>
      <c r="W39" s="92">
        <f t="shared" si="12"/>
        <v>0</v>
      </c>
      <c r="X39" s="92">
        <f t="shared" si="12"/>
        <v>0</v>
      </c>
      <c r="Y39" s="92">
        <f t="shared" si="12"/>
        <v>0</v>
      </c>
      <c r="Z39" s="92">
        <f t="shared" si="1"/>
        <v>2984</v>
      </c>
    </row>
    <row r="40" spans="1:26" s="90" customFormat="1" ht="14.25" customHeight="1" x14ac:dyDescent="0.2">
      <c r="A40" s="98">
        <v>25</v>
      </c>
      <c r="B40" s="99"/>
      <c r="C40" s="99"/>
      <c r="D40" s="99"/>
      <c r="E40" s="99">
        <v>60</v>
      </c>
      <c r="F40" s="99"/>
      <c r="G40" s="95"/>
      <c r="H40" s="99"/>
      <c r="I40" s="99"/>
      <c r="J40" s="99"/>
      <c r="K40" s="99">
        <v>290</v>
      </c>
      <c r="L40" s="99">
        <v>2400</v>
      </c>
      <c r="M40" s="99">
        <v>200</v>
      </c>
      <c r="N40" s="99"/>
      <c r="O40" s="99"/>
      <c r="P40" s="99"/>
      <c r="Q40" s="99"/>
      <c r="R40" s="99"/>
      <c r="S40" s="95"/>
      <c r="T40" s="99"/>
      <c r="U40" s="99"/>
      <c r="V40" s="99"/>
      <c r="W40" s="99"/>
      <c r="X40" s="99"/>
      <c r="Y40" s="97"/>
      <c r="Z40" s="92">
        <f t="shared" si="1"/>
        <v>2950</v>
      </c>
    </row>
    <row r="41" spans="1:26" s="90" customFormat="1" ht="14.25" customHeight="1" x14ac:dyDescent="0.2">
      <c r="A41" s="98">
        <v>26</v>
      </c>
      <c r="B41" s="99"/>
      <c r="C41" s="99"/>
      <c r="D41" s="99"/>
      <c r="E41" s="99"/>
      <c r="F41" s="99"/>
      <c r="G41" s="103"/>
      <c r="H41" s="99"/>
      <c r="I41" s="99"/>
      <c r="J41" s="99"/>
      <c r="K41" s="99">
        <v>10</v>
      </c>
      <c r="L41" s="99">
        <v>24</v>
      </c>
      <c r="M41" s="99"/>
      <c r="N41" s="99"/>
      <c r="O41" s="99"/>
      <c r="P41" s="99"/>
      <c r="Q41" s="99"/>
      <c r="R41" s="99"/>
      <c r="S41" s="95"/>
      <c r="T41" s="99"/>
      <c r="U41" s="99"/>
      <c r="V41" s="99"/>
      <c r="W41" s="99"/>
      <c r="X41" s="99"/>
      <c r="Y41" s="97"/>
      <c r="Z41" s="92">
        <f t="shared" si="1"/>
        <v>34</v>
      </c>
    </row>
    <row r="42" spans="1:26" s="90" customFormat="1" ht="18.75" customHeight="1" x14ac:dyDescent="0.2">
      <c r="A42" s="91" t="s">
        <v>269</v>
      </c>
      <c r="B42" s="92">
        <f>B43+B44+B45</f>
        <v>0</v>
      </c>
      <c r="C42" s="92">
        <f t="shared" ref="C42:Y42" si="13">C43+C44+C45</f>
        <v>0</v>
      </c>
      <c r="D42" s="92">
        <f t="shared" si="13"/>
        <v>0</v>
      </c>
      <c r="E42" s="92">
        <f t="shared" si="13"/>
        <v>40</v>
      </c>
      <c r="F42" s="92">
        <f t="shared" si="13"/>
        <v>0</v>
      </c>
      <c r="G42" s="92">
        <f t="shared" si="13"/>
        <v>0</v>
      </c>
      <c r="H42" s="92">
        <f t="shared" si="13"/>
        <v>0</v>
      </c>
      <c r="I42" s="92">
        <f t="shared" si="13"/>
        <v>0</v>
      </c>
      <c r="J42" s="92">
        <f t="shared" si="13"/>
        <v>0</v>
      </c>
      <c r="K42" s="92">
        <f t="shared" si="13"/>
        <v>0</v>
      </c>
      <c r="L42" s="92">
        <f t="shared" si="13"/>
        <v>0</v>
      </c>
      <c r="M42" s="92">
        <f t="shared" si="13"/>
        <v>0</v>
      </c>
      <c r="N42" s="92">
        <f t="shared" si="13"/>
        <v>0</v>
      </c>
      <c r="O42" s="92">
        <f t="shared" si="13"/>
        <v>0</v>
      </c>
      <c r="P42" s="92">
        <f t="shared" si="13"/>
        <v>0</v>
      </c>
      <c r="Q42" s="92">
        <f t="shared" si="13"/>
        <v>0</v>
      </c>
      <c r="R42" s="92">
        <f t="shared" si="13"/>
        <v>0</v>
      </c>
      <c r="S42" s="92">
        <f t="shared" si="13"/>
        <v>0</v>
      </c>
      <c r="T42" s="92">
        <f t="shared" si="13"/>
        <v>0</v>
      </c>
      <c r="U42" s="92">
        <f t="shared" si="13"/>
        <v>0</v>
      </c>
      <c r="V42" s="92">
        <f t="shared" si="13"/>
        <v>0</v>
      </c>
      <c r="W42" s="92">
        <f t="shared" si="13"/>
        <v>0</v>
      </c>
      <c r="X42" s="92">
        <f t="shared" si="13"/>
        <v>0</v>
      </c>
      <c r="Y42" s="92">
        <f t="shared" si="13"/>
        <v>0</v>
      </c>
      <c r="Z42" s="92">
        <f t="shared" si="1"/>
        <v>40</v>
      </c>
    </row>
    <row r="43" spans="1:26" s="90" customFormat="1" ht="15" customHeight="1" x14ac:dyDescent="0.2">
      <c r="A43" s="98">
        <v>27</v>
      </c>
      <c r="B43" s="99"/>
      <c r="C43" s="95"/>
      <c r="D43" s="95"/>
      <c r="E43" s="95">
        <v>3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7"/>
      <c r="Z43" s="92">
        <f t="shared" si="1"/>
        <v>3</v>
      </c>
    </row>
    <row r="44" spans="1:26" s="90" customFormat="1" ht="13.5" customHeight="1" x14ac:dyDescent="0.2">
      <c r="A44" s="98">
        <v>28</v>
      </c>
      <c r="B44" s="99"/>
      <c r="C44" s="99"/>
      <c r="D44" s="99"/>
      <c r="E44" s="99">
        <v>37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5"/>
      <c r="T44" s="99"/>
      <c r="U44" s="99"/>
      <c r="V44" s="99"/>
      <c r="W44" s="99"/>
      <c r="X44" s="99"/>
      <c r="Y44" s="97"/>
      <c r="Z44" s="92">
        <f t="shared" si="1"/>
        <v>37</v>
      </c>
    </row>
    <row r="45" spans="1:26" s="90" customFormat="1" ht="15" customHeight="1" x14ac:dyDescent="0.2">
      <c r="A45" s="94">
        <v>29</v>
      </c>
      <c r="B45" s="103"/>
      <c r="C45" s="103"/>
      <c r="D45" s="103"/>
      <c r="E45" s="103"/>
      <c r="F45" s="103"/>
      <c r="G45" s="105"/>
      <c r="H45" s="103"/>
      <c r="I45" s="103"/>
      <c r="J45" s="103"/>
      <c r="K45" s="105"/>
      <c r="L45" s="105"/>
      <c r="M45" s="105"/>
      <c r="N45" s="105"/>
      <c r="O45" s="103"/>
      <c r="P45" s="103"/>
      <c r="Q45" s="105"/>
      <c r="R45" s="103"/>
      <c r="S45" s="95"/>
      <c r="T45" s="105"/>
      <c r="U45" s="103"/>
      <c r="V45" s="103"/>
      <c r="W45" s="103"/>
      <c r="X45" s="103"/>
      <c r="Y45" s="97"/>
      <c r="Z45" s="92">
        <f t="shared" si="1"/>
        <v>0</v>
      </c>
    </row>
    <row r="46" spans="1:26" s="90" customFormat="1" ht="17.25" customHeight="1" x14ac:dyDescent="0.2">
      <c r="A46" s="91" t="s">
        <v>270</v>
      </c>
      <c r="B46" s="92">
        <f>B47</f>
        <v>200</v>
      </c>
      <c r="C46" s="92">
        <f t="shared" ref="C46:Y46" si="14">C47</f>
        <v>0</v>
      </c>
      <c r="D46" s="92">
        <f t="shared" si="14"/>
        <v>0</v>
      </c>
      <c r="E46" s="92">
        <f t="shared" si="14"/>
        <v>0</v>
      </c>
      <c r="F46" s="92">
        <f t="shared" si="14"/>
        <v>0</v>
      </c>
      <c r="G46" s="92">
        <f t="shared" si="14"/>
        <v>0</v>
      </c>
      <c r="H46" s="92">
        <f t="shared" si="14"/>
        <v>0</v>
      </c>
      <c r="I46" s="92">
        <f t="shared" si="14"/>
        <v>0</v>
      </c>
      <c r="J46" s="92">
        <f t="shared" si="14"/>
        <v>0</v>
      </c>
      <c r="K46" s="92">
        <f t="shared" si="14"/>
        <v>0</v>
      </c>
      <c r="L46" s="92">
        <f t="shared" si="14"/>
        <v>0</v>
      </c>
      <c r="M46" s="92">
        <f t="shared" si="14"/>
        <v>0</v>
      </c>
      <c r="N46" s="92">
        <f t="shared" si="14"/>
        <v>100</v>
      </c>
      <c r="O46" s="92">
        <f t="shared" si="14"/>
        <v>0</v>
      </c>
      <c r="P46" s="92">
        <f t="shared" si="14"/>
        <v>0</v>
      </c>
      <c r="Q46" s="92">
        <f t="shared" si="14"/>
        <v>0</v>
      </c>
      <c r="R46" s="92">
        <f t="shared" si="14"/>
        <v>0</v>
      </c>
      <c r="S46" s="92">
        <f t="shared" si="14"/>
        <v>0</v>
      </c>
      <c r="T46" s="92">
        <f t="shared" si="14"/>
        <v>0</v>
      </c>
      <c r="U46" s="92">
        <f t="shared" si="14"/>
        <v>60</v>
      </c>
      <c r="V46" s="92">
        <f t="shared" si="14"/>
        <v>0</v>
      </c>
      <c r="W46" s="92">
        <f t="shared" si="14"/>
        <v>0</v>
      </c>
      <c r="X46" s="92">
        <f t="shared" si="14"/>
        <v>40</v>
      </c>
      <c r="Y46" s="92">
        <f t="shared" si="14"/>
        <v>0</v>
      </c>
      <c r="Z46" s="92">
        <f t="shared" si="1"/>
        <v>400</v>
      </c>
    </row>
    <row r="47" spans="1:26" s="90" customFormat="1" ht="14.25" customHeight="1" x14ac:dyDescent="0.2">
      <c r="A47" s="108">
        <v>30</v>
      </c>
      <c r="B47" s="95">
        <v>200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>
        <v>100</v>
      </c>
      <c r="O47" s="95"/>
      <c r="P47" s="95"/>
      <c r="Q47" s="95"/>
      <c r="R47" s="95"/>
      <c r="S47" s="95"/>
      <c r="T47" s="95"/>
      <c r="U47" s="95">
        <v>60</v>
      </c>
      <c r="V47" s="95"/>
      <c r="W47" s="95"/>
      <c r="X47" s="95">
        <v>40</v>
      </c>
      <c r="Y47" s="97"/>
      <c r="Z47" s="92">
        <f t="shared" si="1"/>
        <v>400</v>
      </c>
    </row>
    <row r="48" spans="1:26" s="90" customFormat="1" ht="26.25" customHeight="1" x14ac:dyDescent="0.2">
      <c r="A48" s="91" t="s">
        <v>271</v>
      </c>
      <c r="B48" s="92">
        <f>B49+B50+B51+B52+B53+B54+B55+B56+B57+B58+B59</f>
        <v>323</v>
      </c>
      <c r="C48" s="92">
        <f t="shared" ref="C48:Y48" si="15">C49+C50+C51+C52+C53+C54+C55+C56+C57+C58+C59</f>
        <v>0</v>
      </c>
      <c r="D48" s="92">
        <f t="shared" si="15"/>
        <v>3318</v>
      </c>
      <c r="E48" s="92">
        <f t="shared" si="15"/>
        <v>0</v>
      </c>
      <c r="F48" s="92">
        <f t="shared" si="15"/>
        <v>0</v>
      </c>
      <c r="G48" s="92">
        <f t="shared" si="15"/>
        <v>0</v>
      </c>
      <c r="H48" s="92">
        <f t="shared" si="15"/>
        <v>0</v>
      </c>
      <c r="I48" s="92">
        <f t="shared" si="15"/>
        <v>763</v>
      </c>
      <c r="J48" s="92">
        <f t="shared" si="15"/>
        <v>573</v>
      </c>
      <c r="K48" s="92">
        <f t="shared" si="15"/>
        <v>0</v>
      </c>
      <c r="L48" s="92">
        <f t="shared" si="15"/>
        <v>0</v>
      </c>
      <c r="M48" s="92">
        <f t="shared" si="15"/>
        <v>0</v>
      </c>
      <c r="N48" s="92">
        <f t="shared" si="15"/>
        <v>0</v>
      </c>
      <c r="O48" s="92">
        <f t="shared" si="15"/>
        <v>0</v>
      </c>
      <c r="P48" s="92">
        <f t="shared" si="15"/>
        <v>175</v>
      </c>
      <c r="Q48" s="92">
        <f t="shared" si="15"/>
        <v>0</v>
      </c>
      <c r="R48" s="92">
        <f t="shared" si="15"/>
        <v>213</v>
      </c>
      <c r="S48" s="92">
        <f t="shared" si="15"/>
        <v>0</v>
      </c>
      <c r="T48" s="92">
        <f t="shared" si="15"/>
        <v>0</v>
      </c>
      <c r="U48" s="92">
        <f t="shared" si="15"/>
        <v>379</v>
      </c>
      <c r="V48" s="92">
        <f t="shared" si="15"/>
        <v>202</v>
      </c>
      <c r="W48" s="92">
        <f t="shared" si="15"/>
        <v>0</v>
      </c>
      <c r="X48" s="92">
        <f t="shared" si="15"/>
        <v>555</v>
      </c>
      <c r="Y48" s="92">
        <f t="shared" si="15"/>
        <v>133</v>
      </c>
      <c r="Z48" s="92">
        <f t="shared" si="1"/>
        <v>6634</v>
      </c>
    </row>
    <row r="49" spans="1:26" s="90" customFormat="1" ht="14.25" customHeight="1" x14ac:dyDescent="0.2">
      <c r="A49" s="98">
        <v>31</v>
      </c>
      <c r="B49" s="109">
        <v>41</v>
      </c>
      <c r="C49" s="109"/>
      <c r="D49" s="109">
        <v>323</v>
      </c>
      <c r="E49" s="109"/>
      <c r="F49" s="109"/>
      <c r="G49" s="110"/>
      <c r="H49" s="109"/>
      <c r="I49" s="109">
        <v>263</v>
      </c>
      <c r="J49" s="109">
        <v>160</v>
      </c>
      <c r="K49" s="110"/>
      <c r="L49" s="110"/>
      <c r="M49" s="110"/>
      <c r="N49" s="110"/>
      <c r="O49" s="109"/>
      <c r="P49" s="109">
        <v>35</v>
      </c>
      <c r="Q49" s="110"/>
      <c r="R49" s="109">
        <v>118</v>
      </c>
      <c r="S49" s="95"/>
      <c r="T49" s="110"/>
      <c r="U49" s="109">
        <f>268-29</f>
        <v>239</v>
      </c>
      <c r="V49" s="109">
        <v>80</v>
      </c>
      <c r="W49" s="109"/>
      <c r="X49" s="109">
        <v>106</v>
      </c>
      <c r="Y49" s="111">
        <v>20</v>
      </c>
      <c r="Z49" s="92">
        <f t="shared" si="1"/>
        <v>1385</v>
      </c>
    </row>
    <row r="50" spans="1:26" s="90" customFormat="1" ht="14.25" customHeight="1" x14ac:dyDescent="0.2">
      <c r="A50" s="98">
        <v>32</v>
      </c>
      <c r="B50" s="99">
        <v>50</v>
      </c>
      <c r="C50" s="99"/>
      <c r="D50" s="99">
        <v>133</v>
      </c>
      <c r="E50" s="99"/>
      <c r="F50" s="99"/>
      <c r="G50" s="99"/>
      <c r="H50" s="99"/>
      <c r="I50" s="99">
        <v>90</v>
      </c>
      <c r="J50" s="99">
        <v>20</v>
      </c>
      <c r="K50" s="99"/>
      <c r="L50" s="99"/>
      <c r="M50" s="99"/>
      <c r="N50" s="99"/>
      <c r="O50" s="99"/>
      <c r="P50" s="99">
        <v>50</v>
      </c>
      <c r="Q50" s="99"/>
      <c r="R50" s="99">
        <v>74</v>
      </c>
      <c r="S50" s="95"/>
      <c r="T50" s="99"/>
      <c r="U50" s="99">
        <f>30-7</f>
        <v>23</v>
      </c>
      <c r="V50" s="99">
        <v>47</v>
      </c>
      <c r="W50" s="99"/>
      <c r="X50" s="99">
        <v>31</v>
      </c>
      <c r="Y50" s="111">
        <v>10</v>
      </c>
      <c r="Z50" s="92">
        <f t="shared" si="1"/>
        <v>528</v>
      </c>
    </row>
    <row r="51" spans="1:26" s="90" customFormat="1" ht="14.25" customHeight="1" x14ac:dyDescent="0.2">
      <c r="A51" s="98">
        <v>33</v>
      </c>
      <c r="B51" s="99">
        <v>11</v>
      </c>
      <c r="C51" s="99"/>
      <c r="D51" s="99">
        <v>38</v>
      </c>
      <c r="E51" s="99"/>
      <c r="F51" s="99"/>
      <c r="G51" s="101"/>
      <c r="H51" s="99"/>
      <c r="I51" s="99">
        <v>20</v>
      </c>
      <c r="J51" s="99">
        <v>5</v>
      </c>
      <c r="K51" s="101"/>
      <c r="L51" s="101"/>
      <c r="M51" s="101"/>
      <c r="N51" s="101"/>
      <c r="O51" s="99"/>
      <c r="P51" s="99">
        <v>15</v>
      </c>
      <c r="Q51" s="101"/>
      <c r="R51" s="99">
        <v>21</v>
      </c>
      <c r="S51" s="95"/>
      <c r="T51" s="101"/>
      <c r="U51" s="99">
        <f>5-3</f>
        <v>2</v>
      </c>
      <c r="V51" s="99">
        <v>22</v>
      </c>
      <c r="W51" s="99"/>
      <c r="X51" s="99">
        <v>6</v>
      </c>
      <c r="Y51" s="111">
        <v>3</v>
      </c>
      <c r="Z51" s="92">
        <f t="shared" si="1"/>
        <v>143</v>
      </c>
    </row>
    <row r="52" spans="1:26" s="90" customFormat="1" ht="14.25" customHeight="1" x14ac:dyDescent="0.2">
      <c r="A52" s="98">
        <v>34</v>
      </c>
      <c r="B52" s="99">
        <v>118</v>
      </c>
      <c r="C52" s="99"/>
      <c r="D52" s="99">
        <v>680</v>
      </c>
      <c r="E52" s="99"/>
      <c r="F52" s="99"/>
      <c r="G52" s="101"/>
      <c r="H52" s="99"/>
      <c r="I52" s="99">
        <v>290</v>
      </c>
      <c r="J52" s="99">
        <v>363</v>
      </c>
      <c r="K52" s="101"/>
      <c r="L52" s="101"/>
      <c r="M52" s="101"/>
      <c r="N52" s="101"/>
      <c r="O52" s="99"/>
      <c r="P52" s="99">
        <v>25</v>
      </c>
      <c r="Q52" s="101"/>
      <c r="R52" s="99"/>
      <c r="S52" s="95"/>
      <c r="T52" s="101"/>
      <c r="U52" s="99">
        <v>100</v>
      </c>
      <c r="V52" s="99">
        <v>20</v>
      </c>
      <c r="W52" s="99"/>
      <c r="X52" s="99">
        <v>253</v>
      </c>
      <c r="Y52" s="111">
        <v>70</v>
      </c>
      <c r="Z52" s="92">
        <f t="shared" si="1"/>
        <v>1919</v>
      </c>
    </row>
    <row r="53" spans="1:26" s="90" customFormat="1" ht="14.25" customHeight="1" x14ac:dyDescent="0.2">
      <c r="A53" s="98">
        <v>35</v>
      </c>
      <c r="B53" s="99">
        <v>72</v>
      </c>
      <c r="C53" s="99"/>
      <c r="D53" s="99">
        <v>228</v>
      </c>
      <c r="E53" s="99"/>
      <c r="F53" s="99"/>
      <c r="G53" s="99"/>
      <c r="H53" s="99"/>
      <c r="I53" s="99">
        <v>80</v>
      </c>
      <c r="J53" s="99">
        <v>20</v>
      </c>
      <c r="K53" s="99"/>
      <c r="L53" s="99"/>
      <c r="M53" s="99"/>
      <c r="N53" s="99"/>
      <c r="O53" s="99"/>
      <c r="P53" s="99">
        <v>40</v>
      </c>
      <c r="Q53" s="99"/>
      <c r="R53" s="99"/>
      <c r="S53" s="95"/>
      <c r="T53" s="99"/>
      <c r="U53" s="99">
        <v>15</v>
      </c>
      <c r="V53" s="99">
        <v>23</v>
      </c>
      <c r="W53" s="99"/>
      <c r="X53" s="99">
        <v>48</v>
      </c>
      <c r="Y53" s="111">
        <v>20</v>
      </c>
      <c r="Z53" s="92">
        <f t="shared" si="1"/>
        <v>546</v>
      </c>
    </row>
    <row r="54" spans="1:26" s="90" customFormat="1" ht="14.25" customHeight="1" x14ac:dyDescent="0.2">
      <c r="A54" s="98">
        <v>36</v>
      </c>
      <c r="B54" s="99">
        <v>31</v>
      </c>
      <c r="C54" s="99"/>
      <c r="D54" s="99">
        <v>71</v>
      </c>
      <c r="E54" s="99"/>
      <c r="F54" s="99"/>
      <c r="G54" s="99"/>
      <c r="H54" s="99"/>
      <c r="I54" s="99">
        <v>20</v>
      </c>
      <c r="J54" s="99">
        <v>5</v>
      </c>
      <c r="K54" s="99"/>
      <c r="L54" s="99"/>
      <c r="M54" s="99"/>
      <c r="N54" s="99"/>
      <c r="O54" s="99"/>
      <c r="P54" s="99">
        <v>10</v>
      </c>
      <c r="Q54" s="99"/>
      <c r="R54" s="99"/>
      <c r="S54" s="95"/>
      <c r="T54" s="99"/>
      <c r="U54" s="99"/>
      <c r="V54" s="99">
        <v>10</v>
      </c>
      <c r="W54" s="99"/>
      <c r="X54" s="99">
        <v>6</v>
      </c>
      <c r="Y54" s="111">
        <v>10</v>
      </c>
      <c r="Z54" s="92">
        <f t="shared" si="1"/>
        <v>163</v>
      </c>
    </row>
    <row r="55" spans="1:26" s="90" customFormat="1" ht="14.25" customHeight="1" x14ac:dyDescent="0.2">
      <c r="A55" s="98">
        <v>37</v>
      </c>
      <c r="B55" s="99"/>
      <c r="C55" s="99"/>
      <c r="D55" s="99">
        <f>0+230</f>
        <v>230</v>
      </c>
      <c r="E55" s="99"/>
      <c r="F55" s="99"/>
      <c r="G55" s="101"/>
      <c r="H55" s="99"/>
      <c r="I55" s="99"/>
      <c r="J55" s="99"/>
      <c r="K55" s="101"/>
      <c r="L55" s="101"/>
      <c r="M55" s="101"/>
      <c r="N55" s="101"/>
      <c r="O55" s="99"/>
      <c r="P55" s="99"/>
      <c r="Q55" s="101"/>
      <c r="R55" s="99"/>
      <c r="S55" s="95"/>
      <c r="T55" s="101"/>
      <c r="U55" s="99"/>
      <c r="V55" s="99"/>
      <c r="W55" s="99"/>
      <c r="X55" s="99"/>
      <c r="Y55" s="111"/>
      <c r="Z55" s="92">
        <f t="shared" si="1"/>
        <v>230</v>
      </c>
    </row>
    <row r="56" spans="1:26" s="90" customFormat="1" ht="14.25" customHeight="1" x14ac:dyDescent="0.2">
      <c r="A56" s="98">
        <v>38</v>
      </c>
      <c r="B56" s="99"/>
      <c r="C56" s="99"/>
      <c r="D56" s="99">
        <v>300</v>
      </c>
      <c r="E56" s="99"/>
      <c r="F56" s="99"/>
      <c r="G56" s="101"/>
      <c r="H56" s="99"/>
      <c r="I56" s="99"/>
      <c r="J56" s="99"/>
      <c r="K56" s="101"/>
      <c r="L56" s="101"/>
      <c r="M56" s="101"/>
      <c r="N56" s="101"/>
      <c r="O56" s="99"/>
      <c r="P56" s="99"/>
      <c r="Q56" s="101"/>
      <c r="R56" s="99"/>
      <c r="S56" s="95"/>
      <c r="T56" s="101"/>
      <c r="U56" s="99"/>
      <c r="V56" s="99"/>
      <c r="W56" s="99"/>
      <c r="X56" s="99">
        <v>10</v>
      </c>
      <c r="Y56" s="97"/>
      <c r="Z56" s="92">
        <f t="shared" si="1"/>
        <v>310</v>
      </c>
    </row>
    <row r="57" spans="1:26" s="90" customFormat="1" ht="14.25" customHeight="1" x14ac:dyDescent="0.2">
      <c r="A57" s="98">
        <v>39</v>
      </c>
      <c r="B57" s="99"/>
      <c r="C57" s="99"/>
      <c r="D57" s="99">
        <v>5</v>
      </c>
      <c r="E57" s="99"/>
      <c r="F57" s="99"/>
      <c r="G57" s="101"/>
      <c r="H57" s="99"/>
      <c r="I57" s="99"/>
      <c r="J57" s="99"/>
      <c r="K57" s="101"/>
      <c r="L57" s="101"/>
      <c r="M57" s="101"/>
      <c r="N57" s="101"/>
      <c r="O57" s="99"/>
      <c r="P57" s="99"/>
      <c r="Q57" s="101"/>
      <c r="R57" s="99"/>
      <c r="S57" s="95"/>
      <c r="T57" s="101"/>
      <c r="U57" s="99"/>
      <c r="V57" s="99"/>
      <c r="W57" s="99"/>
      <c r="X57" s="99"/>
      <c r="Y57" s="97"/>
      <c r="Z57" s="92">
        <f t="shared" si="1"/>
        <v>5</v>
      </c>
    </row>
    <row r="58" spans="1:26" s="90" customFormat="1" ht="14.25" customHeight="1" x14ac:dyDescent="0.2">
      <c r="A58" s="98">
        <v>40</v>
      </c>
      <c r="B58" s="99"/>
      <c r="C58" s="99"/>
      <c r="D58" s="99">
        <v>810</v>
      </c>
      <c r="E58" s="99"/>
      <c r="F58" s="99"/>
      <c r="G58" s="101"/>
      <c r="H58" s="99"/>
      <c r="I58" s="99"/>
      <c r="J58" s="99"/>
      <c r="K58" s="101"/>
      <c r="L58" s="101"/>
      <c r="M58" s="101"/>
      <c r="N58" s="101"/>
      <c r="O58" s="99"/>
      <c r="P58" s="99"/>
      <c r="Q58" s="101"/>
      <c r="R58" s="99"/>
      <c r="S58" s="95"/>
      <c r="T58" s="101"/>
      <c r="U58" s="99"/>
      <c r="V58" s="99"/>
      <c r="W58" s="99"/>
      <c r="X58" s="99">
        <v>10</v>
      </c>
      <c r="Y58" s="97"/>
      <c r="Z58" s="92">
        <f t="shared" si="1"/>
        <v>820</v>
      </c>
    </row>
    <row r="59" spans="1:26" s="90" customFormat="1" ht="14.25" customHeight="1" x14ac:dyDescent="0.2">
      <c r="A59" s="98">
        <v>41</v>
      </c>
      <c r="B59" s="95"/>
      <c r="C59" s="95"/>
      <c r="D59" s="95">
        <v>500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>
        <v>85</v>
      </c>
      <c r="Y59" s="97"/>
      <c r="Z59" s="92">
        <f t="shared" si="1"/>
        <v>585</v>
      </c>
    </row>
    <row r="60" spans="1:26" s="90" customFormat="1" ht="19.5" customHeight="1" x14ac:dyDescent="0.2">
      <c r="A60" s="91" t="s">
        <v>272</v>
      </c>
      <c r="B60" s="92">
        <f>B61+B62</f>
        <v>30</v>
      </c>
      <c r="C60" s="92">
        <f t="shared" ref="C60:Y60" si="16">C61+C62</f>
        <v>0</v>
      </c>
      <c r="D60" s="92">
        <f t="shared" si="16"/>
        <v>0</v>
      </c>
      <c r="E60" s="92">
        <f t="shared" si="16"/>
        <v>0</v>
      </c>
      <c r="F60" s="92">
        <f t="shared" si="16"/>
        <v>0</v>
      </c>
      <c r="G60" s="92">
        <f t="shared" si="16"/>
        <v>0</v>
      </c>
      <c r="H60" s="92">
        <f t="shared" si="16"/>
        <v>0</v>
      </c>
      <c r="I60" s="92">
        <f t="shared" si="16"/>
        <v>0</v>
      </c>
      <c r="J60" s="92">
        <f t="shared" si="16"/>
        <v>0</v>
      </c>
      <c r="K60" s="92">
        <f t="shared" si="16"/>
        <v>0</v>
      </c>
      <c r="L60" s="92">
        <f t="shared" si="16"/>
        <v>0</v>
      </c>
      <c r="M60" s="92">
        <f t="shared" si="16"/>
        <v>0</v>
      </c>
      <c r="N60" s="92">
        <f t="shared" si="16"/>
        <v>0</v>
      </c>
      <c r="O60" s="92">
        <f t="shared" si="16"/>
        <v>0</v>
      </c>
      <c r="P60" s="92">
        <f t="shared" si="16"/>
        <v>0</v>
      </c>
      <c r="Q60" s="92">
        <f t="shared" si="16"/>
        <v>0</v>
      </c>
      <c r="R60" s="92">
        <f t="shared" si="16"/>
        <v>0</v>
      </c>
      <c r="S60" s="92">
        <f t="shared" si="16"/>
        <v>0</v>
      </c>
      <c r="T60" s="92">
        <f t="shared" si="16"/>
        <v>0</v>
      </c>
      <c r="U60" s="92">
        <f t="shared" si="16"/>
        <v>0</v>
      </c>
      <c r="V60" s="92">
        <f t="shared" si="16"/>
        <v>0</v>
      </c>
      <c r="W60" s="92">
        <f t="shared" si="16"/>
        <v>0</v>
      </c>
      <c r="X60" s="92">
        <f t="shared" si="16"/>
        <v>50</v>
      </c>
      <c r="Y60" s="92">
        <f t="shared" si="16"/>
        <v>0</v>
      </c>
      <c r="Z60" s="92">
        <f t="shared" si="1"/>
        <v>80</v>
      </c>
    </row>
    <row r="61" spans="1:26" s="90" customFormat="1" ht="15.75" customHeight="1" x14ac:dyDescent="0.2">
      <c r="A61" s="98">
        <v>42</v>
      </c>
      <c r="B61" s="99">
        <v>20</v>
      </c>
      <c r="C61" s="99"/>
      <c r="D61" s="99"/>
      <c r="E61" s="99"/>
      <c r="F61" s="99"/>
      <c r="G61" s="101"/>
      <c r="H61" s="99"/>
      <c r="I61" s="99"/>
      <c r="J61" s="99"/>
      <c r="K61" s="101"/>
      <c r="L61" s="101"/>
      <c r="M61" s="101"/>
      <c r="N61" s="101"/>
      <c r="O61" s="99"/>
      <c r="P61" s="99"/>
      <c r="Q61" s="101"/>
      <c r="R61" s="99"/>
      <c r="S61" s="95"/>
      <c r="T61" s="101"/>
      <c r="U61" s="99"/>
      <c r="V61" s="99"/>
      <c r="W61" s="99"/>
      <c r="X61" s="99">
        <v>50</v>
      </c>
      <c r="Y61" s="97"/>
      <c r="Z61" s="92">
        <f t="shared" si="1"/>
        <v>70</v>
      </c>
    </row>
    <row r="62" spans="1:26" s="90" customFormat="1" ht="14.25" customHeight="1" x14ac:dyDescent="0.2">
      <c r="A62" s="98">
        <v>43</v>
      </c>
      <c r="B62" s="95">
        <v>10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7"/>
      <c r="Z62" s="92">
        <f t="shared" si="1"/>
        <v>10</v>
      </c>
    </row>
    <row r="63" spans="1:26" s="90" customFormat="1" ht="24" customHeight="1" x14ac:dyDescent="0.2">
      <c r="A63" s="91" t="s">
        <v>273</v>
      </c>
      <c r="B63" s="92">
        <f>B64+B65+B66+B67+B68+B69</f>
        <v>355</v>
      </c>
      <c r="C63" s="92">
        <f t="shared" ref="C63:Y63" si="17">C64+C65+C66+C67+C68+C69</f>
        <v>0</v>
      </c>
      <c r="D63" s="92">
        <f t="shared" si="17"/>
        <v>0</v>
      </c>
      <c r="E63" s="92">
        <f t="shared" si="17"/>
        <v>60</v>
      </c>
      <c r="F63" s="92">
        <f t="shared" si="17"/>
        <v>0</v>
      </c>
      <c r="G63" s="92">
        <f t="shared" si="17"/>
        <v>0</v>
      </c>
      <c r="H63" s="92">
        <f t="shared" si="17"/>
        <v>216</v>
      </c>
      <c r="I63" s="92">
        <f t="shared" si="17"/>
        <v>215</v>
      </c>
      <c r="J63" s="92">
        <f t="shared" si="17"/>
        <v>200</v>
      </c>
      <c r="K63" s="92">
        <f t="shared" si="17"/>
        <v>0</v>
      </c>
      <c r="L63" s="92">
        <f t="shared" si="17"/>
        <v>0</v>
      </c>
      <c r="M63" s="92">
        <f t="shared" si="17"/>
        <v>0</v>
      </c>
      <c r="N63" s="92">
        <f t="shared" si="17"/>
        <v>73</v>
      </c>
      <c r="O63" s="92">
        <f t="shared" si="17"/>
        <v>228</v>
      </c>
      <c r="P63" s="92">
        <f t="shared" si="17"/>
        <v>210</v>
      </c>
      <c r="Q63" s="92">
        <f t="shared" si="17"/>
        <v>0</v>
      </c>
      <c r="R63" s="92">
        <f t="shared" si="17"/>
        <v>25</v>
      </c>
      <c r="S63" s="92">
        <f t="shared" si="17"/>
        <v>25</v>
      </c>
      <c r="T63" s="92">
        <f t="shared" si="17"/>
        <v>20</v>
      </c>
      <c r="U63" s="92">
        <f t="shared" si="17"/>
        <v>129</v>
      </c>
      <c r="V63" s="92">
        <f t="shared" si="17"/>
        <v>15</v>
      </c>
      <c r="W63" s="92">
        <f t="shared" si="17"/>
        <v>0</v>
      </c>
      <c r="X63" s="92">
        <f t="shared" si="17"/>
        <v>50</v>
      </c>
      <c r="Y63" s="92">
        <f t="shared" si="17"/>
        <v>0</v>
      </c>
      <c r="Z63" s="92">
        <f t="shared" si="1"/>
        <v>1821</v>
      </c>
    </row>
    <row r="64" spans="1:26" s="90" customFormat="1" ht="15.75" customHeight="1" x14ac:dyDescent="0.2">
      <c r="A64" s="94">
        <v>44</v>
      </c>
      <c r="B64" s="95">
        <v>70</v>
      </c>
      <c r="C64" s="95"/>
      <c r="D64" s="95"/>
      <c r="E64" s="95">
        <v>55</v>
      </c>
      <c r="F64" s="95"/>
      <c r="G64" s="95"/>
      <c r="H64" s="95">
        <v>54</v>
      </c>
      <c r="I64" s="95">
        <f>60+20</f>
        <v>80</v>
      </c>
      <c r="J64" s="95">
        <v>55</v>
      </c>
      <c r="K64" s="95"/>
      <c r="L64" s="95"/>
      <c r="M64" s="95"/>
      <c r="N64" s="95">
        <v>20</v>
      </c>
      <c r="O64" s="95">
        <v>217</v>
      </c>
      <c r="P64" s="95">
        <v>10</v>
      </c>
      <c r="Q64" s="95"/>
      <c r="R64" s="95">
        <v>8</v>
      </c>
      <c r="S64" s="95">
        <v>15</v>
      </c>
      <c r="T64" s="95"/>
      <c r="U64" s="95">
        <v>42</v>
      </c>
      <c r="V64" s="95"/>
      <c r="W64" s="95"/>
      <c r="X64" s="95"/>
      <c r="Y64" s="97"/>
      <c r="Z64" s="92">
        <f t="shared" si="1"/>
        <v>626</v>
      </c>
    </row>
    <row r="65" spans="1:26" s="90" customFormat="1" ht="15.75" customHeight="1" x14ac:dyDescent="0.2">
      <c r="A65" s="94">
        <v>45</v>
      </c>
      <c r="B65" s="95">
        <v>30</v>
      </c>
      <c r="C65" s="95"/>
      <c r="D65" s="95"/>
      <c r="E65" s="95"/>
      <c r="F65" s="95"/>
      <c r="G65" s="95"/>
      <c r="H65" s="95"/>
      <c r="I65" s="95">
        <v>35</v>
      </c>
      <c r="J65" s="95">
        <v>20</v>
      </c>
      <c r="K65" s="95"/>
      <c r="L65" s="95"/>
      <c r="M65" s="95"/>
      <c r="N65" s="95">
        <v>18</v>
      </c>
      <c r="O65" s="95">
        <v>3</v>
      </c>
      <c r="P65" s="95"/>
      <c r="Q65" s="95"/>
      <c r="R65" s="95">
        <v>8</v>
      </c>
      <c r="S65" s="95">
        <v>8</v>
      </c>
      <c r="T65" s="95">
        <v>20</v>
      </c>
      <c r="U65" s="95">
        <v>57</v>
      </c>
      <c r="V65" s="95"/>
      <c r="W65" s="95"/>
      <c r="X65" s="95"/>
      <c r="Y65" s="97"/>
      <c r="Z65" s="92">
        <f t="shared" si="1"/>
        <v>199</v>
      </c>
    </row>
    <row r="66" spans="1:26" s="90" customFormat="1" ht="15.75" customHeight="1" x14ac:dyDescent="0.2">
      <c r="A66" s="94">
        <v>46</v>
      </c>
      <c r="B66" s="95"/>
      <c r="C66" s="95"/>
      <c r="D66" s="95"/>
      <c r="E66" s="95">
        <v>5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>
        <v>2</v>
      </c>
      <c r="T66" s="95"/>
      <c r="U66" s="95"/>
      <c r="V66" s="95">
        <f>15-15</f>
        <v>0</v>
      </c>
      <c r="W66" s="95"/>
      <c r="X66" s="95"/>
      <c r="Y66" s="97"/>
      <c r="Z66" s="92">
        <f t="shared" si="1"/>
        <v>7</v>
      </c>
    </row>
    <row r="67" spans="1:26" s="90" customFormat="1" ht="15.75" customHeight="1" x14ac:dyDescent="0.2">
      <c r="A67" s="98">
        <v>47</v>
      </c>
      <c r="B67" s="95">
        <f>300-150</f>
        <v>150</v>
      </c>
      <c r="C67" s="95"/>
      <c r="D67" s="95"/>
      <c r="E67" s="95"/>
      <c r="F67" s="95"/>
      <c r="G67" s="107"/>
      <c r="H67" s="95">
        <v>162</v>
      </c>
      <c r="I67" s="95">
        <f>100-27</f>
        <v>73</v>
      </c>
      <c r="J67" s="95">
        <v>125</v>
      </c>
      <c r="K67" s="107"/>
      <c r="L67" s="107"/>
      <c r="M67" s="107"/>
      <c r="N67" s="107">
        <v>35</v>
      </c>
      <c r="O67" s="95"/>
      <c r="P67" s="95">
        <v>150</v>
      </c>
      <c r="Q67" s="107"/>
      <c r="R67" s="95">
        <v>9</v>
      </c>
      <c r="S67" s="95"/>
      <c r="T67" s="107"/>
      <c r="U67" s="95">
        <v>30</v>
      </c>
      <c r="V67" s="95">
        <f>0+15</f>
        <v>15</v>
      </c>
      <c r="W67" s="95"/>
      <c r="X67" s="95">
        <v>50</v>
      </c>
      <c r="Y67" s="97"/>
      <c r="Z67" s="92">
        <f t="shared" si="1"/>
        <v>799</v>
      </c>
    </row>
    <row r="68" spans="1:26" s="90" customFormat="1" ht="15.75" customHeight="1" x14ac:dyDescent="0.2">
      <c r="A68" s="98">
        <v>48</v>
      </c>
      <c r="B68" s="95">
        <f>0+105</f>
        <v>105</v>
      </c>
      <c r="C68" s="95"/>
      <c r="D68" s="95"/>
      <c r="E68" s="95"/>
      <c r="F68" s="95"/>
      <c r="G68" s="95"/>
      <c r="H68" s="95">
        <v>0</v>
      </c>
      <c r="I68" s="95">
        <f>0+27</f>
        <v>27</v>
      </c>
      <c r="J68" s="95"/>
      <c r="K68" s="95"/>
      <c r="L68" s="95"/>
      <c r="M68" s="95"/>
      <c r="N68" s="95"/>
      <c r="O68" s="95"/>
      <c r="P68" s="95">
        <v>50</v>
      </c>
      <c r="Q68" s="95"/>
      <c r="R68" s="95"/>
      <c r="S68" s="95"/>
      <c r="T68" s="95"/>
      <c r="U68" s="95"/>
      <c r="V68" s="95"/>
      <c r="W68" s="95"/>
      <c r="X68" s="95"/>
      <c r="Y68" s="97"/>
      <c r="Z68" s="92">
        <f t="shared" ref="Z68:Z78" si="18">SUM(B68:Y68)</f>
        <v>182</v>
      </c>
    </row>
    <row r="69" spans="1:26" s="90" customFormat="1" ht="15.75" customHeight="1" x14ac:dyDescent="0.2">
      <c r="A69" s="98">
        <v>49</v>
      </c>
      <c r="B69" s="99"/>
      <c r="C69" s="99"/>
      <c r="D69" s="99"/>
      <c r="E69" s="99"/>
      <c r="F69" s="99"/>
      <c r="G69" s="101"/>
      <c r="H69" s="99"/>
      <c r="I69" s="99"/>
      <c r="J69" s="99"/>
      <c r="K69" s="101"/>
      <c r="L69" s="101"/>
      <c r="M69" s="101"/>
      <c r="N69" s="101"/>
      <c r="O69" s="99">
        <v>8</v>
      </c>
      <c r="P69" s="99"/>
      <c r="Q69" s="101"/>
      <c r="R69" s="99"/>
      <c r="S69" s="95"/>
      <c r="T69" s="101"/>
      <c r="U69" s="99"/>
      <c r="V69" s="99"/>
      <c r="W69" s="99"/>
      <c r="X69" s="99"/>
      <c r="Y69" s="97"/>
      <c r="Z69" s="92">
        <f t="shared" si="18"/>
        <v>8</v>
      </c>
    </row>
    <row r="70" spans="1:26" s="90" customFormat="1" ht="18.75" customHeight="1" x14ac:dyDescent="0.2">
      <c r="A70" s="91" t="s">
        <v>274</v>
      </c>
      <c r="B70" s="92">
        <f>B71+B72</f>
        <v>120</v>
      </c>
      <c r="C70" s="92">
        <f t="shared" ref="C70:Y70" si="19">C71+C72</f>
        <v>0</v>
      </c>
      <c r="D70" s="92">
        <f t="shared" si="19"/>
        <v>0</v>
      </c>
      <c r="E70" s="92">
        <f t="shared" si="19"/>
        <v>140</v>
      </c>
      <c r="F70" s="92">
        <f t="shared" si="19"/>
        <v>0</v>
      </c>
      <c r="G70" s="92">
        <f t="shared" si="19"/>
        <v>0</v>
      </c>
      <c r="H70" s="92">
        <f t="shared" si="19"/>
        <v>0</v>
      </c>
      <c r="I70" s="92">
        <f t="shared" si="19"/>
        <v>30</v>
      </c>
      <c r="J70" s="92">
        <f t="shared" si="19"/>
        <v>10</v>
      </c>
      <c r="K70" s="92">
        <f t="shared" si="19"/>
        <v>0</v>
      </c>
      <c r="L70" s="92">
        <f t="shared" si="19"/>
        <v>0</v>
      </c>
      <c r="M70" s="92">
        <f t="shared" si="19"/>
        <v>0</v>
      </c>
      <c r="N70" s="92">
        <f t="shared" si="19"/>
        <v>0</v>
      </c>
      <c r="O70" s="92">
        <f t="shared" si="19"/>
        <v>35</v>
      </c>
      <c r="P70" s="92">
        <f t="shared" si="19"/>
        <v>0</v>
      </c>
      <c r="Q70" s="92">
        <f t="shared" si="19"/>
        <v>0</v>
      </c>
      <c r="R70" s="92">
        <f t="shared" si="19"/>
        <v>0</v>
      </c>
      <c r="S70" s="92">
        <f t="shared" si="19"/>
        <v>0</v>
      </c>
      <c r="T70" s="92">
        <f t="shared" si="19"/>
        <v>0</v>
      </c>
      <c r="U70" s="92">
        <f t="shared" si="19"/>
        <v>2</v>
      </c>
      <c r="V70" s="92">
        <f t="shared" si="19"/>
        <v>10</v>
      </c>
      <c r="W70" s="92">
        <f t="shared" si="19"/>
        <v>40</v>
      </c>
      <c r="X70" s="92">
        <f t="shared" si="19"/>
        <v>130</v>
      </c>
      <c r="Y70" s="92">
        <f t="shared" si="19"/>
        <v>0</v>
      </c>
      <c r="Z70" s="92">
        <f t="shared" si="18"/>
        <v>517</v>
      </c>
    </row>
    <row r="71" spans="1:26" s="90" customFormat="1" ht="18" customHeight="1" x14ac:dyDescent="0.2">
      <c r="A71" s="98">
        <v>50</v>
      </c>
      <c r="B71" s="95">
        <v>100</v>
      </c>
      <c r="C71" s="95"/>
      <c r="D71" s="95"/>
      <c r="E71" s="95">
        <v>140</v>
      </c>
      <c r="F71" s="95"/>
      <c r="G71" s="95"/>
      <c r="H71" s="95"/>
      <c r="I71" s="95">
        <v>30</v>
      </c>
      <c r="J71" s="95">
        <v>10</v>
      </c>
      <c r="K71" s="95"/>
      <c r="L71" s="95"/>
      <c r="M71" s="95"/>
      <c r="N71" s="95"/>
      <c r="O71" s="95">
        <v>35</v>
      </c>
      <c r="P71" s="95"/>
      <c r="Q71" s="95"/>
      <c r="R71" s="95"/>
      <c r="S71" s="95"/>
      <c r="T71" s="95"/>
      <c r="U71" s="95"/>
      <c r="V71" s="95">
        <v>10</v>
      </c>
      <c r="W71" s="95">
        <v>30</v>
      </c>
      <c r="X71" s="95">
        <v>130</v>
      </c>
      <c r="Y71" s="97"/>
      <c r="Z71" s="92">
        <f t="shared" si="18"/>
        <v>485</v>
      </c>
    </row>
    <row r="72" spans="1:26" s="90" customFormat="1" ht="12.75" customHeight="1" x14ac:dyDescent="0.2">
      <c r="A72" s="98">
        <v>51</v>
      </c>
      <c r="B72" s="95">
        <v>20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>
        <v>2</v>
      </c>
      <c r="V72" s="95"/>
      <c r="W72" s="95">
        <v>10</v>
      </c>
      <c r="X72" s="95"/>
      <c r="Y72" s="97"/>
      <c r="Z72" s="92">
        <f t="shared" si="18"/>
        <v>32</v>
      </c>
    </row>
    <row r="73" spans="1:26" s="90" customFormat="1" ht="24.75" customHeight="1" x14ac:dyDescent="0.2">
      <c r="A73" s="91" t="s">
        <v>275</v>
      </c>
      <c r="B73" s="92">
        <f>B74</f>
        <v>0</v>
      </c>
      <c r="C73" s="92">
        <f t="shared" ref="C73:Y73" si="20">C74</f>
        <v>0</v>
      </c>
      <c r="D73" s="92">
        <f t="shared" si="20"/>
        <v>0</v>
      </c>
      <c r="E73" s="92">
        <f t="shared" si="20"/>
        <v>45</v>
      </c>
      <c r="F73" s="92">
        <f t="shared" si="20"/>
        <v>0</v>
      </c>
      <c r="G73" s="92">
        <f t="shared" si="20"/>
        <v>0</v>
      </c>
      <c r="H73" s="92">
        <f t="shared" si="20"/>
        <v>0</v>
      </c>
      <c r="I73" s="92">
        <f t="shared" si="20"/>
        <v>0</v>
      </c>
      <c r="J73" s="92">
        <f t="shared" si="20"/>
        <v>60</v>
      </c>
      <c r="K73" s="92">
        <f t="shared" si="20"/>
        <v>0</v>
      </c>
      <c r="L73" s="92">
        <f t="shared" si="20"/>
        <v>0</v>
      </c>
      <c r="M73" s="92">
        <f t="shared" si="20"/>
        <v>0</v>
      </c>
      <c r="N73" s="92">
        <f t="shared" si="20"/>
        <v>0</v>
      </c>
      <c r="O73" s="92">
        <f t="shared" si="20"/>
        <v>0</v>
      </c>
      <c r="P73" s="92">
        <f t="shared" si="20"/>
        <v>0</v>
      </c>
      <c r="Q73" s="92">
        <f t="shared" si="20"/>
        <v>0</v>
      </c>
      <c r="R73" s="92">
        <f t="shared" si="20"/>
        <v>0</v>
      </c>
      <c r="S73" s="92">
        <f t="shared" si="20"/>
        <v>0</v>
      </c>
      <c r="T73" s="92">
        <f t="shared" si="20"/>
        <v>0</v>
      </c>
      <c r="U73" s="92">
        <f t="shared" si="20"/>
        <v>20</v>
      </c>
      <c r="V73" s="92">
        <f t="shared" si="20"/>
        <v>0</v>
      </c>
      <c r="W73" s="92">
        <f t="shared" si="20"/>
        <v>0</v>
      </c>
      <c r="X73" s="92">
        <f t="shared" si="20"/>
        <v>0</v>
      </c>
      <c r="Y73" s="92">
        <f t="shared" si="20"/>
        <v>0</v>
      </c>
      <c r="Z73" s="92">
        <f t="shared" si="18"/>
        <v>125</v>
      </c>
    </row>
    <row r="74" spans="1:26" s="90" customFormat="1" ht="16.5" customHeight="1" x14ac:dyDescent="0.2">
      <c r="A74" s="98">
        <v>52</v>
      </c>
      <c r="B74" s="95"/>
      <c r="C74" s="95"/>
      <c r="D74" s="95"/>
      <c r="E74" s="95">
        <v>45</v>
      </c>
      <c r="F74" s="95"/>
      <c r="G74" s="95"/>
      <c r="H74" s="95"/>
      <c r="I74" s="95"/>
      <c r="J74" s="95">
        <v>60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>
        <v>20</v>
      </c>
      <c r="V74" s="95"/>
      <c r="W74" s="95"/>
      <c r="X74" s="95"/>
      <c r="Y74" s="97"/>
      <c r="Z74" s="92">
        <f t="shared" si="18"/>
        <v>125</v>
      </c>
    </row>
    <row r="75" spans="1:26" s="90" customFormat="1" ht="18.75" customHeight="1" x14ac:dyDescent="0.2">
      <c r="A75" s="91" t="s">
        <v>276</v>
      </c>
      <c r="B75" s="92">
        <f>B76+B77</f>
        <v>10</v>
      </c>
      <c r="C75" s="92">
        <f t="shared" ref="C75:Y75" si="21">C76+C77</f>
        <v>0</v>
      </c>
      <c r="D75" s="92">
        <f t="shared" si="21"/>
        <v>0</v>
      </c>
      <c r="E75" s="92">
        <f t="shared" si="21"/>
        <v>30</v>
      </c>
      <c r="F75" s="92">
        <f t="shared" si="21"/>
        <v>0</v>
      </c>
      <c r="G75" s="92">
        <f t="shared" si="21"/>
        <v>0</v>
      </c>
      <c r="H75" s="92">
        <f t="shared" si="21"/>
        <v>0</v>
      </c>
      <c r="I75" s="92">
        <f t="shared" si="21"/>
        <v>0</v>
      </c>
      <c r="J75" s="92">
        <f t="shared" si="21"/>
        <v>20</v>
      </c>
      <c r="K75" s="92">
        <f t="shared" si="21"/>
        <v>0</v>
      </c>
      <c r="L75" s="92">
        <f t="shared" si="21"/>
        <v>0</v>
      </c>
      <c r="M75" s="92">
        <f t="shared" si="21"/>
        <v>0</v>
      </c>
      <c r="N75" s="92">
        <f t="shared" si="21"/>
        <v>0</v>
      </c>
      <c r="O75" s="92">
        <f t="shared" si="21"/>
        <v>0</v>
      </c>
      <c r="P75" s="92">
        <f t="shared" si="21"/>
        <v>0</v>
      </c>
      <c r="Q75" s="92">
        <f t="shared" si="21"/>
        <v>0</v>
      </c>
      <c r="R75" s="92">
        <f t="shared" si="21"/>
        <v>0</v>
      </c>
      <c r="S75" s="92">
        <f t="shared" si="21"/>
        <v>0</v>
      </c>
      <c r="T75" s="92">
        <f t="shared" si="21"/>
        <v>0</v>
      </c>
      <c r="U75" s="92">
        <f t="shared" si="21"/>
        <v>0</v>
      </c>
      <c r="V75" s="92">
        <f t="shared" si="21"/>
        <v>0</v>
      </c>
      <c r="W75" s="92">
        <f t="shared" si="21"/>
        <v>0</v>
      </c>
      <c r="X75" s="92">
        <f t="shared" si="21"/>
        <v>40</v>
      </c>
      <c r="Y75" s="92">
        <f t="shared" si="21"/>
        <v>0</v>
      </c>
      <c r="Z75" s="92">
        <f t="shared" si="18"/>
        <v>100</v>
      </c>
    </row>
    <row r="76" spans="1:26" s="90" customFormat="1" ht="15.75" customHeight="1" x14ac:dyDescent="0.2">
      <c r="A76" s="98">
        <v>53</v>
      </c>
      <c r="B76" s="95">
        <v>10</v>
      </c>
      <c r="C76" s="95"/>
      <c r="D76" s="95"/>
      <c r="E76" s="95">
        <v>30</v>
      </c>
      <c r="F76" s="95"/>
      <c r="G76" s="95"/>
      <c r="H76" s="95"/>
      <c r="I76" s="95"/>
      <c r="J76" s="95">
        <v>20</v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>
        <v>40</v>
      </c>
      <c r="Y76" s="97"/>
      <c r="Z76" s="92">
        <f t="shared" si="18"/>
        <v>100</v>
      </c>
    </row>
    <row r="77" spans="1:26" s="90" customFormat="1" ht="17.25" customHeight="1" x14ac:dyDescent="0.2">
      <c r="A77" s="98">
        <v>54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7"/>
      <c r="Z77" s="92">
        <f t="shared" si="18"/>
        <v>0</v>
      </c>
    </row>
    <row r="78" spans="1:26" s="90" customFormat="1" ht="18.75" customHeight="1" x14ac:dyDescent="0.2">
      <c r="A78" s="91" t="s">
        <v>151</v>
      </c>
      <c r="B78" s="92">
        <f t="shared" ref="B78:W78" si="22">B4+B7+B10+B12+B15+B17+B19+B22+B29+B32+B36+B39+B46+B48+B60+B63+B70+B73+B75+B42</f>
        <v>2399</v>
      </c>
      <c r="C78" s="92">
        <f t="shared" si="22"/>
        <v>1224</v>
      </c>
      <c r="D78" s="92">
        <f t="shared" si="22"/>
        <v>3318</v>
      </c>
      <c r="E78" s="92">
        <f t="shared" si="22"/>
        <v>927</v>
      </c>
      <c r="F78" s="92">
        <f t="shared" si="22"/>
        <v>647</v>
      </c>
      <c r="G78" s="92">
        <f t="shared" si="22"/>
        <v>52</v>
      </c>
      <c r="H78" s="92">
        <f t="shared" si="22"/>
        <v>216</v>
      </c>
      <c r="I78" s="92">
        <f t="shared" si="22"/>
        <v>1101</v>
      </c>
      <c r="J78" s="92">
        <f t="shared" si="22"/>
        <v>1254</v>
      </c>
      <c r="K78" s="92">
        <f t="shared" si="22"/>
        <v>300</v>
      </c>
      <c r="L78" s="92">
        <f t="shared" si="22"/>
        <v>2424</v>
      </c>
      <c r="M78" s="92">
        <f t="shared" si="22"/>
        <v>200</v>
      </c>
      <c r="N78" s="92">
        <f t="shared" si="22"/>
        <v>277</v>
      </c>
      <c r="O78" s="92">
        <f t="shared" si="22"/>
        <v>442</v>
      </c>
      <c r="P78" s="92">
        <f t="shared" si="22"/>
        <v>665</v>
      </c>
      <c r="Q78" s="92">
        <f t="shared" si="22"/>
        <v>20</v>
      </c>
      <c r="R78" s="92">
        <f t="shared" si="22"/>
        <v>238</v>
      </c>
      <c r="S78" s="92">
        <f t="shared" si="22"/>
        <v>32</v>
      </c>
      <c r="T78" s="92">
        <f t="shared" si="22"/>
        <v>20</v>
      </c>
      <c r="U78" s="92">
        <f t="shared" si="22"/>
        <v>861</v>
      </c>
      <c r="V78" s="92">
        <f t="shared" si="22"/>
        <v>247</v>
      </c>
      <c r="W78" s="92">
        <f t="shared" si="22"/>
        <v>240</v>
      </c>
      <c r="X78" s="92">
        <f>X4+X7+X10+X12+X15+X17+X19+X22+X29+X32+X36+X39+X46+X48+X60+X63+X70+X73+X75+X42</f>
        <v>1593</v>
      </c>
      <c r="Y78" s="92">
        <f>Y4+Y7+Y10+Y12+Y15+Y17+Y19+Y22+Y29+Y32+Y36+Y39+Y46+Y48+Y60+Y63+Y70+Y73+Y75+Y42</f>
        <v>133</v>
      </c>
      <c r="Z78" s="112">
        <f t="shared" si="18"/>
        <v>18830</v>
      </c>
    </row>
  </sheetData>
  <mergeCells count="1">
    <mergeCell ref="A1:Z1"/>
  </mergeCells>
  <pageMargins left="0" right="0" top="0" bottom="0" header="0.31496062992125984" footer="0.31496062992125984"/>
  <pageSetup paperSize="9" scale="60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pane xSplit="2" ySplit="5" topLeftCell="C127" activePane="bottomRight" state="frozen"/>
      <selection pane="topRight" activeCell="C1" sqref="C1"/>
      <selection pane="bottomLeft" activeCell="A6" sqref="A6"/>
      <selection pane="bottomRight" activeCell="G146" sqref="G146"/>
    </sheetView>
  </sheetViews>
  <sheetFormatPr defaultRowHeight="12" x14ac:dyDescent="0.2"/>
  <cols>
    <col min="1" max="1" width="5.42578125" style="1" customWidth="1"/>
    <col min="2" max="2" width="47.5703125" style="1" customWidth="1"/>
    <col min="3" max="3" width="11" style="1" customWidth="1"/>
    <col min="4" max="4" width="11.28515625" style="1" customWidth="1"/>
    <col min="5" max="5" width="10" style="1" customWidth="1"/>
    <col min="6" max="6" width="9.42578125" style="1" customWidth="1"/>
    <col min="7" max="7" width="10.28515625" style="1" customWidth="1"/>
    <col min="8" max="8" width="11.140625" style="1" customWidth="1"/>
    <col min="9" max="9" width="12.42578125" style="1" customWidth="1"/>
    <col min="10" max="10" width="8.5703125" style="22" customWidth="1"/>
    <col min="11" max="11" width="12.85546875" style="1" customWidth="1"/>
    <col min="12" max="16384" width="9.140625" style="1"/>
  </cols>
  <sheetData>
    <row r="1" spans="1:11" ht="23.25" customHeight="1" x14ac:dyDescent="0.2">
      <c r="A1" s="292" t="s">
        <v>59</v>
      </c>
      <c r="B1" s="292"/>
      <c r="C1" s="292"/>
      <c r="D1" s="292"/>
      <c r="E1" s="292"/>
      <c r="F1" s="292"/>
      <c r="G1" s="292"/>
      <c r="H1" s="292"/>
      <c r="I1" s="292"/>
    </row>
    <row r="2" spans="1:11" s="4" customFormat="1" ht="15" customHeight="1" x14ac:dyDescent="0.2">
      <c r="A2" s="23"/>
      <c r="G2" s="293" t="s">
        <v>60</v>
      </c>
      <c r="H2" s="293"/>
      <c r="I2" s="293"/>
      <c r="J2" s="22"/>
    </row>
    <row r="3" spans="1:11" s="24" customFormat="1" ht="15" customHeight="1" x14ac:dyDescent="0.2">
      <c r="A3" s="282" t="s">
        <v>0</v>
      </c>
      <c r="B3" s="282" t="s">
        <v>61</v>
      </c>
      <c r="C3" s="282" t="s">
        <v>62</v>
      </c>
      <c r="D3" s="282" t="s">
        <v>63</v>
      </c>
      <c r="E3" s="294" t="s">
        <v>64</v>
      </c>
      <c r="F3" s="295"/>
      <c r="G3" s="295"/>
      <c r="H3" s="296"/>
      <c r="I3" s="297" t="s">
        <v>65</v>
      </c>
      <c r="J3" s="22"/>
      <c r="K3" s="4"/>
    </row>
    <row r="4" spans="1:11" s="25" customFormat="1" ht="57.75" customHeight="1" x14ac:dyDescent="0.25">
      <c r="A4" s="290"/>
      <c r="B4" s="290"/>
      <c r="C4" s="290"/>
      <c r="D4" s="290"/>
      <c r="E4" s="44" t="s">
        <v>66</v>
      </c>
      <c r="F4" s="43" t="s">
        <v>67</v>
      </c>
      <c r="G4" s="43" t="s">
        <v>68</v>
      </c>
      <c r="H4" s="43" t="s">
        <v>69</v>
      </c>
      <c r="I4" s="298"/>
      <c r="J4" s="288"/>
      <c r="K4" s="289"/>
    </row>
    <row r="5" spans="1:11" s="24" customFormat="1" x14ac:dyDescent="0.2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7">
        <v>9</v>
      </c>
      <c r="J5" s="22"/>
      <c r="K5" s="4"/>
    </row>
    <row r="6" spans="1:11" s="4" customFormat="1" x14ac:dyDescent="0.2">
      <c r="A6" s="43">
        <v>1</v>
      </c>
      <c r="B6" s="26" t="s">
        <v>1</v>
      </c>
      <c r="C6" s="43">
        <f t="shared" ref="C6:C69" si="0">D6+I6</f>
        <v>3652</v>
      </c>
      <c r="D6" s="43">
        <f>3656-2-2</f>
        <v>3652</v>
      </c>
      <c r="E6" s="43">
        <v>294</v>
      </c>
      <c r="F6" s="43"/>
      <c r="G6" s="43"/>
      <c r="H6" s="43">
        <v>815</v>
      </c>
      <c r="I6" s="43"/>
      <c r="J6" s="22"/>
    </row>
    <row r="7" spans="1:11" s="4" customFormat="1" x14ac:dyDescent="0.2">
      <c r="A7" s="43">
        <v>2</v>
      </c>
      <c r="B7" s="26" t="s">
        <v>2</v>
      </c>
      <c r="C7" s="43">
        <f t="shared" si="0"/>
        <v>2919</v>
      </c>
      <c r="D7" s="43">
        <f>2920-1</f>
        <v>2919</v>
      </c>
      <c r="E7" s="43">
        <v>244</v>
      </c>
      <c r="F7" s="43"/>
      <c r="G7" s="43"/>
      <c r="H7" s="43"/>
      <c r="I7" s="43"/>
      <c r="J7" s="22"/>
    </row>
    <row r="8" spans="1:11" s="4" customFormat="1" x14ac:dyDescent="0.2">
      <c r="A8" s="282">
        <v>3</v>
      </c>
      <c r="B8" s="26" t="s">
        <v>3</v>
      </c>
      <c r="C8" s="43">
        <f t="shared" si="0"/>
        <v>7878</v>
      </c>
      <c r="D8" s="43">
        <v>7878</v>
      </c>
      <c r="E8" s="43">
        <v>1237</v>
      </c>
      <c r="F8" s="43"/>
      <c r="G8" s="43"/>
      <c r="H8" s="43">
        <v>1343</v>
      </c>
      <c r="I8" s="43"/>
      <c r="J8" s="22"/>
    </row>
    <row r="9" spans="1:11" s="30" customFormat="1" ht="25.5" customHeight="1" x14ac:dyDescent="0.2">
      <c r="A9" s="290"/>
      <c r="B9" s="27" t="s">
        <v>70</v>
      </c>
      <c r="C9" s="28">
        <f t="shared" si="0"/>
        <v>841</v>
      </c>
      <c r="D9" s="28">
        <v>841</v>
      </c>
      <c r="E9" s="28">
        <v>129</v>
      </c>
      <c r="F9" s="28"/>
      <c r="G9" s="28"/>
      <c r="H9" s="28"/>
      <c r="I9" s="28"/>
      <c r="J9" s="29"/>
    </row>
    <row r="10" spans="1:11" s="4" customFormat="1" x14ac:dyDescent="0.2">
      <c r="A10" s="7">
        <v>4</v>
      </c>
      <c r="B10" s="26" t="s">
        <v>4</v>
      </c>
      <c r="C10" s="43">
        <f t="shared" si="0"/>
        <v>2202</v>
      </c>
      <c r="D10" s="43">
        <v>2202</v>
      </c>
      <c r="E10" s="43">
        <v>215</v>
      </c>
      <c r="F10" s="43"/>
      <c r="G10" s="43"/>
      <c r="H10" s="43"/>
      <c r="I10" s="43"/>
      <c r="J10" s="22"/>
    </row>
    <row r="11" spans="1:11" s="4" customFormat="1" x14ac:dyDescent="0.2">
      <c r="A11" s="43">
        <v>5</v>
      </c>
      <c r="B11" s="26" t="s">
        <v>5</v>
      </c>
      <c r="C11" s="43">
        <f t="shared" si="0"/>
        <v>964</v>
      </c>
      <c r="D11" s="43">
        <v>964</v>
      </c>
      <c r="E11" s="43">
        <v>101</v>
      </c>
      <c r="F11" s="43"/>
      <c r="G11" s="43"/>
      <c r="H11" s="43"/>
      <c r="I11" s="43"/>
      <c r="J11" s="22"/>
    </row>
    <row r="12" spans="1:11" s="4" customFormat="1" x14ac:dyDescent="0.2">
      <c r="A12" s="43">
        <v>6</v>
      </c>
      <c r="B12" s="26" t="s">
        <v>6</v>
      </c>
      <c r="C12" s="43">
        <f t="shared" si="0"/>
        <v>1020</v>
      </c>
      <c r="D12" s="43">
        <f>990+30</f>
        <v>1020</v>
      </c>
      <c r="E12" s="43">
        <v>89</v>
      </c>
      <c r="F12" s="43"/>
      <c r="G12" s="43"/>
      <c r="H12" s="43"/>
      <c r="I12" s="43"/>
      <c r="J12" s="22"/>
    </row>
    <row r="13" spans="1:11" s="4" customFormat="1" x14ac:dyDescent="0.2">
      <c r="A13" s="43">
        <v>7</v>
      </c>
      <c r="B13" s="26" t="s">
        <v>7</v>
      </c>
      <c r="C13" s="43">
        <f t="shared" si="0"/>
        <v>1070</v>
      </c>
      <c r="D13" s="43">
        <v>1070</v>
      </c>
      <c r="E13" s="43">
        <v>91</v>
      </c>
      <c r="F13" s="43"/>
      <c r="G13" s="43"/>
      <c r="H13" s="43"/>
      <c r="I13" s="43"/>
      <c r="J13" s="22"/>
    </row>
    <row r="14" spans="1:11" s="4" customFormat="1" x14ac:dyDescent="0.2">
      <c r="A14" s="43">
        <v>8</v>
      </c>
      <c r="B14" s="26" t="s">
        <v>8</v>
      </c>
      <c r="C14" s="43">
        <f t="shared" si="0"/>
        <v>1138</v>
      </c>
      <c r="D14" s="43">
        <v>1138</v>
      </c>
      <c r="E14" s="43">
        <v>112</v>
      </c>
      <c r="F14" s="43"/>
      <c r="G14" s="43"/>
      <c r="H14" s="43"/>
      <c r="I14" s="43"/>
      <c r="J14" s="22"/>
    </row>
    <row r="15" spans="1:11" s="4" customFormat="1" x14ac:dyDescent="0.2">
      <c r="A15" s="43">
        <v>9</v>
      </c>
      <c r="B15" s="26" t="s">
        <v>9</v>
      </c>
      <c r="C15" s="43">
        <f t="shared" si="0"/>
        <v>1217</v>
      </c>
      <c r="D15" s="43">
        <v>1217</v>
      </c>
      <c r="E15" s="43">
        <v>128</v>
      </c>
      <c r="F15" s="43"/>
      <c r="G15" s="43"/>
      <c r="H15" s="43"/>
      <c r="I15" s="43"/>
      <c r="J15" s="22"/>
    </row>
    <row r="16" spans="1:11" s="4" customFormat="1" x14ac:dyDescent="0.2">
      <c r="A16" s="43">
        <v>10</v>
      </c>
      <c r="B16" s="26" t="s">
        <v>10</v>
      </c>
      <c r="C16" s="43">
        <f t="shared" si="0"/>
        <v>1128</v>
      </c>
      <c r="D16" s="43">
        <v>1128</v>
      </c>
      <c r="E16" s="43">
        <v>111</v>
      </c>
      <c r="F16" s="43"/>
      <c r="G16" s="43"/>
      <c r="H16" s="43"/>
      <c r="I16" s="43"/>
      <c r="J16" s="22"/>
    </row>
    <row r="17" spans="1:10" s="4" customFormat="1" x14ac:dyDescent="0.2">
      <c r="A17" s="43">
        <v>11</v>
      </c>
      <c r="B17" s="26" t="s">
        <v>71</v>
      </c>
      <c r="C17" s="43">
        <f t="shared" si="0"/>
        <v>1317</v>
      </c>
      <c r="D17" s="43">
        <v>1317</v>
      </c>
      <c r="E17" s="43">
        <v>122</v>
      </c>
      <c r="F17" s="43"/>
      <c r="G17" s="43"/>
      <c r="H17" s="43"/>
      <c r="I17" s="43"/>
      <c r="J17" s="22"/>
    </row>
    <row r="18" spans="1:10" s="4" customFormat="1" x14ac:dyDescent="0.2">
      <c r="A18" s="43">
        <v>12</v>
      </c>
      <c r="B18" s="26" t="s">
        <v>11</v>
      </c>
      <c r="C18" s="43">
        <f t="shared" si="0"/>
        <v>1119</v>
      </c>
      <c r="D18" s="43">
        <v>1119</v>
      </c>
      <c r="E18" s="43">
        <v>125</v>
      </c>
      <c r="F18" s="43"/>
      <c r="G18" s="43"/>
      <c r="H18" s="43"/>
      <c r="I18" s="43"/>
      <c r="J18" s="22"/>
    </row>
    <row r="19" spans="1:10" s="4" customFormat="1" x14ac:dyDescent="0.2">
      <c r="A19" s="43">
        <v>13</v>
      </c>
      <c r="B19" s="26" t="s">
        <v>72</v>
      </c>
      <c r="C19" s="43">
        <f t="shared" si="0"/>
        <v>40</v>
      </c>
      <c r="D19" s="43">
        <v>40</v>
      </c>
      <c r="E19" s="43">
        <v>0</v>
      </c>
      <c r="F19" s="43"/>
      <c r="G19" s="43"/>
      <c r="H19" s="43"/>
      <c r="I19" s="43"/>
      <c r="J19" s="22"/>
    </row>
    <row r="20" spans="1:10" s="4" customFormat="1" x14ac:dyDescent="0.2">
      <c r="A20" s="43">
        <v>14</v>
      </c>
      <c r="B20" s="31" t="s">
        <v>73</v>
      </c>
      <c r="C20" s="43">
        <f t="shared" si="0"/>
        <v>40</v>
      </c>
      <c r="D20" s="43">
        <v>40</v>
      </c>
      <c r="E20" s="43">
        <v>0</v>
      </c>
      <c r="F20" s="43"/>
      <c r="G20" s="43"/>
      <c r="H20" s="43"/>
      <c r="I20" s="43"/>
      <c r="J20" s="22"/>
    </row>
    <row r="21" spans="1:10" s="4" customFormat="1" x14ac:dyDescent="0.2">
      <c r="A21" s="43">
        <v>15</v>
      </c>
      <c r="B21" s="26" t="s">
        <v>53</v>
      </c>
      <c r="C21" s="43">
        <f t="shared" si="0"/>
        <v>3030</v>
      </c>
      <c r="D21" s="43">
        <v>3030</v>
      </c>
      <c r="E21" s="43">
        <v>635</v>
      </c>
      <c r="F21" s="43">
        <v>8</v>
      </c>
      <c r="G21" s="43"/>
      <c r="H21" s="43"/>
      <c r="I21" s="43"/>
      <c r="J21" s="22"/>
    </row>
    <row r="22" spans="1:10" s="4" customFormat="1" x14ac:dyDescent="0.2">
      <c r="A22" s="43">
        <v>16</v>
      </c>
      <c r="B22" s="26" t="s">
        <v>12</v>
      </c>
      <c r="C22" s="43">
        <f t="shared" si="0"/>
        <v>2821</v>
      </c>
      <c r="D22" s="43">
        <v>2821</v>
      </c>
      <c r="E22" s="43">
        <v>311</v>
      </c>
      <c r="F22" s="43"/>
      <c r="G22" s="43"/>
      <c r="H22" s="43"/>
      <c r="I22" s="43"/>
      <c r="J22" s="22"/>
    </row>
    <row r="23" spans="1:10" s="4" customFormat="1" x14ac:dyDescent="0.2">
      <c r="A23" s="43">
        <v>17</v>
      </c>
      <c r="B23" s="26" t="s">
        <v>13</v>
      </c>
      <c r="C23" s="43">
        <f t="shared" si="0"/>
        <v>5531</v>
      </c>
      <c r="D23" s="43">
        <v>5531</v>
      </c>
      <c r="E23" s="43">
        <v>478</v>
      </c>
      <c r="F23" s="43"/>
      <c r="G23" s="43"/>
      <c r="H23" s="43">
        <v>509</v>
      </c>
      <c r="I23" s="43"/>
      <c r="J23" s="22"/>
    </row>
    <row r="24" spans="1:10" s="4" customFormat="1" x14ac:dyDescent="0.2">
      <c r="A24" s="43">
        <v>18</v>
      </c>
      <c r="B24" s="26" t="s">
        <v>14</v>
      </c>
      <c r="C24" s="43">
        <f t="shared" si="0"/>
        <v>3537</v>
      </c>
      <c r="D24" s="43">
        <v>3537</v>
      </c>
      <c r="E24" s="43">
        <v>345</v>
      </c>
      <c r="F24" s="43"/>
      <c r="G24" s="43"/>
      <c r="H24" s="43"/>
      <c r="I24" s="43"/>
      <c r="J24" s="22"/>
    </row>
    <row r="25" spans="1:10" s="4" customFormat="1" x14ac:dyDescent="0.2">
      <c r="A25" s="43">
        <v>19</v>
      </c>
      <c r="B25" s="26" t="s">
        <v>54</v>
      </c>
      <c r="C25" s="43">
        <f t="shared" si="0"/>
        <v>856</v>
      </c>
      <c r="D25" s="43">
        <v>856</v>
      </c>
      <c r="E25" s="43"/>
      <c r="F25" s="43"/>
      <c r="G25" s="43"/>
      <c r="H25" s="43"/>
      <c r="I25" s="43"/>
      <c r="J25" s="22"/>
    </row>
    <row r="26" spans="1:10" s="4" customFormat="1" x14ac:dyDescent="0.2">
      <c r="A26" s="43">
        <v>20</v>
      </c>
      <c r="B26" s="26" t="s">
        <v>15</v>
      </c>
      <c r="C26" s="43">
        <f t="shared" si="0"/>
        <v>1476</v>
      </c>
      <c r="D26" s="43">
        <v>1476</v>
      </c>
      <c r="E26" s="43">
        <v>168</v>
      </c>
      <c r="F26" s="43"/>
      <c r="G26" s="43"/>
      <c r="H26" s="43"/>
      <c r="I26" s="43"/>
      <c r="J26" s="22"/>
    </row>
    <row r="27" spans="1:10" s="4" customFormat="1" x14ac:dyDescent="0.2">
      <c r="A27" s="43">
        <v>21</v>
      </c>
      <c r="B27" s="26" t="s">
        <v>16</v>
      </c>
      <c r="C27" s="43">
        <f t="shared" si="0"/>
        <v>1954</v>
      </c>
      <c r="D27" s="43">
        <v>1954</v>
      </c>
      <c r="E27" s="43">
        <v>239</v>
      </c>
      <c r="F27" s="43"/>
      <c r="G27" s="43"/>
      <c r="H27" s="43"/>
      <c r="I27" s="43"/>
      <c r="J27" s="22"/>
    </row>
    <row r="28" spans="1:10" s="4" customFormat="1" x14ac:dyDescent="0.2">
      <c r="A28" s="43">
        <v>22</v>
      </c>
      <c r="B28" s="26" t="s">
        <v>17</v>
      </c>
      <c r="C28" s="43">
        <f t="shared" si="0"/>
        <v>943</v>
      </c>
      <c r="D28" s="43">
        <f>843+100</f>
        <v>943</v>
      </c>
      <c r="E28" s="43">
        <v>113</v>
      </c>
      <c r="F28" s="43"/>
      <c r="G28" s="43"/>
      <c r="H28" s="43"/>
      <c r="I28" s="43"/>
      <c r="J28" s="22"/>
    </row>
    <row r="29" spans="1:10" s="4" customFormat="1" x14ac:dyDescent="0.2">
      <c r="A29" s="43">
        <v>23</v>
      </c>
      <c r="B29" s="26" t="s">
        <v>18</v>
      </c>
      <c r="C29" s="43">
        <f t="shared" si="0"/>
        <v>695</v>
      </c>
      <c r="D29" s="43">
        <v>695</v>
      </c>
      <c r="E29" s="43">
        <v>74</v>
      </c>
      <c r="F29" s="43"/>
      <c r="G29" s="43"/>
      <c r="H29" s="43"/>
      <c r="I29" s="43"/>
      <c r="J29" s="22"/>
    </row>
    <row r="30" spans="1:10" s="4" customFormat="1" x14ac:dyDescent="0.2">
      <c r="A30" s="43">
        <v>24</v>
      </c>
      <c r="B30" s="26" t="s">
        <v>74</v>
      </c>
      <c r="C30" s="43">
        <f t="shared" si="0"/>
        <v>5841</v>
      </c>
      <c r="D30" s="43">
        <v>5841</v>
      </c>
      <c r="E30" s="43"/>
      <c r="F30" s="43"/>
      <c r="G30" s="43"/>
      <c r="H30" s="43">
        <v>3377</v>
      </c>
      <c r="I30" s="43"/>
      <c r="J30" s="22"/>
    </row>
    <row r="31" spans="1:10" s="4" customFormat="1" x14ac:dyDescent="0.2">
      <c r="A31" s="43">
        <v>25</v>
      </c>
      <c r="B31" s="26" t="s">
        <v>75</v>
      </c>
      <c r="C31" s="43">
        <f t="shared" si="0"/>
        <v>2597</v>
      </c>
      <c r="D31" s="43">
        <v>2597</v>
      </c>
      <c r="E31" s="43"/>
      <c r="F31" s="43"/>
      <c r="G31" s="43"/>
      <c r="H31" s="43"/>
      <c r="I31" s="43"/>
      <c r="J31" s="22"/>
    </row>
    <row r="32" spans="1:10" s="4" customFormat="1" x14ac:dyDescent="0.2">
      <c r="A32" s="7">
        <v>26</v>
      </c>
      <c r="B32" s="26" t="s">
        <v>76</v>
      </c>
      <c r="C32" s="43">
        <f t="shared" si="0"/>
        <v>2808</v>
      </c>
      <c r="D32" s="43">
        <v>2808</v>
      </c>
      <c r="E32" s="43">
        <v>166</v>
      </c>
      <c r="F32" s="43"/>
      <c r="G32" s="43"/>
      <c r="H32" s="43"/>
      <c r="I32" s="43"/>
      <c r="J32" s="22"/>
    </row>
    <row r="33" spans="1:10" s="4" customFormat="1" x14ac:dyDescent="0.2">
      <c r="A33" s="282">
        <v>27</v>
      </c>
      <c r="B33" s="26" t="s">
        <v>77</v>
      </c>
      <c r="C33" s="43">
        <f t="shared" si="0"/>
        <v>1476</v>
      </c>
      <c r="D33" s="43">
        <v>1476</v>
      </c>
      <c r="E33" s="43">
        <v>154</v>
      </c>
      <c r="F33" s="43"/>
      <c r="G33" s="43"/>
      <c r="H33" s="43"/>
      <c r="I33" s="43"/>
      <c r="J33" s="22"/>
    </row>
    <row r="34" spans="1:10" s="30" customFormat="1" ht="36" x14ac:dyDescent="0.2">
      <c r="A34" s="291"/>
      <c r="B34" s="32" t="s">
        <v>78</v>
      </c>
      <c r="C34" s="28">
        <f t="shared" si="0"/>
        <v>1886</v>
      </c>
      <c r="D34" s="28">
        <v>1886</v>
      </c>
      <c r="E34" s="28">
        <v>185</v>
      </c>
      <c r="F34" s="28"/>
      <c r="G34" s="28"/>
      <c r="H34" s="28"/>
      <c r="I34" s="28"/>
      <c r="J34" s="29"/>
    </row>
    <row r="35" spans="1:10" s="4" customFormat="1" x14ac:dyDescent="0.2">
      <c r="A35" s="43">
        <v>28</v>
      </c>
      <c r="B35" s="33" t="s">
        <v>79</v>
      </c>
      <c r="C35" s="43">
        <f t="shared" si="0"/>
        <v>329</v>
      </c>
      <c r="D35" s="43">
        <v>329</v>
      </c>
      <c r="E35" s="43"/>
      <c r="F35" s="43"/>
      <c r="G35" s="43"/>
      <c r="H35" s="43"/>
      <c r="I35" s="43"/>
      <c r="J35" s="22"/>
    </row>
    <row r="36" spans="1:10" s="4" customFormat="1" x14ac:dyDescent="0.2">
      <c r="A36" s="43">
        <v>29</v>
      </c>
      <c r="B36" s="26" t="s">
        <v>80</v>
      </c>
      <c r="C36" s="43">
        <f t="shared" si="0"/>
        <v>1934</v>
      </c>
      <c r="D36" s="43">
        <v>1934</v>
      </c>
      <c r="E36" s="43">
        <v>1934</v>
      </c>
      <c r="F36" s="43"/>
      <c r="G36" s="43"/>
      <c r="H36" s="43"/>
      <c r="I36" s="43"/>
      <c r="J36" s="22"/>
    </row>
    <row r="37" spans="1:10" s="4" customFormat="1" x14ac:dyDescent="0.2">
      <c r="A37" s="43">
        <v>30</v>
      </c>
      <c r="B37" s="33" t="s">
        <v>81</v>
      </c>
      <c r="C37" s="43">
        <f t="shared" si="0"/>
        <v>432</v>
      </c>
      <c r="D37" s="43">
        <v>432</v>
      </c>
      <c r="E37" s="43"/>
      <c r="F37" s="43">
        <v>432</v>
      </c>
      <c r="G37" s="43"/>
      <c r="H37" s="43"/>
      <c r="I37" s="43"/>
      <c r="J37" s="22"/>
    </row>
    <row r="38" spans="1:10" s="4" customFormat="1" x14ac:dyDescent="0.2">
      <c r="A38" s="43">
        <v>31</v>
      </c>
      <c r="B38" s="26" t="s">
        <v>82</v>
      </c>
      <c r="C38" s="43">
        <f t="shared" si="0"/>
        <v>294</v>
      </c>
      <c r="D38" s="43">
        <v>294</v>
      </c>
      <c r="E38" s="43"/>
      <c r="F38" s="43"/>
      <c r="G38" s="43"/>
      <c r="H38" s="43"/>
      <c r="I38" s="43"/>
      <c r="J38" s="22"/>
    </row>
    <row r="39" spans="1:10" s="4" customFormat="1" x14ac:dyDescent="0.2">
      <c r="A39" s="282">
        <v>32</v>
      </c>
      <c r="B39" s="26" t="s">
        <v>55</v>
      </c>
      <c r="C39" s="43">
        <f t="shared" si="0"/>
        <v>4397</v>
      </c>
      <c r="D39" s="43">
        <f>4337+60</f>
        <v>4397</v>
      </c>
      <c r="E39" s="43">
        <v>0</v>
      </c>
      <c r="F39" s="43"/>
      <c r="G39" s="43"/>
      <c r="H39" s="43">
        <v>746</v>
      </c>
      <c r="I39" s="43"/>
      <c r="J39" s="22"/>
    </row>
    <row r="40" spans="1:10" s="30" customFormat="1" ht="24" x14ac:dyDescent="0.2">
      <c r="A40" s="290"/>
      <c r="B40" s="32" t="s">
        <v>83</v>
      </c>
      <c r="C40" s="43">
        <f t="shared" si="0"/>
        <v>1288</v>
      </c>
      <c r="D40" s="28">
        <v>1288</v>
      </c>
      <c r="E40" s="28">
        <v>1288</v>
      </c>
      <c r="F40" s="28"/>
      <c r="G40" s="28"/>
      <c r="H40" s="28"/>
      <c r="I40" s="28"/>
      <c r="J40" s="29"/>
    </row>
    <row r="41" spans="1:10" s="4" customFormat="1" x14ac:dyDescent="0.2">
      <c r="A41" s="43">
        <v>33</v>
      </c>
      <c r="B41" s="26" t="s">
        <v>84</v>
      </c>
      <c r="C41" s="43">
        <f t="shared" si="0"/>
        <v>207</v>
      </c>
      <c r="D41" s="43">
        <v>207</v>
      </c>
      <c r="E41" s="43"/>
      <c r="F41" s="43"/>
      <c r="G41" s="43"/>
      <c r="H41" s="43"/>
      <c r="I41" s="43"/>
      <c r="J41" s="22"/>
    </row>
    <row r="42" spans="1:10" s="4" customFormat="1" x14ac:dyDescent="0.2">
      <c r="A42" s="282">
        <v>34</v>
      </c>
      <c r="B42" s="26" t="s">
        <v>56</v>
      </c>
      <c r="C42" s="43">
        <f t="shared" si="0"/>
        <v>3817</v>
      </c>
      <c r="D42" s="43">
        <v>3817</v>
      </c>
      <c r="E42" s="43">
        <v>270</v>
      </c>
      <c r="F42" s="43"/>
      <c r="G42" s="43"/>
      <c r="H42" s="43">
        <v>838</v>
      </c>
      <c r="I42" s="43"/>
      <c r="J42" s="22"/>
    </row>
    <row r="43" spans="1:10" s="30" customFormat="1" ht="24" x14ac:dyDescent="0.2">
      <c r="A43" s="290"/>
      <c r="B43" s="32" t="s">
        <v>58</v>
      </c>
      <c r="C43" s="43">
        <f t="shared" si="0"/>
        <v>1174</v>
      </c>
      <c r="D43" s="28">
        <v>1174</v>
      </c>
      <c r="E43" s="28">
        <v>111</v>
      </c>
      <c r="F43" s="28"/>
      <c r="G43" s="28"/>
      <c r="H43" s="28"/>
      <c r="I43" s="28"/>
      <c r="J43" s="29"/>
    </row>
    <row r="44" spans="1:10" s="4" customFormat="1" x14ac:dyDescent="0.2">
      <c r="A44" s="43">
        <v>35</v>
      </c>
      <c r="B44" s="26" t="s">
        <v>19</v>
      </c>
      <c r="C44" s="43">
        <f t="shared" si="0"/>
        <v>4149</v>
      </c>
      <c r="D44" s="43">
        <v>4149</v>
      </c>
      <c r="E44" s="43">
        <v>334</v>
      </c>
      <c r="F44" s="43"/>
      <c r="G44" s="43"/>
      <c r="H44" s="43"/>
      <c r="I44" s="43"/>
      <c r="J44" s="22"/>
    </row>
    <row r="45" spans="1:10" s="4" customFormat="1" x14ac:dyDescent="0.2">
      <c r="A45" s="43">
        <v>36</v>
      </c>
      <c r="B45" s="26" t="s">
        <v>20</v>
      </c>
      <c r="C45" s="43">
        <f t="shared" si="0"/>
        <v>4077</v>
      </c>
      <c r="D45" s="43">
        <v>4077</v>
      </c>
      <c r="E45" s="43">
        <v>394</v>
      </c>
      <c r="F45" s="43"/>
      <c r="G45" s="43"/>
      <c r="H45" s="43"/>
      <c r="I45" s="43"/>
      <c r="J45" s="22"/>
    </row>
    <row r="46" spans="1:10" s="4" customFormat="1" x14ac:dyDescent="0.2">
      <c r="A46" s="43">
        <v>37</v>
      </c>
      <c r="B46" s="26" t="s">
        <v>21</v>
      </c>
      <c r="C46" s="43">
        <f t="shared" si="0"/>
        <v>1276</v>
      </c>
      <c r="D46" s="43">
        <v>1276</v>
      </c>
      <c r="E46" s="43">
        <v>144</v>
      </c>
      <c r="F46" s="43"/>
      <c r="G46" s="43"/>
      <c r="H46" s="43"/>
      <c r="I46" s="43"/>
      <c r="J46" s="22"/>
    </row>
    <row r="47" spans="1:10" s="4" customFormat="1" x14ac:dyDescent="0.2">
      <c r="A47" s="43">
        <v>38</v>
      </c>
      <c r="B47" s="26" t="s">
        <v>22</v>
      </c>
      <c r="C47" s="43">
        <f t="shared" si="0"/>
        <v>1618</v>
      </c>
      <c r="D47" s="43">
        <f>1564-1+55</f>
        <v>1618</v>
      </c>
      <c r="E47" s="43">
        <v>175</v>
      </c>
      <c r="F47" s="43"/>
      <c r="G47" s="43"/>
      <c r="H47" s="43"/>
      <c r="I47" s="43"/>
      <c r="J47" s="22"/>
    </row>
    <row r="48" spans="1:10" s="4" customFormat="1" x14ac:dyDescent="0.2">
      <c r="A48" s="43">
        <v>39</v>
      </c>
      <c r="B48" s="26" t="s">
        <v>23</v>
      </c>
      <c r="C48" s="43">
        <f t="shared" si="0"/>
        <v>1430</v>
      </c>
      <c r="D48" s="43">
        <v>1430</v>
      </c>
      <c r="E48" s="43">
        <v>156</v>
      </c>
      <c r="F48" s="43"/>
      <c r="G48" s="43"/>
      <c r="H48" s="43"/>
      <c r="I48" s="43"/>
      <c r="J48" s="22"/>
    </row>
    <row r="49" spans="1:10" s="4" customFormat="1" x14ac:dyDescent="0.2">
      <c r="A49" s="43">
        <v>40</v>
      </c>
      <c r="B49" s="26" t="s">
        <v>24</v>
      </c>
      <c r="C49" s="43">
        <f t="shared" si="0"/>
        <v>988</v>
      </c>
      <c r="D49" s="43">
        <f>933+55</f>
        <v>988</v>
      </c>
      <c r="E49" s="43">
        <v>86</v>
      </c>
      <c r="F49" s="43"/>
      <c r="G49" s="43"/>
      <c r="H49" s="43"/>
      <c r="I49" s="43"/>
      <c r="J49" s="22"/>
    </row>
    <row r="50" spans="1:10" s="4" customFormat="1" x14ac:dyDescent="0.2">
      <c r="A50" s="43">
        <v>41</v>
      </c>
      <c r="B50" s="26" t="s">
        <v>25</v>
      </c>
      <c r="C50" s="43">
        <f t="shared" si="0"/>
        <v>1619</v>
      </c>
      <c r="D50" s="43">
        <v>1619</v>
      </c>
      <c r="E50" s="43">
        <v>150</v>
      </c>
      <c r="F50" s="43"/>
      <c r="G50" s="43"/>
      <c r="H50" s="43"/>
      <c r="I50" s="43"/>
      <c r="J50" s="22"/>
    </row>
    <row r="51" spans="1:10" s="4" customFormat="1" x14ac:dyDescent="0.2">
      <c r="A51" s="43">
        <v>42</v>
      </c>
      <c r="B51" s="26" t="s">
        <v>26</v>
      </c>
      <c r="C51" s="43">
        <f t="shared" si="0"/>
        <v>740</v>
      </c>
      <c r="D51" s="43">
        <v>740</v>
      </c>
      <c r="E51" s="43">
        <v>67</v>
      </c>
      <c r="F51" s="43"/>
      <c r="G51" s="43"/>
      <c r="H51" s="43"/>
      <c r="I51" s="43"/>
      <c r="J51" s="22"/>
    </row>
    <row r="52" spans="1:10" s="4" customFormat="1" x14ac:dyDescent="0.2">
      <c r="A52" s="43">
        <v>43</v>
      </c>
      <c r="B52" s="33" t="s">
        <v>85</v>
      </c>
      <c r="C52" s="43">
        <f t="shared" si="0"/>
        <v>365</v>
      </c>
      <c r="D52" s="43">
        <v>365</v>
      </c>
      <c r="E52" s="43"/>
      <c r="F52" s="43"/>
      <c r="G52" s="43"/>
      <c r="H52" s="43"/>
      <c r="I52" s="43"/>
      <c r="J52" s="22"/>
    </row>
    <row r="53" spans="1:10" s="30" customFormat="1" x14ac:dyDescent="0.2">
      <c r="A53" s="43">
        <v>44</v>
      </c>
      <c r="B53" s="31" t="s">
        <v>86</v>
      </c>
      <c r="C53" s="43">
        <f t="shared" si="0"/>
        <v>1000</v>
      </c>
      <c r="D53" s="43">
        <v>1000</v>
      </c>
      <c r="E53" s="43"/>
      <c r="F53" s="43"/>
      <c r="G53" s="28"/>
      <c r="H53" s="28"/>
      <c r="I53" s="28"/>
      <c r="J53" s="29"/>
    </row>
    <row r="54" spans="1:10" s="4" customFormat="1" x14ac:dyDescent="0.2">
      <c r="A54" s="43">
        <v>45</v>
      </c>
      <c r="B54" s="31" t="s">
        <v>87</v>
      </c>
      <c r="C54" s="43">
        <f t="shared" si="0"/>
        <v>0</v>
      </c>
      <c r="D54" s="43">
        <f>40-40</f>
        <v>0</v>
      </c>
      <c r="E54" s="43"/>
      <c r="F54" s="43"/>
      <c r="G54" s="43"/>
      <c r="H54" s="43">
        <f>40-40</f>
        <v>0</v>
      </c>
      <c r="I54" s="43"/>
      <c r="J54" s="22"/>
    </row>
    <row r="55" spans="1:10" s="4" customFormat="1" x14ac:dyDescent="0.2">
      <c r="A55" s="43">
        <v>46</v>
      </c>
      <c r="B55" s="26" t="s">
        <v>88</v>
      </c>
      <c r="C55" s="43">
        <f t="shared" si="0"/>
        <v>230</v>
      </c>
      <c r="D55" s="43">
        <v>230</v>
      </c>
      <c r="E55" s="43"/>
      <c r="F55" s="43"/>
      <c r="G55" s="43"/>
      <c r="H55" s="43"/>
      <c r="I55" s="43"/>
      <c r="J55" s="22"/>
    </row>
    <row r="56" spans="1:10" s="4" customFormat="1" x14ac:dyDescent="0.2">
      <c r="A56" s="43">
        <v>47</v>
      </c>
      <c r="B56" s="26" t="s">
        <v>27</v>
      </c>
      <c r="C56" s="43">
        <f t="shared" si="0"/>
        <v>6322</v>
      </c>
      <c r="D56" s="43">
        <v>6322</v>
      </c>
      <c r="E56" s="43">
        <v>624</v>
      </c>
      <c r="F56" s="43"/>
      <c r="G56" s="43"/>
      <c r="H56" s="43"/>
      <c r="I56" s="43"/>
      <c r="J56" s="22"/>
    </row>
    <row r="57" spans="1:10" s="4" customFormat="1" x14ac:dyDescent="0.2">
      <c r="A57" s="43">
        <v>48</v>
      </c>
      <c r="B57" s="26" t="s">
        <v>28</v>
      </c>
      <c r="C57" s="43">
        <f t="shared" si="0"/>
        <v>4928</v>
      </c>
      <c r="D57" s="43">
        <v>4928</v>
      </c>
      <c r="E57" s="43">
        <v>398</v>
      </c>
      <c r="F57" s="43"/>
      <c r="G57" s="43"/>
      <c r="H57" s="43">
        <v>462</v>
      </c>
      <c r="I57" s="43"/>
      <c r="J57" s="22"/>
    </row>
    <row r="58" spans="1:10" s="4" customFormat="1" x14ac:dyDescent="0.2">
      <c r="A58" s="43">
        <v>49</v>
      </c>
      <c r="B58" s="26" t="s">
        <v>57</v>
      </c>
      <c r="C58" s="43">
        <f t="shared" si="0"/>
        <v>6007</v>
      </c>
      <c r="D58" s="43">
        <v>6007</v>
      </c>
      <c r="E58" s="43">
        <v>944</v>
      </c>
      <c r="F58" s="43">
        <v>30</v>
      </c>
      <c r="G58" s="43"/>
      <c r="H58" s="43">
        <v>927</v>
      </c>
      <c r="I58" s="43"/>
      <c r="J58" s="22"/>
    </row>
    <row r="59" spans="1:10" s="4" customFormat="1" x14ac:dyDescent="0.2">
      <c r="A59" s="43">
        <v>50</v>
      </c>
      <c r="B59" s="26" t="s">
        <v>29</v>
      </c>
      <c r="C59" s="43">
        <f t="shared" si="0"/>
        <v>1949</v>
      </c>
      <c r="D59" s="43">
        <v>1949</v>
      </c>
      <c r="E59" s="43">
        <v>188</v>
      </c>
      <c r="F59" s="43"/>
      <c r="G59" s="43"/>
      <c r="H59" s="43"/>
      <c r="I59" s="43"/>
      <c r="J59" s="22"/>
    </row>
    <row r="60" spans="1:10" s="4" customFormat="1" x14ac:dyDescent="0.2">
      <c r="A60" s="43">
        <v>51</v>
      </c>
      <c r="B60" s="26" t="s">
        <v>30</v>
      </c>
      <c r="C60" s="43">
        <f t="shared" si="0"/>
        <v>1304</v>
      </c>
      <c r="D60" s="43">
        <v>1304</v>
      </c>
      <c r="E60" s="43">
        <v>122</v>
      </c>
      <c r="F60" s="43"/>
      <c r="G60" s="43"/>
      <c r="H60" s="43"/>
      <c r="I60" s="43"/>
      <c r="J60" s="22"/>
    </row>
    <row r="61" spans="1:10" s="4" customFormat="1" x14ac:dyDescent="0.2">
      <c r="A61" s="43">
        <v>52</v>
      </c>
      <c r="B61" s="26" t="s">
        <v>31</v>
      </c>
      <c r="C61" s="43">
        <f t="shared" si="0"/>
        <v>1056</v>
      </c>
      <c r="D61" s="43">
        <v>1056</v>
      </c>
      <c r="E61" s="43">
        <v>106</v>
      </c>
      <c r="F61" s="43"/>
      <c r="G61" s="43"/>
      <c r="H61" s="43"/>
      <c r="I61" s="43"/>
      <c r="J61" s="22"/>
    </row>
    <row r="62" spans="1:10" s="4" customFormat="1" x14ac:dyDescent="0.2">
      <c r="A62" s="43">
        <v>53</v>
      </c>
      <c r="B62" s="26" t="s">
        <v>32</v>
      </c>
      <c r="C62" s="43">
        <f t="shared" si="0"/>
        <v>1536</v>
      </c>
      <c r="D62" s="43">
        <v>1536</v>
      </c>
      <c r="E62" s="43">
        <v>147</v>
      </c>
      <c r="F62" s="43"/>
      <c r="G62" s="43"/>
      <c r="H62" s="43"/>
      <c r="I62" s="43"/>
      <c r="J62" s="22"/>
    </row>
    <row r="63" spans="1:10" s="4" customFormat="1" x14ac:dyDescent="0.2">
      <c r="A63" s="43">
        <v>54</v>
      </c>
      <c r="B63" s="26" t="s">
        <v>33</v>
      </c>
      <c r="C63" s="43">
        <f t="shared" si="0"/>
        <v>670</v>
      </c>
      <c r="D63" s="43">
        <v>670</v>
      </c>
      <c r="E63" s="43">
        <v>60</v>
      </c>
      <c r="F63" s="43"/>
      <c r="G63" s="43"/>
      <c r="H63" s="43"/>
      <c r="I63" s="43"/>
      <c r="J63" s="22"/>
    </row>
    <row r="64" spans="1:10" s="4" customFormat="1" x14ac:dyDescent="0.2">
      <c r="A64" s="43">
        <v>55</v>
      </c>
      <c r="B64" s="26" t="s">
        <v>34</v>
      </c>
      <c r="C64" s="43">
        <f t="shared" si="0"/>
        <v>1276</v>
      </c>
      <c r="D64" s="43">
        <v>1276</v>
      </c>
      <c r="E64" s="43">
        <v>124</v>
      </c>
      <c r="F64" s="43"/>
      <c r="G64" s="43"/>
      <c r="H64" s="43"/>
      <c r="I64" s="43"/>
      <c r="J64" s="22"/>
    </row>
    <row r="65" spans="1:10" s="4" customFormat="1" x14ac:dyDescent="0.2">
      <c r="A65" s="43">
        <v>56</v>
      </c>
      <c r="B65" s="26" t="s">
        <v>35</v>
      </c>
      <c r="C65" s="43">
        <f t="shared" si="0"/>
        <v>1906</v>
      </c>
      <c r="D65" s="43">
        <v>1906</v>
      </c>
      <c r="E65" s="43">
        <v>190</v>
      </c>
      <c r="F65" s="43"/>
      <c r="G65" s="43"/>
      <c r="H65" s="43"/>
      <c r="I65" s="43"/>
      <c r="J65" s="22"/>
    </row>
    <row r="66" spans="1:10" s="4" customFormat="1" x14ac:dyDescent="0.2">
      <c r="A66" s="43">
        <v>57</v>
      </c>
      <c r="B66" s="26" t="s">
        <v>36</v>
      </c>
      <c r="C66" s="43">
        <f t="shared" si="0"/>
        <v>1046</v>
      </c>
      <c r="D66" s="43">
        <v>1046</v>
      </c>
      <c r="E66" s="43">
        <v>103</v>
      </c>
      <c r="F66" s="43"/>
      <c r="G66" s="43"/>
      <c r="H66" s="43"/>
      <c r="I66" s="43"/>
      <c r="J66" s="22"/>
    </row>
    <row r="67" spans="1:10" s="4" customFormat="1" x14ac:dyDescent="0.2">
      <c r="A67" s="43">
        <v>58</v>
      </c>
      <c r="B67" s="26" t="s">
        <v>89</v>
      </c>
      <c r="C67" s="43">
        <f t="shared" si="0"/>
        <v>2107</v>
      </c>
      <c r="D67" s="43">
        <f>2083+24</f>
        <v>2107</v>
      </c>
      <c r="E67" s="43">
        <f>2083+24</f>
        <v>2107</v>
      </c>
      <c r="F67" s="43">
        <v>10</v>
      </c>
      <c r="G67" s="43"/>
      <c r="H67" s="43"/>
      <c r="I67" s="43"/>
      <c r="J67" s="22"/>
    </row>
    <row r="68" spans="1:10" s="4" customFormat="1" x14ac:dyDescent="0.2">
      <c r="A68" s="43">
        <v>59</v>
      </c>
      <c r="B68" s="26" t="s">
        <v>90</v>
      </c>
      <c r="C68" s="43">
        <f t="shared" si="0"/>
        <v>1809</v>
      </c>
      <c r="D68" s="43">
        <f>1788+21</f>
        <v>1809</v>
      </c>
      <c r="E68" s="43">
        <f>1788+21</f>
        <v>1809</v>
      </c>
      <c r="F68" s="43">
        <v>30</v>
      </c>
      <c r="G68" s="43"/>
      <c r="H68" s="43"/>
      <c r="I68" s="43"/>
      <c r="J68" s="22"/>
    </row>
    <row r="69" spans="1:10" s="4" customFormat="1" x14ac:dyDescent="0.2">
      <c r="A69" s="43">
        <v>60</v>
      </c>
      <c r="B69" s="26" t="s">
        <v>91</v>
      </c>
      <c r="C69" s="43">
        <f t="shared" si="0"/>
        <v>2424</v>
      </c>
      <c r="D69" s="43">
        <f>2396+28</f>
        <v>2424</v>
      </c>
      <c r="E69" s="43">
        <f>2396+28</f>
        <v>2424</v>
      </c>
      <c r="F69" s="43"/>
      <c r="G69" s="43"/>
      <c r="H69" s="43"/>
      <c r="I69" s="43"/>
      <c r="J69" s="22"/>
    </row>
    <row r="70" spans="1:10" s="4" customFormat="1" x14ac:dyDescent="0.2">
      <c r="A70" s="43">
        <v>61</v>
      </c>
      <c r="B70" s="26" t="s">
        <v>92</v>
      </c>
      <c r="C70" s="43">
        <f t="shared" ref="C70:C113" si="1">D70+I70</f>
        <v>2965</v>
      </c>
      <c r="D70" s="43">
        <f>2931+34</f>
        <v>2965</v>
      </c>
      <c r="E70" s="43">
        <f>2931+34</f>
        <v>2965</v>
      </c>
      <c r="F70" s="43">
        <v>100</v>
      </c>
      <c r="G70" s="43"/>
      <c r="H70" s="43"/>
      <c r="I70" s="43"/>
      <c r="J70" s="22"/>
    </row>
    <row r="71" spans="1:10" s="4" customFormat="1" x14ac:dyDescent="0.2">
      <c r="A71" s="43">
        <v>62</v>
      </c>
      <c r="B71" s="26" t="s">
        <v>93</v>
      </c>
      <c r="C71" s="43">
        <f t="shared" si="1"/>
        <v>1143</v>
      </c>
      <c r="D71" s="43">
        <f>1130+13</f>
        <v>1143</v>
      </c>
      <c r="E71" s="43">
        <f>1130+13</f>
        <v>1143</v>
      </c>
      <c r="F71" s="43">
        <v>83</v>
      </c>
      <c r="G71" s="43"/>
      <c r="H71" s="43"/>
      <c r="I71" s="43"/>
      <c r="J71" s="22"/>
    </row>
    <row r="72" spans="1:10" s="4" customFormat="1" x14ac:dyDescent="0.2">
      <c r="A72" s="43">
        <v>63</v>
      </c>
      <c r="B72" s="26" t="s">
        <v>94</v>
      </c>
      <c r="C72" s="43">
        <f t="shared" si="1"/>
        <v>3305</v>
      </c>
      <c r="D72" s="43">
        <f>3425-120</f>
        <v>3305</v>
      </c>
      <c r="E72" s="43">
        <f>120-120</f>
        <v>0</v>
      </c>
      <c r="F72" s="43"/>
      <c r="G72" s="43"/>
      <c r="H72" s="43">
        <v>434</v>
      </c>
      <c r="I72" s="43"/>
      <c r="J72" s="22"/>
    </row>
    <row r="73" spans="1:10" s="4" customFormat="1" x14ac:dyDescent="0.2">
      <c r="A73" s="43">
        <v>64</v>
      </c>
      <c r="B73" s="26" t="s">
        <v>95</v>
      </c>
      <c r="C73" s="43">
        <f t="shared" si="1"/>
        <v>1560</v>
      </c>
      <c r="D73" s="43">
        <f>1505+55</f>
        <v>1560</v>
      </c>
      <c r="E73" s="43"/>
      <c r="F73" s="43"/>
      <c r="G73" s="43"/>
      <c r="H73" s="43"/>
      <c r="I73" s="43"/>
      <c r="J73" s="22"/>
    </row>
    <row r="74" spans="1:10" s="4" customFormat="1" x14ac:dyDescent="0.2">
      <c r="A74" s="43">
        <v>65</v>
      </c>
      <c r="B74" s="26" t="s">
        <v>96</v>
      </c>
      <c r="C74" s="43">
        <f t="shared" si="1"/>
        <v>2950</v>
      </c>
      <c r="D74" s="43">
        <v>2950</v>
      </c>
      <c r="E74" s="43"/>
      <c r="F74" s="43"/>
      <c r="G74" s="43"/>
      <c r="H74" s="43">
        <v>1496</v>
      </c>
      <c r="I74" s="43"/>
      <c r="J74" s="22"/>
    </row>
    <row r="75" spans="1:10" s="4" customFormat="1" x14ac:dyDescent="0.2">
      <c r="A75" s="43">
        <v>66</v>
      </c>
      <c r="B75" s="26" t="s">
        <v>97</v>
      </c>
      <c r="C75" s="43">
        <f t="shared" si="1"/>
        <v>1134</v>
      </c>
      <c r="D75" s="43">
        <v>1134</v>
      </c>
      <c r="E75" s="43"/>
      <c r="F75" s="43"/>
      <c r="G75" s="43"/>
      <c r="H75" s="43"/>
      <c r="I75" s="43"/>
      <c r="J75" s="22"/>
    </row>
    <row r="76" spans="1:10" s="4" customFormat="1" x14ac:dyDescent="0.2">
      <c r="A76" s="43">
        <v>67</v>
      </c>
      <c r="B76" s="26" t="s">
        <v>98</v>
      </c>
      <c r="C76" s="43">
        <f t="shared" si="1"/>
        <v>3939</v>
      </c>
      <c r="D76" s="43">
        <v>3939</v>
      </c>
      <c r="E76" s="43"/>
      <c r="F76" s="43"/>
      <c r="G76" s="43"/>
      <c r="H76" s="43">
        <v>773</v>
      </c>
      <c r="I76" s="43"/>
      <c r="J76" s="22"/>
    </row>
    <row r="77" spans="1:10" s="4" customFormat="1" x14ac:dyDescent="0.2">
      <c r="A77" s="43">
        <v>68</v>
      </c>
      <c r="B77" s="26" t="s">
        <v>99</v>
      </c>
      <c r="C77" s="43">
        <f t="shared" si="1"/>
        <v>1797</v>
      </c>
      <c r="D77" s="43">
        <v>1797</v>
      </c>
      <c r="E77" s="43"/>
      <c r="F77" s="43"/>
      <c r="G77" s="43"/>
      <c r="H77" s="43"/>
      <c r="I77" s="43"/>
      <c r="J77" s="22"/>
    </row>
    <row r="78" spans="1:10" s="4" customFormat="1" x14ac:dyDescent="0.2">
      <c r="A78" s="43">
        <v>69</v>
      </c>
      <c r="B78" s="26" t="s">
        <v>100</v>
      </c>
      <c r="C78" s="43">
        <f t="shared" si="1"/>
        <v>2247</v>
      </c>
      <c r="D78" s="43">
        <f>2192+55</f>
        <v>2247</v>
      </c>
      <c r="E78" s="43"/>
      <c r="F78" s="43">
        <v>391</v>
      </c>
      <c r="G78" s="43"/>
      <c r="H78" s="43"/>
      <c r="I78" s="43"/>
      <c r="J78" s="22"/>
    </row>
    <row r="79" spans="1:10" s="4" customFormat="1" x14ac:dyDescent="0.2">
      <c r="A79" s="43">
        <v>70</v>
      </c>
      <c r="B79" s="26" t="s">
        <v>101</v>
      </c>
      <c r="C79" s="43">
        <f t="shared" si="1"/>
        <v>1100</v>
      </c>
      <c r="D79" s="43">
        <v>1100</v>
      </c>
      <c r="E79" s="43"/>
      <c r="F79" s="43"/>
      <c r="G79" s="43"/>
      <c r="H79" s="43"/>
      <c r="I79" s="43"/>
      <c r="J79" s="22"/>
    </row>
    <row r="80" spans="1:10" s="4" customFormat="1" x14ac:dyDescent="0.2">
      <c r="A80" s="43">
        <v>71</v>
      </c>
      <c r="B80" s="26" t="s">
        <v>102</v>
      </c>
      <c r="C80" s="43">
        <f t="shared" si="1"/>
        <v>4527</v>
      </c>
      <c r="D80" s="43">
        <v>4527</v>
      </c>
      <c r="E80" s="43"/>
      <c r="F80" s="43"/>
      <c r="G80" s="43"/>
      <c r="H80" s="43">
        <v>1034</v>
      </c>
      <c r="I80" s="43"/>
      <c r="J80" s="22"/>
    </row>
    <row r="81" spans="1:10" s="4" customFormat="1" x14ac:dyDescent="0.2">
      <c r="A81" s="43">
        <v>72</v>
      </c>
      <c r="B81" s="26" t="s">
        <v>103</v>
      </c>
      <c r="C81" s="43">
        <f t="shared" si="1"/>
        <v>1434</v>
      </c>
      <c r="D81" s="43">
        <f>1379+55</f>
        <v>1434</v>
      </c>
      <c r="E81" s="43"/>
      <c r="F81" s="43"/>
      <c r="G81" s="43"/>
      <c r="H81" s="43"/>
      <c r="I81" s="43"/>
      <c r="J81" s="22"/>
    </row>
    <row r="82" spans="1:10" s="4" customFormat="1" x14ac:dyDescent="0.2">
      <c r="A82" s="43">
        <v>73</v>
      </c>
      <c r="B82" s="26" t="s">
        <v>104</v>
      </c>
      <c r="C82" s="43">
        <f t="shared" si="1"/>
        <v>1393</v>
      </c>
      <c r="D82" s="43">
        <f>1338+55</f>
        <v>1393</v>
      </c>
      <c r="E82" s="43"/>
      <c r="F82" s="43"/>
      <c r="G82" s="43"/>
      <c r="H82" s="43"/>
      <c r="I82" s="43"/>
      <c r="J82" s="22"/>
    </row>
    <row r="83" spans="1:10" s="4" customFormat="1" x14ac:dyDescent="0.2">
      <c r="A83" s="43">
        <v>74</v>
      </c>
      <c r="B83" s="26" t="s">
        <v>105</v>
      </c>
      <c r="C83" s="43">
        <f t="shared" si="1"/>
        <v>3041</v>
      </c>
      <c r="D83" s="43">
        <f>3043-2</f>
        <v>3041</v>
      </c>
      <c r="E83" s="43">
        <v>374</v>
      </c>
      <c r="F83" s="43">
        <v>30</v>
      </c>
      <c r="G83" s="43"/>
      <c r="H83" s="43"/>
      <c r="I83" s="43"/>
      <c r="J83" s="22"/>
    </row>
    <row r="84" spans="1:10" s="4" customFormat="1" x14ac:dyDescent="0.2">
      <c r="A84" s="43">
        <v>75</v>
      </c>
      <c r="B84" s="26" t="s">
        <v>106</v>
      </c>
      <c r="C84" s="43">
        <f t="shared" si="1"/>
        <v>2381</v>
      </c>
      <c r="D84" s="43">
        <v>2381</v>
      </c>
      <c r="E84" s="43"/>
      <c r="F84" s="43">
        <v>289</v>
      </c>
      <c r="G84" s="43"/>
      <c r="H84" s="43"/>
      <c r="I84" s="43"/>
      <c r="J84" s="22"/>
    </row>
    <row r="85" spans="1:10" s="4" customFormat="1" x14ac:dyDescent="0.2">
      <c r="A85" s="43">
        <v>76</v>
      </c>
      <c r="B85" s="26" t="s">
        <v>107</v>
      </c>
      <c r="C85" s="43">
        <f t="shared" si="1"/>
        <v>1670</v>
      </c>
      <c r="D85" s="43">
        <v>1670</v>
      </c>
      <c r="E85" s="43"/>
      <c r="F85" s="43"/>
      <c r="G85" s="43"/>
      <c r="H85" s="43"/>
      <c r="I85" s="43"/>
      <c r="J85" s="22"/>
    </row>
    <row r="86" spans="1:10" s="4" customFormat="1" x14ac:dyDescent="0.2">
      <c r="A86" s="43">
        <v>77</v>
      </c>
      <c r="B86" s="26" t="s">
        <v>108</v>
      </c>
      <c r="C86" s="43">
        <f t="shared" si="1"/>
        <v>980</v>
      </c>
      <c r="D86" s="43">
        <v>980</v>
      </c>
      <c r="E86" s="43"/>
      <c r="F86" s="43"/>
      <c r="G86" s="43"/>
      <c r="H86" s="43"/>
      <c r="I86" s="43"/>
      <c r="J86" s="22"/>
    </row>
    <row r="87" spans="1:10" s="4" customFormat="1" x14ac:dyDescent="0.2">
      <c r="A87" s="43">
        <v>78</v>
      </c>
      <c r="B87" s="26" t="s">
        <v>109</v>
      </c>
      <c r="C87" s="43">
        <f t="shared" si="1"/>
        <v>1987</v>
      </c>
      <c r="D87" s="43">
        <v>1987</v>
      </c>
      <c r="E87" s="43"/>
      <c r="F87" s="43">
        <v>392</v>
      </c>
      <c r="G87" s="43"/>
      <c r="H87" s="43"/>
      <c r="I87" s="43"/>
      <c r="J87" s="22"/>
    </row>
    <row r="88" spans="1:10" s="4" customFormat="1" x14ac:dyDescent="0.2">
      <c r="A88" s="43">
        <v>79</v>
      </c>
      <c r="B88" s="26" t="s">
        <v>110</v>
      </c>
      <c r="C88" s="43">
        <f t="shared" si="1"/>
        <v>783</v>
      </c>
      <c r="D88" s="43">
        <v>783</v>
      </c>
      <c r="E88" s="43"/>
      <c r="F88" s="43"/>
      <c r="G88" s="43"/>
      <c r="H88" s="43"/>
      <c r="I88" s="43"/>
      <c r="J88" s="22"/>
    </row>
    <row r="89" spans="1:10" s="4" customFormat="1" x14ac:dyDescent="0.2">
      <c r="A89" s="43">
        <v>80</v>
      </c>
      <c r="B89" s="26" t="s">
        <v>111</v>
      </c>
      <c r="C89" s="43">
        <f t="shared" si="1"/>
        <v>5859</v>
      </c>
      <c r="D89" s="43">
        <v>5859</v>
      </c>
      <c r="E89" s="43"/>
      <c r="F89" s="43">
        <v>421</v>
      </c>
      <c r="G89" s="43"/>
      <c r="H89" s="43">
        <v>1003</v>
      </c>
      <c r="I89" s="43"/>
      <c r="J89" s="22"/>
    </row>
    <row r="90" spans="1:10" s="4" customFormat="1" x14ac:dyDescent="0.2">
      <c r="A90" s="43">
        <v>81</v>
      </c>
      <c r="B90" s="26" t="s">
        <v>112</v>
      </c>
      <c r="C90" s="43">
        <f t="shared" si="1"/>
        <v>1748</v>
      </c>
      <c r="D90" s="43">
        <v>1748</v>
      </c>
      <c r="E90" s="43">
        <v>1748</v>
      </c>
      <c r="F90" s="43">
        <v>64</v>
      </c>
      <c r="G90" s="43"/>
      <c r="H90" s="43"/>
      <c r="I90" s="43"/>
      <c r="J90" s="22"/>
    </row>
    <row r="91" spans="1:10" s="4" customFormat="1" x14ac:dyDescent="0.2">
      <c r="A91" s="43">
        <v>82</v>
      </c>
      <c r="B91" s="26" t="s">
        <v>113</v>
      </c>
      <c r="C91" s="43">
        <f t="shared" si="1"/>
        <v>2384</v>
      </c>
      <c r="D91" s="43">
        <v>2384</v>
      </c>
      <c r="E91" s="43"/>
      <c r="F91" s="43">
        <v>159</v>
      </c>
      <c r="G91" s="43"/>
      <c r="H91" s="43">
        <v>420</v>
      </c>
      <c r="I91" s="43"/>
      <c r="J91" s="22"/>
    </row>
    <row r="92" spans="1:10" s="4" customFormat="1" x14ac:dyDescent="0.2">
      <c r="A92" s="43">
        <v>83</v>
      </c>
      <c r="B92" s="26" t="s">
        <v>114</v>
      </c>
      <c r="C92" s="43">
        <f t="shared" si="1"/>
        <v>687</v>
      </c>
      <c r="D92" s="5">
        <v>687</v>
      </c>
      <c r="E92" s="5"/>
      <c r="F92" s="5"/>
      <c r="G92" s="5"/>
      <c r="H92" s="5"/>
      <c r="I92" s="5"/>
      <c r="J92" s="22"/>
    </row>
    <row r="93" spans="1:10" s="4" customFormat="1" x14ac:dyDescent="0.2">
      <c r="A93" s="43">
        <v>84</v>
      </c>
      <c r="B93" s="26" t="s">
        <v>115</v>
      </c>
      <c r="C93" s="43">
        <f t="shared" si="1"/>
        <v>470</v>
      </c>
      <c r="D93" s="5">
        <v>470</v>
      </c>
      <c r="E93" s="5"/>
      <c r="F93" s="5">
        <v>22</v>
      </c>
      <c r="G93" s="5"/>
      <c r="H93" s="5"/>
      <c r="I93" s="5"/>
      <c r="J93" s="22"/>
    </row>
    <row r="94" spans="1:10" s="4" customFormat="1" x14ac:dyDescent="0.2">
      <c r="A94" s="43">
        <v>85</v>
      </c>
      <c r="B94" s="26" t="s">
        <v>116</v>
      </c>
      <c r="C94" s="43">
        <f t="shared" si="1"/>
        <v>262</v>
      </c>
      <c r="D94" s="5">
        <v>262</v>
      </c>
      <c r="E94" s="5"/>
      <c r="F94" s="5"/>
      <c r="G94" s="5"/>
      <c r="H94" s="5"/>
      <c r="I94" s="5"/>
      <c r="J94" s="22"/>
    </row>
    <row r="95" spans="1:10" s="4" customFormat="1" x14ac:dyDescent="0.2">
      <c r="A95" s="43">
        <v>86</v>
      </c>
      <c r="B95" s="26" t="s">
        <v>37</v>
      </c>
      <c r="C95" s="43">
        <f t="shared" si="1"/>
        <v>859</v>
      </c>
      <c r="D95" s="5">
        <v>859</v>
      </c>
      <c r="E95" s="5">
        <v>92</v>
      </c>
      <c r="F95" s="5"/>
      <c r="G95" s="5"/>
      <c r="H95" s="5"/>
      <c r="I95" s="5"/>
      <c r="J95" s="22"/>
    </row>
    <row r="96" spans="1:10" s="4" customFormat="1" x14ac:dyDescent="0.2">
      <c r="A96" s="43">
        <v>87</v>
      </c>
      <c r="B96" s="26" t="s">
        <v>38</v>
      </c>
      <c r="C96" s="43">
        <f t="shared" si="1"/>
        <v>872</v>
      </c>
      <c r="D96" s="43">
        <v>872</v>
      </c>
      <c r="E96" s="43">
        <v>95</v>
      </c>
      <c r="F96" s="43"/>
      <c r="G96" s="43"/>
      <c r="H96" s="43"/>
      <c r="I96" s="43"/>
      <c r="J96" s="22"/>
    </row>
    <row r="97" spans="1:10" s="4" customFormat="1" x14ac:dyDescent="0.2">
      <c r="A97" s="43">
        <v>88</v>
      </c>
      <c r="B97" s="26" t="s">
        <v>39</v>
      </c>
      <c r="C97" s="43">
        <f t="shared" si="1"/>
        <v>2470</v>
      </c>
      <c r="D97" s="5">
        <v>2470</v>
      </c>
      <c r="E97" s="5">
        <v>255</v>
      </c>
      <c r="F97" s="5"/>
      <c r="G97" s="5"/>
      <c r="H97" s="5"/>
      <c r="I97" s="5"/>
      <c r="J97" s="22"/>
    </row>
    <row r="98" spans="1:10" s="4" customFormat="1" x14ac:dyDescent="0.2">
      <c r="A98" s="43">
        <v>89</v>
      </c>
      <c r="B98" s="26" t="s">
        <v>40</v>
      </c>
      <c r="C98" s="43">
        <f t="shared" si="1"/>
        <v>1068</v>
      </c>
      <c r="D98" s="43">
        <v>1068</v>
      </c>
      <c r="E98" s="43">
        <v>111</v>
      </c>
      <c r="F98" s="43"/>
      <c r="G98" s="43"/>
      <c r="H98" s="43"/>
      <c r="I98" s="43"/>
      <c r="J98" s="22"/>
    </row>
    <row r="99" spans="1:10" s="4" customFormat="1" x14ac:dyDescent="0.2">
      <c r="A99" s="43">
        <v>90</v>
      </c>
      <c r="B99" s="26" t="s">
        <v>41</v>
      </c>
      <c r="C99" s="43">
        <f t="shared" si="1"/>
        <v>1300</v>
      </c>
      <c r="D99" s="5">
        <v>1300</v>
      </c>
      <c r="E99" s="5">
        <v>118</v>
      </c>
      <c r="F99" s="5"/>
      <c r="G99" s="5"/>
      <c r="H99" s="5"/>
      <c r="I99" s="5"/>
      <c r="J99" s="22"/>
    </row>
    <row r="100" spans="1:10" s="4" customFormat="1" x14ac:dyDescent="0.2">
      <c r="A100" s="43">
        <v>91</v>
      </c>
      <c r="B100" s="26" t="s">
        <v>42</v>
      </c>
      <c r="C100" s="43">
        <f t="shared" si="1"/>
        <v>2552</v>
      </c>
      <c r="D100" s="5">
        <v>2552</v>
      </c>
      <c r="E100" s="5">
        <v>304</v>
      </c>
      <c r="F100" s="5"/>
      <c r="G100" s="5"/>
      <c r="H100" s="5"/>
      <c r="I100" s="5"/>
      <c r="J100" s="22"/>
    </row>
    <row r="101" spans="1:10" s="4" customFormat="1" x14ac:dyDescent="0.2">
      <c r="A101" s="43">
        <v>92</v>
      </c>
      <c r="B101" s="26" t="s">
        <v>43</v>
      </c>
      <c r="C101" s="43">
        <f t="shared" si="1"/>
        <v>2216</v>
      </c>
      <c r="D101" s="5">
        <v>2216</v>
      </c>
      <c r="E101" s="5">
        <v>230</v>
      </c>
      <c r="F101" s="5"/>
      <c r="G101" s="5"/>
      <c r="H101" s="5"/>
      <c r="I101" s="5"/>
      <c r="J101" s="22"/>
    </row>
    <row r="102" spans="1:10" s="4" customFormat="1" x14ac:dyDescent="0.2">
      <c r="A102" s="43">
        <v>93</v>
      </c>
      <c r="B102" s="26" t="s">
        <v>44</v>
      </c>
      <c r="C102" s="43">
        <f t="shared" si="1"/>
        <v>806</v>
      </c>
      <c r="D102" s="43">
        <v>806</v>
      </c>
      <c r="E102" s="43">
        <v>90</v>
      </c>
      <c r="F102" s="43"/>
      <c r="G102" s="43"/>
      <c r="H102" s="43"/>
      <c r="I102" s="43"/>
      <c r="J102" s="22"/>
    </row>
    <row r="103" spans="1:10" s="4" customFormat="1" x14ac:dyDescent="0.2">
      <c r="A103" s="43">
        <v>94</v>
      </c>
      <c r="B103" s="26" t="s">
        <v>45</v>
      </c>
      <c r="C103" s="43">
        <f t="shared" si="1"/>
        <v>1261</v>
      </c>
      <c r="D103" s="5">
        <v>1261</v>
      </c>
      <c r="E103" s="5">
        <v>125</v>
      </c>
      <c r="F103" s="5"/>
      <c r="G103" s="5"/>
      <c r="H103" s="5"/>
      <c r="I103" s="5"/>
      <c r="J103" s="22"/>
    </row>
    <row r="104" spans="1:10" s="4" customFormat="1" x14ac:dyDescent="0.2">
      <c r="A104" s="43">
        <v>95</v>
      </c>
      <c r="B104" s="26" t="s">
        <v>46</v>
      </c>
      <c r="C104" s="43">
        <f t="shared" si="1"/>
        <v>1207</v>
      </c>
      <c r="D104" s="43">
        <v>1207</v>
      </c>
      <c r="E104" s="43">
        <v>134</v>
      </c>
      <c r="F104" s="43"/>
      <c r="G104" s="43"/>
      <c r="H104" s="43"/>
      <c r="I104" s="43"/>
      <c r="J104" s="22"/>
    </row>
    <row r="105" spans="1:10" s="4" customFormat="1" x14ac:dyDescent="0.2">
      <c r="A105" s="43">
        <v>96</v>
      </c>
      <c r="B105" s="26" t="s">
        <v>47</v>
      </c>
      <c r="C105" s="43">
        <f t="shared" si="1"/>
        <v>1986</v>
      </c>
      <c r="D105" s="43">
        <v>1986</v>
      </c>
      <c r="E105" s="43">
        <v>181</v>
      </c>
      <c r="F105" s="43">
        <v>15</v>
      </c>
      <c r="G105" s="43"/>
      <c r="H105" s="43">
        <v>516</v>
      </c>
      <c r="I105" s="43"/>
      <c r="J105" s="22"/>
    </row>
    <row r="106" spans="1:10" s="4" customFormat="1" x14ac:dyDescent="0.2">
      <c r="A106" s="43">
        <v>97</v>
      </c>
      <c r="B106" s="26" t="s">
        <v>48</v>
      </c>
      <c r="C106" s="43">
        <f t="shared" si="1"/>
        <v>933</v>
      </c>
      <c r="D106" s="5">
        <v>933</v>
      </c>
      <c r="E106" s="5">
        <v>104</v>
      </c>
      <c r="F106" s="5"/>
      <c r="G106" s="5"/>
      <c r="H106" s="5"/>
      <c r="I106" s="5"/>
      <c r="J106" s="22"/>
    </row>
    <row r="107" spans="1:10" s="4" customFormat="1" x14ac:dyDescent="0.2">
      <c r="A107" s="43">
        <v>98</v>
      </c>
      <c r="B107" s="26" t="s">
        <v>49</v>
      </c>
      <c r="C107" s="43">
        <f t="shared" si="1"/>
        <v>1372</v>
      </c>
      <c r="D107" s="5">
        <v>1372</v>
      </c>
      <c r="E107" s="5">
        <v>131</v>
      </c>
      <c r="F107" s="5"/>
      <c r="G107" s="5"/>
      <c r="H107" s="5"/>
      <c r="I107" s="5"/>
      <c r="J107" s="22"/>
    </row>
    <row r="108" spans="1:10" s="4" customFormat="1" x14ac:dyDescent="0.2">
      <c r="A108" s="43">
        <v>99</v>
      </c>
      <c r="B108" s="26" t="s">
        <v>50</v>
      </c>
      <c r="C108" s="43">
        <f t="shared" si="1"/>
        <v>2297</v>
      </c>
      <c r="D108" s="5">
        <v>2297</v>
      </c>
      <c r="E108" s="5">
        <v>228</v>
      </c>
      <c r="F108" s="5"/>
      <c r="G108" s="5"/>
      <c r="H108" s="5"/>
      <c r="I108" s="5"/>
      <c r="J108" s="22"/>
    </row>
    <row r="109" spans="1:10" s="4" customFormat="1" x14ac:dyDescent="0.2">
      <c r="A109" s="43">
        <v>100</v>
      </c>
      <c r="B109" s="26" t="s">
        <v>51</v>
      </c>
      <c r="C109" s="43">
        <f t="shared" si="1"/>
        <v>1099</v>
      </c>
      <c r="D109" s="5">
        <v>1099</v>
      </c>
      <c r="E109" s="5">
        <v>111</v>
      </c>
      <c r="F109" s="5"/>
      <c r="G109" s="5"/>
      <c r="H109" s="5"/>
      <c r="I109" s="5"/>
      <c r="J109" s="22"/>
    </row>
    <row r="110" spans="1:10" s="4" customFormat="1" ht="24" x14ac:dyDescent="0.2">
      <c r="A110" s="43">
        <v>101</v>
      </c>
      <c r="B110" s="33" t="s">
        <v>117</v>
      </c>
      <c r="C110" s="43">
        <f t="shared" si="1"/>
        <v>996</v>
      </c>
      <c r="D110" s="5">
        <v>996</v>
      </c>
      <c r="E110" s="5"/>
      <c r="F110" s="5">
        <v>150</v>
      </c>
      <c r="G110" s="5"/>
      <c r="H110" s="5"/>
      <c r="I110" s="5"/>
      <c r="J110" s="22"/>
    </row>
    <row r="111" spans="1:10" s="4" customFormat="1" x14ac:dyDescent="0.2">
      <c r="A111" s="43">
        <v>102</v>
      </c>
      <c r="B111" s="26" t="s">
        <v>118</v>
      </c>
      <c r="C111" s="43">
        <f t="shared" si="1"/>
        <v>314</v>
      </c>
      <c r="D111" s="5">
        <f>315-1</f>
        <v>314</v>
      </c>
      <c r="E111" s="5"/>
      <c r="F111" s="5"/>
      <c r="G111" s="5"/>
      <c r="H111" s="5"/>
      <c r="I111" s="5"/>
      <c r="J111" s="22"/>
    </row>
    <row r="112" spans="1:10" s="4" customFormat="1" x14ac:dyDescent="0.2">
      <c r="A112" s="12">
        <v>103</v>
      </c>
      <c r="B112" s="26" t="s">
        <v>199</v>
      </c>
      <c r="C112" s="43">
        <f t="shared" si="1"/>
        <v>582</v>
      </c>
      <c r="D112" s="5">
        <f>405+177</f>
        <v>582</v>
      </c>
      <c r="E112" s="5"/>
      <c r="F112" s="5"/>
      <c r="G112" s="5">
        <f>405+177</f>
        <v>582</v>
      </c>
      <c r="H112" s="5"/>
      <c r="I112" s="5"/>
      <c r="J112" s="22"/>
    </row>
    <row r="113" spans="1:10" x14ac:dyDescent="0.2">
      <c r="A113" s="43">
        <v>104</v>
      </c>
      <c r="B113" s="34" t="s">
        <v>119</v>
      </c>
      <c r="C113" s="43">
        <f t="shared" si="1"/>
        <v>20</v>
      </c>
      <c r="D113" s="12">
        <v>20</v>
      </c>
      <c r="E113" s="12"/>
      <c r="F113" s="12"/>
      <c r="G113" s="34"/>
      <c r="H113" s="34"/>
      <c r="I113" s="34"/>
    </row>
    <row r="114" spans="1:10" s="4" customFormat="1" x14ac:dyDescent="0.2">
      <c r="A114" s="43">
        <v>105</v>
      </c>
      <c r="B114" s="26" t="s">
        <v>120</v>
      </c>
      <c r="C114" s="43">
        <f>C115+C116</f>
        <v>1963</v>
      </c>
      <c r="D114" s="43">
        <f>D115+D116</f>
        <v>1963</v>
      </c>
      <c r="E114" s="43"/>
      <c r="F114" s="5"/>
      <c r="G114" s="5"/>
      <c r="H114" s="5"/>
      <c r="I114" s="5"/>
      <c r="J114" s="22"/>
    </row>
    <row r="115" spans="1:10" s="4" customFormat="1" ht="15" customHeight="1" x14ac:dyDescent="0.2">
      <c r="A115" s="43"/>
      <c r="B115" s="35" t="s">
        <v>121</v>
      </c>
      <c r="C115" s="43">
        <f t="shared" ref="C115:C121" si="2">D115+I115</f>
        <v>1893</v>
      </c>
      <c r="D115" s="5">
        <f>1896-1-2</f>
        <v>1893</v>
      </c>
      <c r="E115" s="5"/>
      <c r="F115" s="5"/>
      <c r="G115" s="5"/>
      <c r="H115" s="5"/>
      <c r="I115" s="5"/>
      <c r="J115" s="22"/>
    </row>
    <row r="116" spans="1:10" s="4" customFormat="1" ht="15" customHeight="1" x14ac:dyDescent="0.2">
      <c r="A116" s="43"/>
      <c r="B116" s="35" t="s">
        <v>122</v>
      </c>
      <c r="C116" s="43">
        <f t="shared" si="2"/>
        <v>70</v>
      </c>
      <c r="D116" s="5">
        <v>70</v>
      </c>
      <c r="E116" s="5"/>
      <c r="F116" s="5"/>
      <c r="G116" s="5"/>
      <c r="H116" s="5"/>
      <c r="I116" s="5"/>
      <c r="J116" s="22"/>
    </row>
    <row r="117" spans="1:10" s="4" customFormat="1" x14ac:dyDescent="0.2">
      <c r="A117" s="43">
        <v>106</v>
      </c>
      <c r="B117" s="26" t="s">
        <v>200</v>
      </c>
      <c r="C117" s="43">
        <f t="shared" si="2"/>
        <v>479</v>
      </c>
      <c r="D117" s="5">
        <f>607-128</f>
        <v>479</v>
      </c>
      <c r="E117" s="5"/>
      <c r="F117" s="5"/>
      <c r="G117" s="5">
        <f>607-128</f>
        <v>479</v>
      </c>
      <c r="H117" s="5"/>
      <c r="I117" s="5"/>
      <c r="J117" s="22"/>
    </row>
    <row r="118" spans="1:10" s="4" customFormat="1" x14ac:dyDescent="0.2">
      <c r="A118" s="43">
        <v>107</v>
      </c>
      <c r="B118" s="26" t="s">
        <v>123</v>
      </c>
      <c r="C118" s="43">
        <f t="shared" si="2"/>
        <v>32</v>
      </c>
      <c r="D118" s="5">
        <v>32</v>
      </c>
      <c r="E118" s="5"/>
      <c r="F118" s="5"/>
      <c r="G118" s="5"/>
      <c r="H118" s="5"/>
      <c r="I118" s="5"/>
      <c r="J118" s="22"/>
    </row>
    <row r="119" spans="1:10" s="4" customFormat="1" x14ac:dyDescent="0.2">
      <c r="A119" s="43">
        <v>108</v>
      </c>
      <c r="B119" s="26" t="s">
        <v>124</v>
      </c>
      <c r="C119" s="43">
        <f t="shared" si="2"/>
        <v>472</v>
      </c>
      <c r="D119" s="5">
        <f>475-2-1</f>
        <v>472</v>
      </c>
      <c r="E119" s="5"/>
      <c r="F119" s="5"/>
      <c r="G119" s="5"/>
      <c r="H119" s="5"/>
      <c r="I119" s="5"/>
      <c r="J119" s="22"/>
    </row>
    <row r="120" spans="1:10" s="4" customFormat="1" x14ac:dyDescent="0.2">
      <c r="A120" s="43">
        <v>109</v>
      </c>
      <c r="B120" s="26" t="s">
        <v>201</v>
      </c>
      <c r="C120" s="43">
        <f t="shared" si="2"/>
        <v>425</v>
      </c>
      <c r="D120" s="5">
        <f>485-60</f>
        <v>425</v>
      </c>
      <c r="E120" s="5"/>
      <c r="F120" s="5"/>
      <c r="G120" s="5">
        <f>405-60</f>
        <v>345</v>
      </c>
      <c r="H120" s="5"/>
      <c r="I120" s="5"/>
      <c r="J120" s="22"/>
    </row>
    <row r="121" spans="1:10" s="4" customFormat="1" x14ac:dyDescent="0.2">
      <c r="A121" s="43">
        <v>110</v>
      </c>
      <c r="B121" s="26" t="s">
        <v>125</v>
      </c>
      <c r="C121" s="43">
        <f t="shared" si="2"/>
        <v>846</v>
      </c>
      <c r="D121" s="5">
        <v>846</v>
      </c>
      <c r="E121" s="5"/>
      <c r="F121" s="5"/>
      <c r="G121" s="5"/>
      <c r="H121" s="5"/>
      <c r="I121" s="5"/>
      <c r="J121" s="22"/>
    </row>
    <row r="122" spans="1:10" s="4" customFormat="1" x14ac:dyDescent="0.2">
      <c r="A122" s="43">
        <v>111</v>
      </c>
      <c r="B122" s="26" t="s">
        <v>126</v>
      </c>
      <c r="C122" s="43">
        <f>C123+C124</f>
        <v>1463</v>
      </c>
      <c r="D122" s="43">
        <f t="shared" ref="D122" si="3">D123+D124</f>
        <v>1463</v>
      </c>
      <c r="E122" s="43"/>
      <c r="F122" s="5"/>
      <c r="G122" s="5"/>
      <c r="H122" s="5"/>
      <c r="I122" s="5"/>
      <c r="J122" s="22"/>
    </row>
    <row r="123" spans="1:10" s="4" customFormat="1" x14ac:dyDescent="0.2">
      <c r="A123" s="43"/>
      <c r="B123" s="26" t="s">
        <v>127</v>
      </c>
      <c r="C123" s="43">
        <f>D123+I123</f>
        <v>1224</v>
      </c>
      <c r="D123" s="5">
        <v>1224</v>
      </c>
      <c r="E123" s="5"/>
      <c r="F123" s="5"/>
      <c r="G123" s="5"/>
      <c r="H123" s="5"/>
      <c r="I123" s="5"/>
      <c r="J123" s="22"/>
    </row>
    <row r="124" spans="1:10" s="4" customFormat="1" x14ac:dyDescent="0.2">
      <c r="A124" s="43"/>
      <c r="B124" s="26" t="s">
        <v>128</v>
      </c>
      <c r="C124" s="43">
        <f>D124+I124</f>
        <v>239</v>
      </c>
      <c r="D124" s="5">
        <v>239</v>
      </c>
      <c r="E124" s="5"/>
      <c r="F124" s="5"/>
      <c r="G124" s="5"/>
      <c r="H124" s="5"/>
      <c r="I124" s="5"/>
      <c r="J124" s="22"/>
    </row>
    <row r="125" spans="1:10" s="4" customFormat="1" x14ac:dyDescent="0.2">
      <c r="A125" s="43">
        <v>112</v>
      </c>
      <c r="B125" s="26" t="s">
        <v>129</v>
      </c>
      <c r="C125" s="43">
        <f>D125+I125</f>
        <v>10219</v>
      </c>
      <c r="D125" s="5">
        <v>10219</v>
      </c>
      <c r="E125" s="5"/>
      <c r="F125" s="5"/>
      <c r="G125" s="5"/>
      <c r="H125" s="5">
        <v>10219</v>
      </c>
      <c r="I125" s="5"/>
      <c r="J125" s="22"/>
    </row>
    <row r="126" spans="1:10" s="4" customFormat="1" x14ac:dyDescent="0.2">
      <c r="A126" s="43">
        <v>113</v>
      </c>
      <c r="B126" s="26" t="s">
        <v>130</v>
      </c>
      <c r="C126" s="43">
        <f>D126+I126</f>
        <v>360</v>
      </c>
      <c r="D126" s="5">
        <v>360</v>
      </c>
      <c r="E126" s="5"/>
      <c r="F126" s="5"/>
      <c r="G126" s="5"/>
      <c r="H126" s="5"/>
      <c r="I126" s="5"/>
      <c r="J126" s="22"/>
    </row>
    <row r="127" spans="1:10" s="4" customFormat="1" x14ac:dyDescent="0.2">
      <c r="A127" s="43">
        <v>114</v>
      </c>
      <c r="B127" s="26" t="s">
        <v>131</v>
      </c>
      <c r="C127" s="43">
        <f>C128+C129</f>
        <v>3407</v>
      </c>
      <c r="D127" s="43">
        <f t="shared" ref="D127:F127" si="4">D128+D129</f>
        <v>3407</v>
      </c>
      <c r="E127" s="43">
        <f t="shared" si="4"/>
        <v>3407</v>
      </c>
      <c r="F127" s="43">
        <f t="shared" si="4"/>
        <v>872</v>
      </c>
      <c r="G127" s="43"/>
      <c r="H127" s="43">
        <f t="shared" ref="H127" si="5">H128+H129</f>
        <v>74</v>
      </c>
      <c r="I127" s="43"/>
      <c r="J127" s="22"/>
    </row>
    <row r="128" spans="1:10" s="4" customFormat="1" x14ac:dyDescent="0.2">
      <c r="A128" s="43"/>
      <c r="B128" s="26" t="s">
        <v>132</v>
      </c>
      <c r="C128" s="43">
        <f t="shared" ref="C128:C138" si="6">D128+I128</f>
        <v>3281</v>
      </c>
      <c r="D128" s="5">
        <v>3281</v>
      </c>
      <c r="E128" s="5">
        <v>3281</v>
      </c>
      <c r="F128" s="5">
        <v>872</v>
      </c>
      <c r="G128" s="5"/>
      <c r="H128" s="5">
        <v>74</v>
      </c>
      <c r="I128" s="5"/>
      <c r="J128" s="22"/>
    </row>
    <row r="129" spans="1:11" s="4" customFormat="1" x14ac:dyDescent="0.2">
      <c r="A129" s="43"/>
      <c r="B129" s="35" t="s">
        <v>133</v>
      </c>
      <c r="C129" s="43">
        <f t="shared" si="6"/>
        <v>126</v>
      </c>
      <c r="D129" s="5">
        <f>45+81</f>
        <v>126</v>
      </c>
      <c r="E129" s="5">
        <f>45+81</f>
        <v>126</v>
      </c>
      <c r="F129" s="5"/>
      <c r="G129" s="5"/>
      <c r="H129" s="5"/>
      <c r="I129" s="5"/>
      <c r="J129" s="22"/>
      <c r="K129" s="2"/>
    </row>
    <row r="130" spans="1:11" s="4" customFormat="1" x14ac:dyDescent="0.2">
      <c r="A130" s="43">
        <v>115</v>
      </c>
      <c r="B130" s="26" t="s">
        <v>134</v>
      </c>
      <c r="C130" s="43">
        <f t="shared" si="6"/>
        <v>6960</v>
      </c>
      <c r="D130" s="5">
        <f>6980-20</f>
        <v>6960</v>
      </c>
      <c r="E130" s="5"/>
      <c r="F130" s="5"/>
      <c r="G130" s="5"/>
      <c r="H130" s="5"/>
      <c r="I130" s="5"/>
      <c r="J130" s="22"/>
    </row>
    <row r="131" spans="1:11" s="4" customFormat="1" x14ac:dyDescent="0.2">
      <c r="A131" s="43">
        <v>116</v>
      </c>
      <c r="B131" s="26" t="s">
        <v>135</v>
      </c>
      <c r="C131" s="43">
        <f t="shared" si="6"/>
        <v>1724</v>
      </c>
      <c r="D131" s="5">
        <v>1724</v>
      </c>
      <c r="E131" s="5"/>
      <c r="F131" s="5"/>
      <c r="G131" s="5"/>
      <c r="H131" s="5"/>
      <c r="I131" s="5"/>
      <c r="J131" s="22"/>
    </row>
    <row r="132" spans="1:11" s="4" customFormat="1" x14ac:dyDescent="0.2">
      <c r="A132" s="43">
        <v>117</v>
      </c>
      <c r="B132" s="26" t="s">
        <v>136</v>
      </c>
      <c r="C132" s="43">
        <f t="shared" si="6"/>
        <v>2914</v>
      </c>
      <c r="D132" s="5">
        <f>2614+300</f>
        <v>2914</v>
      </c>
      <c r="E132" s="5"/>
      <c r="F132" s="5"/>
      <c r="G132" s="5"/>
      <c r="H132" s="5"/>
      <c r="I132" s="5"/>
      <c r="J132" s="22"/>
    </row>
    <row r="133" spans="1:11" s="4" customFormat="1" x14ac:dyDescent="0.2">
      <c r="A133" s="43">
        <v>118</v>
      </c>
      <c r="B133" s="31" t="s">
        <v>137</v>
      </c>
      <c r="C133" s="43">
        <f t="shared" si="6"/>
        <v>596</v>
      </c>
      <c r="D133" s="5">
        <f>608-12</f>
        <v>596</v>
      </c>
      <c r="E133" s="5"/>
      <c r="F133" s="5"/>
      <c r="G133" s="5">
        <f>608-12</f>
        <v>596</v>
      </c>
      <c r="H133" s="5"/>
      <c r="I133" s="5"/>
      <c r="J133" s="22"/>
    </row>
    <row r="134" spans="1:11" s="4" customFormat="1" x14ac:dyDescent="0.2">
      <c r="A134" s="43">
        <v>119</v>
      </c>
      <c r="B134" s="26" t="s">
        <v>138</v>
      </c>
      <c r="C134" s="43">
        <f t="shared" si="6"/>
        <v>821</v>
      </c>
      <c r="D134" s="5">
        <v>821</v>
      </c>
      <c r="E134" s="5"/>
      <c r="F134" s="5">
        <v>821</v>
      </c>
      <c r="G134" s="5"/>
      <c r="H134" s="5"/>
      <c r="I134" s="5"/>
      <c r="J134" s="22"/>
    </row>
    <row r="135" spans="1:11" s="4" customFormat="1" x14ac:dyDescent="0.2">
      <c r="A135" s="7">
        <v>120</v>
      </c>
      <c r="B135" s="26" t="s">
        <v>139</v>
      </c>
      <c r="C135" s="43">
        <f t="shared" si="6"/>
        <v>1163</v>
      </c>
      <c r="D135" s="5">
        <v>1163</v>
      </c>
      <c r="E135" s="5"/>
      <c r="F135" s="5">
        <v>563</v>
      </c>
      <c r="G135" s="5"/>
      <c r="H135" s="5"/>
      <c r="I135" s="5"/>
      <c r="J135" s="22"/>
    </row>
    <row r="136" spans="1:11" s="4" customFormat="1" x14ac:dyDescent="0.2">
      <c r="A136" s="282">
        <v>121</v>
      </c>
      <c r="B136" s="26" t="s">
        <v>140</v>
      </c>
      <c r="C136" s="43">
        <f t="shared" si="6"/>
        <v>3542</v>
      </c>
      <c r="D136" s="5">
        <v>3542</v>
      </c>
      <c r="E136" s="5"/>
      <c r="F136" s="5">
        <v>135</v>
      </c>
      <c r="G136" s="5"/>
      <c r="H136" s="5">
        <v>576</v>
      </c>
      <c r="I136" s="5"/>
      <c r="J136" s="22"/>
    </row>
    <row r="137" spans="1:11" s="30" customFormat="1" ht="25.5" customHeight="1" x14ac:dyDescent="0.2">
      <c r="A137" s="290"/>
      <c r="B137" s="32" t="s">
        <v>141</v>
      </c>
      <c r="C137" s="28">
        <f t="shared" si="6"/>
        <v>3470</v>
      </c>
      <c r="D137" s="36">
        <v>3470</v>
      </c>
      <c r="E137" s="36">
        <v>441</v>
      </c>
      <c r="F137" s="36"/>
      <c r="G137" s="36"/>
      <c r="H137" s="36"/>
      <c r="I137" s="36"/>
      <c r="J137" s="29"/>
    </row>
    <row r="138" spans="1:11" s="4" customFormat="1" x14ac:dyDescent="0.2">
      <c r="A138" s="43">
        <v>122</v>
      </c>
      <c r="B138" s="26" t="s">
        <v>142</v>
      </c>
      <c r="C138" s="43">
        <f t="shared" si="6"/>
        <v>267</v>
      </c>
      <c r="D138" s="5">
        <f>259+4+4</f>
        <v>267</v>
      </c>
      <c r="E138" s="5"/>
      <c r="F138" s="5"/>
      <c r="G138" s="5"/>
      <c r="H138" s="5"/>
      <c r="I138" s="5"/>
      <c r="J138" s="22"/>
    </row>
    <row r="139" spans="1:11" s="4" customFormat="1" ht="13.5" customHeight="1" x14ac:dyDescent="0.2">
      <c r="A139" s="7">
        <v>123</v>
      </c>
      <c r="B139" s="33" t="s">
        <v>143</v>
      </c>
      <c r="C139" s="43">
        <f>C141+C142+C143</f>
        <v>4492</v>
      </c>
      <c r="D139" s="43">
        <f t="shared" ref="D139:I139" si="7">D141+D142+D143</f>
        <v>4057</v>
      </c>
      <c r="E139" s="43">
        <f t="shared" si="7"/>
        <v>0</v>
      </c>
      <c r="F139" s="43">
        <f t="shared" si="7"/>
        <v>0</v>
      </c>
      <c r="G139" s="43">
        <f t="shared" si="7"/>
        <v>0</v>
      </c>
      <c r="H139" s="43">
        <f t="shared" si="7"/>
        <v>4057</v>
      </c>
      <c r="I139" s="43">
        <f t="shared" si="7"/>
        <v>435</v>
      </c>
      <c r="J139" s="22"/>
    </row>
    <row r="140" spans="1:11" s="4" customFormat="1" x14ac:dyDescent="0.2">
      <c r="A140" s="37"/>
      <c r="B140" s="33" t="s">
        <v>144</v>
      </c>
      <c r="C140" s="43"/>
      <c r="D140" s="43"/>
      <c r="E140" s="43"/>
      <c r="F140" s="37"/>
      <c r="G140" s="37"/>
      <c r="H140" s="37"/>
      <c r="I140" s="37"/>
      <c r="J140" s="22"/>
    </row>
    <row r="141" spans="1:11" s="4" customFormat="1" ht="14.25" customHeight="1" x14ac:dyDescent="0.2">
      <c r="A141" s="37"/>
      <c r="B141" s="33" t="s">
        <v>145</v>
      </c>
      <c r="C141" s="43">
        <f t="shared" ref="C141:C145" si="8">D141+I141</f>
        <v>360</v>
      </c>
      <c r="D141" s="43"/>
      <c r="E141" s="43"/>
      <c r="F141" s="37"/>
      <c r="G141" s="37"/>
      <c r="H141" s="37"/>
      <c r="I141" s="5">
        <v>360</v>
      </c>
      <c r="J141" s="22"/>
    </row>
    <row r="142" spans="1:11" s="4" customFormat="1" ht="13.5" customHeight="1" x14ac:dyDescent="0.2">
      <c r="A142" s="37"/>
      <c r="B142" s="33" t="s">
        <v>146</v>
      </c>
      <c r="C142" s="43">
        <f t="shared" si="8"/>
        <v>75</v>
      </c>
      <c r="D142" s="43"/>
      <c r="E142" s="43"/>
      <c r="F142" s="37"/>
      <c r="G142" s="37"/>
      <c r="H142" s="37"/>
      <c r="I142" s="5">
        <v>75</v>
      </c>
      <c r="J142" s="22"/>
    </row>
    <row r="143" spans="1:11" s="4" customFormat="1" ht="13.5" customHeight="1" x14ac:dyDescent="0.2">
      <c r="A143" s="37"/>
      <c r="B143" s="38" t="s">
        <v>147</v>
      </c>
      <c r="C143" s="43">
        <f t="shared" si="8"/>
        <v>4057</v>
      </c>
      <c r="D143" s="43">
        <f>5166-1109</f>
        <v>4057</v>
      </c>
      <c r="E143" s="43"/>
      <c r="F143" s="37"/>
      <c r="G143" s="37"/>
      <c r="H143" s="7">
        <v>4057</v>
      </c>
      <c r="I143" s="5"/>
      <c r="J143" s="22"/>
    </row>
    <row r="144" spans="1:11" s="4" customFormat="1" ht="13.5" customHeight="1" x14ac:dyDescent="0.2">
      <c r="A144" s="37">
        <v>124</v>
      </c>
      <c r="B144" s="33" t="s">
        <v>148</v>
      </c>
      <c r="C144" s="43">
        <f t="shared" si="8"/>
        <v>20</v>
      </c>
      <c r="D144" s="43">
        <v>20</v>
      </c>
      <c r="E144" s="43"/>
      <c r="F144" s="37"/>
      <c r="G144" s="37"/>
      <c r="H144" s="37"/>
      <c r="I144" s="5"/>
      <c r="J144" s="22"/>
    </row>
    <row r="145" spans="1:11" s="4" customFormat="1" x14ac:dyDescent="0.2">
      <c r="A145" s="37"/>
      <c r="B145" s="26" t="s">
        <v>149</v>
      </c>
      <c r="C145" s="43">
        <f t="shared" si="8"/>
        <v>2705</v>
      </c>
      <c r="D145" s="43">
        <f>298+3157+3+4-820+40+23</f>
        <v>2705</v>
      </c>
      <c r="E145" s="43"/>
      <c r="F145" s="43"/>
      <c r="G145" s="43">
        <v>23</v>
      </c>
      <c r="H145" s="43"/>
      <c r="I145" s="43"/>
      <c r="J145" s="39"/>
    </row>
    <row r="146" spans="1:11" s="4" customFormat="1" x14ac:dyDescent="0.2">
      <c r="A146" s="40"/>
      <c r="B146" s="41" t="s">
        <v>52</v>
      </c>
      <c r="C146" s="40">
        <f>SUM(C6:C139)-C114-C122-C127+C145+C144</f>
        <v>251996</v>
      </c>
      <c r="D146" s="40">
        <f t="shared" ref="D146:I146" si="9">SUM(D6:D139)-D114-D122-D127+D145+D144</f>
        <v>251561</v>
      </c>
      <c r="E146" s="40">
        <f t="shared" si="9"/>
        <v>32708</v>
      </c>
      <c r="F146" s="40">
        <f t="shared" si="9"/>
        <v>5017</v>
      </c>
      <c r="G146" s="40">
        <f t="shared" si="9"/>
        <v>2025</v>
      </c>
      <c r="H146" s="40">
        <f t="shared" si="9"/>
        <v>29619</v>
      </c>
      <c r="I146" s="40">
        <f t="shared" si="9"/>
        <v>435</v>
      </c>
      <c r="J146" s="42"/>
      <c r="K146" s="42"/>
    </row>
  </sheetData>
  <mergeCells count="14">
    <mergeCell ref="A136:A137"/>
    <mergeCell ref="A1:I1"/>
    <mergeCell ref="G2:I2"/>
    <mergeCell ref="A3:A4"/>
    <mergeCell ref="B3:B4"/>
    <mergeCell ref="C3:C4"/>
    <mergeCell ref="D3:D4"/>
    <mergeCell ref="E3:H3"/>
    <mergeCell ref="I3:I4"/>
    <mergeCell ref="J4:K4"/>
    <mergeCell ref="A8:A9"/>
    <mergeCell ref="A33:A34"/>
    <mergeCell ref="A39:A40"/>
    <mergeCell ref="A42:A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54" sqref="C54:S54"/>
    </sheetView>
  </sheetViews>
  <sheetFormatPr defaultRowHeight="12" x14ac:dyDescent="0.2"/>
  <cols>
    <col min="1" max="1" width="4.42578125" style="3" customWidth="1"/>
    <col min="2" max="2" width="30.85546875" style="1" customWidth="1"/>
    <col min="3" max="3" width="9.140625" style="2" customWidth="1"/>
    <col min="4" max="4" width="7.140625" style="2" customWidth="1"/>
    <col min="5" max="5" width="8.42578125" style="2" customWidth="1"/>
    <col min="6" max="6" width="8.85546875" style="2" customWidth="1"/>
    <col min="7" max="7" width="8.42578125" style="2" customWidth="1"/>
    <col min="8" max="8" width="6.7109375" style="2" customWidth="1"/>
    <col min="9" max="10" width="8.42578125" style="2" customWidth="1"/>
    <col min="11" max="11" width="8.140625" style="2" customWidth="1"/>
    <col min="12" max="12" width="7.28515625" style="2" customWidth="1"/>
    <col min="13" max="13" width="8.85546875" style="2" customWidth="1"/>
    <col min="14" max="14" width="8.140625" style="2" customWidth="1"/>
    <col min="15" max="15" width="10.5703125" style="2" customWidth="1"/>
    <col min="16" max="16" width="7.5703125" style="2" customWidth="1"/>
    <col min="17" max="17" width="7.28515625" style="2" customWidth="1"/>
    <col min="18" max="18" width="8.140625" style="2" customWidth="1"/>
    <col min="19" max="19" width="9.28515625" style="3" customWidth="1"/>
    <col min="20" max="20" width="9.5703125" style="1" bestFit="1" customWidth="1"/>
    <col min="21" max="21" width="11.85546875" style="1" customWidth="1"/>
    <col min="22" max="16384" width="9.140625" style="1"/>
  </cols>
  <sheetData>
    <row r="1" spans="1:20" ht="18.75" x14ac:dyDescent="0.2">
      <c r="A1" s="292" t="s">
        <v>170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20" x14ac:dyDescent="0.2">
      <c r="S2" s="2" t="s">
        <v>158</v>
      </c>
    </row>
    <row r="3" spans="1:20" s="9" customFormat="1" x14ac:dyDescent="0.25">
      <c r="A3" s="299" t="s">
        <v>0</v>
      </c>
      <c r="B3" s="299" t="s">
        <v>61</v>
      </c>
      <c r="C3" s="294" t="s">
        <v>171</v>
      </c>
      <c r="D3" s="301"/>
      <c r="E3" s="301"/>
      <c r="F3" s="302"/>
      <c r="G3" s="294" t="s">
        <v>172</v>
      </c>
      <c r="H3" s="301"/>
      <c r="I3" s="301"/>
      <c r="J3" s="302"/>
      <c r="K3" s="294" t="s">
        <v>173</v>
      </c>
      <c r="L3" s="301"/>
      <c r="M3" s="302"/>
      <c r="N3" s="303" t="s">
        <v>174</v>
      </c>
      <c r="O3" s="303" t="s">
        <v>175</v>
      </c>
      <c r="P3" s="305" t="s">
        <v>176</v>
      </c>
      <c r="Q3" s="306"/>
      <c r="R3" s="307"/>
      <c r="S3" s="299" t="s">
        <v>150</v>
      </c>
    </row>
    <row r="4" spans="1:20" s="9" customFormat="1" ht="24" x14ac:dyDescent="0.25">
      <c r="A4" s="300"/>
      <c r="B4" s="300"/>
      <c r="C4" s="5" t="s">
        <v>177</v>
      </c>
      <c r="D4" s="5" t="s">
        <v>178</v>
      </c>
      <c r="E4" s="43" t="s">
        <v>179</v>
      </c>
      <c r="F4" s="43" t="s">
        <v>151</v>
      </c>
      <c r="G4" s="5" t="s">
        <v>177</v>
      </c>
      <c r="H4" s="5" t="s">
        <v>178</v>
      </c>
      <c r="I4" s="43" t="s">
        <v>179</v>
      </c>
      <c r="J4" s="43" t="s">
        <v>151</v>
      </c>
      <c r="K4" s="10" t="s">
        <v>180</v>
      </c>
      <c r="L4" s="43" t="s">
        <v>181</v>
      </c>
      <c r="M4" s="43" t="s">
        <v>151</v>
      </c>
      <c r="N4" s="304"/>
      <c r="O4" s="304"/>
      <c r="P4" s="11" t="s">
        <v>182</v>
      </c>
      <c r="Q4" s="11" t="s">
        <v>183</v>
      </c>
      <c r="R4" s="43" t="s">
        <v>151</v>
      </c>
      <c r="S4" s="300"/>
    </row>
    <row r="5" spans="1:20" x14ac:dyDescent="0.2">
      <c r="A5" s="12">
        <v>1</v>
      </c>
      <c r="B5" s="13" t="s">
        <v>28</v>
      </c>
      <c r="C5" s="14">
        <v>1605</v>
      </c>
      <c r="D5" s="14">
        <v>198</v>
      </c>
      <c r="E5" s="14"/>
      <c r="F5" s="7">
        <f t="shared" ref="F5:F30" si="0">C5+D5+E5</f>
        <v>1803</v>
      </c>
      <c r="G5" s="7"/>
      <c r="H5" s="7"/>
      <c r="I5" s="7"/>
      <c r="J5" s="7">
        <f>G5+H5+I5</f>
        <v>0</v>
      </c>
      <c r="K5" s="7"/>
      <c r="L5" s="7"/>
      <c r="M5" s="7"/>
      <c r="N5" s="7"/>
      <c r="O5" s="7"/>
      <c r="P5" s="7"/>
      <c r="Q5" s="7"/>
      <c r="R5" s="7">
        <f>P5+Q5</f>
        <v>0</v>
      </c>
      <c r="S5" s="7">
        <f>F5+J5+M5+N5+O5+R5</f>
        <v>1803</v>
      </c>
      <c r="T5" s="4"/>
    </row>
    <row r="6" spans="1:20" x14ac:dyDescent="0.2">
      <c r="A6" s="12">
        <v>2</v>
      </c>
      <c r="B6" s="13" t="s">
        <v>13</v>
      </c>
      <c r="C6" s="14">
        <v>2625</v>
      </c>
      <c r="D6" s="14"/>
      <c r="E6" s="14">
        <v>102</v>
      </c>
      <c r="F6" s="7">
        <f t="shared" si="0"/>
        <v>2727</v>
      </c>
      <c r="G6" s="7"/>
      <c r="H6" s="7"/>
      <c r="I6" s="7"/>
      <c r="J6" s="7">
        <f t="shared" ref="J6:J53" si="1">G6+H6+I6</f>
        <v>0</v>
      </c>
      <c r="K6" s="7"/>
      <c r="L6" s="7"/>
      <c r="M6" s="7"/>
      <c r="N6" s="7"/>
      <c r="O6" s="7"/>
      <c r="P6" s="7">
        <f>2200-200</f>
        <v>2000</v>
      </c>
      <c r="Q6" s="7">
        <f>2200-400</f>
        <v>1800</v>
      </c>
      <c r="R6" s="7">
        <f t="shared" ref="R6:R53" si="2">P6+Q6</f>
        <v>3800</v>
      </c>
      <c r="S6" s="7">
        <f t="shared" ref="S6:S53" si="3">F6+J6+M6+N6+O6+R6</f>
        <v>6527</v>
      </c>
      <c r="T6" s="4"/>
    </row>
    <row r="7" spans="1:20" x14ac:dyDescent="0.2">
      <c r="A7" s="12">
        <v>3</v>
      </c>
      <c r="B7" s="15" t="s">
        <v>14</v>
      </c>
      <c r="C7" s="14">
        <v>397</v>
      </c>
      <c r="D7" s="14">
        <v>33</v>
      </c>
      <c r="E7" s="14"/>
      <c r="F7" s="7">
        <f t="shared" si="0"/>
        <v>430</v>
      </c>
      <c r="G7" s="7"/>
      <c r="H7" s="7"/>
      <c r="I7" s="7"/>
      <c r="J7" s="7">
        <f t="shared" si="1"/>
        <v>0</v>
      </c>
      <c r="K7" s="7"/>
      <c r="L7" s="7"/>
      <c r="M7" s="7"/>
      <c r="N7" s="7"/>
      <c r="O7" s="7"/>
      <c r="P7" s="7"/>
      <c r="Q7" s="7"/>
      <c r="R7" s="7">
        <f t="shared" si="2"/>
        <v>0</v>
      </c>
      <c r="S7" s="7">
        <f t="shared" si="3"/>
        <v>430</v>
      </c>
      <c r="T7" s="4"/>
    </row>
    <row r="8" spans="1:20" x14ac:dyDescent="0.2">
      <c r="A8" s="12">
        <v>4</v>
      </c>
      <c r="B8" s="13" t="s">
        <v>1</v>
      </c>
      <c r="C8" s="14">
        <v>2000</v>
      </c>
      <c r="D8" s="14"/>
      <c r="E8" s="14">
        <v>157</v>
      </c>
      <c r="F8" s="7">
        <f t="shared" si="0"/>
        <v>2157</v>
      </c>
      <c r="G8" s="7"/>
      <c r="H8" s="7"/>
      <c r="I8" s="7"/>
      <c r="J8" s="7">
        <f t="shared" si="1"/>
        <v>0</v>
      </c>
      <c r="K8" s="7"/>
      <c r="L8" s="7"/>
      <c r="M8" s="7"/>
      <c r="N8" s="7"/>
      <c r="O8" s="7"/>
      <c r="P8" s="7">
        <f>1300-250</f>
        <v>1050</v>
      </c>
      <c r="Q8" s="7">
        <f>1300-300</f>
        <v>1000</v>
      </c>
      <c r="R8" s="7">
        <f t="shared" si="2"/>
        <v>2050</v>
      </c>
      <c r="S8" s="7">
        <f t="shared" si="3"/>
        <v>4207</v>
      </c>
      <c r="T8" s="4"/>
    </row>
    <row r="9" spans="1:20" x14ac:dyDescent="0.2">
      <c r="A9" s="12">
        <v>5</v>
      </c>
      <c r="B9" s="13" t="s">
        <v>2</v>
      </c>
      <c r="C9" s="14">
        <v>1610</v>
      </c>
      <c r="D9" s="14"/>
      <c r="E9" s="14">
        <v>193</v>
      </c>
      <c r="F9" s="7">
        <f t="shared" si="0"/>
        <v>1803</v>
      </c>
      <c r="G9" s="7"/>
      <c r="H9" s="7"/>
      <c r="I9" s="7"/>
      <c r="J9" s="7">
        <f t="shared" si="1"/>
        <v>0</v>
      </c>
      <c r="K9" s="7"/>
      <c r="L9" s="7"/>
      <c r="M9" s="7"/>
      <c r="N9" s="7"/>
      <c r="O9" s="7"/>
      <c r="P9" s="7"/>
      <c r="Q9" s="7"/>
      <c r="R9" s="7">
        <f t="shared" si="2"/>
        <v>0</v>
      </c>
      <c r="S9" s="7">
        <f t="shared" si="3"/>
        <v>1803</v>
      </c>
      <c r="T9" s="4"/>
    </row>
    <row r="10" spans="1:20" x14ac:dyDescent="0.2">
      <c r="A10" s="12">
        <v>6</v>
      </c>
      <c r="B10" s="13" t="s">
        <v>156</v>
      </c>
      <c r="C10" s="14">
        <v>2200</v>
      </c>
      <c r="D10" s="14"/>
      <c r="E10" s="14">
        <f>230-193</f>
        <v>37</v>
      </c>
      <c r="F10" s="7">
        <f t="shared" si="0"/>
        <v>2237</v>
      </c>
      <c r="G10" s="7"/>
      <c r="H10" s="7"/>
      <c r="I10" s="7"/>
      <c r="J10" s="7">
        <f t="shared" si="1"/>
        <v>0</v>
      </c>
      <c r="K10" s="7"/>
      <c r="L10" s="7"/>
      <c r="M10" s="7"/>
      <c r="N10" s="7"/>
      <c r="O10" s="7"/>
      <c r="P10" s="7">
        <v>2500</v>
      </c>
      <c r="Q10" s="7">
        <v>2500</v>
      </c>
      <c r="R10" s="7">
        <f t="shared" si="2"/>
        <v>5000</v>
      </c>
      <c r="S10" s="7">
        <f t="shared" si="3"/>
        <v>7237</v>
      </c>
      <c r="T10" s="4"/>
    </row>
    <row r="11" spans="1:20" x14ac:dyDescent="0.2">
      <c r="A11" s="12">
        <v>7</v>
      </c>
      <c r="B11" s="13" t="s">
        <v>47</v>
      </c>
      <c r="C11" s="14">
        <v>900</v>
      </c>
      <c r="D11" s="14">
        <v>400</v>
      </c>
      <c r="E11" s="14"/>
      <c r="F11" s="7">
        <f t="shared" si="0"/>
        <v>1300</v>
      </c>
      <c r="G11" s="7"/>
      <c r="H11" s="7"/>
      <c r="I11" s="7"/>
      <c r="J11" s="7">
        <f t="shared" si="1"/>
        <v>0</v>
      </c>
      <c r="K11" s="7"/>
      <c r="L11" s="7"/>
      <c r="M11" s="7"/>
      <c r="N11" s="7"/>
      <c r="O11" s="7"/>
      <c r="P11" s="7">
        <f>1100-150</f>
        <v>950</v>
      </c>
      <c r="Q11" s="7">
        <f>1100-150</f>
        <v>950</v>
      </c>
      <c r="R11" s="7">
        <f t="shared" si="2"/>
        <v>1900</v>
      </c>
      <c r="S11" s="7">
        <f t="shared" si="3"/>
        <v>3200</v>
      </c>
      <c r="T11" s="4"/>
    </row>
    <row r="12" spans="1:20" x14ac:dyDescent="0.2">
      <c r="A12" s="12">
        <v>8</v>
      </c>
      <c r="B12" s="13" t="s">
        <v>184</v>
      </c>
      <c r="C12" s="14">
        <v>364</v>
      </c>
      <c r="D12" s="14"/>
      <c r="E12" s="14"/>
      <c r="F12" s="7">
        <f t="shared" si="0"/>
        <v>364</v>
      </c>
      <c r="G12" s="7"/>
      <c r="H12" s="7"/>
      <c r="I12" s="7"/>
      <c r="J12" s="7">
        <f t="shared" si="1"/>
        <v>0</v>
      </c>
      <c r="K12" s="7"/>
      <c r="L12" s="7"/>
      <c r="M12" s="7"/>
      <c r="N12" s="7"/>
      <c r="O12" s="7"/>
      <c r="P12" s="7"/>
      <c r="Q12" s="7"/>
      <c r="R12" s="7">
        <f t="shared" si="2"/>
        <v>0</v>
      </c>
      <c r="S12" s="7">
        <f t="shared" si="3"/>
        <v>364</v>
      </c>
      <c r="T12" s="4"/>
    </row>
    <row r="13" spans="1:20" x14ac:dyDescent="0.2">
      <c r="A13" s="12">
        <v>9</v>
      </c>
      <c r="B13" s="13" t="s">
        <v>161</v>
      </c>
      <c r="C13" s="14">
        <v>1500</v>
      </c>
      <c r="D13" s="14">
        <v>100</v>
      </c>
      <c r="E13" s="14">
        <v>100</v>
      </c>
      <c r="F13" s="7">
        <f t="shared" si="0"/>
        <v>1700</v>
      </c>
      <c r="G13" s="7"/>
      <c r="H13" s="7"/>
      <c r="I13" s="7"/>
      <c r="J13" s="7">
        <f t="shared" si="1"/>
        <v>0</v>
      </c>
      <c r="K13" s="7"/>
      <c r="L13" s="7"/>
      <c r="M13" s="7"/>
      <c r="N13" s="7"/>
      <c r="O13" s="7"/>
      <c r="P13" s="7">
        <f>2000-400</f>
        <v>1600</v>
      </c>
      <c r="Q13" s="7">
        <f>2000-400</f>
        <v>1600</v>
      </c>
      <c r="R13" s="7">
        <f t="shared" si="2"/>
        <v>3200</v>
      </c>
      <c r="S13" s="7">
        <f t="shared" si="3"/>
        <v>4900</v>
      </c>
      <c r="T13" s="4"/>
    </row>
    <row r="14" spans="1:20" x14ac:dyDescent="0.2">
      <c r="A14" s="12">
        <v>10</v>
      </c>
      <c r="B14" s="16" t="s">
        <v>185</v>
      </c>
      <c r="C14" s="14"/>
      <c r="D14" s="14"/>
      <c r="E14" s="14"/>
      <c r="F14" s="7">
        <f t="shared" si="0"/>
        <v>0</v>
      </c>
      <c r="G14" s="7">
        <v>625</v>
      </c>
      <c r="H14" s="7"/>
      <c r="I14" s="7"/>
      <c r="J14" s="7">
        <f t="shared" si="1"/>
        <v>625</v>
      </c>
      <c r="K14" s="7"/>
      <c r="L14" s="7"/>
      <c r="M14" s="7"/>
      <c r="N14" s="7"/>
      <c r="O14" s="7"/>
      <c r="P14" s="7"/>
      <c r="Q14" s="7"/>
      <c r="R14" s="7">
        <f t="shared" si="2"/>
        <v>0</v>
      </c>
      <c r="S14" s="7">
        <f t="shared" si="3"/>
        <v>625</v>
      </c>
      <c r="T14" s="4"/>
    </row>
    <row r="15" spans="1:20" x14ac:dyDescent="0.2">
      <c r="A15" s="12">
        <v>11</v>
      </c>
      <c r="B15" s="13" t="s">
        <v>12</v>
      </c>
      <c r="C15" s="14">
        <v>1650</v>
      </c>
      <c r="D15" s="14">
        <v>125</v>
      </c>
      <c r="E15" s="14">
        <v>30</v>
      </c>
      <c r="F15" s="7">
        <f t="shared" si="0"/>
        <v>1805</v>
      </c>
      <c r="G15" s="7"/>
      <c r="H15" s="7"/>
      <c r="I15" s="7"/>
      <c r="J15" s="7">
        <f t="shared" si="1"/>
        <v>0</v>
      </c>
      <c r="K15" s="7"/>
      <c r="L15" s="7"/>
      <c r="M15" s="7"/>
      <c r="N15" s="7"/>
      <c r="O15" s="7"/>
      <c r="P15" s="7"/>
      <c r="Q15" s="7"/>
      <c r="R15" s="7">
        <f t="shared" si="2"/>
        <v>0</v>
      </c>
      <c r="S15" s="7">
        <f t="shared" si="3"/>
        <v>1805</v>
      </c>
      <c r="T15" s="4"/>
    </row>
    <row r="16" spans="1:20" x14ac:dyDescent="0.2">
      <c r="A16" s="12">
        <v>12</v>
      </c>
      <c r="B16" s="13" t="s">
        <v>157</v>
      </c>
      <c r="C16" s="14">
        <f>3200+180</f>
        <v>3380</v>
      </c>
      <c r="D16" s="14">
        <f>260-130</f>
        <v>130</v>
      </c>
      <c r="E16" s="14">
        <f>100-50</f>
        <v>50</v>
      </c>
      <c r="F16" s="7">
        <f t="shared" si="0"/>
        <v>3560</v>
      </c>
      <c r="G16" s="7">
        <v>1440</v>
      </c>
      <c r="H16" s="7">
        <v>100</v>
      </c>
      <c r="I16" s="7"/>
      <c r="J16" s="7">
        <f t="shared" si="1"/>
        <v>1540</v>
      </c>
      <c r="K16" s="7"/>
      <c r="L16" s="7"/>
      <c r="M16" s="7"/>
      <c r="N16" s="7">
        <v>6000</v>
      </c>
      <c r="O16" s="7"/>
      <c r="P16" s="7"/>
      <c r="Q16" s="7"/>
      <c r="R16" s="7">
        <f t="shared" si="2"/>
        <v>0</v>
      </c>
      <c r="S16" s="7">
        <f t="shared" si="3"/>
        <v>11100</v>
      </c>
      <c r="T16" s="4"/>
    </row>
    <row r="17" spans="1:20" x14ac:dyDescent="0.2">
      <c r="A17" s="12">
        <v>13</v>
      </c>
      <c r="B17" s="13" t="s">
        <v>186</v>
      </c>
      <c r="C17" s="14">
        <v>2475</v>
      </c>
      <c r="D17" s="14">
        <v>260</v>
      </c>
      <c r="E17" s="14"/>
      <c r="F17" s="7">
        <f t="shared" si="0"/>
        <v>2735</v>
      </c>
      <c r="G17" s="7"/>
      <c r="H17" s="7"/>
      <c r="I17" s="7"/>
      <c r="J17" s="7">
        <f t="shared" si="1"/>
        <v>0</v>
      </c>
      <c r="K17" s="7"/>
      <c r="L17" s="7"/>
      <c r="M17" s="7"/>
      <c r="N17" s="7"/>
      <c r="O17" s="7"/>
      <c r="P17" s="7">
        <f>5500-1500</f>
        <v>4000</v>
      </c>
      <c r="Q17" s="7">
        <f>5500-2000</f>
        <v>3500</v>
      </c>
      <c r="R17" s="7">
        <f t="shared" si="2"/>
        <v>7500</v>
      </c>
      <c r="S17" s="7">
        <f t="shared" si="3"/>
        <v>10235</v>
      </c>
      <c r="T17" s="4"/>
    </row>
    <row r="18" spans="1:20" x14ac:dyDescent="0.2">
      <c r="A18" s="12">
        <v>14</v>
      </c>
      <c r="B18" s="13" t="s">
        <v>19</v>
      </c>
      <c r="C18" s="14">
        <v>651</v>
      </c>
      <c r="D18" s="14">
        <v>185</v>
      </c>
      <c r="E18" s="14"/>
      <c r="F18" s="7">
        <f t="shared" si="0"/>
        <v>836</v>
      </c>
      <c r="G18" s="7"/>
      <c r="H18" s="7"/>
      <c r="I18" s="7"/>
      <c r="J18" s="7">
        <f t="shared" si="1"/>
        <v>0</v>
      </c>
      <c r="K18" s="7"/>
      <c r="L18" s="7"/>
      <c r="M18" s="7"/>
      <c r="N18" s="7"/>
      <c r="O18" s="7"/>
      <c r="P18" s="7"/>
      <c r="Q18" s="7"/>
      <c r="R18" s="7">
        <f t="shared" si="2"/>
        <v>0</v>
      </c>
      <c r="S18" s="7">
        <f t="shared" si="3"/>
        <v>836</v>
      </c>
      <c r="T18" s="4"/>
    </row>
    <row r="19" spans="1:20" x14ac:dyDescent="0.2">
      <c r="A19" s="12">
        <v>15</v>
      </c>
      <c r="B19" s="13" t="s">
        <v>163</v>
      </c>
      <c r="C19" s="14">
        <v>2500</v>
      </c>
      <c r="D19" s="14">
        <v>248</v>
      </c>
      <c r="E19" s="14"/>
      <c r="F19" s="7">
        <f t="shared" si="0"/>
        <v>2748</v>
      </c>
      <c r="G19" s="7"/>
      <c r="H19" s="7"/>
      <c r="I19" s="7"/>
      <c r="J19" s="7">
        <f t="shared" si="1"/>
        <v>0</v>
      </c>
      <c r="K19" s="7"/>
      <c r="L19" s="7"/>
      <c r="M19" s="7"/>
      <c r="N19" s="7"/>
      <c r="O19" s="7"/>
      <c r="P19" s="7">
        <f>1600-600</f>
        <v>1000</v>
      </c>
      <c r="Q19" s="7">
        <f>1600-250</f>
        <v>1350</v>
      </c>
      <c r="R19" s="7">
        <f t="shared" si="2"/>
        <v>2350</v>
      </c>
      <c r="S19" s="7">
        <f t="shared" si="3"/>
        <v>5098</v>
      </c>
      <c r="T19" s="4"/>
    </row>
    <row r="20" spans="1:20" x14ac:dyDescent="0.2">
      <c r="A20" s="12">
        <v>16</v>
      </c>
      <c r="B20" s="13" t="s">
        <v>20</v>
      </c>
      <c r="C20" s="14">
        <v>2600</v>
      </c>
      <c r="D20" s="14"/>
      <c r="E20" s="14">
        <v>274</v>
      </c>
      <c r="F20" s="7">
        <f t="shared" si="0"/>
        <v>2874</v>
      </c>
      <c r="G20" s="7"/>
      <c r="H20" s="7"/>
      <c r="I20" s="7"/>
      <c r="J20" s="7">
        <f t="shared" si="1"/>
        <v>0</v>
      </c>
      <c r="K20" s="7"/>
      <c r="L20" s="7"/>
      <c r="M20" s="7"/>
      <c r="N20" s="7"/>
      <c r="O20" s="7"/>
      <c r="P20" s="7"/>
      <c r="Q20" s="7"/>
      <c r="R20" s="7">
        <f t="shared" si="2"/>
        <v>0</v>
      </c>
      <c r="S20" s="7">
        <f t="shared" si="3"/>
        <v>2874</v>
      </c>
      <c r="T20" s="4"/>
    </row>
    <row r="21" spans="1:20" x14ac:dyDescent="0.2">
      <c r="A21" s="12">
        <v>17</v>
      </c>
      <c r="B21" s="13" t="s">
        <v>162</v>
      </c>
      <c r="C21" s="14">
        <v>4050</v>
      </c>
      <c r="D21" s="14">
        <v>367</v>
      </c>
      <c r="E21" s="14"/>
      <c r="F21" s="7">
        <f t="shared" si="0"/>
        <v>4417</v>
      </c>
      <c r="G21" s="7"/>
      <c r="H21" s="7"/>
      <c r="I21" s="7"/>
      <c r="J21" s="7">
        <f t="shared" si="1"/>
        <v>0</v>
      </c>
      <c r="K21" s="7"/>
      <c r="L21" s="7"/>
      <c r="M21" s="7"/>
      <c r="N21" s="7"/>
      <c r="O21" s="7"/>
      <c r="P21" s="7"/>
      <c r="Q21" s="7"/>
      <c r="R21" s="7">
        <f t="shared" si="2"/>
        <v>0</v>
      </c>
      <c r="S21" s="7">
        <f t="shared" si="3"/>
        <v>4417</v>
      </c>
      <c r="T21" s="4"/>
    </row>
    <row r="22" spans="1:20" x14ac:dyDescent="0.2">
      <c r="A22" s="12">
        <v>18</v>
      </c>
      <c r="B22" s="13" t="s">
        <v>187</v>
      </c>
      <c r="C22" s="14"/>
      <c r="D22" s="14"/>
      <c r="E22" s="14"/>
      <c r="F22" s="7">
        <f t="shared" si="0"/>
        <v>0</v>
      </c>
      <c r="G22" s="7"/>
      <c r="H22" s="7"/>
      <c r="I22" s="7"/>
      <c r="J22" s="7">
        <f t="shared" si="1"/>
        <v>0</v>
      </c>
      <c r="K22" s="7"/>
      <c r="L22" s="7"/>
      <c r="M22" s="7"/>
      <c r="N22" s="7"/>
      <c r="O22" s="7"/>
      <c r="P22" s="7">
        <f>2500-400</f>
        <v>2100</v>
      </c>
      <c r="Q22" s="7">
        <f>2500-1000</f>
        <v>1500</v>
      </c>
      <c r="R22" s="7">
        <f t="shared" si="2"/>
        <v>3600</v>
      </c>
      <c r="S22" s="7">
        <f t="shared" si="3"/>
        <v>3600</v>
      </c>
      <c r="T22" s="4"/>
    </row>
    <row r="23" spans="1:20" x14ac:dyDescent="0.2">
      <c r="A23" s="12">
        <v>19</v>
      </c>
      <c r="B23" s="15" t="s">
        <v>27</v>
      </c>
      <c r="C23" s="14">
        <v>1290</v>
      </c>
      <c r="D23" s="14"/>
      <c r="E23" s="14"/>
      <c r="F23" s="7">
        <f t="shared" si="0"/>
        <v>1290</v>
      </c>
      <c r="G23" s="7"/>
      <c r="H23" s="7"/>
      <c r="I23" s="7"/>
      <c r="J23" s="7">
        <f t="shared" si="1"/>
        <v>0</v>
      </c>
      <c r="K23" s="7"/>
      <c r="L23" s="7"/>
      <c r="M23" s="7"/>
      <c r="N23" s="7"/>
      <c r="O23" s="7"/>
      <c r="P23" s="7">
        <f>1800-700</f>
        <v>1100</v>
      </c>
      <c r="Q23" s="7">
        <f>1800-800</f>
        <v>1000</v>
      </c>
      <c r="R23" s="7">
        <f t="shared" si="2"/>
        <v>2100</v>
      </c>
      <c r="S23" s="7">
        <f t="shared" si="3"/>
        <v>3390</v>
      </c>
      <c r="T23" s="4"/>
    </row>
    <row r="24" spans="1:20" x14ac:dyDescent="0.2">
      <c r="A24" s="12">
        <v>20</v>
      </c>
      <c r="B24" s="17" t="s">
        <v>188</v>
      </c>
      <c r="C24" s="14">
        <v>1920</v>
      </c>
      <c r="D24" s="14">
        <v>223</v>
      </c>
      <c r="E24" s="14"/>
      <c r="F24" s="7">
        <f t="shared" si="0"/>
        <v>2143</v>
      </c>
      <c r="G24" s="7"/>
      <c r="H24" s="7"/>
      <c r="I24" s="7"/>
      <c r="J24" s="7">
        <f t="shared" si="1"/>
        <v>0</v>
      </c>
      <c r="K24" s="7"/>
      <c r="L24" s="7"/>
      <c r="M24" s="7"/>
      <c r="N24" s="7"/>
      <c r="O24" s="7"/>
      <c r="P24" s="7">
        <f>2100-300</f>
        <v>1800</v>
      </c>
      <c r="Q24" s="7">
        <f>2100-100</f>
        <v>2000</v>
      </c>
      <c r="R24" s="7">
        <f t="shared" si="2"/>
        <v>3800</v>
      </c>
      <c r="S24" s="7">
        <f t="shared" si="3"/>
        <v>5943</v>
      </c>
      <c r="T24" s="4"/>
    </row>
    <row r="25" spans="1:20" x14ac:dyDescent="0.2">
      <c r="A25" s="12">
        <v>21</v>
      </c>
      <c r="B25" s="13" t="s">
        <v>164</v>
      </c>
      <c r="C25" s="14">
        <v>1200</v>
      </c>
      <c r="D25" s="14"/>
      <c r="E25" s="14"/>
      <c r="F25" s="7">
        <f t="shared" si="0"/>
        <v>1200</v>
      </c>
      <c r="G25" s="7"/>
      <c r="H25" s="7"/>
      <c r="I25" s="7"/>
      <c r="J25" s="7">
        <f t="shared" si="1"/>
        <v>0</v>
      </c>
      <c r="K25" s="7"/>
      <c r="L25" s="7"/>
      <c r="M25" s="7"/>
      <c r="N25" s="7"/>
      <c r="O25" s="7"/>
      <c r="P25" s="7"/>
      <c r="Q25" s="7"/>
      <c r="R25" s="7">
        <f t="shared" si="2"/>
        <v>0</v>
      </c>
      <c r="S25" s="7">
        <f t="shared" si="3"/>
        <v>1200</v>
      </c>
      <c r="T25" s="4"/>
    </row>
    <row r="26" spans="1:20" x14ac:dyDescent="0.2">
      <c r="A26" s="12">
        <v>23</v>
      </c>
      <c r="B26" s="13" t="s">
        <v>165</v>
      </c>
      <c r="C26" s="14">
        <v>5500</v>
      </c>
      <c r="D26" s="14">
        <v>295</v>
      </c>
      <c r="E26" s="14">
        <v>20</v>
      </c>
      <c r="F26" s="7">
        <f t="shared" si="0"/>
        <v>5815</v>
      </c>
      <c r="G26" s="7"/>
      <c r="H26" s="7"/>
      <c r="I26" s="7"/>
      <c r="J26" s="7">
        <f t="shared" si="1"/>
        <v>0</v>
      </c>
      <c r="K26" s="7"/>
      <c r="L26" s="7"/>
      <c r="M26" s="7"/>
      <c r="N26" s="7"/>
      <c r="O26" s="7"/>
      <c r="P26" s="7"/>
      <c r="Q26" s="7"/>
      <c r="R26" s="7">
        <f t="shared" si="2"/>
        <v>0</v>
      </c>
      <c r="S26" s="7">
        <f t="shared" si="3"/>
        <v>5815</v>
      </c>
      <c r="T26" s="4"/>
    </row>
    <row r="27" spans="1:20" x14ac:dyDescent="0.2">
      <c r="A27" s="12">
        <v>24</v>
      </c>
      <c r="B27" s="13" t="s">
        <v>189</v>
      </c>
      <c r="C27" s="14"/>
      <c r="D27" s="14"/>
      <c r="E27" s="14"/>
      <c r="F27" s="7">
        <f t="shared" si="0"/>
        <v>0</v>
      </c>
      <c r="G27" s="7"/>
      <c r="H27" s="7"/>
      <c r="I27" s="7"/>
      <c r="J27" s="7">
        <f t="shared" si="1"/>
        <v>0</v>
      </c>
      <c r="K27" s="7"/>
      <c r="L27" s="7"/>
      <c r="M27" s="7"/>
      <c r="N27" s="7"/>
      <c r="O27" s="7"/>
      <c r="P27" s="7">
        <f>3000-1400</f>
        <v>1600</v>
      </c>
      <c r="Q27" s="7">
        <f>3000-1400</f>
        <v>1600</v>
      </c>
      <c r="R27" s="7">
        <f t="shared" si="2"/>
        <v>3200</v>
      </c>
      <c r="S27" s="7">
        <f t="shared" si="3"/>
        <v>3200</v>
      </c>
      <c r="T27" s="4"/>
    </row>
    <row r="28" spans="1:20" x14ac:dyDescent="0.2">
      <c r="A28" s="12">
        <v>25</v>
      </c>
      <c r="B28" s="13" t="s">
        <v>190</v>
      </c>
      <c r="C28" s="14">
        <v>3300</v>
      </c>
      <c r="D28" s="14">
        <v>393</v>
      </c>
      <c r="E28" s="14"/>
      <c r="F28" s="7">
        <f t="shared" si="0"/>
        <v>3693</v>
      </c>
      <c r="G28" s="7"/>
      <c r="H28" s="7"/>
      <c r="I28" s="7"/>
      <c r="J28" s="7">
        <f t="shared" si="1"/>
        <v>0</v>
      </c>
      <c r="K28" s="7"/>
      <c r="L28" s="7"/>
      <c r="M28" s="7"/>
      <c r="N28" s="7"/>
      <c r="O28" s="7"/>
      <c r="P28" s="7"/>
      <c r="Q28" s="7"/>
      <c r="R28" s="7">
        <f t="shared" si="2"/>
        <v>0</v>
      </c>
      <c r="S28" s="7">
        <f t="shared" si="3"/>
        <v>3693</v>
      </c>
      <c r="T28" s="4"/>
    </row>
    <row r="29" spans="1:20" x14ac:dyDescent="0.2">
      <c r="A29" s="12">
        <v>27</v>
      </c>
      <c r="B29" s="13" t="s">
        <v>166</v>
      </c>
      <c r="C29" s="14">
        <v>870</v>
      </c>
      <c r="D29" s="14">
        <v>150</v>
      </c>
      <c r="E29" s="14"/>
      <c r="F29" s="7">
        <f t="shared" si="0"/>
        <v>1020</v>
      </c>
      <c r="G29" s="7"/>
      <c r="H29" s="7"/>
      <c r="I29" s="7"/>
      <c r="J29" s="7">
        <f t="shared" si="1"/>
        <v>0</v>
      </c>
      <c r="K29" s="7"/>
      <c r="L29" s="7"/>
      <c r="M29" s="7"/>
      <c r="N29" s="7"/>
      <c r="O29" s="7"/>
      <c r="P29" s="7"/>
      <c r="Q29" s="7"/>
      <c r="R29" s="7">
        <f t="shared" si="2"/>
        <v>0</v>
      </c>
      <c r="S29" s="7">
        <f t="shared" si="3"/>
        <v>1020</v>
      </c>
      <c r="T29" s="4"/>
    </row>
    <row r="30" spans="1:20" x14ac:dyDescent="0.2">
      <c r="A30" s="12">
        <v>28</v>
      </c>
      <c r="B30" s="13" t="s">
        <v>167</v>
      </c>
      <c r="C30" s="14">
        <f>2800+2</f>
        <v>2802</v>
      </c>
      <c r="D30" s="14">
        <v>300</v>
      </c>
      <c r="E30" s="14">
        <v>123</v>
      </c>
      <c r="F30" s="7">
        <f t="shared" si="0"/>
        <v>3225</v>
      </c>
      <c r="G30" s="7"/>
      <c r="H30" s="7"/>
      <c r="I30" s="7"/>
      <c r="J30" s="7">
        <f t="shared" si="1"/>
        <v>0</v>
      </c>
      <c r="K30" s="7"/>
      <c r="L30" s="7"/>
      <c r="M30" s="7"/>
      <c r="N30" s="7"/>
      <c r="O30" s="7"/>
      <c r="P30" s="7">
        <f>3300-1150</f>
        <v>2150</v>
      </c>
      <c r="Q30" s="7">
        <f>3300-1250</f>
        <v>2050</v>
      </c>
      <c r="R30" s="7">
        <f t="shared" si="2"/>
        <v>4200</v>
      </c>
      <c r="S30" s="7">
        <f t="shared" si="3"/>
        <v>7425</v>
      </c>
      <c r="T30" s="4"/>
    </row>
    <row r="31" spans="1:20" x14ac:dyDescent="0.2">
      <c r="A31" s="12">
        <v>29</v>
      </c>
      <c r="B31" s="13" t="s">
        <v>191</v>
      </c>
      <c r="C31" s="14">
        <v>2300</v>
      </c>
      <c r="D31" s="14">
        <v>65</v>
      </c>
      <c r="E31" s="14">
        <v>5</v>
      </c>
      <c r="F31" s="7">
        <f>C31+D31+E31</f>
        <v>2370</v>
      </c>
      <c r="G31" s="7"/>
      <c r="H31" s="7"/>
      <c r="I31" s="7"/>
      <c r="J31" s="7">
        <f t="shared" si="1"/>
        <v>0</v>
      </c>
      <c r="K31" s="7"/>
      <c r="L31" s="7"/>
      <c r="M31" s="7"/>
      <c r="N31" s="7"/>
      <c r="O31" s="7"/>
      <c r="P31" s="7"/>
      <c r="Q31" s="7"/>
      <c r="R31" s="7">
        <f t="shared" si="2"/>
        <v>0</v>
      </c>
      <c r="S31" s="7">
        <f t="shared" si="3"/>
        <v>2370</v>
      </c>
      <c r="T31" s="4"/>
    </row>
    <row r="32" spans="1:20" x14ac:dyDescent="0.2">
      <c r="A32" s="12">
        <v>30</v>
      </c>
      <c r="B32" s="13" t="s">
        <v>155</v>
      </c>
      <c r="C32" s="14">
        <v>3500</v>
      </c>
      <c r="D32" s="14">
        <v>390</v>
      </c>
      <c r="E32" s="14">
        <v>200</v>
      </c>
      <c r="F32" s="7">
        <f>C32+D32+E32</f>
        <v>4090</v>
      </c>
      <c r="G32" s="7">
        <v>3544</v>
      </c>
      <c r="H32" s="7"/>
      <c r="I32" s="7">
        <v>300</v>
      </c>
      <c r="J32" s="7">
        <f t="shared" si="1"/>
        <v>3844</v>
      </c>
      <c r="K32" s="7"/>
      <c r="L32" s="7"/>
      <c r="M32" s="7"/>
      <c r="N32" s="7"/>
      <c r="O32" s="7"/>
      <c r="P32" s="7"/>
      <c r="Q32" s="7"/>
      <c r="R32" s="7">
        <f t="shared" si="2"/>
        <v>0</v>
      </c>
      <c r="S32" s="7">
        <f t="shared" si="3"/>
        <v>7934</v>
      </c>
      <c r="T32" s="4"/>
    </row>
    <row r="33" spans="1:20" x14ac:dyDescent="0.2">
      <c r="A33" s="12">
        <v>31</v>
      </c>
      <c r="B33" s="13" t="s">
        <v>168</v>
      </c>
      <c r="C33" s="14"/>
      <c r="D33" s="14"/>
      <c r="E33" s="14"/>
      <c r="F33" s="7">
        <f t="shared" ref="F33:F53" si="4">C33+D33+E33</f>
        <v>0</v>
      </c>
      <c r="G33" s="7"/>
      <c r="H33" s="7"/>
      <c r="I33" s="7"/>
      <c r="J33" s="7">
        <f t="shared" si="1"/>
        <v>0</v>
      </c>
      <c r="K33" s="7"/>
      <c r="L33" s="7"/>
      <c r="M33" s="7"/>
      <c r="N33" s="7"/>
      <c r="O33" s="7"/>
      <c r="P33" s="7">
        <f>2100-100</f>
        <v>2000</v>
      </c>
      <c r="Q33" s="7">
        <f>2100-100</f>
        <v>2000</v>
      </c>
      <c r="R33" s="7">
        <f t="shared" si="2"/>
        <v>4000</v>
      </c>
      <c r="S33" s="7">
        <f t="shared" si="3"/>
        <v>4000</v>
      </c>
      <c r="T33" s="4"/>
    </row>
    <row r="34" spans="1:20" x14ac:dyDescent="0.2">
      <c r="A34" s="12">
        <v>33</v>
      </c>
      <c r="B34" s="13" t="s">
        <v>115</v>
      </c>
      <c r="C34" s="14">
        <v>6500</v>
      </c>
      <c r="D34" s="14"/>
      <c r="E34" s="14">
        <v>2130</v>
      </c>
      <c r="F34" s="7">
        <f t="shared" si="4"/>
        <v>8630</v>
      </c>
      <c r="G34" s="7">
        <v>2106</v>
      </c>
      <c r="H34" s="7">
        <v>100</v>
      </c>
      <c r="I34" s="7"/>
      <c r="J34" s="7">
        <f t="shared" si="1"/>
        <v>2206</v>
      </c>
      <c r="K34" s="7"/>
      <c r="L34" s="7"/>
      <c r="M34" s="7"/>
      <c r="N34" s="7"/>
      <c r="O34" s="7"/>
      <c r="P34" s="7"/>
      <c r="Q34" s="7"/>
      <c r="R34" s="7">
        <f t="shared" si="2"/>
        <v>0</v>
      </c>
      <c r="S34" s="7">
        <f t="shared" si="3"/>
        <v>10836</v>
      </c>
      <c r="T34" s="4"/>
    </row>
    <row r="35" spans="1:20" x14ac:dyDescent="0.2">
      <c r="A35" s="12">
        <v>34</v>
      </c>
      <c r="B35" s="18" t="s">
        <v>192</v>
      </c>
      <c r="C35" s="14"/>
      <c r="D35" s="14"/>
      <c r="E35" s="14"/>
      <c r="F35" s="7">
        <f t="shared" si="4"/>
        <v>0</v>
      </c>
      <c r="G35" s="7">
        <v>700</v>
      </c>
      <c r="H35" s="7">
        <v>39</v>
      </c>
      <c r="I35" s="7"/>
      <c r="J35" s="7">
        <f t="shared" si="1"/>
        <v>739</v>
      </c>
      <c r="K35" s="7"/>
      <c r="L35" s="7"/>
      <c r="M35" s="7"/>
      <c r="N35" s="7"/>
      <c r="O35" s="7"/>
      <c r="P35" s="7"/>
      <c r="Q35" s="7"/>
      <c r="R35" s="7">
        <f t="shared" si="2"/>
        <v>0</v>
      </c>
      <c r="S35" s="7">
        <f t="shared" si="3"/>
        <v>739</v>
      </c>
      <c r="T35" s="4"/>
    </row>
    <row r="36" spans="1:20" x14ac:dyDescent="0.2">
      <c r="A36" s="12">
        <v>36</v>
      </c>
      <c r="B36" s="18" t="s">
        <v>193</v>
      </c>
      <c r="C36" s="14"/>
      <c r="D36" s="14"/>
      <c r="E36" s="14"/>
      <c r="F36" s="7">
        <f t="shared" si="4"/>
        <v>0</v>
      </c>
      <c r="G36" s="7">
        <v>390</v>
      </c>
      <c r="H36" s="7"/>
      <c r="I36" s="7"/>
      <c r="J36" s="7">
        <f t="shared" si="1"/>
        <v>390</v>
      </c>
      <c r="K36" s="7"/>
      <c r="L36" s="7"/>
      <c r="M36" s="7"/>
      <c r="N36" s="7"/>
      <c r="O36" s="7"/>
      <c r="P36" s="7"/>
      <c r="Q36" s="7"/>
      <c r="R36" s="7">
        <f t="shared" si="2"/>
        <v>0</v>
      </c>
      <c r="S36" s="7">
        <f t="shared" si="3"/>
        <v>390</v>
      </c>
      <c r="T36" s="4"/>
    </row>
    <row r="37" spans="1:20" x14ac:dyDescent="0.2">
      <c r="A37" s="12">
        <v>37</v>
      </c>
      <c r="B37" s="18" t="s">
        <v>194</v>
      </c>
      <c r="C37" s="14">
        <v>920</v>
      </c>
      <c r="D37" s="14">
        <v>90</v>
      </c>
      <c r="E37" s="14"/>
      <c r="F37" s="7">
        <f t="shared" si="4"/>
        <v>1010</v>
      </c>
      <c r="G37" s="7">
        <f>875-127</f>
        <v>748</v>
      </c>
      <c r="H37" s="7">
        <f>36+60</f>
        <v>96</v>
      </c>
      <c r="I37" s="7"/>
      <c r="J37" s="7">
        <f t="shared" si="1"/>
        <v>844</v>
      </c>
      <c r="K37" s="7"/>
      <c r="L37" s="7"/>
      <c r="M37" s="7"/>
      <c r="N37" s="7"/>
      <c r="O37" s="7"/>
      <c r="P37" s="7"/>
      <c r="Q37" s="7"/>
      <c r="R37" s="7">
        <f t="shared" si="2"/>
        <v>0</v>
      </c>
      <c r="S37" s="7">
        <f t="shared" si="3"/>
        <v>1854</v>
      </c>
      <c r="T37" s="4"/>
    </row>
    <row r="38" spans="1:20" x14ac:dyDescent="0.2">
      <c r="A38" s="12">
        <v>38</v>
      </c>
      <c r="B38" s="13" t="s">
        <v>160</v>
      </c>
      <c r="C38" s="14">
        <v>9000</v>
      </c>
      <c r="D38" s="14"/>
      <c r="E38" s="14">
        <f>1300+400</f>
        <v>1700</v>
      </c>
      <c r="F38" s="7">
        <f t="shared" si="4"/>
        <v>10700</v>
      </c>
      <c r="G38" s="7">
        <f>5000-948</f>
        <v>4052</v>
      </c>
      <c r="H38" s="7"/>
      <c r="I38" s="7">
        <f>700-50</f>
        <v>650</v>
      </c>
      <c r="J38" s="7">
        <f t="shared" si="1"/>
        <v>4702</v>
      </c>
      <c r="K38" s="7">
        <v>3400</v>
      </c>
      <c r="L38" s="7">
        <v>1440</v>
      </c>
      <c r="M38" s="7">
        <f>K38+L38</f>
        <v>4840</v>
      </c>
      <c r="N38" s="7"/>
      <c r="O38" s="7"/>
      <c r="P38" s="7"/>
      <c r="Q38" s="7"/>
      <c r="R38" s="7">
        <f t="shared" si="2"/>
        <v>0</v>
      </c>
      <c r="S38" s="7">
        <f t="shared" si="3"/>
        <v>20242</v>
      </c>
      <c r="T38" s="4"/>
    </row>
    <row r="39" spans="1:20" x14ac:dyDescent="0.2">
      <c r="A39" s="12">
        <v>39</v>
      </c>
      <c r="B39" s="13" t="s">
        <v>129</v>
      </c>
      <c r="C39" s="14">
        <f>11000+1900</f>
        <v>12900</v>
      </c>
      <c r="D39" s="14"/>
      <c r="E39" s="14">
        <f>4356+300</f>
        <v>4656</v>
      </c>
      <c r="F39" s="7">
        <f t="shared" si="4"/>
        <v>17556</v>
      </c>
      <c r="G39" s="7">
        <f>5070+1550</f>
        <v>6620</v>
      </c>
      <c r="H39" s="7"/>
      <c r="I39" s="7">
        <f>395+250</f>
        <v>645</v>
      </c>
      <c r="J39" s="7">
        <f t="shared" si="1"/>
        <v>7265</v>
      </c>
      <c r="K39" s="7">
        <v>6100</v>
      </c>
      <c r="L39" s="7"/>
      <c r="M39" s="7">
        <f>K39+L39</f>
        <v>6100</v>
      </c>
      <c r="N39" s="7">
        <v>40000</v>
      </c>
      <c r="O39" s="7"/>
      <c r="P39" s="7"/>
      <c r="Q39" s="7"/>
      <c r="R39" s="7">
        <f t="shared" si="2"/>
        <v>0</v>
      </c>
      <c r="S39" s="7">
        <f t="shared" si="3"/>
        <v>70921</v>
      </c>
      <c r="T39" s="4"/>
    </row>
    <row r="40" spans="1:20" x14ac:dyDescent="0.2">
      <c r="A40" s="12">
        <v>40</v>
      </c>
      <c r="B40" s="13" t="s">
        <v>130</v>
      </c>
      <c r="C40" s="14">
        <v>700</v>
      </c>
      <c r="D40" s="14"/>
      <c r="E40" s="14">
        <f>1700+200</f>
        <v>1900</v>
      </c>
      <c r="F40" s="7">
        <f t="shared" si="4"/>
        <v>2600</v>
      </c>
      <c r="G40" s="7"/>
      <c r="H40" s="7"/>
      <c r="I40" s="7"/>
      <c r="J40" s="7">
        <f t="shared" si="1"/>
        <v>0</v>
      </c>
      <c r="K40" s="7">
        <v>950</v>
      </c>
      <c r="L40" s="7"/>
      <c r="M40" s="7">
        <f>K40+L40</f>
        <v>950</v>
      </c>
      <c r="N40" s="7"/>
      <c r="O40" s="7"/>
      <c r="P40" s="7"/>
      <c r="Q40" s="7"/>
      <c r="R40" s="7">
        <f t="shared" si="2"/>
        <v>0</v>
      </c>
      <c r="S40" s="7">
        <f t="shared" si="3"/>
        <v>3550</v>
      </c>
      <c r="T40" s="4"/>
    </row>
    <row r="41" spans="1:20" x14ac:dyDescent="0.2">
      <c r="A41" s="12">
        <v>41</v>
      </c>
      <c r="B41" s="13" t="s">
        <v>152</v>
      </c>
      <c r="C41" s="14">
        <v>2200</v>
      </c>
      <c r="D41" s="14"/>
      <c r="E41" s="14"/>
      <c r="F41" s="7">
        <f t="shared" si="4"/>
        <v>2200</v>
      </c>
      <c r="G41" s="7">
        <v>2000</v>
      </c>
      <c r="H41" s="7"/>
      <c r="I41" s="7"/>
      <c r="J41" s="7">
        <f t="shared" si="1"/>
        <v>2000</v>
      </c>
      <c r="K41" s="7"/>
      <c r="L41" s="7"/>
      <c r="M41" s="7"/>
      <c r="N41" s="7"/>
      <c r="O41" s="7"/>
      <c r="P41" s="7"/>
      <c r="Q41" s="7"/>
      <c r="R41" s="7">
        <f t="shared" si="2"/>
        <v>0</v>
      </c>
      <c r="S41" s="7">
        <f t="shared" si="3"/>
        <v>4200</v>
      </c>
      <c r="T41" s="4"/>
    </row>
    <row r="42" spans="1:20" x14ac:dyDescent="0.2">
      <c r="A42" s="12">
        <v>42</v>
      </c>
      <c r="B42" s="18" t="s">
        <v>136</v>
      </c>
      <c r="C42" s="14"/>
      <c r="D42" s="14"/>
      <c r="E42" s="14"/>
      <c r="F42" s="7">
        <f t="shared" si="4"/>
        <v>0</v>
      </c>
      <c r="G42" s="7">
        <f>2000+440</f>
        <v>2440</v>
      </c>
      <c r="H42" s="7"/>
      <c r="I42" s="7">
        <f>100+27</f>
        <v>127</v>
      </c>
      <c r="J42" s="7">
        <f t="shared" si="1"/>
        <v>2567</v>
      </c>
      <c r="K42" s="7"/>
      <c r="L42" s="7"/>
      <c r="M42" s="7"/>
      <c r="N42" s="7"/>
      <c r="O42" s="7"/>
      <c r="P42" s="7">
        <f>7000-1000</f>
        <v>6000</v>
      </c>
      <c r="Q42" s="7">
        <f>7000-1000</f>
        <v>6000</v>
      </c>
      <c r="R42" s="7">
        <f t="shared" si="2"/>
        <v>12000</v>
      </c>
      <c r="S42" s="7">
        <f t="shared" si="3"/>
        <v>14567</v>
      </c>
      <c r="T42" s="4"/>
    </row>
    <row r="43" spans="1:20" x14ac:dyDescent="0.2">
      <c r="A43" s="12">
        <v>43</v>
      </c>
      <c r="B43" s="13" t="s">
        <v>139</v>
      </c>
      <c r="C43" s="14">
        <v>1320</v>
      </c>
      <c r="D43" s="14">
        <v>150</v>
      </c>
      <c r="E43" s="14">
        <v>500</v>
      </c>
      <c r="F43" s="7">
        <f t="shared" si="4"/>
        <v>1970</v>
      </c>
      <c r="G43" s="7"/>
      <c r="H43" s="7"/>
      <c r="I43" s="7"/>
      <c r="J43" s="7">
        <f t="shared" si="1"/>
        <v>0</v>
      </c>
      <c r="K43" s="7"/>
      <c r="L43" s="7"/>
      <c r="M43" s="7"/>
      <c r="N43" s="7"/>
      <c r="O43" s="7"/>
      <c r="P43" s="7"/>
      <c r="Q43" s="7"/>
      <c r="R43" s="7">
        <f t="shared" si="2"/>
        <v>0</v>
      </c>
      <c r="S43" s="7">
        <f t="shared" si="3"/>
        <v>1970</v>
      </c>
      <c r="T43" s="4"/>
    </row>
    <row r="44" spans="1:20" x14ac:dyDescent="0.2">
      <c r="A44" s="12">
        <v>44</v>
      </c>
      <c r="B44" s="17" t="s">
        <v>153</v>
      </c>
      <c r="C44" s="14">
        <v>5200</v>
      </c>
      <c r="D44" s="14">
        <v>700</v>
      </c>
      <c r="E44" s="14">
        <v>1000</v>
      </c>
      <c r="F44" s="7">
        <f t="shared" si="4"/>
        <v>6900</v>
      </c>
      <c r="G44" s="7">
        <f>4576-45</f>
        <v>4531</v>
      </c>
      <c r="H44" s="7">
        <f>445+45</f>
        <v>490</v>
      </c>
      <c r="I44" s="7">
        <v>100</v>
      </c>
      <c r="J44" s="7">
        <f t="shared" si="1"/>
        <v>5121</v>
      </c>
      <c r="K44" s="7"/>
      <c r="L44" s="7"/>
      <c r="M44" s="7"/>
      <c r="N44" s="7"/>
      <c r="O44" s="7"/>
      <c r="P44" s="7"/>
      <c r="Q44" s="7"/>
      <c r="R44" s="7">
        <f t="shared" si="2"/>
        <v>0</v>
      </c>
      <c r="S44" s="7">
        <f t="shared" si="3"/>
        <v>12021</v>
      </c>
      <c r="T44" s="4"/>
    </row>
    <row r="45" spans="1:20" ht="12.75" x14ac:dyDescent="0.2">
      <c r="A45" s="12">
        <v>45</v>
      </c>
      <c r="B45" s="17" t="s">
        <v>154</v>
      </c>
      <c r="C45" s="6">
        <f>5200+500-2</f>
        <v>5698</v>
      </c>
      <c r="D45" s="14">
        <v>600</v>
      </c>
      <c r="E45" s="14"/>
      <c r="F45" s="7">
        <f t="shared" si="4"/>
        <v>6298</v>
      </c>
      <c r="G45" s="7"/>
      <c r="H45" s="7"/>
      <c r="I45" s="7"/>
      <c r="J45" s="7">
        <f t="shared" si="1"/>
        <v>0</v>
      </c>
      <c r="K45" s="8">
        <f>2000-500</f>
        <v>1500</v>
      </c>
      <c r="L45" s="7"/>
      <c r="M45" s="7">
        <f t="shared" ref="M45" si="5">K45+L45</f>
        <v>1500</v>
      </c>
      <c r="N45" s="7"/>
      <c r="O45" s="7"/>
      <c r="P45" s="7"/>
      <c r="Q45" s="7"/>
      <c r="R45" s="7">
        <f t="shared" si="2"/>
        <v>0</v>
      </c>
      <c r="S45" s="7">
        <f t="shared" si="3"/>
        <v>7798</v>
      </c>
      <c r="T45" s="4"/>
    </row>
    <row r="46" spans="1:20" x14ac:dyDescent="0.2">
      <c r="A46" s="12">
        <v>46</v>
      </c>
      <c r="B46" s="13" t="s">
        <v>195</v>
      </c>
      <c r="C46" s="14"/>
      <c r="D46" s="14"/>
      <c r="E46" s="14"/>
      <c r="F46" s="7">
        <f t="shared" si="4"/>
        <v>0</v>
      </c>
      <c r="G46" s="7"/>
      <c r="H46" s="7"/>
      <c r="I46" s="7"/>
      <c r="J46" s="7">
        <f t="shared" si="1"/>
        <v>0</v>
      </c>
      <c r="K46" s="7"/>
      <c r="L46" s="7"/>
      <c r="M46" s="7"/>
      <c r="N46" s="7"/>
      <c r="O46" s="7">
        <f>5000-4166+1109</f>
        <v>1943</v>
      </c>
      <c r="P46" s="7"/>
      <c r="Q46" s="7"/>
      <c r="R46" s="7">
        <f t="shared" si="2"/>
        <v>0</v>
      </c>
      <c r="S46" s="7">
        <f t="shared" si="3"/>
        <v>1943</v>
      </c>
      <c r="T46" s="4"/>
    </row>
    <row r="47" spans="1:20" x14ac:dyDescent="0.2">
      <c r="A47" s="12">
        <v>47</v>
      </c>
      <c r="B47" s="13" t="s">
        <v>196</v>
      </c>
      <c r="C47" s="14">
        <v>1930</v>
      </c>
      <c r="D47" s="14"/>
      <c r="E47" s="14"/>
      <c r="F47" s="7">
        <f t="shared" si="4"/>
        <v>1930</v>
      </c>
      <c r="G47" s="7"/>
      <c r="H47" s="7"/>
      <c r="I47" s="7"/>
      <c r="J47" s="7">
        <f t="shared" si="1"/>
        <v>0</v>
      </c>
      <c r="K47" s="7"/>
      <c r="L47" s="7"/>
      <c r="M47" s="7"/>
      <c r="N47" s="7"/>
      <c r="O47" s="7"/>
      <c r="P47" s="7"/>
      <c r="Q47" s="7"/>
      <c r="R47" s="7">
        <f t="shared" si="2"/>
        <v>0</v>
      </c>
      <c r="S47" s="7">
        <f t="shared" si="3"/>
        <v>1930</v>
      </c>
      <c r="T47" s="4"/>
    </row>
    <row r="48" spans="1:20" x14ac:dyDescent="0.2">
      <c r="A48" s="12">
        <v>48</v>
      </c>
      <c r="B48" s="13" t="s">
        <v>39</v>
      </c>
      <c r="C48" s="14">
        <v>220</v>
      </c>
      <c r="D48" s="14"/>
      <c r="E48" s="14"/>
      <c r="F48" s="7">
        <f t="shared" si="4"/>
        <v>220</v>
      </c>
      <c r="G48" s="7"/>
      <c r="H48" s="7"/>
      <c r="I48" s="7"/>
      <c r="J48" s="7">
        <f t="shared" si="1"/>
        <v>0</v>
      </c>
      <c r="K48" s="7"/>
      <c r="L48" s="7"/>
      <c r="M48" s="7"/>
      <c r="N48" s="7"/>
      <c r="O48" s="7"/>
      <c r="P48" s="7"/>
      <c r="Q48" s="7"/>
      <c r="R48" s="7">
        <f t="shared" si="2"/>
        <v>0</v>
      </c>
      <c r="S48" s="7">
        <f t="shared" si="3"/>
        <v>220</v>
      </c>
      <c r="T48" s="4"/>
    </row>
    <row r="49" spans="1:20" ht="24" x14ac:dyDescent="0.2">
      <c r="A49" s="12">
        <v>49</v>
      </c>
      <c r="B49" s="13" t="s">
        <v>197</v>
      </c>
      <c r="C49" s="14">
        <v>913</v>
      </c>
      <c r="D49" s="14">
        <v>90</v>
      </c>
      <c r="E49" s="14"/>
      <c r="F49" s="7">
        <f t="shared" si="4"/>
        <v>1003</v>
      </c>
      <c r="G49" s="7"/>
      <c r="H49" s="7"/>
      <c r="I49" s="7"/>
      <c r="J49" s="7">
        <f t="shared" si="1"/>
        <v>0</v>
      </c>
      <c r="K49" s="7"/>
      <c r="L49" s="7"/>
      <c r="M49" s="7"/>
      <c r="N49" s="7"/>
      <c r="O49" s="7"/>
      <c r="P49" s="7">
        <f>2500-900</f>
        <v>1600</v>
      </c>
      <c r="Q49" s="7">
        <f>2500-900</f>
        <v>1600</v>
      </c>
      <c r="R49" s="7">
        <f t="shared" si="2"/>
        <v>3200</v>
      </c>
      <c r="S49" s="7">
        <f t="shared" si="3"/>
        <v>4203</v>
      </c>
      <c r="T49" s="4"/>
    </row>
    <row r="50" spans="1:20" x14ac:dyDescent="0.2">
      <c r="A50" s="12">
        <v>50</v>
      </c>
      <c r="B50" s="13" t="s">
        <v>159</v>
      </c>
      <c r="C50" s="14">
        <v>355</v>
      </c>
      <c r="D50" s="14">
        <v>35</v>
      </c>
      <c r="E50" s="14"/>
      <c r="F50" s="7">
        <f t="shared" si="4"/>
        <v>390</v>
      </c>
      <c r="G50" s="7"/>
      <c r="H50" s="7"/>
      <c r="I50" s="7"/>
      <c r="J50" s="7">
        <f t="shared" si="1"/>
        <v>0</v>
      </c>
      <c r="K50" s="7"/>
      <c r="L50" s="7"/>
      <c r="M50" s="7"/>
      <c r="N50" s="7"/>
      <c r="O50" s="7"/>
      <c r="P50" s="7"/>
      <c r="Q50" s="7"/>
      <c r="R50" s="7">
        <f t="shared" si="2"/>
        <v>0</v>
      </c>
      <c r="S50" s="7">
        <f t="shared" si="3"/>
        <v>390</v>
      </c>
      <c r="T50" s="4"/>
    </row>
    <row r="51" spans="1:20" x14ac:dyDescent="0.2">
      <c r="A51" s="12">
        <v>51</v>
      </c>
      <c r="B51" s="13" t="s">
        <v>198</v>
      </c>
      <c r="C51" s="14"/>
      <c r="D51" s="14"/>
      <c r="E51" s="14"/>
      <c r="F51" s="7">
        <f t="shared" si="4"/>
        <v>0</v>
      </c>
      <c r="G51" s="7">
        <f>440-440</f>
        <v>0</v>
      </c>
      <c r="H51" s="7"/>
      <c r="I51" s="7"/>
      <c r="J51" s="7">
        <f t="shared" si="1"/>
        <v>0</v>
      </c>
      <c r="K51" s="7"/>
      <c r="L51" s="7"/>
      <c r="M51" s="7"/>
      <c r="N51" s="7"/>
      <c r="O51" s="7"/>
      <c r="P51" s="7"/>
      <c r="Q51" s="7"/>
      <c r="R51" s="7">
        <f t="shared" si="2"/>
        <v>0</v>
      </c>
      <c r="S51" s="7">
        <f t="shared" si="3"/>
        <v>0</v>
      </c>
      <c r="T51" s="4"/>
    </row>
    <row r="52" spans="1:20" x14ac:dyDescent="0.2">
      <c r="A52" s="12">
        <v>52</v>
      </c>
      <c r="B52" s="13" t="s">
        <v>169</v>
      </c>
      <c r="C52" s="7"/>
      <c r="D52" s="14"/>
      <c r="E52" s="14"/>
      <c r="F52" s="7">
        <f t="shared" si="4"/>
        <v>0</v>
      </c>
      <c r="G52" s="7">
        <v>0</v>
      </c>
      <c r="H52" s="7"/>
      <c r="I52" s="7"/>
      <c r="J52" s="7">
        <f t="shared" si="1"/>
        <v>0</v>
      </c>
      <c r="K52" s="7"/>
      <c r="L52" s="7"/>
      <c r="M52" s="7"/>
      <c r="N52" s="7"/>
      <c r="O52" s="7"/>
      <c r="P52" s="7">
        <f>3500+500</f>
        <v>4000</v>
      </c>
      <c r="Q52" s="7">
        <f>3500+500</f>
        <v>4000</v>
      </c>
      <c r="R52" s="7">
        <f t="shared" si="2"/>
        <v>8000</v>
      </c>
      <c r="S52" s="7">
        <f t="shared" si="3"/>
        <v>8000</v>
      </c>
      <c r="T52" s="4"/>
    </row>
    <row r="53" spans="1:20" x14ac:dyDescent="0.2">
      <c r="A53" s="12"/>
      <c r="B53" s="19" t="s">
        <v>149</v>
      </c>
      <c r="C53" s="7">
        <f>3364-1900</f>
        <v>1464</v>
      </c>
      <c r="D53" s="7">
        <v>0</v>
      </c>
      <c r="E53" s="7">
        <f>1230-500</f>
        <v>730</v>
      </c>
      <c r="F53" s="7">
        <f t="shared" si="4"/>
        <v>2194</v>
      </c>
      <c r="G53" s="7">
        <f>330-330</f>
        <v>0</v>
      </c>
      <c r="H53" s="7">
        <v>0</v>
      </c>
      <c r="I53" s="7">
        <f>1378-673</f>
        <v>705</v>
      </c>
      <c r="J53" s="7">
        <f t="shared" si="1"/>
        <v>705</v>
      </c>
      <c r="K53" s="7">
        <v>2600</v>
      </c>
      <c r="L53" s="7">
        <v>0</v>
      </c>
      <c r="M53" s="7">
        <f t="shared" ref="M53" si="6">K53+L53</f>
        <v>2600</v>
      </c>
      <c r="N53" s="7">
        <v>0</v>
      </c>
      <c r="O53" s="7">
        <v>0</v>
      </c>
      <c r="P53" s="7">
        <v>0</v>
      </c>
      <c r="Q53" s="7">
        <v>0</v>
      </c>
      <c r="R53" s="7">
        <f t="shared" si="2"/>
        <v>0</v>
      </c>
      <c r="S53" s="7">
        <f t="shared" si="3"/>
        <v>5499</v>
      </c>
      <c r="T53" s="4"/>
    </row>
    <row r="54" spans="1:20" x14ac:dyDescent="0.2">
      <c r="A54" s="12"/>
      <c r="B54" s="20" t="s">
        <v>150</v>
      </c>
      <c r="C54" s="21">
        <f t="shared" ref="C54:S54" si="7">SUM(C5:C53)</f>
        <v>102509</v>
      </c>
      <c r="D54" s="21">
        <f t="shared" si="7"/>
        <v>5527</v>
      </c>
      <c r="E54" s="21">
        <f t="shared" si="7"/>
        <v>13907</v>
      </c>
      <c r="F54" s="21">
        <f t="shared" si="7"/>
        <v>121943</v>
      </c>
      <c r="G54" s="21">
        <f t="shared" si="7"/>
        <v>29196</v>
      </c>
      <c r="H54" s="21">
        <f t="shared" si="7"/>
        <v>825</v>
      </c>
      <c r="I54" s="21">
        <f t="shared" si="7"/>
        <v>2527</v>
      </c>
      <c r="J54" s="21">
        <f t="shared" si="7"/>
        <v>32548</v>
      </c>
      <c r="K54" s="21">
        <f t="shared" si="7"/>
        <v>14550</v>
      </c>
      <c r="L54" s="21">
        <f t="shared" si="7"/>
        <v>1440</v>
      </c>
      <c r="M54" s="21">
        <f t="shared" si="7"/>
        <v>15990</v>
      </c>
      <c r="N54" s="21">
        <f t="shared" si="7"/>
        <v>46000</v>
      </c>
      <c r="O54" s="21">
        <f t="shared" si="7"/>
        <v>1943</v>
      </c>
      <c r="P54" s="21">
        <f t="shared" si="7"/>
        <v>35450</v>
      </c>
      <c r="Q54" s="21">
        <f t="shared" si="7"/>
        <v>34450</v>
      </c>
      <c r="R54" s="21">
        <f t="shared" si="7"/>
        <v>69900</v>
      </c>
      <c r="S54" s="21">
        <f t="shared" si="7"/>
        <v>288324</v>
      </c>
      <c r="T54" s="4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zoomScale="118" zoomScaleNormal="11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0" sqref="P20"/>
    </sheetView>
  </sheetViews>
  <sheetFormatPr defaultRowHeight="12" x14ac:dyDescent="0.2"/>
  <cols>
    <col min="1" max="1" width="3.7109375" style="2" customWidth="1"/>
    <col min="2" max="2" width="25.7109375" style="45" customWidth="1"/>
    <col min="3" max="3" width="8.7109375" style="2" customWidth="1"/>
    <col min="4" max="4" width="12.140625" style="2" customWidth="1"/>
    <col min="5" max="5" width="11.7109375" style="2" customWidth="1"/>
    <col min="6" max="6" width="11.5703125" style="2" customWidth="1"/>
    <col min="7" max="7" width="13.28515625" style="2" customWidth="1"/>
    <col min="8" max="8" width="9.85546875" style="2" customWidth="1"/>
    <col min="9" max="10" width="10.85546875" style="2" customWidth="1"/>
    <col min="11" max="11" width="7.85546875" style="2" customWidth="1"/>
    <col min="12" max="12" width="11.42578125" style="2" customWidth="1"/>
    <col min="13" max="13" width="11.7109375" style="2" customWidth="1"/>
    <col min="14" max="14" width="10.5703125" style="2" customWidth="1"/>
    <col min="15" max="15" width="11.28515625" style="2" customWidth="1"/>
    <col min="16" max="16" width="8.42578125" style="2" customWidth="1"/>
    <col min="17" max="17" width="11.5703125" style="2" customWidth="1"/>
    <col min="18" max="18" width="11.7109375" style="2" customWidth="1"/>
    <col min="19" max="19" width="9.42578125" style="2" customWidth="1"/>
    <col min="20" max="20" width="11.7109375" style="2" customWidth="1"/>
    <col min="21" max="16384" width="9.140625" style="1"/>
  </cols>
  <sheetData>
    <row r="1" spans="1:22" ht="15.75" x14ac:dyDescent="0.25">
      <c r="A1" s="308" t="s">
        <v>202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</row>
    <row r="2" spans="1:22" x14ac:dyDescent="0.2">
      <c r="S2" s="310" t="s">
        <v>203</v>
      </c>
      <c r="T2" s="311"/>
    </row>
    <row r="3" spans="1:22" s="3" customFormat="1" ht="24" customHeight="1" x14ac:dyDescent="0.2">
      <c r="A3" s="312" t="s">
        <v>0</v>
      </c>
      <c r="B3" s="314" t="s">
        <v>204</v>
      </c>
      <c r="C3" s="72" t="s">
        <v>205</v>
      </c>
      <c r="D3" s="316" t="s">
        <v>206</v>
      </c>
      <c r="E3" s="317"/>
      <c r="F3" s="317"/>
      <c r="G3" s="317"/>
      <c r="H3" s="318" t="s">
        <v>207</v>
      </c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20"/>
    </row>
    <row r="4" spans="1:22" s="48" customFormat="1" ht="48" customHeight="1" x14ac:dyDescent="0.25">
      <c r="A4" s="313"/>
      <c r="B4" s="315"/>
      <c r="C4" s="321" t="s">
        <v>150</v>
      </c>
      <c r="D4" s="47" t="s">
        <v>208</v>
      </c>
      <c r="E4" s="328" t="s">
        <v>209</v>
      </c>
      <c r="F4" s="329"/>
      <c r="G4" s="329"/>
      <c r="H4" s="330" t="s">
        <v>151</v>
      </c>
      <c r="I4" s="333" t="s">
        <v>209</v>
      </c>
      <c r="J4" s="334"/>
      <c r="K4" s="335" t="s">
        <v>210</v>
      </c>
      <c r="L4" s="335"/>
      <c r="M4" s="335"/>
      <c r="N4" s="335"/>
      <c r="O4" s="336"/>
      <c r="P4" s="323" t="s">
        <v>211</v>
      </c>
      <c r="Q4" s="323"/>
      <c r="R4" s="323"/>
      <c r="S4" s="323"/>
      <c r="T4" s="323"/>
    </row>
    <row r="5" spans="1:22" s="3" customFormat="1" ht="29.25" customHeight="1" x14ac:dyDescent="0.2">
      <c r="A5" s="313"/>
      <c r="B5" s="315"/>
      <c r="C5" s="322"/>
      <c r="D5" s="324" t="s">
        <v>212</v>
      </c>
      <c r="E5" s="324" t="s">
        <v>212</v>
      </c>
      <c r="F5" s="326" t="s">
        <v>213</v>
      </c>
      <c r="G5" s="327"/>
      <c r="H5" s="331"/>
      <c r="I5" s="335" t="s">
        <v>212</v>
      </c>
      <c r="J5" s="335" t="s">
        <v>214</v>
      </c>
      <c r="K5" s="323" t="s">
        <v>150</v>
      </c>
      <c r="L5" s="335" t="s">
        <v>215</v>
      </c>
      <c r="M5" s="335" t="s">
        <v>212</v>
      </c>
      <c r="N5" s="335" t="s">
        <v>216</v>
      </c>
      <c r="O5" s="335" t="s">
        <v>214</v>
      </c>
      <c r="P5" s="323" t="s">
        <v>150</v>
      </c>
      <c r="Q5" s="335" t="s">
        <v>215</v>
      </c>
      <c r="R5" s="335" t="s">
        <v>212</v>
      </c>
      <c r="S5" s="335" t="s">
        <v>216</v>
      </c>
      <c r="T5" s="335" t="s">
        <v>217</v>
      </c>
    </row>
    <row r="6" spans="1:22" s="3" customFormat="1" ht="60" customHeight="1" x14ac:dyDescent="0.2">
      <c r="A6" s="313"/>
      <c r="B6" s="315"/>
      <c r="C6" s="322"/>
      <c r="D6" s="325"/>
      <c r="E6" s="325"/>
      <c r="F6" s="47" t="s">
        <v>218</v>
      </c>
      <c r="G6" s="49" t="s">
        <v>219</v>
      </c>
      <c r="H6" s="332"/>
      <c r="I6" s="335"/>
      <c r="J6" s="335"/>
      <c r="K6" s="323"/>
      <c r="L6" s="335"/>
      <c r="M6" s="335"/>
      <c r="N6" s="335"/>
      <c r="O6" s="335"/>
      <c r="P6" s="323"/>
      <c r="Q6" s="335"/>
      <c r="R6" s="335"/>
      <c r="S6" s="335"/>
      <c r="T6" s="335"/>
    </row>
    <row r="7" spans="1:22" x14ac:dyDescent="0.2">
      <c r="A7" s="50">
        <v>1</v>
      </c>
      <c r="B7" s="51" t="s">
        <v>220</v>
      </c>
      <c r="C7" s="52">
        <f>D7+E7+F7+G7+H7</f>
        <v>12133</v>
      </c>
      <c r="D7" s="54"/>
      <c r="E7" s="54">
        <v>200</v>
      </c>
      <c r="F7" s="54">
        <v>25</v>
      </c>
      <c r="G7" s="54">
        <v>10</v>
      </c>
      <c r="H7" s="55">
        <f>I7+K7+P7+J7</f>
        <v>11898</v>
      </c>
      <c r="I7" s="55">
        <v>2350</v>
      </c>
      <c r="J7" s="55">
        <v>30</v>
      </c>
      <c r="K7" s="55">
        <f t="shared" ref="K7:K18" si="0">L7+M7+N7+O7</f>
        <v>6181</v>
      </c>
      <c r="L7" s="54">
        <v>176</v>
      </c>
      <c r="M7" s="54">
        <f>2423+130-104</f>
        <v>2449</v>
      </c>
      <c r="N7" s="54">
        <v>3346</v>
      </c>
      <c r="O7" s="54">
        <v>210</v>
      </c>
      <c r="P7" s="54">
        <f t="shared" ref="P7:P18" si="1">Q7+R7+S7+T7</f>
        <v>3337</v>
      </c>
      <c r="Q7" s="54">
        <v>92</v>
      </c>
      <c r="R7" s="54">
        <f>1268+55+46+50+75</f>
        <v>1494</v>
      </c>
      <c r="S7" s="54">
        <v>1751</v>
      </c>
      <c r="T7" s="54">
        <v>0</v>
      </c>
      <c r="U7" s="56"/>
      <c r="V7" s="4"/>
    </row>
    <row r="8" spans="1:22" x14ac:dyDescent="0.2">
      <c r="A8" s="50">
        <v>2</v>
      </c>
      <c r="B8" s="57" t="s">
        <v>152</v>
      </c>
      <c r="C8" s="52">
        <f t="shared" ref="C8:C19" si="2">D8+E8+F8+G8+H8</f>
        <v>2710</v>
      </c>
      <c r="D8" s="54"/>
      <c r="E8" s="54">
        <v>20</v>
      </c>
      <c r="F8" s="54">
        <f>0+1</f>
        <v>1</v>
      </c>
      <c r="G8" s="54">
        <f>0+1</f>
        <v>1</v>
      </c>
      <c r="H8" s="55">
        <f t="shared" ref="H8:H19" si="3">I8+K8+P8+J8</f>
        <v>2688</v>
      </c>
      <c r="I8" s="55"/>
      <c r="J8" s="55"/>
      <c r="K8" s="55">
        <f t="shared" si="0"/>
        <v>90</v>
      </c>
      <c r="L8" s="54">
        <f>94-94</f>
        <v>0</v>
      </c>
      <c r="M8" s="54">
        <f>503-503</f>
        <v>0</v>
      </c>
      <c r="N8" s="54">
        <f>223-223</f>
        <v>0</v>
      </c>
      <c r="O8" s="54">
        <f>709+360-979</f>
        <v>90</v>
      </c>
      <c r="P8" s="54">
        <f t="shared" si="1"/>
        <v>2598</v>
      </c>
      <c r="Q8" s="54">
        <f>49+94</f>
        <v>143</v>
      </c>
      <c r="R8" s="54">
        <f>263+503</f>
        <v>766</v>
      </c>
      <c r="S8" s="54">
        <f>116+223</f>
        <v>339</v>
      </c>
      <c r="T8" s="54">
        <f>371+979</f>
        <v>1350</v>
      </c>
      <c r="U8" s="56"/>
      <c r="V8" s="4"/>
    </row>
    <row r="9" spans="1:22" ht="14.25" customHeight="1" x14ac:dyDescent="0.2">
      <c r="A9" s="50">
        <v>3</v>
      </c>
      <c r="B9" s="51" t="s">
        <v>120</v>
      </c>
      <c r="C9" s="52">
        <f t="shared" si="2"/>
        <v>95307</v>
      </c>
      <c r="D9" s="54">
        <f>660+49+57</f>
        <v>766</v>
      </c>
      <c r="E9" s="54"/>
      <c r="F9" s="54"/>
      <c r="G9" s="54"/>
      <c r="H9" s="55">
        <f t="shared" si="3"/>
        <v>94541</v>
      </c>
      <c r="I9" s="55"/>
      <c r="J9" s="55"/>
      <c r="K9" s="55">
        <f t="shared" si="0"/>
        <v>69983</v>
      </c>
      <c r="L9" s="54">
        <v>0</v>
      </c>
      <c r="M9" s="54">
        <f>16628+44217+2730+2831</f>
        <v>66406</v>
      </c>
      <c r="N9" s="54">
        <f>688+2889</f>
        <v>3577</v>
      </c>
      <c r="O9" s="54"/>
      <c r="P9" s="54">
        <f t="shared" si="1"/>
        <v>24558</v>
      </c>
      <c r="Q9" s="54">
        <v>0</v>
      </c>
      <c r="R9" s="54">
        <f>23135-32-17-15-24</f>
        <v>23047</v>
      </c>
      <c r="S9" s="54">
        <v>1511</v>
      </c>
      <c r="T9" s="54">
        <v>0</v>
      </c>
      <c r="U9" s="56"/>
      <c r="V9" s="4"/>
    </row>
    <row r="10" spans="1:22" x14ac:dyDescent="0.2">
      <c r="A10" s="50">
        <v>4</v>
      </c>
      <c r="B10" s="57" t="s">
        <v>125</v>
      </c>
      <c r="C10" s="52">
        <f t="shared" si="2"/>
        <v>37551</v>
      </c>
      <c r="D10" s="54">
        <v>80</v>
      </c>
      <c r="E10" s="54"/>
      <c r="F10" s="54"/>
      <c r="G10" s="54"/>
      <c r="H10" s="55">
        <f t="shared" si="3"/>
        <v>37471</v>
      </c>
      <c r="I10" s="55"/>
      <c r="J10" s="55"/>
      <c r="K10" s="55">
        <f t="shared" si="0"/>
        <v>26484</v>
      </c>
      <c r="L10" s="54">
        <f>2440+7858</f>
        <v>10298</v>
      </c>
      <c r="M10" s="54">
        <f>2672+10138</f>
        <v>12810</v>
      </c>
      <c r="N10" s="54">
        <f>348+3028</f>
        <v>3376</v>
      </c>
      <c r="O10" s="54"/>
      <c r="P10" s="54">
        <f t="shared" si="1"/>
        <v>10987</v>
      </c>
      <c r="Q10" s="54">
        <v>4111</v>
      </c>
      <c r="R10" s="54">
        <f>5305-6-5-2</f>
        <v>5292</v>
      </c>
      <c r="S10" s="54">
        <v>1584</v>
      </c>
      <c r="T10" s="54">
        <v>0</v>
      </c>
      <c r="U10" s="56"/>
      <c r="V10" s="4"/>
    </row>
    <row r="11" spans="1:22" x14ac:dyDescent="0.2">
      <c r="A11" s="50">
        <v>5</v>
      </c>
      <c r="B11" s="58" t="s">
        <v>118</v>
      </c>
      <c r="C11" s="52">
        <f t="shared" si="2"/>
        <v>17230</v>
      </c>
      <c r="D11" s="54"/>
      <c r="E11" s="54"/>
      <c r="F11" s="54"/>
      <c r="G11" s="54"/>
      <c r="H11" s="55">
        <f t="shared" si="3"/>
        <v>17230</v>
      </c>
      <c r="I11" s="55"/>
      <c r="J11" s="55"/>
      <c r="K11" s="55">
        <f t="shared" si="0"/>
        <v>13150</v>
      </c>
      <c r="L11" s="54">
        <v>0</v>
      </c>
      <c r="M11" s="54">
        <f>2454+5244+2730-527</f>
        <v>9901</v>
      </c>
      <c r="N11" s="54">
        <f>666+2583</f>
        <v>3249</v>
      </c>
      <c r="O11" s="54"/>
      <c r="P11" s="54">
        <f t="shared" si="1"/>
        <v>4080</v>
      </c>
      <c r="Q11" s="54">
        <v>0</v>
      </c>
      <c r="R11" s="54">
        <f>2744-2-1-12</f>
        <v>2729</v>
      </c>
      <c r="S11" s="54">
        <v>1351</v>
      </c>
      <c r="T11" s="54">
        <v>0</v>
      </c>
      <c r="U11" s="56"/>
      <c r="V11" s="4"/>
    </row>
    <row r="12" spans="1:22" x14ac:dyDescent="0.2">
      <c r="A12" s="50">
        <v>6</v>
      </c>
      <c r="B12" s="57" t="s">
        <v>124</v>
      </c>
      <c r="C12" s="52">
        <f t="shared" si="2"/>
        <v>17258</v>
      </c>
      <c r="D12" s="54"/>
      <c r="E12" s="54"/>
      <c r="F12" s="54"/>
      <c r="G12" s="54"/>
      <c r="H12" s="55">
        <f t="shared" si="3"/>
        <v>17258</v>
      </c>
      <c r="I12" s="55"/>
      <c r="J12" s="55"/>
      <c r="K12" s="55">
        <f t="shared" si="0"/>
        <v>11146</v>
      </c>
      <c r="L12" s="54">
        <v>0</v>
      </c>
      <c r="M12" s="54">
        <f>1051+10425-2215</f>
        <v>9261</v>
      </c>
      <c r="N12" s="54">
        <f>509+1376</f>
        <v>1885</v>
      </c>
      <c r="O12" s="54"/>
      <c r="P12" s="54">
        <f t="shared" si="1"/>
        <v>6112</v>
      </c>
      <c r="Q12" s="54">
        <v>0</v>
      </c>
      <c r="R12" s="54">
        <f>5455-23-24-16</f>
        <v>5392</v>
      </c>
      <c r="S12" s="54">
        <v>720</v>
      </c>
      <c r="T12" s="54">
        <v>0</v>
      </c>
      <c r="U12" s="56"/>
      <c r="V12" s="4"/>
    </row>
    <row r="13" spans="1:22" x14ac:dyDescent="0.2">
      <c r="A13" s="50">
        <v>7</v>
      </c>
      <c r="B13" s="57" t="s">
        <v>130</v>
      </c>
      <c r="C13" s="52">
        <f t="shared" si="2"/>
        <v>60</v>
      </c>
      <c r="D13" s="54"/>
      <c r="E13" s="54"/>
      <c r="F13" s="54">
        <v>60</v>
      </c>
      <c r="G13" s="54"/>
      <c r="H13" s="55">
        <f t="shared" si="3"/>
        <v>0</v>
      </c>
      <c r="I13" s="55"/>
      <c r="J13" s="55"/>
      <c r="K13" s="55">
        <f t="shared" si="0"/>
        <v>0</v>
      </c>
      <c r="L13" s="54"/>
      <c r="M13" s="54"/>
      <c r="N13" s="54"/>
      <c r="O13" s="54"/>
      <c r="P13" s="54">
        <f t="shared" si="1"/>
        <v>0</v>
      </c>
      <c r="Q13" s="54"/>
      <c r="R13" s="54"/>
      <c r="S13" s="54"/>
      <c r="T13" s="54"/>
      <c r="U13" s="56"/>
      <c r="V13" s="4"/>
    </row>
    <row r="14" spans="1:22" x14ac:dyDescent="0.2">
      <c r="A14" s="50">
        <v>8</v>
      </c>
      <c r="B14" s="57" t="s">
        <v>153</v>
      </c>
      <c r="C14" s="52">
        <f t="shared" si="2"/>
        <v>5</v>
      </c>
      <c r="D14" s="54"/>
      <c r="E14" s="54"/>
      <c r="F14" s="54">
        <v>5</v>
      </c>
      <c r="G14" s="54"/>
      <c r="H14" s="55">
        <f t="shared" si="3"/>
        <v>0</v>
      </c>
      <c r="I14" s="55"/>
      <c r="J14" s="55"/>
      <c r="K14" s="55">
        <f t="shared" si="0"/>
        <v>0</v>
      </c>
      <c r="L14" s="54"/>
      <c r="M14" s="54"/>
      <c r="N14" s="54"/>
      <c r="O14" s="54"/>
      <c r="P14" s="54">
        <f t="shared" si="1"/>
        <v>0</v>
      </c>
      <c r="Q14" s="54"/>
      <c r="R14" s="54"/>
      <c r="S14" s="54"/>
      <c r="T14" s="54"/>
      <c r="U14" s="56"/>
      <c r="V14" s="4"/>
    </row>
    <row r="15" spans="1:22" x14ac:dyDescent="0.2">
      <c r="A15" s="50">
        <v>9</v>
      </c>
      <c r="B15" s="57" t="s">
        <v>154</v>
      </c>
      <c r="C15" s="52">
        <f t="shared" si="2"/>
        <v>30</v>
      </c>
      <c r="D15" s="54"/>
      <c r="E15" s="54"/>
      <c r="F15" s="54">
        <v>30</v>
      </c>
      <c r="G15" s="54"/>
      <c r="H15" s="55">
        <f t="shared" si="3"/>
        <v>0</v>
      </c>
      <c r="I15" s="55"/>
      <c r="J15" s="55"/>
      <c r="K15" s="55">
        <f t="shared" si="0"/>
        <v>0</v>
      </c>
      <c r="L15" s="54"/>
      <c r="M15" s="54"/>
      <c r="N15" s="54"/>
      <c r="O15" s="54"/>
      <c r="P15" s="54">
        <f t="shared" si="1"/>
        <v>0</v>
      </c>
      <c r="Q15" s="54"/>
      <c r="R15" s="54"/>
      <c r="S15" s="54"/>
      <c r="T15" s="54"/>
      <c r="U15" s="56"/>
      <c r="V15" s="4"/>
    </row>
    <row r="16" spans="1:22" x14ac:dyDescent="0.2">
      <c r="A16" s="50">
        <v>10</v>
      </c>
      <c r="B16" s="57" t="s">
        <v>155</v>
      </c>
      <c r="C16" s="52">
        <f t="shared" si="2"/>
        <v>100</v>
      </c>
      <c r="D16" s="54"/>
      <c r="E16" s="54"/>
      <c r="F16" s="54">
        <v>100</v>
      </c>
      <c r="G16" s="54"/>
      <c r="H16" s="55">
        <f t="shared" si="3"/>
        <v>0</v>
      </c>
      <c r="I16" s="55"/>
      <c r="J16" s="55"/>
      <c r="K16" s="55">
        <f t="shared" si="0"/>
        <v>0</v>
      </c>
      <c r="L16" s="54"/>
      <c r="M16" s="54"/>
      <c r="N16" s="54"/>
      <c r="O16" s="54"/>
      <c r="P16" s="54">
        <f t="shared" si="1"/>
        <v>0</v>
      </c>
      <c r="Q16" s="54"/>
      <c r="R16" s="54"/>
      <c r="S16" s="54"/>
      <c r="T16" s="54"/>
      <c r="U16" s="56"/>
      <c r="V16" s="4"/>
    </row>
    <row r="17" spans="1:22" x14ac:dyDescent="0.2">
      <c r="A17" s="50">
        <v>11</v>
      </c>
      <c r="B17" s="57" t="s">
        <v>156</v>
      </c>
      <c r="C17" s="52">
        <f t="shared" si="2"/>
        <v>20</v>
      </c>
      <c r="D17" s="54"/>
      <c r="E17" s="54"/>
      <c r="F17" s="54">
        <v>20</v>
      </c>
      <c r="G17" s="54"/>
      <c r="H17" s="55">
        <f t="shared" si="3"/>
        <v>0</v>
      </c>
      <c r="I17" s="55"/>
      <c r="J17" s="55"/>
      <c r="K17" s="55">
        <f t="shared" si="0"/>
        <v>0</v>
      </c>
      <c r="L17" s="54"/>
      <c r="M17" s="54"/>
      <c r="N17" s="54"/>
      <c r="O17" s="54"/>
      <c r="P17" s="54">
        <f t="shared" si="1"/>
        <v>0</v>
      </c>
      <c r="Q17" s="54"/>
      <c r="R17" s="54"/>
      <c r="S17" s="54"/>
      <c r="T17" s="54"/>
      <c r="U17" s="56"/>
      <c r="V17" s="4"/>
    </row>
    <row r="18" spans="1:22" x14ac:dyDescent="0.2">
      <c r="A18" s="50">
        <v>12</v>
      </c>
      <c r="B18" s="51" t="s">
        <v>157</v>
      </c>
      <c r="C18" s="52">
        <f t="shared" si="2"/>
        <v>50</v>
      </c>
      <c r="D18" s="54"/>
      <c r="E18" s="54">
        <v>50</v>
      </c>
      <c r="F18" s="54"/>
      <c r="G18" s="54"/>
      <c r="H18" s="55">
        <f t="shared" si="3"/>
        <v>0</v>
      </c>
      <c r="I18" s="55"/>
      <c r="J18" s="55"/>
      <c r="K18" s="55">
        <f t="shared" si="0"/>
        <v>0</v>
      </c>
      <c r="L18" s="54"/>
      <c r="M18" s="54"/>
      <c r="N18" s="54"/>
      <c r="O18" s="54"/>
      <c r="P18" s="54">
        <f t="shared" si="1"/>
        <v>0</v>
      </c>
      <c r="Q18" s="54"/>
      <c r="R18" s="54"/>
      <c r="S18" s="54"/>
      <c r="T18" s="54"/>
      <c r="U18" s="56"/>
      <c r="V18" s="4"/>
    </row>
    <row r="19" spans="1:22" ht="24" x14ac:dyDescent="0.2">
      <c r="A19" s="50"/>
      <c r="B19" s="51" t="s">
        <v>149</v>
      </c>
      <c r="C19" s="52">
        <f t="shared" si="2"/>
        <v>11142</v>
      </c>
      <c r="D19" s="55"/>
      <c r="E19" s="55"/>
      <c r="F19" s="55"/>
      <c r="G19" s="55"/>
      <c r="H19" s="55">
        <f t="shared" si="3"/>
        <v>11142</v>
      </c>
      <c r="I19" s="55">
        <f>450-30</f>
        <v>420</v>
      </c>
      <c r="J19" s="55"/>
      <c r="K19" s="59">
        <f>L19+M19+N19</f>
        <v>10722</v>
      </c>
      <c r="L19" s="54"/>
      <c r="M19" s="54">
        <f>17022-360-5590-15-49-11-57-106-2-21-89</f>
        <v>10722</v>
      </c>
      <c r="N19" s="54"/>
      <c r="O19" s="54"/>
      <c r="P19" s="54"/>
      <c r="Q19" s="54"/>
      <c r="R19" s="54"/>
      <c r="S19" s="54"/>
      <c r="T19" s="54"/>
      <c r="U19" s="56"/>
      <c r="V19" s="4"/>
    </row>
    <row r="20" spans="1:22" x14ac:dyDescent="0.2">
      <c r="A20" s="50"/>
      <c r="B20" s="60" t="s">
        <v>221</v>
      </c>
      <c r="C20" s="52">
        <f>SUM(C7:C19)</f>
        <v>193596</v>
      </c>
      <c r="D20" s="53">
        <f t="shared" ref="D20:T20" si="4">SUM(D7:D19)</f>
        <v>846</v>
      </c>
      <c r="E20" s="53">
        <f t="shared" si="4"/>
        <v>270</v>
      </c>
      <c r="F20" s="53">
        <f t="shared" si="4"/>
        <v>241</v>
      </c>
      <c r="G20" s="53">
        <f t="shared" si="4"/>
        <v>11</v>
      </c>
      <c r="H20" s="53">
        <f t="shared" si="4"/>
        <v>192228</v>
      </c>
      <c r="I20" s="53">
        <f t="shared" si="4"/>
        <v>2770</v>
      </c>
      <c r="J20" s="53">
        <f t="shared" si="4"/>
        <v>30</v>
      </c>
      <c r="K20" s="53">
        <f t="shared" si="4"/>
        <v>137756</v>
      </c>
      <c r="L20" s="53">
        <f t="shared" si="4"/>
        <v>10474</v>
      </c>
      <c r="M20" s="53">
        <f t="shared" si="4"/>
        <v>111549</v>
      </c>
      <c r="N20" s="53">
        <f t="shared" si="4"/>
        <v>15433</v>
      </c>
      <c r="O20" s="53">
        <f t="shared" si="4"/>
        <v>300</v>
      </c>
      <c r="P20" s="53">
        <f t="shared" si="4"/>
        <v>51672</v>
      </c>
      <c r="Q20" s="53">
        <f t="shared" si="4"/>
        <v>4346</v>
      </c>
      <c r="R20" s="53">
        <f t="shared" si="4"/>
        <v>38720</v>
      </c>
      <c r="S20" s="53">
        <f t="shared" si="4"/>
        <v>7256</v>
      </c>
      <c r="T20" s="53">
        <f t="shared" si="4"/>
        <v>1350</v>
      </c>
      <c r="U20" s="56"/>
      <c r="V20" s="4"/>
    </row>
    <row r="21" spans="1:22" s="61" customFormat="1" x14ac:dyDescent="0.2">
      <c r="A21" s="2"/>
      <c r="B21" s="4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</row>
    <row r="22" spans="1:22" s="61" customFormat="1" x14ac:dyDescent="0.2">
      <c r="A22" s="2"/>
      <c r="B22" s="4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</row>
    <row r="31" spans="1:22" s="46" customFormat="1" x14ac:dyDescent="0.2">
      <c r="A31" s="2"/>
      <c r="B31" s="4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 s="46" customFormat="1" x14ac:dyDescent="0.2">
      <c r="A32" s="2"/>
      <c r="B32" s="4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46" customFormat="1" x14ac:dyDescent="0.2">
      <c r="A33" s="2"/>
      <c r="B33" s="4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27">
    <mergeCell ref="J5:J6"/>
    <mergeCell ref="K5:K6"/>
    <mergeCell ref="L5:L6"/>
    <mergeCell ref="S5:S6"/>
    <mergeCell ref="T5:T6"/>
    <mergeCell ref="M5:M6"/>
    <mergeCell ref="N5:N6"/>
    <mergeCell ref="O5:O6"/>
    <mergeCell ref="P5:P6"/>
    <mergeCell ref="Q5:Q6"/>
    <mergeCell ref="R5:R6"/>
    <mergeCell ref="A1:T1"/>
    <mergeCell ref="S2:T2"/>
    <mergeCell ref="A3:A6"/>
    <mergeCell ref="B3:B6"/>
    <mergeCell ref="D3:G3"/>
    <mergeCell ref="H3:T3"/>
    <mergeCell ref="C4:C6"/>
    <mergeCell ref="P4:T4"/>
    <mergeCell ref="D5:D6"/>
    <mergeCell ref="E5:E6"/>
    <mergeCell ref="F5:G5"/>
    <mergeCell ref="E4:G4"/>
    <mergeCell ref="H4:H6"/>
    <mergeCell ref="I4:J4"/>
    <mergeCell ref="K4:O4"/>
    <mergeCell ref="I5:I6"/>
  </mergeCells>
  <pageMargins left="0" right="0" top="0.35433070866141736" bottom="0.35433070866141736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J21" sqref="J21"/>
    </sheetView>
  </sheetViews>
  <sheetFormatPr defaultRowHeight="12" x14ac:dyDescent="0.2"/>
  <cols>
    <col min="1" max="1" width="4.140625" style="62" customWidth="1"/>
    <col min="2" max="2" width="31" style="62" customWidth="1"/>
    <col min="3" max="3" width="9.140625" style="63" customWidth="1"/>
    <col min="4" max="4" width="9.7109375" style="63" customWidth="1"/>
    <col min="5" max="5" width="12.28515625" style="63" customWidth="1"/>
    <col min="6" max="6" width="13.140625" style="63" customWidth="1"/>
    <col min="7" max="7" width="10.5703125" style="63" customWidth="1"/>
    <col min="8" max="8" width="13" style="63" customWidth="1"/>
    <col min="9" max="9" width="8.42578125" style="63" customWidth="1"/>
    <col min="10" max="10" width="12.28515625" style="63" customWidth="1"/>
    <col min="11" max="11" width="13.28515625" style="63" customWidth="1"/>
    <col min="12" max="12" width="10.7109375" style="63" customWidth="1"/>
    <col min="13" max="13" width="12.28515625" style="63" customWidth="1"/>
    <col min="14" max="16384" width="9.140625" style="62"/>
  </cols>
  <sheetData>
    <row r="1" spans="1:19" ht="42" customHeight="1" x14ac:dyDescent="0.2">
      <c r="A1" s="339" t="s">
        <v>222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9" ht="18.75" customHeight="1" x14ac:dyDescent="0.2">
      <c r="M2" s="63" t="s">
        <v>158</v>
      </c>
    </row>
    <row r="3" spans="1:19" s="64" customFormat="1" ht="22.5" customHeight="1" x14ac:dyDescent="0.25">
      <c r="A3" s="340" t="s">
        <v>0</v>
      </c>
      <c r="B3" s="341" t="s">
        <v>204</v>
      </c>
      <c r="C3" s="342" t="s">
        <v>223</v>
      </c>
      <c r="D3" s="343"/>
      <c r="E3" s="343"/>
      <c r="F3" s="343"/>
      <c r="G3" s="343"/>
      <c r="H3" s="343"/>
      <c r="I3" s="343"/>
      <c r="J3" s="343"/>
      <c r="K3" s="343"/>
      <c r="L3" s="343"/>
      <c r="M3" s="344"/>
    </row>
    <row r="4" spans="1:19" s="64" customFormat="1" ht="17.25" customHeight="1" x14ac:dyDescent="0.25">
      <c r="A4" s="340"/>
      <c r="B4" s="341"/>
      <c r="C4" s="337" t="s">
        <v>224</v>
      </c>
      <c r="D4" s="338" t="s">
        <v>225</v>
      </c>
      <c r="E4" s="338"/>
      <c r="F4" s="338"/>
      <c r="G4" s="338"/>
      <c r="H4" s="338"/>
      <c r="I4" s="338"/>
      <c r="J4" s="338"/>
      <c r="K4" s="338"/>
      <c r="L4" s="338"/>
      <c r="M4" s="338"/>
    </row>
    <row r="5" spans="1:19" s="64" customFormat="1" ht="15" customHeight="1" x14ac:dyDescent="0.25">
      <c r="A5" s="340"/>
      <c r="B5" s="341"/>
      <c r="C5" s="337"/>
      <c r="D5" s="338" t="s">
        <v>226</v>
      </c>
      <c r="E5" s="338"/>
      <c r="F5" s="338"/>
      <c r="G5" s="338"/>
      <c r="H5" s="338"/>
      <c r="I5" s="338" t="s">
        <v>227</v>
      </c>
      <c r="J5" s="338"/>
      <c r="K5" s="338"/>
      <c r="L5" s="338"/>
      <c r="M5" s="338"/>
    </row>
    <row r="6" spans="1:19" s="64" customFormat="1" ht="12" customHeight="1" x14ac:dyDescent="0.25">
      <c r="A6" s="340"/>
      <c r="B6" s="341"/>
      <c r="C6" s="337"/>
      <c r="D6" s="337" t="s">
        <v>228</v>
      </c>
      <c r="E6" s="337" t="s">
        <v>229</v>
      </c>
      <c r="F6" s="337" t="s">
        <v>230</v>
      </c>
      <c r="G6" s="337" t="s">
        <v>216</v>
      </c>
      <c r="H6" s="337" t="s">
        <v>231</v>
      </c>
      <c r="I6" s="337" t="s">
        <v>232</v>
      </c>
      <c r="J6" s="337" t="s">
        <v>229</v>
      </c>
      <c r="K6" s="337" t="s">
        <v>230</v>
      </c>
      <c r="L6" s="337" t="s">
        <v>216</v>
      </c>
      <c r="M6" s="337" t="s">
        <v>231</v>
      </c>
    </row>
    <row r="7" spans="1:19" s="64" customFormat="1" ht="63" customHeight="1" x14ac:dyDescent="0.25">
      <c r="A7" s="340"/>
      <c r="B7" s="341"/>
      <c r="C7" s="337"/>
      <c r="D7" s="337"/>
      <c r="E7" s="337"/>
      <c r="F7" s="337"/>
      <c r="G7" s="337"/>
      <c r="H7" s="337"/>
      <c r="I7" s="338"/>
      <c r="J7" s="337"/>
      <c r="K7" s="337"/>
      <c r="L7" s="337"/>
      <c r="M7" s="337"/>
    </row>
    <row r="8" spans="1:19" ht="17.25" customHeight="1" x14ac:dyDescent="0.2">
      <c r="A8" s="65">
        <v>1</v>
      </c>
      <c r="B8" s="66" t="s">
        <v>220</v>
      </c>
      <c r="C8" s="5">
        <f>D8+I8</f>
        <v>6181</v>
      </c>
      <c r="D8" s="5">
        <f>SUM(E8:H8)</f>
        <v>13</v>
      </c>
      <c r="E8" s="5">
        <v>0</v>
      </c>
      <c r="F8" s="5">
        <f>0+13</f>
        <v>13</v>
      </c>
      <c r="G8" s="5">
        <v>0</v>
      </c>
      <c r="H8" s="5">
        <v>0</v>
      </c>
      <c r="I8" s="5">
        <f>SUM(J8:M8)</f>
        <v>6168</v>
      </c>
      <c r="J8" s="5">
        <v>176</v>
      </c>
      <c r="K8" s="5">
        <v>2436</v>
      </c>
      <c r="L8" s="5">
        <v>3346</v>
      </c>
      <c r="M8" s="5">
        <v>210</v>
      </c>
      <c r="N8" s="67"/>
      <c r="O8" s="67"/>
      <c r="P8" s="67"/>
      <c r="Q8" s="67"/>
      <c r="R8" s="67"/>
      <c r="S8" s="67"/>
    </row>
    <row r="9" spans="1:19" ht="16.5" customHeight="1" x14ac:dyDescent="0.2">
      <c r="A9" s="65">
        <v>2</v>
      </c>
      <c r="B9" s="68" t="s">
        <v>152</v>
      </c>
      <c r="C9" s="5">
        <f t="shared" ref="C9:C13" si="0">D9+I9</f>
        <v>90</v>
      </c>
      <c r="D9" s="5">
        <f t="shared" ref="D9:D13" si="1">SUM(E9:H9)</f>
        <v>90</v>
      </c>
      <c r="E9" s="5">
        <v>0</v>
      </c>
      <c r="F9" s="5">
        <v>0</v>
      </c>
      <c r="G9" s="5">
        <v>0</v>
      </c>
      <c r="H9" s="5">
        <v>90</v>
      </c>
      <c r="I9" s="5">
        <f t="shared" ref="I9:I13" si="2">SUM(J9:M9)</f>
        <v>0</v>
      </c>
      <c r="J9" s="5">
        <f>94-94</f>
        <v>0</v>
      </c>
      <c r="K9" s="5">
        <f>503-503</f>
        <v>0</v>
      </c>
      <c r="L9" s="5">
        <f>223-223</f>
        <v>0</v>
      </c>
      <c r="M9" s="5">
        <f>709+270-979</f>
        <v>0</v>
      </c>
      <c r="N9" s="67"/>
      <c r="O9" s="67"/>
      <c r="P9" s="67"/>
      <c r="Q9" s="67"/>
      <c r="R9" s="67"/>
      <c r="S9" s="67"/>
    </row>
    <row r="10" spans="1:19" ht="16.5" customHeight="1" x14ac:dyDescent="0.2">
      <c r="A10" s="65">
        <v>3</v>
      </c>
      <c r="B10" s="66" t="s">
        <v>120</v>
      </c>
      <c r="C10" s="5">
        <f t="shared" si="0"/>
        <v>69983</v>
      </c>
      <c r="D10" s="5">
        <f t="shared" si="1"/>
        <v>5196</v>
      </c>
      <c r="E10" s="5">
        <v>0</v>
      </c>
      <c r="F10" s="5">
        <v>4847</v>
      </c>
      <c r="G10" s="5">
        <v>349</v>
      </c>
      <c r="H10" s="5">
        <v>0</v>
      </c>
      <c r="I10" s="5">
        <f t="shared" si="2"/>
        <v>64787</v>
      </c>
      <c r="J10" s="5">
        <v>0</v>
      </c>
      <c r="K10" s="5">
        <v>61559</v>
      </c>
      <c r="L10" s="5">
        <v>3228</v>
      </c>
      <c r="M10" s="5">
        <v>0</v>
      </c>
      <c r="N10" s="67"/>
      <c r="O10" s="67"/>
      <c r="P10" s="67"/>
      <c r="Q10" s="67"/>
      <c r="R10" s="67"/>
      <c r="S10" s="67"/>
    </row>
    <row r="11" spans="1:19" ht="14.25" customHeight="1" x14ac:dyDescent="0.2">
      <c r="A11" s="65">
        <v>4</v>
      </c>
      <c r="B11" s="68" t="s">
        <v>125</v>
      </c>
      <c r="C11" s="5">
        <f t="shared" si="0"/>
        <v>26484</v>
      </c>
      <c r="D11" s="5">
        <f t="shared" si="1"/>
        <v>1365</v>
      </c>
      <c r="E11" s="5">
        <v>610</v>
      </c>
      <c r="F11" s="5">
        <v>668</v>
      </c>
      <c r="G11" s="5">
        <v>87</v>
      </c>
      <c r="H11" s="5">
        <v>0</v>
      </c>
      <c r="I11" s="5">
        <f t="shared" si="2"/>
        <v>25119</v>
      </c>
      <c r="J11" s="5">
        <v>9688</v>
      </c>
      <c r="K11" s="5">
        <v>12142</v>
      </c>
      <c r="L11" s="5">
        <v>3289</v>
      </c>
      <c r="M11" s="5">
        <v>0</v>
      </c>
      <c r="N11" s="67"/>
      <c r="O11" s="67"/>
      <c r="P11" s="67"/>
      <c r="Q11" s="67"/>
      <c r="R11" s="67"/>
      <c r="S11" s="67"/>
    </row>
    <row r="12" spans="1:19" ht="17.25" customHeight="1" x14ac:dyDescent="0.2">
      <c r="A12" s="65">
        <v>5</v>
      </c>
      <c r="B12" s="69" t="s">
        <v>118</v>
      </c>
      <c r="C12" s="5">
        <f t="shared" si="0"/>
        <v>13150</v>
      </c>
      <c r="D12" s="5">
        <f t="shared" si="1"/>
        <v>1394</v>
      </c>
      <c r="E12" s="5">
        <v>0</v>
      </c>
      <c r="F12" s="5">
        <v>1087</v>
      </c>
      <c r="G12" s="5">
        <v>307</v>
      </c>
      <c r="H12" s="5">
        <v>0</v>
      </c>
      <c r="I12" s="5">
        <f t="shared" si="2"/>
        <v>11756</v>
      </c>
      <c r="J12" s="5">
        <v>0</v>
      </c>
      <c r="K12" s="5">
        <v>8814</v>
      </c>
      <c r="L12" s="5">
        <v>2942</v>
      </c>
      <c r="M12" s="5">
        <v>0</v>
      </c>
      <c r="N12" s="67"/>
      <c r="O12" s="67"/>
      <c r="P12" s="67"/>
      <c r="Q12" s="67"/>
      <c r="R12" s="67"/>
      <c r="S12" s="67"/>
    </row>
    <row r="13" spans="1:19" ht="15.75" customHeight="1" x14ac:dyDescent="0.2">
      <c r="A13" s="65">
        <v>6</v>
      </c>
      <c r="B13" s="68" t="s">
        <v>124</v>
      </c>
      <c r="C13" s="5">
        <f t="shared" si="0"/>
        <v>11146</v>
      </c>
      <c r="D13" s="5">
        <f t="shared" si="1"/>
        <v>390</v>
      </c>
      <c r="E13" s="5">
        <v>0</v>
      </c>
      <c r="F13" s="5">
        <v>263</v>
      </c>
      <c r="G13" s="5">
        <v>127</v>
      </c>
      <c r="H13" s="5">
        <v>0</v>
      </c>
      <c r="I13" s="5">
        <f t="shared" si="2"/>
        <v>10756</v>
      </c>
      <c r="J13" s="5">
        <v>0</v>
      </c>
      <c r="K13" s="5">
        <v>8998</v>
      </c>
      <c r="L13" s="5">
        <v>1758</v>
      </c>
      <c r="M13" s="5">
        <v>0</v>
      </c>
      <c r="N13" s="67"/>
      <c r="O13" s="67"/>
      <c r="P13" s="67"/>
      <c r="Q13" s="67"/>
      <c r="R13" s="67"/>
      <c r="S13" s="67"/>
    </row>
    <row r="14" spans="1:19" ht="16.5" customHeight="1" x14ac:dyDescent="0.2">
      <c r="A14" s="65">
        <v>7</v>
      </c>
      <c r="B14" s="68" t="s">
        <v>130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7"/>
      <c r="O14" s="67"/>
      <c r="P14" s="67"/>
      <c r="Q14" s="67"/>
      <c r="R14" s="67"/>
      <c r="S14" s="67"/>
    </row>
    <row r="15" spans="1:19" ht="15.75" customHeight="1" x14ac:dyDescent="0.2">
      <c r="A15" s="65">
        <v>8</v>
      </c>
      <c r="B15" s="66" t="s">
        <v>233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7"/>
      <c r="O15" s="67"/>
      <c r="P15" s="67"/>
      <c r="Q15" s="67"/>
      <c r="R15" s="67"/>
      <c r="S15" s="67"/>
    </row>
    <row r="16" spans="1:19" ht="13.5" customHeight="1" x14ac:dyDescent="0.2">
      <c r="A16" s="65">
        <v>9</v>
      </c>
      <c r="B16" s="66" t="s">
        <v>140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7"/>
      <c r="O16" s="67"/>
      <c r="P16" s="67"/>
      <c r="Q16" s="67"/>
      <c r="R16" s="67"/>
      <c r="S16" s="67"/>
    </row>
    <row r="17" spans="1:19" ht="18.75" customHeight="1" x14ac:dyDescent="0.2">
      <c r="A17" s="65">
        <v>10</v>
      </c>
      <c r="B17" s="66" t="s">
        <v>113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7"/>
      <c r="O17" s="67"/>
      <c r="P17" s="67"/>
      <c r="Q17" s="67"/>
      <c r="R17" s="67"/>
      <c r="S17" s="67"/>
    </row>
    <row r="18" spans="1:19" ht="18" customHeight="1" x14ac:dyDescent="0.2">
      <c r="A18" s="65">
        <v>11</v>
      </c>
      <c r="B18" s="66" t="s">
        <v>156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7"/>
      <c r="O18" s="67"/>
      <c r="P18" s="67"/>
      <c r="Q18" s="67"/>
      <c r="R18" s="67"/>
      <c r="S18" s="67"/>
    </row>
    <row r="19" spans="1:19" ht="18.75" customHeight="1" x14ac:dyDescent="0.2">
      <c r="A19" s="65">
        <v>12</v>
      </c>
      <c r="B19" s="66" t="s">
        <v>74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7"/>
      <c r="O19" s="67"/>
      <c r="P19" s="67"/>
      <c r="Q19" s="67"/>
      <c r="R19" s="67"/>
      <c r="S19" s="67"/>
    </row>
    <row r="20" spans="1:19" ht="15.75" customHeight="1" x14ac:dyDescent="0.2">
      <c r="A20" s="65"/>
      <c r="B20" s="66" t="s">
        <v>149</v>
      </c>
      <c r="C20" s="5">
        <f t="shared" ref="C20" si="3">D20+I20</f>
        <v>10722</v>
      </c>
      <c r="D20" s="5">
        <f t="shared" ref="D20" si="4">SUM(E20:H20)</f>
        <v>3367</v>
      </c>
      <c r="E20" s="5"/>
      <c r="F20" s="5">
        <v>3367</v>
      </c>
      <c r="G20" s="5"/>
      <c r="H20" s="5"/>
      <c r="I20" s="5">
        <f t="shared" ref="I20" si="5">SUM(J20:M20)</f>
        <v>7355</v>
      </c>
      <c r="J20" s="5"/>
      <c r="K20" s="5">
        <v>7355</v>
      </c>
      <c r="L20" s="5"/>
      <c r="M20" s="5"/>
      <c r="N20" s="67"/>
      <c r="O20" s="67"/>
      <c r="P20" s="67"/>
      <c r="Q20" s="67"/>
      <c r="R20" s="67"/>
      <c r="S20" s="67"/>
    </row>
    <row r="21" spans="1:19" ht="17.25" customHeight="1" x14ac:dyDescent="0.2">
      <c r="A21" s="65"/>
      <c r="B21" s="70" t="s">
        <v>221</v>
      </c>
      <c r="C21" s="71">
        <f>C8+C9+C10+C11+C12+C13+C14+C15+C16+C17+C18+C19+C20</f>
        <v>137756</v>
      </c>
      <c r="D21" s="71">
        <f t="shared" ref="D21:M21" si="6">D8+D9+D10+D11+D12+D13+D14+D15+D16+D17+D18+D19+D20</f>
        <v>11815</v>
      </c>
      <c r="E21" s="71">
        <f t="shared" si="6"/>
        <v>610</v>
      </c>
      <c r="F21" s="71">
        <f t="shared" si="6"/>
        <v>10245</v>
      </c>
      <c r="G21" s="71">
        <f t="shared" si="6"/>
        <v>870</v>
      </c>
      <c r="H21" s="71">
        <f t="shared" si="6"/>
        <v>90</v>
      </c>
      <c r="I21" s="71">
        <f t="shared" si="6"/>
        <v>125941</v>
      </c>
      <c r="J21" s="71">
        <f t="shared" si="6"/>
        <v>9864</v>
      </c>
      <c r="K21" s="71">
        <f t="shared" si="6"/>
        <v>101304</v>
      </c>
      <c r="L21" s="71">
        <f t="shared" si="6"/>
        <v>14563</v>
      </c>
      <c r="M21" s="71">
        <f t="shared" si="6"/>
        <v>210</v>
      </c>
      <c r="N21" s="67"/>
      <c r="O21" s="67"/>
      <c r="P21" s="67"/>
      <c r="Q21" s="67"/>
      <c r="R21" s="67"/>
      <c r="S21" s="67"/>
    </row>
    <row r="22" spans="1:19" x14ac:dyDescent="0.2">
      <c r="O22" s="67"/>
      <c r="P22" s="67"/>
      <c r="Q22" s="67"/>
      <c r="R22" s="67"/>
      <c r="S22" s="67"/>
    </row>
  </sheetData>
  <mergeCells count="18"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  <mergeCell ref="F6:F7"/>
    <mergeCell ref="G6:G7"/>
    <mergeCell ref="H6:H7"/>
    <mergeCell ref="I6:I7"/>
    <mergeCell ref="J6:J7"/>
  </mergeCells>
  <pageMargins left="0.51181102362204722" right="0.39370078740157483" top="0.55118110236220474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SheetLayoutView="110" workbookViewId="0">
      <selection activeCell="H31" sqref="H31"/>
    </sheetView>
  </sheetViews>
  <sheetFormatPr defaultRowHeight="12" x14ac:dyDescent="0.2"/>
  <cols>
    <col min="1" max="1" width="4.7109375" style="74" customWidth="1"/>
    <col min="2" max="2" width="27.5703125" style="74" customWidth="1"/>
    <col min="3" max="3" width="10" style="75" customWidth="1"/>
    <col min="4" max="4" width="10.42578125" style="75" customWidth="1"/>
    <col min="5" max="6" width="14" style="75" customWidth="1"/>
    <col min="7" max="7" width="11.5703125" style="75" customWidth="1"/>
    <col min="8" max="8" width="14.5703125" style="75" customWidth="1"/>
    <col min="9" max="9" width="9.42578125" style="75" customWidth="1"/>
    <col min="10" max="10" width="14.140625" style="75" customWidth="1"/>
    <col min="11" max="11" width="15" style="75" customWidth="1"/>
    <col min="12" max="12" width="11.5703125" style="75" customWidth="1"/>
    <col min="13" max="13" width="15" style="75" customWidth="1"/>
    <col min="14" max="16384" width="9.140625" style="74"/>
  </cols>
  <sheetData>
    <row r="1" spans="1:13" s="73" customFormat="1" ht="40.5" customHeight="1" x14ac:dyDescent="0.3">
      <c r="A1" s="347" t="s">
        <v>234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5.75" customHeight="1" x14ac:dyDescent="0.2">
      <c r="M2" s="75" t="s">
        <v>158</v>
      </c>
    </row>
    <row r="3" spans="1:13" ht="17.25" customHeight="1" x14ac:dyDescent="0.2">
      <c r="A3" s="348" t="s">
        <v>0</v>
      </c>
      <c r="B3" s="349" t="s">
        <v>204</v>
      </c>
      <c r="C3" s="346" t="s">
        <v>235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5.75" customHeight="1" x14ac:dyDescent="0.2">
      <c r="A4" s="348"/>
      <c r="B4" s="349"/>
      <c r="C4" s="345" t="s">
        <v>236</v>
      </c>
      <c r="D4" s="346" t="s">
        <v>225</v>
      </c>
      <c r="E4" s="346"/>
      <c r="F4" s="346"/>
      <c r="G4" s="346"/>
      <c r="H4" s="346"/>
      <c r="I4" s="346"/>
      <c r="J4" s="346"/>
      <c r="K4" s="346"/>
      <c r="L4" s="346"/>
      <c r="M4" s="346"/>
    </row>
    <row r="5" spans="1:13" ht="18" customHeight="1" x14ac:dyDescent="0.2">
      <c r="A5" s="348"/>
      <c r="B5" s="349"/>
      <c r="C5" s="345"/>
      <c r="D5" s="346" t="s">
        <v>226</v>
      </c>
      <c r="E5" s="346"/>
      <c r="F5" s="346"/>
      <c r="G5" s="346"/>
      <c r="H5" s="346"/>
      <c r="I5" s="346" t="s">
        <v>227</v>
      </c>
      <c r="J5" s="346"/>
      <c r="K5" s="346"/>
      <c r="L5" s="346"/>
      <c r="M5" s="346"/>
    </row>
    <row r="6" spans="1:13" ht="15" customHeight="1" x14ac:dyDescent="0.2">
      <c r="A6" s="348"/>
      <c r="B6" s="349"/>
      <c r="C6" s="345"/>
      <c r="D6" s="345" t="s">
        <v>228</v>
      </c>
      <c r="E6" s="345" t="s">
        <v>229</v>
      </c>
      <c r="F6" s="345" t="s">
        <v>230</v>
      </c>
      <c r="G6" s="345" t="s">
        <v>216</v>
      </c>
      <c r="H6" s="345" t="s">
        <v>231</v>
      </c>
      <c r="I6" s="345" t="s">
        <v>232</v>
      </c>
      <c r="J6" s="345" t="s">
        <v>229</v>
      </c>
      <c r="K6" s="345" t="s">
        <v>230</v>
      </c>
      <c r="L6" s="345" t="s">
        <v>216</v>
      </c>
      <c r="M6" s="345" t="s">
        <v>217</v>
      </c>
    </row>
    <row r="7" spans="1:13" ht="57.75" customHeight="1" x14ac:dyDescent="0.2">
      <c r="A7" s="348"/>
      <c r="B7" s="349"/>
      <c r="C7" s="345"/>
      <c r="D7" s="345"/>
      <c r="E7" s="345"/>
      <c r="F7" s="345"/>
      <c r="G7" s="345"/>
      <c r="H7" s="345"/>
      <c r="I7" s="346"/>
      <c r="J7" s="345"/>
      <c r="K7" s="345"/>
      <c r="L7" s="345"/>
      <c r="M7" s="345"/>
    </row>
    <row r="8" spans="1:13" ht="16.5" customHeight="1" x14ac:dyDescent="0.2">
      <c r="A8" s="76">
        <v>1</v>
      </c>
      <c r="B8" s="77" t="s">
        <v>220</v>
      </c>
      <c r="C8" s="78">
        <f>D8+I8</f>
        <v>3337</v>
      </c>
      <c r="D8" s="78">
        <f>SUM(E8:H8)</f>
        <v>2319</v>
      </c>
      <c r="E8" s="78">
        <v>67</v>
      </c>
      <c r="F8" s="78">
        <f>923+55</f>
        <v>978</v>
      </c>
      <c r="G8" s="78">
        <v>1274</v>
      </c>
      <c r="H8" s="78">
        <v>0</v>
      </c>
      <c r="I8" s="78">
        <f>SUM(J8:M8)</f>
        <v>1018</v>
      </c>
      <c r="J8" s="78">
        <v>25</v>
      </c>
      <c r="K8" s="78">
        <v>516</v>
      </c>
      <c r="L8" s="78">
        <v>477</v>
      </c>
      <c r="M8" s="78">
        <v>0</v>
      </c>
    </row>
    <row r="9" spans="1:13" ht="15" customHeight="1" x14ac:dyDescent="0.2">
      <c r="A9" s="76">
        <v>2</v>
      </c>
      <c r="B9" s="79" t="s">
        <v>152</v>
      </c>
      <c r="C9" s="78">
        <f t="shared" ref="C9:C13" si="0">D9+I9</f>
        <v>2598</v>
      </c>
      <c r="D9" s="78">
        <f t="shared" ref="D9:D13" si="1">SUM(E9:H9)</f>
        <v>582</v>
      </c>
      <c r="E9" s="78">
        <v>36</v>
      </c>
      <c r="F9" s="78">
        <v>192</v>
      </c>
      <c r="G9" s="78">
        <v>84</v>
      </c>
      <c r="H9" s="78">
        <v>270</v>
      </c>
      <c r="I9" s="78">
        <f t="shared" ref="I9:I13" si="2">SUM(J9:M9)</f>
        <v>2016</v>
      </c>
      <c r="J9" s="78">
        <f>13+94</f>
        <v>107</v>
      </c>
      <c r="K9" s="78">
        <f>71+503</f>
        <v>574</v>
      </c>
      <c r="L9" s="78">
        <f>32+223</f>
        <v>255</v>
      </c>
      <c r="M9" s="78">
        <f>101+979</f>
        <v>1080</v>
      </c>
    </row>
    <row r="10" spans="1:13" ht="16.5" customHeight="1" x14ac:dyDescent="0.2">
      <c r="A10" s="76">
        <v>3</v>
      </c>
      <c r="B10" s="77" t="s">
        <v>120</v>
      </c>
      <c r="C10" s="78">
        <f t="shared" si="0"/>
        <v>24558</v>
      </c>
      <c r="D10" s="78">
        <f t="shared" si="1"/>
        <v>17906</v>
      </c>
      <c r="E10" s="78">
        <v>0</v>
      </c>
      <c r="F10" s="78">
        <f>16838-32</f>
        <v>16806</v>
      </c>
      <c r="G10" s="78">
        <v>1100</v>
      </c>
      <c r="H10" s="78">
        <v>0</v>
      </c>
      <c r="I10" s="78">
        <f t="shared" si="2"/>
        <v>6652</v>
      </c>
      <c r="J10" s="78">
        <v>0</v>
      </c>
      <c r="K10" s="78">
        <v>6241</v>
      </c>
      <c r="L10" s="78">
        <v>411</v>
      </c>
      <c r="M10" s="78">
        <v>0</v>
      </c>
    </row>
    <row r="11" spans="1:13" x14ac:dyDescent="0.2">
      <c r="A11" s="76">
        <v>4</v>
      </c>
      <c r="B11" s="79" t="s">
        <v>125</v>
      </c>
      <c r="C11" s="78">
        <f t="shared" si="0"/>
        <v>10987</v>
      </c>
      <c r="D11" s="78">
        <f t="shared" si="1"/>
        <v>8000</v>
      </c>
      <c r="E11" s="78">
        <v>2992</v>
      </c>
      <c r="F11" s="78">
        <f>3861-6</f>
        <v>3855</v>
      </c>
      <c r="G11" s="78">
        <v>1153</v>
      </c>
      <c r="H11" s="78">
        <v>0</v>
      </c>
      <c r="I11" s="78">
        <f t="shared" si="2"/>
        <v>2987</v>
      </c>
      <c r="J11" s="78">
        <v>1119</v>
      </c>
      <c r="K11" s="78">
        <v>1437</v>
      </c>
      <c r="L11" s="78">
        <v>431</v>
      </c>
      <c r="M11" s="78">
        <v>0</v>
      </c>
    </row>
    <row r="12" spans="1:13" x14ac:dyDescent="0.2">
      <c r="A12" s="76">
        <v>5</v>
      </c>
      <c r="B12" s="80" t="s">
        <v>118</v>
      </c>
      <c r="C12" s="78">
        <f t="shared" si="0"/>
        <v>4080</v>
      </c>
      <c r="D12" s="78">
        <f t="shared" si="1"/>
        <v>2979</v>
      </c>
      <c r="E12" s="78">
        <v>0</v>
      </c>
      <c r="F12" s="78">
        <f>1997-2</f>
        <v>1995</v>
      </c>
      <c r="G12" s="78">
        <v>984</v>
      </c>
      <c r="H12" s="78">
        <v>0</v>
      </c>
      <c r="I12" s="78">
        <f t="shared" si="2"/>
        <v>1101</v>
      </c>
      <c r="J12" s="78">
        <v>0</v>
      </c>
      <c r="K12" s="78">
        <v>734</v>
      </c>
      <c r="L12" s="78">
        <v>367</v>
      </c>
      <c r="M12" s="78">
        <v>0</v>
      </c>
    </row>
    <row r="13" spans="1:13" x14ac:dyDescent="0.2">
      <c r="A13" s="76">
        <v>6</v>
      </c>
      <c r="B13" s="79" t="s">
        <v>124</v>
      </c>
      <c r="C13" s="78">
        <f t="shared" si="0"/>
        <v>6112</v>
      </c>
      <c r="D13" s="78">
        <f t="shared" si="1"/>
        <v>4494</v>
      </c>
      <c r="E13" s="78">
        <v>0</v>
      </c>
      <c r="F13" s="78">
        <v>3970</v>
      </c>
      <c r="G13" s="78">
        <v>524</v>
      </c>
      <c r="H13" s="78">
        <v>0</v>
      </c>
      <c r="I13" s="78">
        <f t="shared" si="2"/>
        <v>1618</v>
      </c>
      <c r="J13" s="78">
        <v>0</v>
      </c>
      <c r="K13" s="78">
        <v>1422</v>
      </c>
      <c r="L13" s="78">
        <v>196</v>
      </c>
      <c r="M13" s="78">
        <v>0</v>
      </c>
    </row>
    <row r="14" spans="1:13" x14ac:dyDescent="0.2">
      <c r="A14" s="76">
        <v>7</v>
      </c>
      <c r="B14" s="79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x14ac:dyDescent="0.2">
      <c r="A15" s="76">
        <v>8</v>
      </c>
      <c r="B15" s="79" t="s">
        <v>153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x14ac:dyDescent="0.2">
      <c r="A16" s="76">
        <v>9</v>
      </c>
      <c r="B16" s="79" t="s">
        <v>154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x14ac:dyDescent="0.2">
      <c r="A17" s="76">
        <v>10</v>
      </c>
      <c r="B17" s="79" t="s">
        <v>155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x14ac:dyDescent="0.2">
      <c r="A18" s="76">
        <v>11</v>
      </c>
      <c r="B18" s="79" t="s">
        <v>156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6.5" customHeight="1" x14ac:dyDescent="0.2">
      <c r="A19" s="76">
        <v>12</v>
      </c>
      <c r="B19" s="77" t="s">
        <v>157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7.25" customHeight="1" x14ac:dyDescent="0.2">
      <c r="A20" s="76"/>
      <c r="B20" s="81" t="s">
        <v>221</v>
      </c>
      <c r="C20" s="82">
        <f>SUM(C8:C19)</f>
        <v>51672</v>
      </c>
      <c r="D20" s="82">
        <f t="shared" ref="D20:M20" si="3">SUM(D8:D19)</f>
        <v>36280</v>
      </c>
      <c r="E20" s="82">
        <f t="shared" si="3"/>
        <v>3095</v>
      </c>
      <c r="F20" s="82">
        <f t="shared" si="3"/>
        <v>27796</v>
      </c>
      <c r="G20" s="82">
        <f t="shared" si="3"/>
        <v>5119</v>
      </c>
      <c r="H20" s="82">
        <f t="shared" si="3"/>
        <v>270</v>
      </c>
      <c r="I20" s="82">
        <f t="shared" si="3"/>
        <v>15392</v>
      </c>
      <c r="J20" s="82">
        <f t="shared" si="3"/>
        <v>1251</v>
      </c>
      <c r="K20" s="82">
        <f t="shared" si="3"/>
        <v>10924</v>
      </c>
      <c r="L20" s="82">
        <f t="shared" si="3"/>
        <v>2137</v>
      </c>
      <c r="M20" s="82">
        <f t="shared" si="3"/>
        <v>1080</v>
      </c>
    </row>
  </sheetData>
  <mergeCells count="18">
    <mergeCell ref="F6:F7"/>
    <mergeCell ref="G6:G7"/>
    <mergeCell ref="H6:H7"/>
    <mergeCell ref="I6:I7"/>
    <mergeCell ref="J6:J7"/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</mergeCells>
  <pageMargins left="0.51181102362204722" right="0.31496062992125984" top="0.55118110236220474" bottom="0.35433070866141736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80"/>
  <sheetViews>
    <sheetView zoomScale="130" zoomScaleNormal="130" workbookViewId="0">
      <pane xSplit="3" ySplit="7" topLeftCell="G167" activePane="bottomRight" state="frozen"/>
      <selection pane="topRight" activeCell="D1" sqref="D1"/>
      <selection pane="bottomLeft" activeCell="A8" sqref="A8"/>
      <selection pane="bottomRight" activeCell="H179" sqref="H179"/>
    </sheetView>
  </sheetViews>
  <sheetFormatPr defaultRowHeight="15" x14ac:dyDescent="0.25"/>
  <cols>
    <col min="1" max="1" width="4.28515625" style="144" customWidth="1"/>
    <col min="2" max="2" width="26.140625" style="146" customWidth="1"/>
    <col min="3" max="3" width="7" style="144" customWidth="1"/>
    <col min="4" max="5" width="7.7109375" style="144" customWidth="1"/>
    <col min="6" max="6" width="5.5703125" style="144" customWidth="1"/>
    <col min="7" max="7" width="8.85546875" style="144" customWidth="1"/>
    <col min="8" max="8" width="10.42578125" style="144" customWidth="1"/>
    <col min="9" max="9" width="9.28515625" style="144" customWidth="1"/>
    <col min="10" max="10" width="6" style="147" customWidth="1"/>
    <col min="11" max="11" width="6.5703125" style="144" customWidth="1"/>
    <col min="12" max="12" width="7" style="144" customWidth="1"/>
    <col min="13" max="13" width="6.85546875" style="144" customWidth="1"/>
    <col min="14" max="14" width="8" style="144" customWidth="1"/>
    <col min="15" max="15" width="6.42578125" style="144" customWidth="1"/>
    <col min="16" max="16" width="8.7109375" style="144" customWidth="1"/>
    <col min="17" max="16384" width="9.140625" style="144"/>
  </cols>
  <sheetData>
    <row r="1" spans="1:16" x14ac:dyDescent="0.25">
      <c r="A1" s="355" t="s">
        <v>299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ht="15.75" x14ac:dyDescent="0.25">
      <c r="A2" s="145"/>
      <c r="O2" s="356" t="s">
        <v>300</v>
      </c>
      <c r="P2" s="356"/>
    </row>
    <row r="3" spans="1:16" s="148" customFormat="1" ht="11.25" customHeight="1" x14ac:dyDescent="0.25">
      <c r="A3" s="353" t="s">
        <v>0</v>
      </c>
      <c r="B3" s="353" t="s">
        <v>301</v>
      </c>
      <c r="C3" s="351" t="s">
        <v>302</v>
      </c>
      <c r="D3" s="353" t="s">
        <v>225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16" s="148" customFormat="1" ht="21" customHeight="1" x14ac:dyDescent="0.25">
      <c r="A4" s="353"/>
      <c r="B4" s="353"/>
      <c r="C4" s="354"/>
      <c r="D4" s="353" t="s">
        <v>303</v>
      </c>
      <c r="E4" s="357" t="s">
        <v>304</v>
      </c>
      <c r="F4" s="358"/>
      <c r="G4" s="351" t="s">
        <v>305</v>
      </c>
      <c r="H4" s="351" t="s">
        <v>306</v>
      </c>
      <c r="I4" s="351" t="s">
        <v>307</v>
      </c>
      <c r="J4" s="353" t="s">
        <v>308</v>
      </c>
      <c r="K4" s="353" t="s">
        <v>225</v>
      </c>
      <c r="L4" s="353"/>
      <c r="M4" s="351" t="s">
        <v>309</v>
      </c>
      <c r="N4" s="351" t="s">
        <v>310</v>
      </c>
      <c r="O4" s="353" t="s">
        <v>311</v>
      </c>
      <c r="P4" s="353"/>
    </row>
    <row r="5" spans="1:16" s="148" customFormat="1" ht="15" customHeight="1" x14ac:dyDescent="0.25">
      <c r="A5" s="353"/>
      <c r="B5" s="353"/>
      <c r="C5" s="354"/>
      <c r="D5" s="353"/>
      <c r="E5" s="351" t="s">
        <v>312</v>
      </c>
      <c r="F5" s="351" t="s">
        <v>313</v>
      </c>
      <c r="G5" s="354"/>
      <c r="H5" s="354"/>
      <c r="I5" s="354"/>
      <c r="J5" s="353"/>
      <c r="K5" s="351" t="s">
        <v>314</v>
      </c>
      <c r="L5" s="351" t="s">
        <v>315</v>
      </c>
      <c r="M5" s="354"/>
      <c r="N5" s="354"/>
      <c r="O5" s="353"/>
      <c r="P5" s="353"/>
    </row>
    <row r="6" spans="1:16" s="148" customFormat="1" ht="32.25" customHeight="1" x14ac:dyDescent="0.25">
      <c r="A6" s="353"/>
      <c r="B6" s="353"/>
      <c r="C6" s="352"/>
      <c r="D6" s="353"/>
      <c r="E6" s="352"/>
      <c r="F6" s="352"/>
      <c r="G6" s="352"/>
      <c r="H6" s="352"/>
      <c r="I6" s="352"/>
      <c r="J6" s="353"/>
      <c r="K6" s="352"/>
      <c r="L6" s="352"/>
      <c r="M6" s="352"/>
      <c r="N6" s="352"/>
      <c r="O6" s="149" t="s">
        <v>316</v>
      </c>
      <c r="P6" s="149" t="s">
        <v>317</v>
      </c>
    </row>
    <row r="7" spans="1:16" s="148" customFormat="1" ht="12.75" customHeight="1" x14ac:dyDescent="0.25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</row>
    <row r="8" spans="1:16" s="153" customFormat="1" ht="15" customHeight="1" x14ac:dyDescent="0.2">
      <c r="A8" s="150">
        <v>1</v>
      </c>
      <c r="B8" s="151" t="s">
        <v>1</v>
      </c>
      <c r="C8" s="152">
        <f t="shared" ref="C8:C71" si="0">D8+E8+F8+G8+H8+I8+J8+M8+N8+O8+P8</f>
        <v>153259</v>
      </c>
      <c r="D8" s="152">
        <v>16951</v>
      </c>
      <c r="E8" s="152">
        <v>10139</v>
      </c>
      <c r="F8" s="152">
        <v>2032</v>
      </c>
      <c r="G8" s="152">
        <v>529</v>
      </c>
      <c r="H8" s="152">
        <v>20224</v>
      </c>
      <c r="I8" s="152">
        <v>14494</v>
      </c>
      <c r="J8" s="152">
        <v>1464</v>
      </c>
      <c r="K8" s="152">
        <v>1025</v>
      </c>
      <c r="L8" s="152">
        <v>439</v>
      </c>
      <c r="M8" s="152"/>
      <c r="N8" s="152"/>
      <c r="O8" s="152">
        <v>7321</v>
      </c>
      <c r="P8" s="152">
        <v>80105</v>
      </c>
    </row>
    <row r="9" spans="1:16" s="153" customFormat="1" ht="16.5" x14ac:dyDescent="0.2">
      <c r="A9" s="150">
        <v>2</v>
      </c>
      <c r="B9" s="151" t="s">
        <v>318</v>
      </c>
      <c r="C9" s="152">
        <f t="shared" si="0"/>
        <v>6000</v>
      </c>
      <c r="D9" s="152"/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/>
      <c r="L9" s="152"/>
      <c r="M9" s="152"/>
      <c r="N9" s="152">
        <v>6000</v>
      </c>
      <c r="O9" s="152"/>
      <c r="P9" s="152">
        <v>0</v>
      </c>
    </row>
    <row r="10" spans="1:16" s="155" customFormat="1" ht="12" x14ac:dyDescent="0.2">
      <c r="A10" s="150">
        <v>3</v>
      </c>
      <c r="B10" s="154" t="s">
        <v>2</v>
      </c>
      <c r="C10" s="152">
        <f t="shared" si="0"/>
        <v>163769</v>
      </c>
      <c r="D10" s="152">
        <v>14786</v>
      </c>
      <c r="E10" s="152">
        <v>10964</v>
      </c>
      <c r="F10" s="152">
        <v>3065</v>
      </c>
      <c r="G10" s="152">
        <v>193</v>
      </c>
      <c r="H10" s="152">
        <v>20242</v>
      </c>
      <c r="I10" s="152">
        <v>12941</v>
      </c>
      <c r="J10" s="152">
        <v>1464</v>
      </c>
      <c r="K10" s="152">
        <v>1025</v>
      </c>
      <c r="L10" s="152">
        <v>439</v>
      </c>
      <c r="M10" s="152">
        <v>260</v>
      </c>
      <c r="N10" s="152"/>
      <c r="O10" s="152">
        <v>10325</v>
      </c>
      <c r="P10" s="152">
        <v>89529</v>
      </c>
    </row>
    <row r="11" spans="1:16" s="155" customFormat="1" ht="15.75" customHeight="1" x14ac:dyDescent="0.2">
      <c r="A11" s="150">
        <v>4</v>
      </c>
      <c r="B11" s="154" t="s">
        <v>319</v>
      </c>
      <c r="C11" s="152">
        <f t="shared" si="0"/>
        <v>5340</v>
      </c>
      <c r="D11" s="152"/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/>
      <c r="L11" s="152"/>
      <c r="M11" s="152"/>
      <c r="N11" s="152">
        <v>5340</v>
      </c>
      <c r="O11" s="152"/>
      <c r="P11" s="152">
        <v>0</v>
      </c>
    </row>
    <row r="12" spans="1:16" s="155" customFormat="1" ht="12" x14ac:dyDescent="0.2">
      <c r="A12" s="350">
        <v>5</v>
      </c>
      <c r="B12" s="156" t="s">
        <v>3</v>
      </c>
      <c r="C12" s="152">
        <f t="shared" si="0"/>
        <v>376043</v>
      </c>
      <c r="D12" s="152">
        <v>27670</v>
      </c>
      <c r="E12" s="152">
        <v>26783</v>
      </c>
      <c r="F12" s="152">
        <v>8202</v>
      </c>
      <c r="G12" s="152">
        <v>128</v>
      </c>
      <c r="H12" s="152">
        <v>57504</v>
      </c>
      <c r="I12" s="152">
        <v>33454</v>
      </c>
      <c r="J12" s="152">
        <v>1464</v>
      </c>
      <c r="K12" s="152">
        <v>1025</v>
      </c>
      <c r="L12" s="152">
        <v>439</v>
      </c>
      <c r="M12" s="152"/>
      <c r="N12" s="152"/>
      <c r="O12" s="152">
        <v>48289</v>
      </c>
      <c r="P12" s="152">
        <v>172549</v>
      </c>
    </row>
    <row r="13" spans="1:16" s="155" customFormat="1" ht="26.25" customHeight="1" x14ac:dyDescent="0.2">
      <c r="A13" s="350"/>
      <c r="B13" s="157" t="s">
        <v>320</v>
      </c>
      <c r="C13" s="152">
        <f t="shared" si="0"/>
        <v>48167</v>
      </c>
      <c r="D13" s="152"/>
      <c r="E13" s="152">
        <v>3515</v>
      </c>
      <c r="F13" s="152">
        <v>1094</v>
      </c>
      <c r="G13" s="152">
        <v>21</v>
      </c>
      <c r="H13" s="152">
        <v>6830</v>
      </c>
      <c r="I13" s="152">
        <v>3052</v>
      </c>
      <c r="J13" s="152">
        <v>0</v>
      </c>
      <c r="K13" s="152"/>
      <c r="L13" s="152"/>
      <c r="M13" s="152"/>
      <c r="N13" s="152"/>
      <c r="O13" s="152">
        <v>7920</v>
      </c>
      <c r="P13" s="152">
        <v>25735</v>
      </c>
    </row>
    <row r="14" spans="1:16" s="155" customFormat="1" ht="12" x14ac:dyDescent="0.2">
      <c r="A14" s="150">
        <v>6</v>
      </c>
      <c r="B14" s="154" t="s">
        <v>4</v>
      </c>
      <c r="C14" s="152">
        <f t="shared" si="0"/>
        <v>115240</v>
      </c>
      <c r="D14" s="152"/>
      <c r="E14" s="152">
        <v>9401</v>
      </c>
      <c r="F14" s="152">
        <v>2741</v>
      </c>
      <c r="G14" s="152">
        <v>204</v>
      </c>
      <c r="H14" s="152">
        <v>14925</v>
      </c>
      <c r="I14" s="152">
        <v>9691</v>
      </c>
      <c r="J14" s="152">
        <v>1464</v>
      </c>
      <c r="K14" s="152">
        <v>1025</v>
      </c>
      <c r="L14" s="152">
        <v>439</v>
      </c>
      <c r="M14" s="152"/>
      <c r="N14" s="152"/>
      <c r="O14" s="152">
        <v>17450</v>
      </c>
      <c r="P14" s="152">
        <v>59364</v>
      </c>
    </row>
    <row r="15" spans="1:16" s="155" customFormat="1" ht="12" x14ac:dyDescent="0.2">
      <c r="A15" s="150">
        <v>7</v>
      </c>
      <c r="B15" s="154" t="s">
        <v>5</v>
      </c>
      <c r="C15" s="152">
        <f t="shared" si="0"/>
        <v>46702</v>
      </c>
      <c r="D15" s="152"/>
      <c r="E15" s="152">
        <v>4289</v>
      </c>
      <c r="F15" s="152">
        <v>1139</v>
      </c>
      <c r="G15" s="152">
        <v>80</v>
      </c>
      <c r="H15" s="152">
        <v>7034</v>
      </c>
      <c r="I15" s="152">
        <v>5329</v>
      </c>
      <c r="J15" s="152">
        <v>0</v>
      </c>
      <c r="K15" s="152"/>
      <c r="L15" s="152"/>
      <c r="M15" s="152"/>
      <c r="N15" s="152"/>
      <c r="O15" s="152">
        <v>9750</v>
      </c>
      <c r="P15" s="152">
        <v>19081</v>
      </c>
    </row>
    <row r="16" spans="1:16" s="155" customFormat="1" ht="12" x14ac:dyDescent="0.2">
      <c r="A16" s="150">
        <v>8</v>
      </c>
      <c r="B16" s="154" t="s">
        <v>6</v>
      </c>
      <c r="C16" s="152">
        <f t="shared" si="0"/>
        <v>51519</v>
      </c>
      <c r="D16" s="152"/>
      <c r="E16" s="152">
        <v>4292</v>
      </c>
      <c r="F16" s="152">
        <v>1051</v>
      </c>
      <c r="G16" s="152">
        <v>120</v>
      </c>
      <c r="H16" s="152">
        <v>7076</v>
      </c>
      <c r="I16" s="152">
        <v>4938</v>
      </c>
      <c r="J16" s="152">
        <v>1464</v>
      </c>
      <c r="K16" s="152">
        <v>1025</v>
      </c>
      <c r="L16" s="152">
        <v>439</v>
      </c>
      <c r="M16" s="152"/>
      <c r="N16" s="152"/>
      <c r="O16" s="152">
        <v>6546</v>
      </c>
      <c r="P16" s="152">
        <v>26032</v>
      </c>
    </row>
    <row r="17" spans="1:16" s="155" customFormat="1" ht="12" x14ac:dyDescent="0.2">
      <c r="A17" s="150">
        <v>9</v>
      </c>
      <c r="B17" s="154" t="s">
        <v>7</v>
      </c>
      <c r="C17" s="152">
        <f t="shared" si="0"/>
        <v>57051</v>
      </c>
      <c r="D17" s="152"/>
      <c r="E17" s="152">
        <v>4846</v>
      </c>
      <c r="F17" s="152">
        <v>1465</v>
      </c>
      <c r="G17" s="152">
        <v>71</v>
      </c>
      <c r="H17" s="152">
        <v>8423</v>
      </c>
      <c r="I17" s="152">
        <v>4574</v>
      </c>
      <c r="J17" s="152">
        <v>0</v>
      </c>
      <c r="K17" s="152"/>
      <c r="L17" s="152"/>
      <c r="M17" s="152"/>
      <c r="N17" s="152"/>
      <c r="O17" s="152">
        <v>8579</v>
      </c>
      <c r="P17" s="152">
        <v>29093</v>
      </c>
    </row>
    <row r="18" spans="1:16" s="155" customFormat="1" ht="12" x14ac:dyDescent="0.2">
      <c r="A18" s="150">
        <v>10</v>
      </c>
      <c r="B18" s="154" t="s">
        <v>8</v>
      </c>
      <c r="C18" s="152">
        <f t="shared" si="0"/>
        <v>57875</v>
      </c>
      <c r="D18" s="152"/>
      <c r="E18" s="152">
        <v>4895</v>
      </c>
      <c r="F18" s="152">
        <v>1316</v>
      </c>
      <c r="G18" s="152">
        <v>67</v>
      </c>
      <c r="H18" s="152">
        <v>8176</v>
      </c>
      <c r="I18" s="152">
        <v>5772</v>
      </c>
      <c r="J18" s="152">
        <v>0</v>
      </c>
      <c r="K18" s="152"/>
      <c r="L18" s="152"/>
      <c r="M18" s="152"/>
      <c r="N18" s="152"/>
      <c r="O18" s="152">
        <v>10032</v>
      </c>
      <c r="P18" s="152">
        <v>27617</v>
      </c>
    </row>
    <row r="19" spans="1:16" s="155" customFormat="1" ht="12" x14ac:dyDescent="0.2">
      <c r="A19" s="150">
        <v>11</v>
      </c>
      <c r="B19" s="156" t="s">
        <v>9</v>
      </c>
      <c r="C19" s="152">
        <f t="shared" si="0"/>
        <v>61045</v>
      </c>
      <c r="D19" s="152"/>
      <c r="E19" s="152">
        <v>4571</v>
      </c>
      <c r="F19" s="152">
        <v>1321</v>
      </c>
      <c r="G19" s="152">
        <v>158</v>
      </c>
      <c r="H19" s="152">
        <v>7996</v>
      </c>
      <c r="I19" s="152">
        <v>5674</v>
      </c>
      <c r="J19" s="152">
        <v>0</v>
      </c>
      <c r="K19" s="152"/>
      <c r="L19" s="152"/>
      <c r="M19" s="152"/>
      <c r="N19" s="152"/>
      <c r="O19" s="152">
        <v>10188</v>
      </c>
      <c r="P19" s="152">
        <v>31137</v>
      </c>
    </row>
    <row r="20" spans="1:16" s="155" customFormat="1" ht="12" x14ac:dyDescent="0.2">
      <c r="A20" s="150">
        <v>12</v>
      </c>
      <c r="B20" s="154" t="s">
        <v>10</v>
      </c>
      <c r="C20" s="152">
        <f t="shared" si="0"/>
        <v>56199</v>
      </c>
      <c r="D20" s="152"/>
      <c r="E20" s="152">
        <v>4768</v>
      </c>
      <c r="F20" s="152">
        <v>1220</v>
      </c>
      <c r="G20" s="152">
        <v>55</v>
      </c>
      <c r="H20" s="152">
        <v>8106</v>
      </c>
      <c r="I20" s="152">
        <v>6770</v>
      </c>
      <c r="J20" s="152">
        <v>1464</v>
      </c>
      <c r="K20" s="152">
        <v>1025</v>
      </c>
      <c r="L20" s="152">
        <v>439</v>
      </c>
      <c r="M20" s="152"/>
      <c r="N20" s="152"/>
      <c r="O20" s="152">
        <v>9847</v>
      </c>
      <c r="P20" s="152">
        <v>23969</v>
      </c>
    </row>
    <row r="21" spans="1:16" s="155" customFormat="1" ht="12" x14ac:dyDescent="0.2">
      <c r="A21" s="150">
        <v>13</v>
      </c>
      <c r="B21" s="156" t="s">
        <v>71</v>
      </c>
      <c r="C21" s="152">
        <f t="shared" si="0"/>
        <v>71231</v>
      </c>
      <c r="D21" s="152"/>
      <c r="E21" s="152">
        <v>5942</v>
      </c>
      <c r="F21" s="152">
        <v>3276</v>
      </c>
      <c r="G21" s="152">
        <v>60</v>
      </c>
      <c r="H21" s="152">
        <v>12752</v>
      </c>
      <c r="I21" s="152">
        <v>5953</v>
      </c>
      <c r="J21" s="152">
        <v>0</v>
      </c>
      <c r="K21" s="152"/>
      <c r="L21" s="152"/>
      <c r="M21" s="152"/>
      <c r="N21" s="152"/>
      <c r="O21" s="152">
        <v>11356</v>
      </c>
      <c r="P21" s="152">
        <v>31892</v>
      </c>
    </row>
    <row r="22" spans="1:16" s="155" customFormat="1" ht="12" x14ac:dyDescent="0.2">
      <c r="A22" s="150">
        <v>14</v>
      </c>
      <c r="B22" s="154" t="s">
        <v>11</v>
      </c>
      <c r="C22" s="152">
        <f t="shared" si="0"/>
        <v>52965</v>
      </c>
      <c r="D22" s="152"/>
      <c r="E22" s="152">
        <v>4690</v>
      </c>
      <c r="F22" s="152">
        <v>1341</v>
      </c>
      <c r="G22" s="152">
        <v>92</v>
      </c>
      <c r="H22" s="152">
        <v>6996</v>
      </c>
      <c r="I22" s="152">
        <v>6291</v>
      </c>
      <c r="J22" s="152">
        <v>0</v>
      </c>
      <c r="K22" s="152"/>
      <c r="L22" s="152"/>
      <c r="M22" s="152"/>
      <c r="N22" s="152"/>
      <c r="O22" s="152">
        <v>7477</v>
      </c>
      <c r="P22" s="152">
        <v>26078</v>
      </c>
    </row>
    <row r="23" spans="1:16" s="155" customFormat="1" ht="12" x14ac:dyDescent="0.2">
      <c r="A23" s="150">
        <v>15</v>
      </c>
      <c r="B23" s="154" t="s">
        <v>321</v>
      </c>
      <c r="C23" s="152">
        <f t="shared" si="0"/>
        <v>0</v>
      </c>
      <c r="D23" s="152"/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/>
      <c r="L23" s="152"/>
      <c r="M23" s="152"/>
      <c r="N23" s="152">
        <v>0</v>
      </c>
      <c r="O23" s="152"/>
      <c r="P23" s="152">
        <v>0</v>
      </c>
    </row>
    <row r="24" spans="1:16" s="155" customFormat="1" ht="12" x14ac:dyDescent="0.2">
      <c r="A24" s="150">
        <v>16</v>
      </c>
      <c r="B24" s="154" t="s">
        <v>322</v>
      </c>
      <c r="C24" s="152">
        <f t="shared" si="0"/>
        <v>25</v>
      </c>
      <c r="D24" s="152"/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/>
      <c r="L24" s="152"/>
      <c r="M24" s="152"/>
      <c r="N24" s="152">
        <v>25</v>
      </c>
      <c r="O24" s="152"/>
      <c r="P24" s="152">
        <v>0</v>
      </c>
    </row>
    <row r="25" spans="1:16" s="155" customFormat="1" ht="12" x14ac:dyDescent="0.2">
      <c r="A25" s="150">
        <v>17</v>
      </c>
      <c r="B25" s="154" t="s">
        <v>323</v>
      </c>
      <c r="C25" s="152">
        <f t="shared" si="0"/>
        <v>25</v>
      </c>
      <c r="D25" s="152"/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/>
      <c r="L25" s="152"/>
      <c r="M25" s="152"/>
      <c r="N25" s="152">
        <v>25</v>
      </c>
      <c r="O25" s="152"/>
      <c r="P25" s="152">
        <v>0</v>
      </c>
    </row>
    <row r="26" spans="1:16" s="155" customFormat="1" ht="12" x14ac:dyDescent="0.2">
      <c r="A26" s="150">
        <v>18</v>
      </c>
      <c r="B26" s="154" t="s">
        <v>324</v>
      </c>
      <c r="C26" s="152">
        <f t="shared" si="0"/>
        <v>0</v>
      </c>
      <c r="D26" s="152"/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/>
      <c r="L26" s="152"/>
      <c r="M26" s="152"/>
      <c r="N26" s="152">
        <v>0</v>
      </c>
      <c r="O26" s="152"/>
      <c r="P26" s="152">
        <v>0</v>
      </c>
    </row>
    <row r="27" spans="1:16" s="155" customFormat="1" ht="12" x14ac:dyDescent="0.2">
      <c r="A27" s="150">
        <v>19</v>
      </c>
      <c r="B27" s="154" t="s">
        <v>325</v>
      </c>
      <c r="C27" s="152">
        <f t="shared" si="0"/>
        <v>100</v>
      </c>
      <c r="D27" s="152"/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/>
      <c r="L27" s="152"/>
      <c r="M27" s="152"/>
      <c r="N27" s="152">
        <v>100</v>
      </c>
      <c r="O27" s="152"/>
      <c r="P27" s="152">
        <v>0</v>
      </c>
    </row>
    <row r="28" spans="1:16" s="155" customFormat="1" ht="12" x14ac:dyDescent="0.2">
      <c r="A28" s="150">
        <v>20</v>
      </c>
      <c r="B28" s="154" t="s">
        <v>161</v>
      </c>
      <c r="C28" s="152">
        <f t="shared" si="0"/>
        <v>159626</v>
      </c>
      <c r="D28" s="152">
        <v>16608</v>
      </c>
      <c r="E28" s="152">
        <v>10353</v>
      </c>
      <c r="F28" s="152">
        <v>2472</v>
      </c>
      <c r="G28" s="152">
        <v>264</v>
      </c>
      <c r="H28" s="152">
        <v>19020</v>
      </c>
      <c r="I28" s="152">
        <v>15013</v>
      </c>
      <c r="J28" s="152">
        <v>1464</v>
      </c>
      <c r="K28" s="152">
        <v>1025</v>
      </c>
      <c r="L28" s="152">
        <v>439</v>
      </c>
      <c r="M28" s="152">
        <v>0</v>
      </c>
      <c r="N28" s="152"/>
      <c r="O28" s="152">
        <v>13219</v>
      </c>
      <c r="P28" s="152">
        <v>81213</v>
      </c>
    </row>
    <row r="29" spans="1:16" s="155" customFormat="1" ht="16.5" x14ac:dyDescent="0.2">
      <c r="A29" s="150">
        <v>21</v>
      </c>
      <c r="B29" s="158" t="s">
        <v>326</v>
      </c>
      <c r="C29" s="152">
        <f t="shared" si="0"/>
        <v>9821</v>
      </c>
      <c r="D29" s="152"/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/>
      <c r="L29" s="152"/>
      <c r="M29" s="152"/>
      <c r="N29" s="152">
        <v>9821</v>
      </c>
      <c r="O29" s="152"/>
      <c r="P29" s="152">
        <v>0</v>
      </c>
    </row>
    <row r="30" spans="1:16" s="155" customFormat="1" ht="12" x14ac:dyDescent="0.2">
      <c r="A30" s="150">
        <v>22</v>
      </c>
      <c r="B30" s="154" t="s">
        <v>12</v>
      </c>
      <c r="C30" s="152">
        <f t="shared" si="0"/>
        <v>136272</v>
      </c>
      <c r="D30" s="152"/>
      <c r="E30" s="152">
        <v>9989</v>
      </c>
      <c r="F30" s="152">
        <v>2461</v>
      </c>
      <c r="G30" s="152">
        <v>127</v>
      </c>
      <c r="H30" s="152">
        <v>15855</v>
      </c>
      <c r="I30" s="152">
        <v>15110</v>
      </c>
      <c r="J30" s="152">
        <v>0</v>
      </c>
      <c r="K30" s="152"/>
      <c r="L30" s="152"/>
      <c r="M30" s="152"/>
      <c r="N30" s="152"/>
      <c r="O30" s="152">
        <v>25083</v>
      </c>
      <c r="P30" s="152">
        <v>67647</v>
      </c>
    </row>
    <row r="31" spans="1:16" s="155" customFormat="1" ht="12" x14ac:dyDescent="0.2">
      <c r="A31" s="150">
        <v>23</v>
      </c>
      <c r="B31" s="154" t="s">
        <v>13</v>
      </c>
      <c r="C31" s="152">
        <f t="shared" si="0"/>
        <v>282484</v>
      </c>
      <c r="D31" s="152">
        <v>24954</v>
      </c>
      <c r="E31" s="152">
        <v>19576</v>
      </c>
      <c r="F31" s="152">
        <v>4203</v>
      </c>
      <c r="G31" s="152">
        <v>740</v>
      </c>
      <c r="H31" s="152">
        <v>35065</v>
      </c>
      <c r="I31" s="152">
        <v>23690</v>
      </c>
      <c r="J31" s="152">
        <v>1464</v>
      </c>
      <c r="K31" s="152">
        <v>1025</v>
      </c>
      <c r="L31" s="152">
        <v>439</v>
      </c>
      <c r="M31" s="152"/>
      <c r="N31" s="152"/>
      <c r="O31" s="152">
        <v>43085</v>
      </c>
      <c r="P31" s="152">
        <v>129707</v>
      </c>
    </row>
    <row r="32" spans="1:16" s="155" customFormat="1" ht="12" x14ac:dyDescent="0.2">
      <c r="A32" s="150">
        <v>24</v>
      </c>
      <c r="B32" s="154" t="s">
        <v>14</v>
      </c>
      <c r="C32" s="152">
        <f t="shared" si="0"/>
        <v>179021</v>
      </c>
      <c r="D32" s="152"/>
      <c r="E32" s="152">
        <v>14489</v>
      </c>
      <c r="F32" s="152">
        <v>6711</v>
      </c>
      <c r="G32" s="152">
        <v>300</v>
      </c>
      <c r="H32" s="152">
        <v>24398</v>
      </c>
      <c r="I32" s="152">
        <v>17439</v>
      </c>
      <c r="J32" s="152">
        <v>1464</v>
      </c>
      <c r="K32" s="152">
        <v>1025</v>
      </c>
      <c r="L32" s="152">
        <v>439</v>
      </c>
      <c r="M32" s="152"/>
      <c r="N32" s="152"/>
      <c r="O32" s="152">
        <v>33600</v>
      </c>
      <c r="P32" s="152">
        <v>80620</v>
      </c>
    </row>
    <row r="33" spans="1:16" s="155" customFormat="1" ht="12" x14ac:dyDescent="0.2">
      <c r="A33" s="150">
        <v>25</v>
      </c>
      <c r="B33" s="154" t="s">
        <v>327</v>
      </c>
      <c r="C33" s="152">
        <f t="shared" si="0"/>
        <v>39889</v>
      </c>
      <c r="D33" s="152"/>
      <c r="E33" s="152">
        <v>2929</v>
      </c>
      <c r="F33" s="152">
        <v>884</v>
      </c>
      <c r="G33" s="152">
        <v>56</v>
      </c>
      <c r="H33" s="152">
        <v>4911</v>
      </c>
      <c r="I33" s="152">
        <v>3355</v>
      </c>
      <c r="J33" s="152">
        <v>0</v>
      </c>
      <c r="K33" s="152"/>
      <c r="L33" s="152"/>
      <c r="M33" s="152"/>
      <c r="N33" s="152"/>
      <c r="O33" s="152">
        <v>11218</v>
      </c>
      <c r="P33" s="152">
        <v>16536</v>
      </c>
    </row>
    <row r="34" spans="1:16" s="155" customFormat="1" ht="12" x14ac:dyDescent="0.2">
      <c r="A34" s="150">
        <v>26</v>
      </c>
      <c r="B34" s="154" t="s">
        <v>15</v>
      </c>
      <c r="C34" s="152">
        <f t="shared" si="0"/>
        <v>69438</v>
      </c>
      <c r="D34" s="152"/>
      <c r="E34" s="152">
        <v>5736</v>
      </c>
      <c r="F34" s="152">
        <v>1568</v>
      </c>
      <c r="G34" s="152">
        <v>130</v>
      </c>
      <c r="H34" s="152">
        <v>9958</v>
      </c>
      <c r="I34" s="152">
        <v>8450</v>
      </c>
      <c r="J34" s="152">
        <v>0</v>
      </c>
      <c r="K34" s="152"/>
      <c r="L34" s="152"/>
      <c r="M34" s="152"/>
      <c r="N34" s="152"/>
      <c r="O34" s="152">
        <v>6863</v>
      </c>
      <c r="P34" s="152">
        <v>36733</v>
      </c>
    </row>
    <row r="35" spans="1:16" s="155" customFormat="1" ht="12" x14ac:dyDescent="0.2">
      <c r="A35" s="150">
        <v>27</v>
      </c>
      <c r="B35" s="154" t="s">
        <v>16</v>
      </c>
      <c r="C35" s="152">
        <f t="shared" si="0"/>
        <v>87613</v>
      </c>
      <c r="D35" s="152"/>
      <c r="E35" s="152">
        <v>7482</v>
      </c>
      <c r="F35" s="152">
        <v>2355</v>
      </c>
      <c r="G35" s="152">
        <v>306</v>
      </c>
      <c r="H35" s="152">
        <v>13167</v>
      </c>
      <c r="I35" s="152">
        <v>12514</v>
      </c>
      <c r="J35" s="152">
        <v>1464</v>
      </c>
      <c r="K35" s="152">
        <v>1025</v>
      </c>
      <c r="L35" s="152">
        <v>439</v>
      </c>
      <c r="M35" s="152"/>
      <c r="N35" s="152"/>
      <c r="O35" s="152">
        <v>12367</v>
      </c>
      <c r="P35" s="152">
        <v>37958</v>
      </c>
    </row>
    <row r="36" spans="1:16" s="155" customFormat="1" ht="12" x14ac:dyDescent="0.2">
      <c r="A36" s="150">
        <v>28</v>
      </c>
      <c r="B36" s="154" t="s">
        <v>17</v>
      </c>
      <c r="C36" s="152">
        <f t="shared" si="0"/>
        <v>36995</v>
      </c>
      <c r="D36" s="152"/>
      <c r="E36" s="152">
        <v>3071</v>
      </c>
      <c r="F36" s="152">
        <v>890</v>
      </c>
      <c r="G36" s="152">
        <v>30</v>
      </c>
      <c r="H36" s="152">
        <v>4953</v>
      </c>
      <c r="I36" s="152">
        <v>5532</v>
      </c>
      <c r="J36" s="152">
        <v>0</v>
      </c>
      <c r="K36" s="152"/>
      <c r="L36" s="152"/>
      <c r="M36" s="152"/>
      <c r="N36" s="152"/>
      <c r="O36" s="152">
        <v>7900</v>
      </c>
      <c r="P36" s="152">
        <v>14619</v>
      </c>
    </row>
    <row r="37" spans="1:16" s="155" customFormat="1" ht="12" x14ac:dyDescent="0.2">
      <c r="A37" s="150">
        <v>29</v>
      </c>
      <c r="B37" s="154" t="s">
        <v>18</v>
      </c>
      <c r="C37" s="152">
        <f t="shared" si="0"/>
        <v>31596</v>
      </c>
      <c r="D37" s="152"/>
      <c r="E37" s="152">
        <v>3044</v>
      </c>
      <c r="F37" s="152">
        <v>891</v>
      </c>
      <c r="G37" s="152">
        <v>209</v>
      </c>
      <c r="H37" s="152">
        <v>5173</v>
      </c>
      <c r="I37" s="152">
        <v>4236</v>
      </c>
      <c r="J37" s="152">
        <v>0</v>
      </c>
      <c r="K37" s="152"/>
      <c r="L37" s="152"/>
      <c r="M37" s="152"/>
      <c r="N37" s="152"/>
      <c r="O37" s="152">
        <v>5254</v>
      </c>
      <c r="P37" s="152">
        <v>12789</v>
      </c>
    </row>
    <row r="38" spans="1:16" s="155" customFormat="1" ht="12" x14ac:dyDescent="0.2">
      <c r="A38" s="150">
        <v>30</v>
      </c>
      <c r="B38" s="154" t="s">
        <v>328</v>
      </c>
      <c r="C38" s="152">
        <f t="shared" si="0"/>
        <v>2</v>
      </c>
      <c r="D38" s="152"/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/>
      <c r="L38" s="152"/>
      <c r="M38" s="152"/>
      <c r="N38" s="152">
        <v>2</v>
      </c>
      <c r="O38" s="152"/>
      <c r="P38" s="152">
        <v>0</v>
      </c>
    </row>
    <row r="39" spans="1:16" s="155" customFormat="1" ht="12" x14ac:dyDescent="0.2">
      <c r="A39" s="150">
        <v>31</v>
      </c>
      <c r="B39" s="154" t="s">
        <v>329</v>
      </c>
      <c r="C39" s="152">
        <f t="shared" si="0"/>
        <v>127483</v>
      </c>
      <c r="D39" s="152"/>
      <c r="E39" s="152">
        <v>13140</v>
      </c>
      <c r="F39" s="152">
        <v>3879</v>
      </c>
      <c r="G39" s="152">
        <v>0</v>
      </c>
      <c r="H39" s="152">
        <v>27838</v>
      </c>
      <c r="I39" s="152">
        <v>0</v>
      </c>
      <c r="J39" s="152">
        <v>0</v>
      </c>
      <c r="K39" s="152"/>
      <c r="L39" s="152"/>
      <c r="M39" s="152">
        <v>4238</v>
      </c>
      <c r="N39" s="152"/>
      <c r="O39" s="152">
        <v>13097</v>
      </c>
      <c r="P39" s="152">
        <v>65291</v>
      </c>
    </row>
    <row r="40" spans="1:16" s="155" customFormat="1" ht="12" x14ac:dyDescent="0.2">
      <c r="A40" s="150">
        <v>32</v>
      </c>
      <c r="B40" s="154" t="s">
        <v>330</v>
      </c>
      <c r="C40" s="152">
        <f t="shared" si="0"/>
        <v>168832</v>
      </c>
      <c r="D40" s="152">
        <v>34990</v>
      </c>
      <c r="E40" s="152">
        <v>13837</v>
      </c>
      <c r="F40" s="152">
        <v>4163</v>
      </c>
      <c r="G40" s="152">
        <v>0</v>
      </c>
      <c r="H40" s="152">
        <v>32854</v>
      </c>
      <c r="I40" s="152">
        <v>0</v>
      </c>
      <c r="J40" s="152">
        <v>1464</v>
      </c>
      <c r="K40" s="152">
        <v>1025</v>
      </c>
      <c r="L40" s="152">
        <v>439</v>
      </c>
      <c r="M40" s="152"/>
      <c r="N40" s="152"/>
      <c r="O40" s="152">
        <v>28920</v>
      </c>
      <c r="P40" s="152">
        <v>52604</v>
      </c>
    </row>
    <row r="41" spans="1:16" s="155" customFormat="1" ht="12" x14ac:dyDescent="0.2">
      <c r="A41" s="150">
        <v>33</v>
      </c>
      <c r="B41" s="154" t="s">
        <v>331</v>
      </c>
      <c r="C41" s="152">
        <f t="shared" si="0"/>
        <v>146341</v>
      </c>
      <c r="D41" s="152"/>
      <c r="E41" s="152">
        <v>13584</v>
      </c>
      <c r="F41" s="152">
        <v>3679</v>
      </c>
      <c r="G41" s="152">
        <v>30</v>
      </c>
      <c r="H41" s="152">
        <v>29020</v>
      </c>
      <c r="I41" s="152">
        <v>7724</v>
      </c>
      <c r="J41" s="152">
        <v>1464</v>
      </c>
      <c r="K41" s="152">
        <v>1025</v>
      </c>
      <c r="L41" s="152">
        <v>439</v>
      </c>
      <c r="M41" s="152">
        <v>0</v>
      </c>
      <c r="N41" s="152"/>
      <c r="O41" s="152">
        <v>19000</v>
      </c>
      <c r="P41" s="152">
        <v>71840</v>
      </c>
    </row>
    <row r="42" spans="1:16" s="155" customFormat="1" ht="12" x14ac:dyDescent="0.2">
      <c r="A42" s="350">
        <v>34</v>
      </c>
      <c r="B42" s="154" t="s">
        <v>332</v>
      </c>
      <c r="C42" s="152">
        <f t="shared" si="0"/>
        <v>83042</v>
      </c>
      <c r="D42" s="152"/>
      <c r="E42" s="152">
        <v>5534</v>
      </c>
      <c r="F42" s="152">
        <v>1708</v>
      </c>
      <c r="G42" s="152">
        <v>4</v>
      </c>
      <c r="H42" s="152">
        <v>12612</v>
      </c>
      <c r="I42" s="152">
        <v>7505</v>
      </c>
      <c r="J42" s="152">
        <v>0</v>
      </c>
      <c r="K42" s="152"/>
      <c r="L42" s="152"/>
      <c r="M42" s="152">
        <v>4046</v>
      </c>
      <c r="N42" s="152"/>
      <c r="O42" s="152">
        <v>10825</v>
      </c>
      <c r="P42" s="152">
        <v>40808</v>
      </c>
    </row>
    <row r="43" spans="1:16" s="155" customFormat="1" ht="24.75" x14ac:dyDescent="0.2">
      <c r="A43" s="350"/>
      <c r="B43" s="157" t="s">
        <v>333</v>
      </c>
      <c r="C43" s="152">
        <f t="shared" si="0"/>
        <v>102385</v>
      </c>
      <c r="D43" s="152"/>
      <c r="E43" s="152">
        <v>7567</v>
      </c>
      <c r="F43" s="152">
        <v>2496</v>
      </c>
      <c r="G43" s="152">
        <v>60</v>
      </c>
      <c r="H43" s="152">
        <v>14464</v>
      </c>
      <c r="I43" s="152">
        <v>9245</v>
      </c>
      <c r="J43" s="152">
        <v>1464</v>
      </c>
      <c r="K43" s="152">
        <v>1025</v>
      </c>
      <c r="L43" s="152">
        <v>439</v>
      </c>
      <c r="M43" s="152"/>
      <c r="N43" s="152"/>
      <c r="O43" s="152">
        <v>11055</v>
      </c>
      <c r="P43" s="152">
        <v>56034</v>
      </c>
    </row>
    <row r="44" spans="1:16" s="155" customFormat="1" ht="16.5" x14ac:dyDescent="0.2">
      <c r="A44" s="150">
        <v>35</v>
      </c>
      <c r="B44" s="154" t="s">
        <v>334</v>
      </c>
      <c r="C44" s="152">
        <f t="shared" si="0"/>
        <v>1600</v>
      </c>
      <c r="D44" s="152"/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/>
      <c r="L44" s="152"/>
      <c r="M44" s="152">
        <v>1600</v>
      </c>
      <c r="N44" s="152"/>
      <c r="O44" s="152"/>
      <c r="P44" s="152">
        <v>0</v>
      </c>
    </row>
    <row r="45" spans="1:16" s="155" customFormat="1" ht="12" x14ac:dyDescent="0.2">
      <c r="A45" s="150">
        <v>36</v>
      </c>
      <c r="B45" s="154" t="s">
        <v>335</v>
      </c>
      <c r="C45" s="152">
        <f t="shared" si="0"/>
        <v>143665</v>
      </c>
      <c r="D45" s="152">
        <v>10520</v>
      </c>
      <c r="E45" s="152">
        <v>0</v>
      </c>
      <c r="F45" s="152">
        <v>0</v>
      </c>
      <c r="G45" s="152">
        <v>325</v>
      </c>
      <c r="H45" s="152">
        <v>0</v>
      </c>
      <c r="I45" s="152">
        <v>55100</v>
      </c>
      <c r="J45" s="152">
        <v>0</v>
      </c>
      <c r="K45" s="152"/>
      <c r="L45" s="152"/>
      <c r="M45" s="152">
        <v>2430</v>
      </c>
      <c r="N45" s="152"/>
      <c r="O45" s="152">
        <v>3609</v>
      </c>
      <c r="P45" s="152">
        <v>71681</v>
      </c>
    </row>
    <row r="46" spans="1:16" s="155" customFormat="1" ht="16.5" x14ac:dyDescent="0.2">
      <c r="A46" s="150">
        <v>37</v>
      </c>
      <c r="B46" s="154" t="s">
        <v>336</v>
      </c>
      <c r="C46" s="152">
        <f t="shared" si="0"/>
        <v>11500</v>
      </c>
      <c r="D46" s="152"/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/>
      <c r="L46" s="152"/>
      <c r="M46" s="152"/>
      <c r="N46" s="152">
        <v>11500</v>
      </c>
      <c r="O46" s="152"/>
      <c r="P46" s="152">
        <v>0</v>
      </c>
    </row>
    <row r="47" spans="1:16" s="155" customFormat="1" ht="12" x14ac:dyDescent="0.2">
      <c r="A47" s="150">
        <v>38</v>
      </c>
      <c r="B47" s="154" t="s">
        <v>337</v>
      </c>
      <c r="C47" s="152">
        <f t="shared" si="0"/>
        <v>10266</v>
      </c>
      <c r="D47" s="152"/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/>
      <c r="L47" s="152"/>
      <c r="M47" s="152"/>
      <c r="N47" s="152">
        <v>10266</v>
      </c>
      <c r="O47" s="152">
        <v>0</v>
      </c>
      <c r="P47" s="152">
        <v>0</v>
      </c>
    </row>
    <row r="48" spans="1:16" s="155" customFormat="1" ht="12" x14ac:dyDescent="0.2">
      <c r="A48" s="350">
        <v>39</v>
      </c>
      <c r="B48" s="154" t="s">
        <v>162</v>
      </c>
      <c r="C48" s="152">
        <f t="shared" si="0"/>
        <v>251685</v>
      </c>
      <c r="D48" s="152">
        <v>24366</v>
      </c>
      <c r="E48" s="152">
        <v>26907</v>
      </c>
      <c r="F48" s="152">
        <v>7156</v>
      </c>
      <c r="G48" s="152">
        <v>0</v>
      </c>
      <c r="H48" s="152">
        <v>56557</v>
      </c>
      <c r="I48" s="152">
        <v>0</v>
      </c>
      <c r="J48" s="152">
        <v>1464</v>
      </c>
      <c r="K48" s="152">
        <v>1025</v>
      </c>
      <c r="L48" s="152">
        <v>439</v>
      </c>
      <c r="M48" s="152"/>
      <c r="N48" s="152"/>
      <c r="O48" s="152">
        <v>16500</v>
      </c>
      <c r="P48" s="152">
        <v>118735</v>
      </c>
    </row>
    <row r="49" spans="1:16" s="155" customFormat="1" ht="30.75" customHeight="1" x14ac:dyDescent="0.2">
      <c r="A49" s="350"/>
      <c r="B49" s="157" t="s">
        <v>338</v>
      </c>
      <c r="C49" s="152">
        <f t="shared" si="0"/>
        <v>62589</v>
      </c>
      <c r="D49" s="152"/>
      <c r="E49" s="152">
        <v>0</v>
      </c>
      <c r="F49" s="152">
        <v>0</v>
      </c>
      <c r="G49" s="152">
        <v>231</v>
      </c>
      <c r="H49" s="152">
        <v>0</v>
      </c>
      <c r="I49" s="152">
        <v>28421</v>
      </c>
      <c r="J49" s="152">
        <v>0</v>
      </c>
      <c r="K49" s="152"/>
      <c r="L49" s="152"/>
      <c r="M49" s="152"/>
      <c r="N49" s="152"/>
      <c r="O49" s="152">
        <v>8093</v>
      </c>
      <c r="P49" s="152">
        <v>25844</v>
      </c>
    </row>
    <row r="50" spans="1:16" s="159" customFormat="1" ht="22.5" customHeight="1" x14ac:dyDescent="0.2">
      <c r="A50" s="150">
        <v>40</v>
      </c>
      <c r="B50" s="154" t="s">
        <v>339</v>
      </c>
      <c r="C50" s="152">
        <f t="shared" si="0"/>
        <v>16800</v>
      </c>
      <c r="D50" s="152"/>
      <c r="E50" s="152">
        <v>0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/>
      <c r="L50" s="152"/>
      <c r="M50" s="152"/>
      <c r="N50" s="152">
        <v>16800</v>
      </c>
      <c r="O50" s="152"/>
      <c r="P50" s="152">
        <v>0</v>
      </c>
    </row>
    <row r="51" spans="1:16" s="155" customFormat="1" ht="15" customHeight="1" x14ac:dyDescent="0.2">
      <c r="A51" s="150">
        <v>41</v>
      </c>
      <c r="B51" s="154" t="s">
        <v>340</v>
      </c>
      <c r="C51" s="152">
        <f t="shared" si="0"/>
        <v>11900</v>
      </c>
      <c r="D51" s="152"/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/>
      <c r="L51" s="152"/>
      <c r="M51" s="152"/>
      <c r="N51" s="152">
        <v>11900</v>
      </c>
      <c r="O51" s="152"/>
      <c r="P51" s="152">
        <v>0</v>
      </c>
    </row>
    <row r="52" spans="1:16" s="155" customFormat="1" ht="12" x14ac:dyDescent="0.2">
      <c r="A52" s="350">
        <v>42</v>
      </c>
      <c r="B52" s="154" t="s">
        <v>163</v>
      </c>
      <c r="C52" s="152">
        <f t="shared" si="0"/>
        <v>171816</v>
      </c>
      <c r="D52" s="152">
        <v>14260</v>
      </c>
      <c r="E52" s="152">
        <v>13205</v>
      </c>
      <c r="F52" s="152">
        <v>2983</v>
      </c>
      <c r="G52" s="152">
        <v>236</v>
      </c>
      <c r="H52" s="152">
        <v>21968</v>
      </c>
      <c r="I52" s="152">
        <v>13179</v>
      </c>
      <c r="J52" s="152">
        <v>1464</v>
      </c>
      <c r="K52" s="152">
        <v>1025</v>
      </c>
      <c r="L52" s="152">
        <v>439</v>
      </c>
      <c r="M52" s="152"/>
      <c r="N52" s="152"/>
      <c r="O52" s="152">
        <v>25080</v>
      </c>
      <c r="P52" s="152">
        <v>79441</v>
      </c>
    </row>
    <row r="53" spans="1:16" s="155" customFormat="1" ht="29.25" customHeight="1" x14ac:dyDescent="0.2">
      <c r="A53" s="350"/>
      <c r="B53" s="157" t="s">
        <v>341</v>
      </c>
      <c r="C53" s="152">
        <f t="shared" si="0"/>
        <v>60867</v>
      </c>
      <c r="D53" s="152"/>
      <c r="E53" s="152">
        <v>4546</v>
      </c>
      <c r="F53" s="152">
        <v>1336</v>
      </c>
      <c r="G53" s="152">
        <v>112</v>
      </c>
      <c r="H53" s="152">
        <v>7822</v>
      </c>
      <c r="I53" s="152">
        <v>5072</v>
      </c>
      <c r="J53" s="152">
        <v>0</v>
      </c>
      <c r="K53" s="152"/>
      <c r="L53" s="152"/>
      <c r="M53" s="152"/>
      <c r="N53" s="152"/>
      <c r="O53" s="152">
        <v>6835</v>
      </c>
      <c r="P53" s="152">
        <v>35144</v>
      </c>
    </row>
    <row r="54" spans="1:16" s="155" customFormat="1" ht="12" x14ac:dyDescent="0.2">
      <c r="A54" s="150">
        <v>43</v>
      </c>
      <c r="B54" s="154" t="s">
        <v>19</v>
      </c>
      <c r="C54" s="152">
        <f t="shared" si="0"/>
        <v>225657</v>
      </c>
      <c r="D54" s="152">
        <v>8695</v>
      </c>
      <c r="E54" s="152">
        <v>17787</v>
      </c>
      <c r="F54" s="152">
        <v>4767</v>
      </c>
      <c r="G54" s="152">
        <v>347</v>
      </c>
      <c r="H54" s="152">
        <v>28899</v>
      </c>
      <c r="I54" s="152">
        <v>18666</v>
      </c>
      <c r="J54" s="152">
        <v>0</v>
      </c>
      <c r="K54" s="152"/>
      <c r="L54" s="152"/>
      <c r="M54" s="152"/>
      <c r="N54" s="152"/>
      <c r="O54" s="152">
        <v>39139</v>
      </c>
      <c r="P54" s="152">
        <v>107357</v>
      </c>
    </row>
    <row r="55" spans="1:16" s="155" customFormat="1" ht="12" x14ac:dyDescent="0.2">
      <c r="A55" s="150">
        <v>44</v>
      </c>
      <c r="B55" s="154" t="s">
        <v>20</v>
      </c>
      <c r="C55" s="152">
        <f t="shared" si="0"/>
        <v>215012</v>
      </c>
      <c r="D55" s="152"/>
      <c r="E55" s="152">
        <v>17441</v>
      </c>
      <c r="F55" s="152">
        <v>4435</v>
      </c>
      <c r="G55" s="152">
        <v>373</v>
      </c>
      <c r="H55" s="152">
        <v>33148</v>
      </c>
      <c r="I55" s="152">
        <v>19115</v>
      </c>
      <c r="J55" s="152">
        <v>1464</v>
      </c>
      <c r="K55" s="152">
        <v>1025</v>
      </c>
      <c r="L55" s="152">
        <v>439</v>
      </c>
      <c r="M55" s="152"/>
      <c r="N55" s="152"/>
      <c r="O55" s="152">
        <v>28122</v>
      </c>
      <c r="P55" s="152">
        <v>110914</v>
      </c>
    </row>
    <row r="56" spans="1:16" s="155" customFormat="1" ht="12" x14ac:dyDescent="0.2">
      <c r="A56" s="150">
        <v>45</v>
      </c>
      <c r="B56" s="154" t="s">
        <v>21</v>
      </c>
      <c r="C56" s="152">
        <f t="shared" si="0"/>
        <v>60584</v>
      </c>
      <c r="D56" s="152"/>
      <c r="E56" s="152">
        <v>5426</v>
      </c>
      <c r="F56" s="152">
        <v>1395</v>
      </c>
      <c r="G56" s="152">
        <v>25</v>
      </c>
      <c r="H56" s="152">
        <v>8969</v>
      </c>
      <c r="I56" s="152">
        <v>7823</v>
      </c>
      <c r="J56" s="152">
        <v>0</v>
      </c>
      <c r="K56" s="152"/>
      <c r="L56" s="152"/>
      <c r="M56" s="152"/>
      <c r="N56" s="152"/>
      <c r="O56" s="152">
        <v>11492</v>
      </c>
      <c r="P56" s="152">
        <v>25454</v>
      </c>
    </row>
    <row r="57" spans="1:16" s="155" customFormat="1" ht="12" x14ac:dyDescent="0.2">
      <c r="A57" s="150">
        <v>46</v>
      </c>
      <c r="B57" s="154" t="s">
        <v>22</v>
      </c>
      <c r="C57" s="152">
        <f t="shared" si="0"/>
        <v>78778</v>
      </c>
      <c r="D57" s="152"/>
      <c r="E57" s="152">
        <v>5419</v>
      </c>
      <c r="F57" s="152">
        <v>1109</v>
      </c>
      <c r="G57" s="152">
        <v>90</v>
      </c>
      <c r="H57" s="152">
        <v>10746</v>
      </c>
      <c r="I57" s="152">
        <v>8167</v>
      </c>
      <c r="J57" s="152">
        <v>0</v>
      </c>
      <c r="K57" s="152"/>
      <c r="L57" s="152"/>
      <c r="M57" s="152"/>
      <c r="N57" s="152"/>
      <c r="O57" s="152">
        <v>10077</v>
      </c>
      <c r="P57" s="152">
        <v>43170</v>
      </c>
    </row>
    <row r="58" spans="1:16" s="159" customFormat="1" ht="14.25" customHeight="1" x14ac:dyDescent="0.2">
      <c r="A58" s="150">
        <v>47</v>
      </c>
      <c r="B58" s="154" t="s">
        <v>23</v>
      </c>
      <c r="C58" s="152">
        <f t="shared" si="0"/>
        <v>70792</v>
      </c>
      <c r="D58" s="152"/>
      <c r="E58" s="152">
        <v>5945</v>
      </c>
      <c r="F58" s="152">
        <v>1201</v>
      </c>
      <c r="G58" s="152">
        <v>53</v>
      </c>
      <c r="H58" s="152">
        <v>9594</v>
      </c>
      <c r="I58" s="152">
        <v>6799</v>
      </c>
      <c r="J58" s="152">
        <v>0</v>
      </c>
      <c r="K58" s="152"/>
      <c r="L58" s="152"/>
      <c r="M58" s="152"/>
      <c r="N58" s="152"/>
      <c r="O58" s="152">
        <v>9008</v>
      </c>
      <c r="P58" s="152">
        <v>38192</v>
      </c>
    </row>
    <row r="59" spans="1:16" s="155" customFormat="1" ht="12" x14ac:dyDescent="0.2">
      <c r="A59" s="150">
        <v>48</v>
      </c>
      <c r="B59" s="154" t="s">
        <v>24</v>
      </c>
      <c r="C59" s="152">
        <f t="shared" si="0"/>
        <v>46223</v>
      </c>
      <c r="D59" s="152"/>
      <c r="E59" s="152">
        <v>4405</v>
      </c>
      <c r="F59" s="152">
        <v>1122</v>
      </c>
      <c r="G59" s="152">
        <v>184</v>
      </c>
      <c r="H59" s="152">
        <v>6763</v>
      </c>
      <c r="I59" s="152">
        <v>4989</v>
      </c>
      <c r="J59" s="152">
        <v>0</v>
      </c>
      <c r="K59" s="152"/>
      <c r="L59" s="152"/>
      <c r="M59" s="152"/>
      <c r="N59" s="152"/>
      <c r="O59" s="152">
        <v>5707</v>
      </c>
      <c r="P59" s="152">
        <v>23053</v>
      </c>
    </row>
    <row r="60" spans="1:16" s="155" customFormat="1" ht="12" x14ac:dyDescent="0.2">
      <c r="A60" s="150">
        <v>49</v>
      </c>
      <c r="B60" s="154" t="s">
        <v>25</v>
      </c>
      <c r="C60" s="152">
        <f t="shared" si="0"/>
        <v>85085</v>
      </c>
      <c r="D60" s="152"/>
      <c r="E60" s="152">
        <v>7260</v>
      </c>
      <c r="F60" s="152">
        <v>1993</v>
      </c>
      <c r="G60" s="152">
        <v>118</v>
      </c>
      <c r="H60" s="152">
        <v>11334</v>
      </c>
      <c r="I60" s="152">
        <v>6547</v>
      </c>
      <c r="J60" s="152">
        <v>0</v>
      </c>
      <c r="K60" s="152"/>
      <c r="L60" s="152"/>
      <c r="M60" s="152"/>
      <c r="N60" s="152"/>
      <c r="O60" s="152">
        <v>7165</v>
      </c>
      <c r="P60" s="152">
        <v>50668</v>
      </c>
    </row>
    <row r="61" spans="1:16" s="159" customFormat="1" ht="14.25" customHeight="1" x14ac:dyDescent="0.2">
      <c r="A61" s="150">
        <v>50</v>
      </c>
      <c r="B61" s="154" t="s">
        <v>26</v>
      </c>
      <c r="C61" s="152">
        <f t="shared" si="0"/>
        <v>38800</v>
      </c>
      <c r="D61" s="152"/>
      <c r="E61" s="152">
        <v>3518</v>
      </c>
      <c r="F61" s="152">
        <v>821</v>
      </c>
      <c r="G61" s="152">
        <v>71</v>
      </c>
      <c r="H61" s="152">
        <v>5233</v>
      </c>
      <c r="I61" s="152">
        <v>3387</v>
      </c>
      <c r="J61" s="152">
        <v>0</v>
      </c>
      <c r="K61" s="152"/>
      <c r="L61" s="152"/>
      <c r="M61" s="152"/>
      <c r="N61" s="152"/>
      <c r="O61" s="152">
        <v>5988</v>
      </c>
      <c r="P61" s="152">
        <v>19782</v>
      </c>
    </row>
    <row r="62" spans="1:16" s="155" customFormat="1" ht="17.25" customHeight="1" x14ac:dyDescent="0.2">
      <c r="A62" s="150">
        <v>51</v>
      </c>
      <c r="B62" s="154" t="s">
        <v>342</v>
      </c>
      <c r="C62" s="152">
        <f t="shared" si="0"/>
        <v>17936</v>
      </c>
      <c r="D62" s="152"/>
      <c r="E62" s="152">
        <v>2189</v>
      </c>
      <c r="F62" s="152">
        <v>515</v>
      </c>
      <c r="G62" s="152">
        <v>0</v>
      </c>
      <c r="H62" s="152">
        <v>4317</v>
      </c>
      <c r="I62" s="152">
        <v>0</v>
      </c>
      <c r="J62" s="152">
        <v>0</v>
      </c>
      <c r="K62" s="152"/>
      <c r="L62" s="152"/>
      <c r="M62" s="152"/>
      <c r="N62" s="152"/>
      <c r="O62" s="152">
        <v>839</v>
      </c>
      <c r="P62" s="152">
        <v>10076</v>
      </c>
    </row>
    <row r="63" spans="1:16" s="155" customFormat="1" ht="12" x14ac:dyDescent="0.2">
      <c r="A63" s="150">
        <v>52</v>
      </c>
      <c r="B63" s="154" t="s">
        <v>86</v>
      </c>
      <c r="C63" s="152">
        <f t="shared" si="0"/>
        <v>22000</v>
      </c>
      <c r="D63" s="152"/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52">
        <v>0</v>
      </c>
      <c r="K63" s="152"/>
      <c r="L63" s="152"/>
      <c r="M63" s="152"/>
      <c r="N63" s="152">
        <v>22000</v>
      </c>
      <c r="O63" s="152"/>
      <c r="P63" s="152">
        <v>0</v>
      </c>
    </row>
    <row r="64" spans="1:16" s="155" customFormat="1" ht="12" x14ac:dyDescent="0.2">
      <c r="A64" s="150">
        <v>53</v>
      </c>
      <c r="B64" s="154" t="s">
        <v>343</v>
      </c>
      <c r="C64" s="152">
        <f t="shared" si="0"/>
        <v>31724</v>
      </c>
      <c r="D64" s="152"/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/>
      <c r="L64" s="152"/>
      <c r="M64" s="152"/>
      <c r="N64" s="152"/>
      <c r="O64" s="152">
        <v>4600</v>
      </c>
      <c r="P64" s="152">
        <v>27124</v>
      </c>
    </row>
    <row r="65" spans="1:16" s="155" customFormat="1" ht="12" x14ac:dyDescent="0.2">
      <c r="A65" s="150">
        <v>54</v>
      </c>
      <c r="B65" s="151" t="s">
        <v>27</v>
      </c>
      <c r="C65" s="152">
        <f t="shared" si="0"/>
        <v>332694</v>
      </c>
      <c r="D65" s="152">
        <v>5281</v>
      </c>
      <c r="E65" s="152">
        <v>25389</v>
      </c>
      <c r="F65" s="152">
        <v>7380</v>
      </c>
      <c r="G65" s="152">
        <v>676</v>
      </c>
      <c r="H65" s="152">
        <v>54281</v>
      </c>
      <c r="I65" s="152">
        <v>30926</v>
      </c>
      <c r="J65" s="152">
        <v>1464</v>
      </c>
      <c r="K65" s="152">
        <v>1025</v>
      </c>
      <c r="L65" s="152">
        <v>439</v>
      </c>
      <c r="M65" s="152">
        <v>398</v>
      </c>
      <c r="N65" s="152"/>
      <c r="O65" s="152">
        <v>56995</v>
      </c>
      <c r="P65" s="152">
        <v>149904</v>
      </c>
    </row>
    <row r="66" spans="1:16" s="155" customFormat="1" ht="12" x14ac:dyDescent="0.2">
      <c r="A66" s="150">
        <v>55</v>
      </c>
      <c r="B66" s="154" t="s">
        <v>28</v>
      </c>
      <c r="C66" s="152">
        <f t="shared" si="0"/>
        <v>238257</v>
      </c>
      <c r="D66" s="152"/>
      <c r="E66" s="152">
        <v>18307</v>
      </c>
      <c r="F66" s="152">
        <v>3858</v>
      </c>
      <c r="G66" s="152">
        <v>154</v>
      </c>
      <c r="H66" s="152">
        <v>33246</v>
      </c>
      <c r="I66" s="152">
        <v>19717</v>
      </c>
      <c r="J66" s="152">
        <v>1464</v>
      </c>
      <c r="K66" s="152">
        <v>1025</v>
      </c>
      <c r="L66" s="152">
        <v>439</v>
      </c>
      <c r="M66" s="152"/>
      <c r="N66" s="152"/>
      <c r="O66" s="152">
        <v>29409</v>
      </c>
      <c r="P66" s="152">
        <v>132102</v>
      </c>
    </row>
    <row r="67" spans="1:16" s="155" customFormat="1" ht="12" x14ac:dyDescent="0.2">
      <c r="A67" s="150">
        <v>56</v>
      </c>
      <c r="B67" s="151" t="s">
        <v>344</v>
      </c>
      <c r="C67" s="152">
        <f t="shared" si="0"/>
        <v>302146</v>
      </c>
      <c r="D67" s="152">
        <v>38967</v>
      </c>
      <c r="E67" s="152">
        <v>19722</v>
      </c>
      <c r="F67" s="152">
        <v>5846</v>
      </c>
      <c r="G67" s="152">
        <v>319</v>
      </c>
      <c r="H67" s="152">
        <v>44776</v>
      </c>
      <c r="I67" s="152">
        <v>24574</v>
      </c>
      <c r="J67" s="152">
        <v>1464</v>
      </c>
      <c r="K67" s="152">
        <v>1025</v>
      </c>
      <c r="L67" s="152">
        <v>439</v>
      </c>
      <c r="M67" s="152">
        <v>1892</v>
      </c>
      <c r="N67" s="152"/>
      <c r="O67" s="152">
        <v>31209</v>
      </c>
      <c r="P67" s="152">
        <v>133377</v>
      </c>
    </row>
    <row r="68" spans="1:16" s="155" customFormat="1" ht="16.5" x14ac:dyDescent="0.2">
      <c r="A68" s="150">
        <v>57</v>
      </c>
      <c r="B68" s="151" t="s">
        <v>345</v>
      </c>
      <c r="C68" s="152">
        <f t="shared" si="0"/>
        <v>11200</v>
      </c>
      <c r="D68" s="152"/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  <c r="K68" s="152"/>
      <c r="L68" s="152"/>
      <c r="M68" s="152"/>
      <c r="N68" s="152">
        <v>11200</v>
      </c>
      <c r="O68" s="152"/>
      <c r="P68" s="152">
        <v>0</v>
      </c>
    </row>
    <row r="69" spans="1:16" s="155" customFormat="1" ht="12" x14ac:dyDescent="0.2">
      <c r="A69" s="150">
        <v>58</v>
      </c>
      <c r="B69" s="154" t="s">
        <v>29</v>
      </c>
      <c r="C69" s="152">
        <f t="shared" si="0"/>
        <v>102212</v>
      </c>
      <c r="D69" s="152"/>
      <c r="E69" s="152">
        <v>7864</v>
      </c>
      <c r="F69" s="152">
        <v>2149</v>
      </c>
      <c r="G69" s="152">
        <v>176</v>
      </c>
      <c r="H69" s="152">
        <v>13330</v>
      </c>
      <c r="I69" s="152">
        <v>8582</v>
      </c>
      <c r="J69" s="152">
        <v>1464</v>
      </c>
      <c r="K69" s="152">
        <v>1025</v>
      </c>
      <c r="L69" s="152">
        <v>439</v>
      </c>
      <c r="M69" s="152"/>
      <c r="N69" s="152"/>
      <c r="O69" s="152">
        <v>12454</v>
      </c>
      <c r="P69" s="152">
        <v>56193</v>
      </c>
    </row>
    <row r="70" spans="1:16" s="155" customFormat="1" ht="12" x14ac:dyDescent="0.2">
      <c r="A70" s="150">
        <v>59</v>
      </c>
      <c r="B70" s="151" t="s">
        <v>30</v>
      </c>
      <c r="C70" s="152">
        <f t="shared" si="0"/>
        <v>68573</v>
      </c>
      <c r="D70" s="152"/>
      <c r="E70" s="152">
        <v>5916</v>
      </c>
      <c r="F70" s="152">
        <v>1758</v>
      </c>
      <c r="G70" s="152">
        <v>125</v>
      </c>
      <c r="H70" s="152">
        <v>9478</v>
      </c>
      <c r="I70" s="152">
        <v>5529</v>
      </c>
      <c r="J70" s="152">
        <v>0</v>
      </c>
      <c r="K70" s="152"/>
      <c r="L70" s="152"/>
      <c r="M70" s="152"/>
      <c r="N70" s="152"/>
      <c r="O70" s="152">
        <v>7845</v>
      </c>
      <c r="P70" s="152">
        <v>37922</v>
      </c>
    </row>
    <row r="71" spans="1:16" s="155" customFormat="1" ht="12" x14ac:dyDescent="0.2">
      <c r="A71" s="150">
        <v>60</v>
      </c>
      <c r="B71" s="154" t="s">
        <v>31</v>
      </c>
      <c r="C71" s="152">
        <f t="shared" si="0"/>
        <v>51765</v>
      </c>
      <c r="D71" s="152"/>
      <c r="E71" s="152">
        <v>4950</v>
      </c>
      <c r="F71" s="152">
        <v>1135</v>
      </c>
      <c r="G71" s="152">
        <v>195</v>
      </c>
      <c r="H71" s="152">
        <v>7299</v>
      </c>
      <c r="I71" s="152">
        <v>5438</v>
      </c>
      <c r="J71" s="152">
        <v>0</v>
      </c>
      <c r="K71" s="152"/>
      <c r="L71" s="152"/>
      <c r="M71" s="152"/>
      <c r="N71" s="152"/>
      <c r="O71" s="152">
        <v>8128</v>
      </c>
      <c r="P71" s="152">
        <v>24620</v>
      </c>
    </row>
    <row r="72" spans="1:16" s="155" customFormat="1" ht="12" x14ac:dyDescent="0.2">
      <c r="A72" s="150">
        <v>61</v>
      </c>
      <c r="B72" s="151" t="s">
        <v>32</v>
      </c>
      <c r="C72" s="152">
        <f t="shared" ref="C72:C135" si="1">D72+E72+F72+G72+H72+I72+J72+M72+N72+O72+P72</f>
        <v>75176</v>
      </c>
      <c r="D72" s="152"/>
      <c r="E72" s="152">
        <v>6226</v>
      </c>
      <c r="F72" s="152">
        <v>1848</v>
      </c>
      <c r="G72" s="152">
        <v>124</v>
      </c>
      <c r="H72" s="152">
        <v>6690</v>
      </c>
      <c r="I72" s="152">
        <v>6749</v>
      </c>
      <c r="J72" s="152">
        <v>0</v>
      </c>
      <c r="K72" s="152"/>
      <c r="L72" s="152"/>
      <c r="M72" s="152"/>
      <c r="N72" s="152"/>
      <c r="O72" s="152">
        <v>15306</v>
      </c>
      <c r="P72" s="152">
        <v>38233</v>
      </c>
    </row>
    <row r="73" spans="1:16" s="155" customFormat="1" ht="12" x14ac:dyDescent="0.2">
      <c r="A73" s="150">
        <v>62</v>
      </c>
      <c r="B73" s="154" t="s">
        <v>33</v>
      </c>
      <c r="C73" s="152">
        <f t="shared" si="1"/>
        <v>35376</v>
      </c>
      <c r="D73" s="152"/>
      <c r="E73" s="152">
        <v>3190</v>
      </c>
      <c r="F73" s="152">
        <v>1048</v>
      </c>
      <c r="G73" s="152">
        <v>45</v>
      </c>
      <c r="H73" s="152">
        <v>5317</v>
      </c>
      <c r="I73" s="152">
        <v>2976</v>
      </c>
      <c r="J73" s="152">
        <v>0</v>
      </c>
      <c r="K73" s="152"/>
      <c r="L73" s="152"/>
      <c r="M73" s="152"/>
      <c r="N73" s="152"/>
      <c r="O73" s="152">
        <v>3114</v>
      </c>
      <c r="P73" s="152">
        <v>19686</v>
      </c>
    </row>
    <row r="74" spans="1:16" s="155" customFormat="1" ht="12" x14ac:dyDescent="0.2">
      <c r="A74" s="150">
        <v>63</v>
      </c>
      <c r="B74" s="154" t="s">
        <v>34</v>
      </c>
      <c r="C74" s="152">
        <f t="shared" si="1"/>
        <v>68611</v>
      </c>
      <c r="D74" s="152"/>
      <c r="E74" s="152">
        <v>5973</v>
      </c>
      <c r="F74" s="152">
        <v>1847</v>
      </c>
      <c r="G74" s="152">
        <v>20</v>
      </c>
      <c r="H74" s="152">
        <v>10261</v>
      </c>
      <c r="I74" s="152">
        <v>5895</v>
      </c>
      <c r="J74" s="152">
        <v>1464</v>
      </c>
      <c r="K74" s="152">
        <v>1025</v>
      </c>
      <c r="L74" s="152">
        <v>439</v>
      </c>
      <c r="M74" s="152"/>
      <c r="N74" s="152"/>
      <c r="O74" s="152">
        <v>8996</v>
      </c>
      <c r="P74" s="152">
        <v>34155</v>
      </c>
    </row>
    <row r="75" spans="1:16" s="155" customFormat="1" ht="12" x14ac:dyDescent="0.2">
      <c r="A75" s="150">
        <v>64</v>
      </c>
      <c r="B75" s="154" t="s">
        <v>35</v>
      </c>
      <c r="C75" s="152">
        <f t="shared" si="1"/>
        <v>98859</v>
      </c>
      <c r="D75" s="152"/>
      <c r="E75" s="152">
        <v>8694</v>
      </c>
      <c r="F75" s="152">
        <v>2114</v>
      </c>
      <c r="G75" s="152">
        <v>170</v>
      </c>
      <c r="H75" s="152">
        <v>15326</v>
      </c>
      <c r="I75" s="152">
        <v>8610</v>
      </c>
      <c r="J75" s="152">
        <v>0</v>
      </c>
      <c r="K75" s="152"/>
      <c r="L75" s="152"/>
      <c r="M75" s="152"/>
      <c r="N75" s="152"/>
      <c r="O75" s="152">
        <v>12008</v>
      </c>
      <c r="P75" s="152">
        <v>51937</v>
      </c>
    </row>
    <row r="76" spans="1:16" s="155" customFormat="1" ht="12" x14ac:dyDescent="0.2">
      <c r="A76" s="150">
        <v>65</v>
      </c>
      <c r="B76" s="151" t="s">
        <v>36</v>
      </c>
      <c r="C76" s="152">
        <f t="shared" si="1"/>
        <v>51511</v>
      </c>
      <c r="D76" s="152"/>
      <c r="E76" s="152">
        <v>4510</v>
      </c>
      <c r="F76" s="152">
        <v>998</v>
      </c>
      <c r="G76" s="152">
        <v>105</v>
      </c>
      <c r="H76" s="152">
        <v>7467</v>
      </c>
      <c r="I76" s="152">
        <v>5323</v>
      </c>
      <c r="J76" s="152">
        <v>0</v>
      </c>
      <c r="K76" s="152"/>
      <c r="L76" s="152"/>
      <c r="M76" s="152"/>
      <c r="N76" s="152"/>
      <c r="O76" s="152">
        <v>9835</v>
      </c>
      <c r="P76" s="152">
        <v>23273</v>
      </c>
    </row>
    <row r="77" spans="1:16" s="155" customFormat="1" ht="12" x14ac:dyDescent="0.2">
      <c r="A77" s="150">
        <v>66</v>
      </c>
      <c r="B77" s="154" t="s">
        <v>346</v>
      </c>
      <c r="C77" s="152">
        <f t="shared" si="1"/>
        <v>107</v>
      </c>
      <c r="D77" s="152"/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/>
      <c r="L77" s="152"/>
      <c r="M77" s="152"/>
      <c r="N77" s="152">
        <v>107</v>
      </c>
      <c r="O77" s="152"/>
      <c r="P77" s="152">
        <v>0</v>
      </c>
    </row>
    <row r="78" spans="1:16" s="155" customFormat="1" ht="12" x14ac:dyDescent="0.2">
      <c r="A78" s="150">
        <v>67</v>
      </c>
      <c r="B78" s="154" t="s">
        <v>347</v>
      </c>
      <c r="C78" s="152">
        <f t="shared" si="1"/>
        <v>100</v>
      </c>
      <c r="D78" s="152"/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/>
      <c r="L78" s="152"/>
      <c r="M78" s="152"/>
      <c r="N78" s="152">
        <v>100</v>
      </c>
      <c r="O78" s="152"/>
      <c r="P78" s="152">
        <v>0</v>
      </c>
    </row>
    <row r="79" spans="1:16" s="155" customFormat="1" ht="12" x14ac:dyDescent="0.2">
      <c r="A79" s="150">
        <v>68</v>
      </c>
      <c r="B79" s="154" t="s">
        <v>348</v>
      </c>
      <c r="C79" s="152">
        <f t="shared" si="1"/>
        <v>85</v>
      </c>
      <c r="D79" s="152"/>
      <c r="E79" s="152">
        <v>0</v>
      </c>
      <c r="F79" s="152">
        <v>0</v>
      </c>
      <c r="G79" s="152">
        <v>0</v>
      </c>
      <c r="H79" s="152">
        <v>0</v>
      </c>
      <c r="I79" s="152">
        <v>0</v>
      </c>
      <c r="J79" s="152">
        <v>0</v>
      </c>
      <c r="K79" s="152"/>
      <c r="L79" s="152"/>
      <c r="M79" s="152"/>
      <c r="N79" s="152">
        <v>85</v>
      </c>
      <c r="O79" s="152"/>
      <c r="P79" s="152">
        <v>0</v>
      </c>
    </row>
    <row r="80" spans="1:16" s="155" customFormat="1" ht="16.5" x14ac:dyDescent="0.2">
      <c r="A80" s="150">
        <v>69</v>
      </c>
      <c r="B80" s="154" t="s">
        <v>349</v>
      </c>
      <c r="C80" s="152">
        <f t="shared" si="1"/>
        <v>25</v>
      </c>
      <c r="D80" s="152"/>
      <c r="E80" s="152">
        <v>0</v>
      </c>
      <c r="F80" s="152">
        <v>0</v>
      </c>
      <c r="G80" s="152">
        <v>0</v>
      </c>
      <c r="H80" s="152">
        <v>0</v>
      </c>
      <c r="I80" s="152">
        <v>0</v>
      </c>
      <c r="J80" s="152">
        <v>0</v>
      </c>
      <c r="K80" s="152"/>
      <c r="L80" s="152"/>
      <c r="M80" s="152"/>
      <c r="N80" s="152">
        <v>25</v>
      </c>
      <c r="O80" s="152"/>
      <c r="P80" s="152">
        <v>0</v>
      </c>
    </row>
    <row r="81" spans="1:16" s="155" customFormat="1" ht="12" x14ac:dyDescent="0.2">
      <c r="A81" s="150">
        <v>70</v>
      </c>
      <c r="B81" s="160" t="s">
        <v>350</v>
      </c>
      <c r="C81" s="152">
        <f t="shared" si="1"/>
        <v>118813</v>
      </c>
      <c r="D81" s="152"/>
      <c r="E81" s="152">
        <v>0</v>
      </c>
      <c r="F81" s="152">
        <v>0</v>
      </c>
      <c r="G81" s="152">
        <v>270</v>
      </c>
      <c r="H81" s="152">
        <v>0</v>
      </c>
      <c r="I81" s="152">
        <v>40809</v>
      </c>
      <c r="J81" s="152">
        <v>0</v>
      </c>
      <c r="K81" s="152"/>
      <c r="L81" s="152"/>
      <c r="M81" s="152">
        <v>609</v>
      </c>
      <c r="N81" s="152"/>
      <c r="O81" s="152">
        <v>10096</v>
      </c>
      <c r="P81" s="152">
        <v>67029</v>
      </c>
    </row>
    <row r="82" spans="1:16" s="155" customFormat="1" ht="12" x14ac:dyDescent="0.2">
      <c r="A82" s="150">
        <v>71</v>
      </c>
      <c r="B82" s="160" t="s">
        <v>351</v>
      </c>
      <c r="C82" s="152">
        <f t="shared" si="1"/>
        <v>104633</v>
      </c>
      <c r="D82" s="152"/>
      <c r="E82" s="152">
        <v>0</v>
      </c>
      <c r="F82" s="152">
        <v>0</v>
      </c>
      <c r="G82" s="152">
        <v>418</v>
      </c>
      <c r="H82" s="152">
        <v>0</v>
      </c>
      <c r="I82" s="152">
        <v>34522</v>
      </c>
      <c r="J82" s="152">
        <v>0</v>
      </c>
      <c r="K82" s="152"/>
      <c r="L82" s="152"/>
      <c r="M82" s="152"/>
      <c r="N82" s="152"/>
      <c r="O82" s="152">
        <v>2720</v>
      </c>
      <c r="P82" s="152">
        <v>66973</v>
      </c>
    </row>
    <row r="83" spans="1:16" s="155" customFormat="1" ht="12" x14ac:dyDescent="0.2">
      <c r="A83" s="150">
        <v>72</v>
      </c>
      <c r="B83" s="160" t="s">
        <v>352</v>
      </c>
      <c r="C83" s="152">
        <f t="shared" si="1"/>
        <v>138748</v>
      </c>
      <c r="D83" s="152"/>
      <c r="E83" s="152">
        <v>0</v>
      </c>
      <c r="F83" s="152">
        <v>0</v>
      </c>
      <c r="G83" s="152">
        <v>75</v>
      </c>
      <c r="H83" s="152">
        <v>0</v>
      </c>
      <c r="I83" s="152">
        <v>47168</v>
      </c>
      <c r="J83" s="152">
        <v>0</v>
      </c>
      <c r="K83" s="152"/>
      <c r="L83" s="152"/>
      <c r="M83" s="152"/>
      <c r="N83" s="152"/>
      <c r="O83" s="152">
        <v>10494</v>
      </c>
      <c r="P83" s="152">
        <v>81011</v>
      </c>
    </row>
    <row r="84" spans="1:16" s="155" customFormat="1" ht="12" x14ac:dyDescent="0.2">
      <c r="A84" s="150">
        <v>73</v>
      </c>
      <c r="B84" s="160" t="s">
        <v>353</v>
      </c>
      <c r="C84" s="152">
        <f t="shared" si="1"/>
        <v>172673</v>
      </c>
      <c r="D84" s="152">
        <v>15262</v>
      </c>
      <c r="E84" s="152">
        <v>0</v>
      </c>
      <c r="F84" s="152">
        <v>0</v>
      </c>
      <c r="G84" s="152">
        <v>352</v>
      </c>
      <c r="H84" s="152">
        <v>0</v>
      </c>
      <c r="I84" s="152">
        <v>65888</v>
      </c>
      <c r="J84" s="152">
        <v>0</v>
      </c>
      <c r="K84" s="152"/>
      <c r="L84" s="152"/>
      <c r="M84" s="152"/>
      <c r="N84" s="152"/>
      <c r="O84" s="152">
        <v>32843</v>
      </c>
      <c r="P84" s="152">
        <v>58328</v>
      </c>
    </row>
    <row r="85" spans="1:16" s="155" customFormat="1" ht="12" x14ac:dyDescent="0.2">
      <c r="A85" s="150">
        <v>74</v>
      </c>
      <c r="B85" s="160" t="s">
        <v>354</v>
      </c>
      <c r="C85" s="152">
        <f t="shared" si="1"/>
        <v>68130</v>
      </c>
      <c r="D85" s="152"/>
      <c r="E85" s="152">
        <v>0</v>
      </c>
      <c r="F85" s="152">
        <v>0</v>
      </c>
      <c r="G85" s="152">
        <v>105</v>
      </c>
      <c r="H85" s="152">
        <v>0</v>
      </c>
      <c r="I85" s="152">
        <v>20656</v>
      </c>
      <c r="J85" s="152">
        <v>0</v>
      </c>
      <c r="K85" s="152"/>
      <c r="L85" s="152"/>
      <c r="M85" s="152"/>
      <c r="N85" s="152"/>
      <c r="O85" s="152">
        <v>4555</v>
      </c>
      <c r="P85" s="152">
        <v>42814</v>
      </c>
    </row>
    <row r="86" spans="1:16" s="155" customFormat="1" ht="16.5" x14ac:dyDescent="0.2">
      <c r="A86" s="150">
        <v>75</v>
      </c>
      <c r="B86" s="160" t="s">
        <v>355</v>
      </c>
      <c r="C86" s="152">
        <f t="shared" si="1"/>
        <v>29413</v>
      </c>
      <c r="D86" s="152"/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0</v>
      </c>
      <c r="K86" s="152"/>
      <c r="L86" s="152"/>
      <c r="M86" s="152"/>
      <c r="N86" s="152">
        <v>29413</v>
      </c>
      <c r="O86" s="152"/>
      <c r="P86" s="152">
        <v>0</v>
      </c>
    </row>
    <row r="87" spans="1:16" s="155" customFormat="1" ht="16.5" x14ac:dyDescent="0.2">
      <c r="A87" s="150">
        <v>76</v>
      </c>
      <c r="B87" s="160" t="s">
        <v>356</v>
      </c>
      <c r="C87" s="152">
        <f t="shared" si="1"/>
        <v>31369</v>
      </c>
      <c r="D87" s="152"/>
      <c r="E87" s="152">
        <v>0</v>
      </c>
      <c r="F87" s="152">
        <v>0</v>
      </c>
      <c r="G87" s="152">
        <v>0</v>
      </c>
      <c r="H87" s="152">
        <v>0</v>
      </c>
      <c r="I87" s="152">
        <v>0</v>
      </c>
      <c r="J87" s="152">
        <v>0</v>
      </c>
      <c r="K87" s="152"/>
      <c r="L87" s="152"/>
      <c r="M87" s="152"/>
      <c r="N87" s="152">
        <v>31369</v>
      </c>
      <c r="O87" s="152"/>
      <c r="P87" s="152">
        <v>0</v>
      </c>
    </row>
    <row r="88" spans="1:16" s="155" customFormat="1" ht="12" x14ac:dyDescent="0.2">
      <c r="A88" s="150">
        <v>77</v>
      </c>
      <c r="B88" s="160" t="s">
        <v>357</v>
      </c>
      <c r="C88" s="152">
        <f t="shared" si="1"/>
        <v>121848</v>
      </c>
      <c r="D88" s="152"/>
      <c r="E88" s="152">
        <v>13167</v>
      </c>
      <c r="F88" s="152">
        <v>1852</v>
      </c>
      <c r="G88" s="152">
        <v>0</v>
      </c>
      <c r="H88" s="152">
        <v>22439</v>
      </c>
      <c r="I88" s="152">
        <v>3052</v>
      </c>
      <c r="J88" s="152">
        <v>478</v>
      </c>
      <c r="K88" s="152">
        <v>335</v>
      </c>
      <c r="L88" s="152">
        <v>143</v>
      </c>
      <c r="M88" s="152"/>
      <c r="N88" s="152"/>
      <c r="O88" s="152">
        <v>5042</v>
      </c>
      <c r="P88" s="152">
        <v>75818</v>
      </c>
    </row>
    <row r="89" spans="1:16" s="155" customFormat="1" ht="12" x14ac:dyDescent="0.2">
      <c r="A89" s="150">
        <v>78</v>
      </c>
      <c r="B89" s="160" t="s">
        <v>358</v>
      </c>
      <c r="C89" s="152">
        <f t="shared" si="1"/>
        <v>104395</v>
      </c>
      <c r="D89" s="152">
        <v>17452</v>
      </c>
      <c r="E89" s="152">
        <v>10125</v>
      </c>
      <c r="F89" s="152">
        <v>2996</v>
      </c>
      <c r="G89" s="152">
        <v>0</v>
      </c>
      <c r="H89" s="152">
        <v>24123</v>
      </c>
      <c r="I89" s="152">
        <v>0</v>
      </c>
      <c r="J89" s="152">
        <v>0</v>
      </c>
      <c r="K89" s="152"/>
      <c r="L89" s="152"/>
      <c r="M89" s="152"/>
      <c r="N89" s="152"/>
      <c r="O89" s="152">
        <v>7010</v>
      </c>
      <c r="P89" s="152">
        <v>42689</v>
      </c>
    </row>
    <row r="90" spans="1:16" s="155" customFormat="1" ht="12" x14ac:dyDescent="0.2">
      <c r="A90" s="150">
        <v>79</v>
      </c>
      <c r="B90" s="160" t="s">
        <v>359</v>
      </c>
      <c r="C90" s="152">
        <f t="shared" si="1"/>
        <v>84686</v>
      </c>
      <c r="D90" s="152"/>
      <c r="E90" s="152">
        <v>9919</v>
      </c>
      <c r="F90" s="152">
        <v>2729</v>
      </c>
      <c r="G90" s="152">
        <v>0</v>
      </c>
      <c r="H90" s="152">
        <v>21455</v>
      </c>
      <c r="I90" s="152">
        <v>0</v>
      </c>
      <c r="J90" s="152">
        <v>0</v>
      </c>
      <c r="K90" s="152"/>
      <c r="L90" s="152"/>
      <c r="M90" s="152"/>
      <c r="N90" s="152"/>
      <c r="O90" s="152">
        <v>13719</v>
      </c>
      <c r="P90" s="152">
        <v>36864</v>
      </c>
    </row>
    <row r="91" spans="1:16" s="155" customFormat="1" ht="12" x14ac:dyDescent="0.2">
      <c r="A91" s="150">
        <v>80</v>
      </c>
      <c r="B91" s="160" t="s">
        <v>360</v>
      </c>
      <c r="C91" s="152">
        <f t="shared" si="1"/>
        <v>90617</v>
      </c>
      <c r="D91" s="152">
        <v>26791</v>
      </c>
      <c r="E91" s="152">
        <v>7249</v>
      </c>
      <c r="F91" s="152">
        <v>1751</v>
      </c>
      <c r="G91" s="152">
        <v>0</v>
      </c>
      <c r="H91" s="152">
        <v>15578</v>
      </c>
      <c r="I91" s="152">
        <v>0</v>
      </c>
      <c r="J91" s="152">
        <v>0</v>
      </c>
      <c r="K91" s="152"/>
      <c r="L91" s="152"/>
      <c r="M91" s="152"/>
      <c r="N91" s="152"/>
      <c r="O91" s="152">
        <v>6437</v>
      </c>
      <c r="P91" s="152">
        <v>32811</v>
      </c>
    </row>
    <row r="92" spans="1:16" s="155" customFormat="1" ht="12" x14ac:dyDescent="0.2">
      <c r="A92" s="150">
        <v>81</v>
      </c>
      <c r="B92" s="160" t="s">
        <v>164</v>
      </c>
      <c r="C92" s="152">
        <f t="shared" si="1"/>
        <v>185884</v>
      </c>
      <c r="D92" s="152"/>
      <c r="E92" s="152">
        <v>16887</v>
      </c>
      <c r="F92" s="152">
        <v>4848</v>
      </c>
      <c r="G92" s="152">
        <v>0</v>
      </c>
      <c r="H92" s="152">
        <v>41031</v>
      </c>
      <c r="I92" s="152">
        <v>0</v>
      </c>
      <c r="J92" s="152">
        <v>1464</v>
      </c>
      <c r="K92" s="152">
        <v>1025</v>
      </c>
      <c r="L92" s="152">
        <v>439</v>
      </c>
      <c r="M92" s="152"/>
      <c r="N92" s="152"/>
      <c r="O92" s="152">
        <v>43044</v>
      </c>
      <c r="P92" s="152">
        <v>78610</v>
      </c>
    </row>
    <row r="93" spans="1:16" s="155" customFormat="1" ht="12" x14ac:dyDescent="0.2">
      <c r="A93" s="150">
        <v>82</v>
      </c>
      <c r="B93" s="160" t="s">
        <v>361</v>
      </c>
      <c r="C93" s="152">
        <f t="shared" si="1"/>
        <v>99519</v>
      </c>
      <c r="D93" s="152"/>
      <c r="E93" s="152">
        <v>9613</v>
      </c>
      <c r="F93" s="152">
        <v>2794</v>
      </c>
      <c r="G93" s="152">
        <v>0</v>
      </c>
      <c r="H93" s="152">
        <v>24254</v>
      </c>
      <c r="I93" s="152">
        <v>0</v>
      </c>
      <c r="J93" s="152">
        <v>512</v>
      </c>
      <c r="K93" s="152">
        <v>358</v>
      </c>
      <c r="L93" s="152">
        <v>154</v>
      </c>
      <c r="M93" s="152"/>
      <c r="N93" s="152"/>
      <c r="O93" s="152">
        <v>20397</v>
      </c>
      <c r="P93" s="152">
        <v>41949</v>
      </c>
    </row>
    <row r="94" spans="1:16" s="155" customFormat="1" ht="12" x14ac:dyDescent="0.2">
      <c r="A94" s="150">
        <v>83</v>
      </c>
      <c r="B94" s="160" t="s">
        <v>165</v>
      </c>
      <c r="C94" s="152">
        <f t="shared" si="1"/>
        <v>113678</v>
      </c>
      <c r="D94" s="152">
        <v>17685</v>
      </c>
      <c r="E94" s="152">
        <v>10776</v>
      </c>
      <c r="F94" s="152">
        <v>2720</v>
      </c>
      <c r="G94" s="152">
        <v>0</v>
      </c>
      <c r="H94" s="152">
        <v>22478</v>
      </c>
      <c r="I94" s="152">
        <v>0</v>
      </c>
      <c r="J94" s="152">
        <v>1464</v>
      </c>
      <c r="K94" s="152">
        <v>1025</v>
      </c>
      <c r="L94" s="152">
        <v>439</v>
      </c>
      <c r="M94" s="152">
        <v>661</v>
      </c>
      <c r="N94" s="152"/>
      <c r="O94" s="152">
        <v>10011</v>
      </c>
      <c r="P94" s="152">
        <v>47883</v>
      </c>
    </row>
    <row r="95" spans="1:16" s="155" customFormat="1" ht="12" x14ac:dyDescent="0.2">
      <c r="A95" s="150">
        <v>84</v>
      </c>
      <c r="B95" s="160" t="s">
        <v>362</v>
      </c>
      <c r="C95" s="152">
        <f t="shared" si="1"/>
        <v>58065</v>
      </c>
      <c r="D95" s="152"/>
      <c r="E95" s="152">
        <v>6544</v>
      </c>
      <c r="F95" s="152">
        <v>1802</v>
      </c>
      <c r="G95" s="152">
        <v>0</v>
      </c>
      <c r="H95" s="152">
        <v>14552</v>
      </c>
      <c r="I95" s="152">
        <v>0</v>
      </c>
      <c r="J95" s="152">
        <v>0</v>
      </c>
      <c r="K95" s="152"/>
      <c r="L95" s="152"/>
      <c r="M95" s="152"/>
      <c r="N95" s="152"/>
      <c r="O95" s="152">
        <v>4696</v>
      </c>
      <c r="P95" s="152">
        <v>30471</v>
      </c>
    </row>
    <row r="96" spans="1:16" s="155" customFormat="1" ht="12" x14ac:dyDescent="0.2">
      <c r="A96" s="150">
        <v>85</v>
      </c>
      <c r="B96" s="160" t="s">
        <v>363</v>
      </c>
      <c r="C96" s="152">
        <f t="shared" si="1"/>
        <v>193065</v>
      </c>
      <c r="D96" s="152"/>
      <c r="E96" s="152">
        <v>19313</v>
      </c>
      <c r="F96" s="152">
        <v>5991</v>
      </c>
      <c r="G96" s="152">
        <v>0</v>
      </c>
      <c r="H96" s="152">
        <v>42019</v>
      </c>
      <c r="I96" s="152">
        <v>0</v>
      </c>
      <c r="J96" s="152">
        <v>1464</v>
      </c>
      <c r="K96" s="152">
        <v>1025</v>
      </c>
      <c r="L96" s="152">
        <v>439</v>
      </c>
      <c r="M96" s="152"/>
      <c r="N96" s="152"/>
      <c r="O96" s="152">
        <v>29000</v>
      </c>
      <c r="P96" s="152">
        <v>95278</v>
      </c>
    </row>
    <row r="97" spans="1:16" s="155" customFormat="1" ht="12" x14ac:dyDescent="0.2">
      <c r="A97" s="150">
        <v>86</v>
      </c>
      <c r="B97" s="160" t="s">
        <v>364</v>
      </c>
      <c r="C97" s="152">
        <f t="shared" si="1"/>
        <v>72740</v>
      </c>
      <c r="D97" s="152"/>
      <c r="E97" s="152">
        <v>8077</v>
      </c>
      <c r="F97" s="152">
        <v>1909</v>
      </c>
      <c r="G97" s="152">
        <v>0</v>
      </c>
      <c r="H97" s="152">
        <v>19123</v>
      </c>
      <c r="I97" s="152">
        <v>0</v>
      </c>
      <c r="J97" s="152">
        <v>0</v>
      </c>
      <c r="K97" s="152"/>
      <c r="L97" s="152"/>
      <c r="M97" s="152"/>
      <c r="N97" s="152"/>
      <c r="O97" s="152">
        <v>7560</v>
      </c>
      <c r="P97" s="152">
        <v>36071</v>
      </c>
    </row>
    <row r="98" spans="1:16" s="155" customFormat="1" ht="12" x14ac:dyDescent="0.2">
      <c r="A98" s="150">
        <v>87</v>
      </c>
      <c r="B98" s="160" t="s">
        <v>365</v>
      </c>
      <c r="C98" s="152">
        <f t="shared" si="1"/>
        <v>71088</v>
      </c>
      <c r="D98" s="152"/>
      <c r="E98" s="152">
        <v>7672</v>
      </c>
      <c r="F98" s="152">
        <v>2106</v>
      </c>
      <c r="G98" s="152">
        <v>0</v>
      </c>
      <c r="H98" s="152">
        <v>14459</v>
      </c>
      <c r="I98" s="152">
        <v>0</v>
      </c>
      <c r="J98" s="152">
        <v>0</v>
      </c>
      <c r="K98" s="152"/>
      <c r="L98" s="152"/>
      <c r="M98" s="152"/>
      <c r="N98" s="152"/>
      <c r="O98" s="152">
        <f>10870+2500</f>
        <v>13370</v>
      </c>
      <c r="P98" s="152">
        <v>33481</v>
      </c>
    </row>
    <row r="99" spans="1:16" s="155" customFormat="1" ht="16.5" x14ac:dyDescent="0.2">
      <c r="A99" s="150">
        <v>88</v>
      </c>
      <c r="B99" s="160" t="s">
        <v>366</v>
      </c>
      <c r="C99" s="152">
        <f t="shared" si="1"/>
        <v>2646</v>
      </c>
      <c r="D99" s="152"/>
      <c r="E99" s="152">
        <v>0</v>
      </c>
      <c r="F99" s="152">
        <v>0</v>
      </c>
      <c r="G99" s="152">
        <v>0</v>
      </c>
      <c r="H99" s="152">
        <v>0</v>
      </c>
      <c r="I99" s="152">
        <v>0</v>
      </c>
      <c r="J99" s="152">
        <v>0</v>
      </c>
      <c r="K99" s="152"/>
      <c r="L99" s="152"/>
      <c r="M99" s="152"/>
      <c r="N99" s="152">
        <v>2646</v>
      </c>
      <c r="O99" s="152"/>
      <c r="P99" s="152">
        <v>0</v>
      </c>
    </row>
    <row r="100" spans="1:16" s="155" customFormat="1" ht="16.5" x14ac:dyDescent="0.2">
      <c r="A100" s="150">
        <v>89</v>
      </c>
      <c r="B100" s="160" t="s">
        <v>367</v>
      </c>
      <c r="C100" s="152">
        <f t="shared" si="1"/>
        <v>3086</v>
      </c>
      <c r="D100" s="152"/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/>
      <c r="L100" s="152"/>
      <c r="M100" s="152"/>
      <c r="N100" s="152">
        <v>3086</v>
      </c>
      <c r="O100" s="152"/>
      <c r="P100" s="152">
        <v>0</v>
      </c>
    </row>
    <row r="101" spans="1:16" s="155" customFormat="1" ht="16.5" x14ac:dyDescent="0.2">
      <c r="A101" s="150">
        <v>90</v>
      </c>
      <c r="B101" s="160" t="s">
        <v>368</v>
      </c>
      <c r="C101" s="152">
        <f t="shared" si="1"/>
        <v>3661</v>
      </c>
      <c r="D101" s="152"/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/>
      <c r="L101" s="152"/>
      <c r="M101" s="152"/>
      <c r="N101" s="152">
        <v>3661</v>
      </c>
      <c r="O101" s="152"/>
      <c r="P101" s="152">
        <v>0</v>
      </c>
    </row>
    <row r="102" spans="1:16" s="155" customFormat="1" ht="16.5" x14ac:dyDescent="0.2">
      <c r="A102" s="150">
        <v>91</v>
      </c>
      <c r="B102" s="160" t="s">
        <v>369</v>
      </c>
      <c r="C102" s="152">
        <f t="shared" si="1"/>
        <v>2971</v>
      </c>
      <c r="D102" s="152"/>
      <c r="E102" s="152">
        <v>0</v>
      </c>
      <c r="F102" s="152">
        <v>0</v>
      </c>
      <c r="G102" s="152">
        <v>0</v>
      </c>
      <c r="H102" s="152">
        <v>0</v>
      </c>
      <c r="I102" s="152">
        <v>0</v>
      </c>
      <c r="J102" s="152">
        <v>0</v>
      </c>
      <c r="K102" s="152"/>
      <c r="L102" s="152"/>
      <c r="M102" s="152"/>
      <c r="N102" s="152">
        <v>2971</v>
      </c>
      <c r="O102" s="152"/>
      <c r="P102" s="152">
        <v>0</v>
      </c>
    </row>
    <row r="103" spans="1:16" s="155" customFormat="1" ht="16.5" x14ac:dyDescent="0.2">
      <c r="A103" s="150">
        <v>92</v>
      </c>
      <c r="B103" s="160" t="s">
        <v>370</v>
      </c>
      <c r="C103" s="152">
        <f t="shared" si="1"/>
        <v>13089</v>
      </c>
      <c r="D103" s="152"/>
      <c r="E103" s="152">
        <v>0</v>
      </c>
      <c r="F103" s="152">
        <v>0</v>
      </c>
      <c r="G103" s="152">
        <v>0</v>
      </c>
      <c r="H103" s="152">
        <v>0</v>
      </c>
      <c r="I103" s="152">
        <v>0</v>
      </c>
      <c r="J103" s="152">
        <v>0</v>
      </c>
      <c r="K103" s="152"/>
      <c r="L103" s="152"/>
      <c r="M103" s="152"/>
      <c r="N103" s="152">
        <v>13089</v>
      </c>
      <c r="O103" s="152"/>
      <c r="P103" s="152">
        <v>0</v>
      </c>
    </row>
    <row r="104" spans="1:16" s="155" customFormat="1" ht="16.5" x14ac:dyDescent="0.2">
      <c r="A104" s="150">
        <v>93</v>
      </c>
      <c r="B104" s="160" t="s">
        <v>371</v>
      </c>
      <c r="C104" s="152">
        <f t="shared" si="1"/>
        <v>2707</v>
      </c>
      <c r="D104" s="152"/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0</v>
      </c>
      <c r="K104" s="152"/>
      <c r="L104" s="152"/>
      <c r="M104" s="152"/>
      <c r="N104" s="152">
        <v>2707</v>
      </c>
      <c r="O104" s="152"/>
      <c r="P104" s="152">
        <v>0</v>
      </c>
    </row>
    <row r="105" spans="1:16" s="155" customFormat="1" ht="16.5" x14ac:dyDescent="0.2">
      <c r="A105" s="150">
        <v>94</v>
      </c>
      <c r="B105" s="160" t="s">
        <v>372</v>
      </c>
      <c r="C105" s="152">
        <f t="shared" si="1"/>
        <v>2344</v>
      </c>
      <c r="D105" s="152"/>
      <c r="E105" s="152">
        <v>0</v>
      </c>
      <c r="F105" s="152">
        <v>0</v>
      </c>
      <c r="G105" s="152">
        <v>0</v>
      </c>
      <c r="H105" s="152">
        <v>0</v>
      </c>
      <c r="I105" s="152">
        <v>0</v>
      </c>
      <c r="J105" s="152">
        <v>0</v>
      </c>
      <c r="K105" s="152"/>
      <c r="L105" s="152"/>
      <c r="M105" s="152"/>
      <c r="N105" s="152">
        <v>2344</v>
      </c>
      <c r="O105" s="152"/>
      <c r="P105" s="152">
        <v>0</v>
      </c>
    </row>
    <row r="106" spans="1:16" s="155" customFormat="1" ht="12" x14ac:dyDescent="0.2">
      <c r="A106" s="150">
        <v>95</v>
      </c>
      <c r="B106" s="160" t="s">
        <v>373</v>
      </c>
      <c r="C106" s="152">
        <f t="shared" si="1"/>
        <v>160249</v>
      </c>
      <c r="D106" s="152">
        <v>13574</v>
      </c>
      <c r="E106" s="152">
        <v>10897</v>
      </c>
      <c r="F106" s="152">
        <v>2790</v>
      </c>
      <c r="G106" s="152">
        <v>185</v>
      </c>
      <c r="H106" s="152">
        <v>25653</v>
      </c>
      <c r="I106" s="152">
        <v>20833</v>
      </c>
      <c r="J106" s="152">
        <v>0</v>
      </c>
      <c r="K106" s="152"/>
      <c r="L106" s="152"/>
      <c r="M106" s="152"/>
      <c r="N106" s="152"/>
      <c r="O106" s="152">
        <v>24171</v>
      </c>
      <c r="P106" s="152">
        <v>62146</v>
      </c>
    </row>
    <row r="107" spans="1:16" s="155" customFormat="1" ht="12" x14ac:dyDescent="0.2">
      <c r="A107" s="150">
        <v>96</v>
      </c>
      <c r="B107" s="160" t="s">
        <v>374</v>
      </c>
      <c r="C107" s="152">
        <f t="shared" si="1"/>
        <v>123540.8</v>
      </c>
      <c r="D107" s="152"/>
      <c r="E107" s="152">
        <v>12001</v>
      </c>
      <c r="F107" s="152">
        <v>2036</v>
      </c>
      <c r="G107" s="152">
        <v>0</v>
      </c>
      <c r="H107" s="152">
        <v>29039</v>
      </c>
      <c r="I107" s="152">
        <v>0</v>
      </c>
      <c r="J107" s="152">
        <v>1463.8</v>
      </c>
      <c r="K107" s="152">
        <v>1024.8</v>
      </c>
      <c r="L107" s="152">
        <v>439</v>
      </c>
      <c r="M107" s="152">
        <v>2635</v>
      </c>
      <c r="N107" s="152"/>
      <c r="O107" s="152">
        <v>24330</v>
      </c>
      <c r="P107" s="152">
        <v>52036</v>
      </c>
    </row>
    <row r="108" spans="1:16" s="155" customFormat="1" ht="12" x14ac:dyDescent="0.2">
      <c r="A108" s="150">
        <v>97</v>
      </c>
      <c r="B108" s="160" t="s">
        <v>166</v>
      </c>
      <c r="C108" s="152">
        <f t="shared" si="1"/>
        <v>98844</v>
      </c>
      <c r="D108" s="152"/>
      <c r="E108" s="152">
        <v>9275</v>
      </c>
      <c r="F108" s="152">
        <v>2961</v>
      </c>
      <c r="G108" s="152">
        <v>0</v>
      </c>
      <c r="H108" s="152">
        <v>21651</v>
      </c>
      <c r="I108" s="152">
        <v>0</v>
      </c>
      <c r="J108" s="152">
        <v>0</v>
      </c>
      <c r="K108" s="152"/>
      <c r="L108" s="152"/>
      <c r="M108" s="152">
        <v>108</v>
      </c>
      <c r="N108" s="152"/>
      <c r="O108" s="152">
        <v>15592</v>
      </c>
      <c r="P108" s="152">
        <v>49257</v>
      </c>
    </row>
    <row r="109" spans="1:16" s="155" customFormat="1" ht="12" x14ac:dyDescent="0.2">
      <c r="A109" s="150">
        <v>98</v>
      </c>
      <c r="B109" s="160" t="s">
        <v>375</v>
      </c>
      <c r="C109" s="152">
        <f t="shared" si="1"/>
        <v>52253</v>
      </c>
      <c r="D109" s="152"/>
      <c r="E109" s="152">
        <v>5336</v>
      </c>
      <c r="F109" s="152">
        <v>1566</v>
      </c>
      <c r="G109" s="152">
        <v>0</v>
      </c>
      <c r="H109" s="152">
        <v>9468</v>
      </c>
      <c r="I109" s="152">
        <v>0</v>
      </c>
      <c r="J109" s="152">
        <v>0</v>
      </c>
      <c r="K109" s="152"/>
      <c r="L109" s="152"/>
      <c r="M109" s="152"/>
      <c r="N109" s="152"/>
      <c r="O109" s="152">
        <v>10416</v>
      </c>
      <c r="P109" s="152">
        <v>25467</v>
      </c>
    </row>
    <row r="110" spans="1:16" s="155" customFormat="1" ht="12" x14ac:dyDescent="0.2">
      <c r="A110" s="150">
        <v>99</v>
      </c>
      <c r="B110" s="160" t="s">
        <v>376</v>
      </c>
      <c r="C110" s="152">
        <f t="shared" si="1"/>
        <v>39237</v>
      </c>
      <c r="D110" s="152">
        <v>17052</v>
      </c>
      <c r="E110" s="152">
        <v>2108</v>
      </c>
      <c r="F110" s="152">
        <v>523</v>
      </c>
      <c r="G110" s="152">
        <v>0</v>
      </c>
      <c r="H110" s="152">
        <v>4757</v>
      </c>
      <c r="I110" s="152">
        <v>0</v>
      </c>
      <c r="J110" s="152">
        <v>1464</v>
      </c>
      <c r="K110" s="152">
        <v>1025</v>
      </c>
      <c r="L110" s="152">
        <v>439</v>
      </c>
      <c r="M110" s="152"/>
      <c r="N110" s="152"/>
      <c r="O110" s="152">
        <v>467</v>
      </c>
      <c r="P110" s="152">
        <v>12866</v>
      </c>
    </row>
    <row r="111" spans="1:16" s="155" customFormat="1" ht="12" x14ac:dyDescent="0.2">
      <c r="A111" s="150">
        <v>100</v>
      </c>
      <c r="B111" s="160" t="s">
        <v>377</v>
      </c>
      <c r="C111" s="152">
        <f t="shared" si="1"/>
        <v>42779</v>
      </c>
      <c r="D111" s="152"/>
      <c r="E111" s="152">
        <v>3534</v>
      </c>
      <c r="F111" s="152">
        <v>681</v>
      </c>
      <c r="G111" s="152">
        <v>0</v>
      </c>
      <c r="H111" s="152">
        <v>5867</v>
      </c>
      <c r="I111" s="152">
        <v>0</v>
      </c>
      <c r="J111" s="152">
        <v>0</v>
      </c>
      <c r="K111" s="152"/>
      <c r="L111" s="152"/>
      <c r="M111" s="152"/>
      <c r="N111" s="152"/>
      <c r="O111" s="152">
        <v>8963</v>
      </c>
      <c r="P111" s="152">
        <v>23734</v>
      </c>
    </row>
    <row r="112" spans="1:16" s="155" customFormat="1" ht="12" x14ac:dyDescent="0.2">
      <c r="A112" s="150">
        <v>101</v>
      </c>
      <c r="B112" s="160" t="s">
        <v>167</v>
      </c>
      <c r="C112" s="152">
        <f t="shared" si="1"/>
        <v>302017</v>
      </c>
      <c r="D112" s="152"/>
      <c r="E112" s="152">
        <v>25723</v>
      </c>
      <c r="F112" s="152">
        <v>5859</v>
      </c>
      <c r="G112" s="152">
        <v>0</v>
      </c>
      <c r="H112" s="152">
        <v>58768</v>
      </c>
      <c r="I112" s="152">
        <v>0</v>
      </c>
      <c r="J112" s="152">
        <v>2928</v>
      </c>
      <c r="K112" s="152">
        <v>2050</v>
      </c>
      <c r="L112" s="152">
        <v>878</v>
      </c>
      <c r="M112" s="152">
        <v>21274</v>
      </c>
      <c r="N112" s="152"/>
      <c r="O112" s="152">
        <v>58119</v>
      </c>
      <c r="P112" s="152">
        <v>129346</v>
      </c>
    </row>
    <row r="113" spans="1:16" s="155" customFormat="1" ht="12" x14ac:dyDescent="0.2">
      <c r="A113" s="150">
        <v>102</v>
      </c>
      <c r="B113" s="160" t="s">
        <v>378</v>
      </c>
      <c r="C113" s="152">
        <f t="shared" si="1"/>
        <v>102689</v>
      </c>
      <c r="D113" s="152">
        <v>9712</v>
      </c>
      <c r="E113" s="152">
        <v>0</v>
      </c>
      <c r="F113" s="152">
        <v>0</v>
      </c>
      <c r="G113" s="152">
        <v>482</v>
      </c>
      <c r="H113" s="152">
        <v>0</v>
      </c>
      <c r="I113" s="152">
        <v>34088</v>
      </c>
      <c r="J113" s="152">
        <v>0</v>
      </c>
      <c r="K113" s="152"/>
      <c r="L113" s="152"/>
      <c r="M113" s="152"/>
      <c r="N113" s="152"/>
      <c r="O113" s="152">
        <v>4131</v>
      </c>
      <c r="P113" s="152">
        <v>54276</v>
      </c>
    </row>
    <row r="114" spans="1:16" s="155" customFormat="1" ht="12" x14ac:dyDescent="0.2">
      <c r="A114" s="150">
        <v>103</v>
      </c>
      <c r="B114" s="160" t="s">
        <v>155</v>
      </c>
      <c r="C114" s="152">
        <f t="shared" si="1"/>
        <v>121368</v>
      </c>
      <c r="D114" s="152">
        <v>18753</v>
      </c>
      <c r="E114" s="152">
        <v>7150</v>
      </c>
      <c r="F114" s="152">
        <v>1607</v>
      </c>
      <c r="G114" s="152">
        <v>0</v>
      </c>
      <c r="H114" s="152">
        <v>15672</v>
      </c>
      <c r="I114" s="152">
        <v>0</v>
      </c>
      <c r="J114" s="152">
        <v>0</v>
      </c>
      <c r="K114" s="152"/>
      <c r="L114" s="152"/>
      <c r="M114" s="152">
        <v>207</v>
      </c>
      <c r="N114" s="152"/>
      <c r="O114" s="152">
        <v>17865</v>
      </c>
      <c r="P114" s="152">
        <v>60114</v>
      </c>
    </row>
    <row r="115" spans="1:16" s="155" customFormat="1" ht="12" x14ac:dyDescent="0.2">
      <c r="A115" s="150">
        <v>104</v>
      </c>
      <c r="B115" s="160" t="s">
        <v>168</v>
      </c>
      <c r="C115" s="152">
        <f t="shared" si="1"/>
        <v>44588</v>
      </c>
      <c r="D115" s="152"/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>
        <v>0</v>
      </c>
      <c r="K115" s="152"/>
      <c r="L115" s="152"/>
      <c r="M115" s="152"/>
      <c r="N115" s="152">
        <v>44588</v>
      </c>
      <c r="O115" s="152"/>
      <c r="P115" s="152">
        <v>0</v>
      </c>
    </row>
    <row r="116" spans="1:16" s="155" customFormat="1" ht="12" x14ac:dyDescent="0.2">
      <c r="A116" s="350">
        <v>105</v>
      </c>
      <c r="B116" s="160" t="s">
        <v>115</v>
      </c>
      <c r="C116" s="152">
        <f t="shared" si="1"/>
        <v>28235</v>
      </c>
      <c r="D116" s="152"/>
      <c r="E116" s="152">
        <v>904</v>
      </c>
      <c r="F116" s="152">
        <v>38</v>
      </c>
      <c r="G116" s="152">
        <v>0</v>
      </c>
      <c r="H116" s="152">
        <v>243</v>
      </c>
      <c r="I116" s="152">
        <v>0</v>
      </c>
      <c r="J116" s="152">
        <v>0</v>
      </c>
      <c r="K116" s="152"/>
      <c r="L116" s="152"/>
      <c r="M116" s="152">
        <v>8240</v>
      </c>
      <c r="N116" s="152"/>
      <c r="O116" s="152">
        <v>732</v>
      </c>
      <c r="P116" s="152">
        <v>18078</v>
      </c>
    </row>
    <row r="117" spans="1:16" s="155" customFormat="1" ht="16.5" x14ac:dyDescent="0.2">
      <c r="A117" s="350"/>
      <c r="B117" s="160" t="s">
        <v>379</v>
      </c>
      <c r="C117" s="152">
        <f t="shared" si="1"/>
        <v>3600</v>
      </c>
      <c r="D117" s="152"/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/>
      <c r="L117" s="152"/>
      <c r="M117" s="152"/>
      <c r="N117" s="152">
        <v>3600</v>
      </c>
      <c r="O117" s="152"/>
      <c r="P117" s="152">
        <v>0</v>
      </c>
    </row>
    <row r="118" spans="1:16" s="155" customFormat="1" ht="16.5" x14ac:dyDescent="0.2">
      <c r="A118" s="150">
        <v>106</v>
      </c>
      <c r="B118" s="160" t="s">
        <v>380</v>
      </c>
      <c r="C118" s="152">
        <f t="shared" si="1"/>
        <v>8362</v>
      </c>
      <c r="D118" s="152"/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/>
      <c r="L118" s="152"/>
      <c r="M118" s="152"/>
      <c r="N118" s="152">
        <v>8362</v>
      </c>
      <c r="O118" s="152"/>
      <c r="P118" s="152">
        <v>0</v>
      </c>
    </row>
    <row r="119" spans="1:16" s="155" customFormat="1" ht="12" x14ac:dyDescent="0.2">
      <c r="A119" s="150">
        <v>107</v>
      </c>
      <c r="B119" s="154" t="s">
        <v>381</v>
      </c>
      <c r="C119" s="152">
        <f t="shared" si="1"/>
        <v>13304</v>
      </c>
      <c r="D119" s="152"/>
      <c r="E119" s="152">
        <v>1444</v>
      </c>
      <c r="F119" s="152">
        <v>233</v>
      </c>
      <c r="G119" s="152">
        <v>0</v>
      </c>
      <c r="H119" s="152">
        <v>3731</v>
      </c>
      <c r="I119" s="152">
        <v>0</v>
      </c>
      <c r="J119" s="152">
        <v>0</v>
      </c>
      <c r="K119" s="152"/>
      <c r="L119" s="152"/>
      <c r="M119" s="152"/>
      <c r="N119" s="152"/>
      <c r="O119" s="152">
        <v>1140</v>
      </c>
      <c r="P119" s="152">
        <v>6756</v>
      </c>
    </row>
    <row r="120" spans="1:16" s="155" customFormat="1" ht="12" x14ac:dyDescent="0.2">
      <c r="A120" s="150">
        <v>108</v>
      </c>
      <c r="B120" s="151" t="s">
        <v>37</v>
      </c>
      <c r="C120" s="152">
        <f t="shared" si="1"/>
        <v>40519</v>
      </c>
      <c r="D120" s="152"/>
      <c r="E120" s="152">
        <v>3397</v>
      </c>
      <c r="F120" s="152">
        <v>749</v>
      </c>
      <c r="G120" s="152">
        <v>93</v>
      </c>
      <c r="H120" s="152">
        <v>6054</v>
      </c>
      <c r="I120" s="152">
        <v>5521</v>
      </c>
      <c r="J120" s="152">
        <v>0</v>
      </c>
      <c r="K120" s="152"/>
      <c r="L120" s="152"/>
      <c r="M120" s="152"/>
      <c r="N120" s="152"/>
      <c r="O120" s="152">
        <v>5522</v>
      </c>
      <c r="P120" s="152">
        <v>19183</v>
      </c>
    </row>
    <row r="121" spans="1:16" s="155" customFormat="1" ht="12" x14ac:dyDescent="0.2">
      <c r="A121" s="150">
        <v>109</v>
      </c>
      <c r="B121" s="154" t="s">
        <v>38</v>
      </c>
      <c r="C121" s="152">
        <f t="shared" si="1"/>
        <v>41576</v>
      </c>
      <c r="D121" s="152"/>
      <c r="E121" s="152">
        <v>3708</v>
      </c>
      <c r="F121" s="152">
        <v>855</v>
      </c>
      <c r="G121" s="152">
        <v>16</v>
      </c>
      <c r="H121" s="152">
        <v>6595</v>
      </c>
      <c r="I121" s="152">
        <v>5408</v>
      </c>
      <c r="J121" s="152">
        <v>0</v>
      </c>
      <c r="K121" s="152"/>
      <c r="L121" s="152"/>
      <c r="M121" s="152"/>
      <c r="N121" s="152"/>
      <c r="O121" s="152">
        <v>3826</v>
      </c>
      <c r="P121" s="152">
        <v>21168</v>
      </c>
    </row>
    <row r="122" spans="1:16" s="155" customFormat="1" ht="12" x14ac:dyDescent="0.2">
      <c r="A122" s="150">
        <v>110</v>
      </c>
      <c r="B122" s="151" t="s">
        <v>39</v>
      </c>
      <c r="C122" s="152">
        <f t="shared" si="1"/>
        <v>126844</v>
      </c>
      <c r="D122" s="152"/>
      <c r="E122" s="152">
        <v>8199</v>
      </c>
      <c r="F122" s="152">
        <v>1795</v>
      </c>
      <c r="G122" s="152">
        <v>180</v>
      </c>
      <c r="H122" s="152">
        <v>16791</v>
      </c>
      <c r="I122" s="152">
        <v>12517</v>
      </c>
      <c r="J122" s="152">
        <v>0</v>
      </c>
      <c r="K122" s="152"/>
      <c r="L122" s="152"/>
      <c r="M122" s="152"/>
      <c r="N122" s="152"/>
      <c r="O122" s="152">
        <v>15173</v>
      </c>
      <c r="P122" s="152">
        <v>72189</v>
      </c>
    </row>
    <row r="123" spans="1:16" s="155" customFormat="1" ht="12" x14ac:dyDescent="0.2">
      <c r="A123" s="150">
        <v>111</v>
      </c>
      <c r="B123" s="154" t="s">
        <v>40</v>
      </c>
      <c r="C123" s="152">
        <f t="shared" si="1"/>
        <v>54226</v>
      </c>
      <c r="D123" s="152"/>
      <c r="E123" s="152">
        <v>4583</v>
      </c>
      <c r="F123" s="152">
        <v>911</v>
      </c>
      <c r="G123" s="152">
        <v>42</v>
      </c>
      <c r="H123" s="152">
        <v>7747</v>
      </c>
      <c r="I123" s="152">
        <v>5567</v>
      </c>
      <c r="J123" s="152">
        <v>0</v>
      </c>
      <c r="K123" s="152"/>
      <c r="L123" s="152"/>
      <c r="M123" s="152"/>
      <c r="N123" s="152"/>
      <c r="O123" s="152">
        <v>7365</v>
      </c>
      <c r="P123" s="152">
        <v>28011</v>
      </c>
    </row>
    <row r="124" spans="1:16" s="155" customFormat="1" ht="12" x14ac:dyDescent="0.2">
      <c r="A124" s="150">
        <v>112</v>
      </c>
      <c r="B124" s="154" t="s">
        <v>41</v>
      </c>
      <c r="C124" s="152">
        <f t="shared" si="1"/>
        <v>70993</v>
      </c>
      <c r="D124" s="152"/>
      <c r="E124" s="152">
        <v>5985</v>
      </c>
      <c r="F124" s="152">
        <v>1574</v>
      </c>
      <c r="G124" s="152">
        <v>79</v>
      </c>
      <c r="H124" s="152">
        <v>9776</v>
      </c>
      <c r="I124" s="152">
        <v>5058</v>
      </c>
      <c r="J124" s="152">
        <v>322</v>
      </c>
      <c r="K124" s="152">
        <v>225</v>
      </c>
      <c r="L124" s="152">
        <v>97</v>
      </c>
      <c r="M124" s="152"/>
      <c r="N124" s="152"/>
      <c r="O124" s="152">
        <v>13792</v>
      </c>
      <c r="P124" s="152">
        <v>34407</v>
      </c>
    </row>
    <row r="125" spans="1:16" s="155" customFormat="1" ht="12" x14ac:dyDescent="0.2">
      <c r="A125" s="150">
        <v>113</v>
      </c>
      <c r="B125" s="151" t="s">
        <v>42</v>
      </c>
      <c r="C125" s="152">
        <f t="shared" si="1"/>
        <v>127064</v>
      </c>
      <c r="D125" s="152"/>
      <c r="E125" s="152">
        <v>9474</v>
      </c>
      <c r="F125" s="152">
        <v>2502</v>
      </c>
      <c r="G125" s="152">
        <v>265</v>
      </c>
      <c r="H125" s="152">
        <v>15392</v>
      </c>
      <c r="I125" s="152">
        <v>12243</v>
      </c>
      <c r="J125" s="152">
        <v>0</v>
      </c>
      <c r="K125" s="152"/>
      <c r="L125" s="152"/>
      <c r="M125" s="152"/>
      <c r="N125" s="152"/>
      <c r="O125" s="152">
        <v>10700</v>
      </c>
      <c r="P125" s="152">
        <v>76488</v>
      </c>
    </row>
    <row r="126" spans="1:16" s="155" customFormat="1" ht="12" x14ac:dyDescent="0.2">
      <c r="A126" s="150">
        <v>114</v>
      </c>
      <c r="B126" s="151" t="s">
        <v>43</v>
      </c>
      <c r="C126" s="152">
        <f t="shared" si="1"/>
        <v>123108</v>
      </c>
      <c r="D126" s="152"/>
      <c r="E126" s="152">
        <v>8337</v>
      </c>
      <c r="F126" s="152">
        <v>2153</v>
      </c>
      <c r="G126" s="152">
        <v>112</v>
      </c>
      <c r="H126" s="152">
        <v>15783</v>
      </c>
      <c r="I126" s="152">
        <v>8240</v>
      </c>
      <c r="J126" s="152">
        <v>0</v>
      </c>
      <c r="K126" s="152"/>
      <c r="L126" s="152"/>
      <c r="M126" s="152"/>
      <c r="N126" s="152"/>
      <c r="O126" s="152">
        <v>29227</v>
      </c>
      <c r="P126" s="152">
        <v>59256</v>
      </c>
    </row>
    <row r="127" spans="1:16" s="155" customFormat="1" ht="12" x14ac:dyDescent="0.2">
      <c r="A127" s="150">
        <v>115</v>
      </c>
      <c r="B127" s="154" t="s">
        <v>44</v>
      </c>
      <c r="C127" s="152">
        <f t="shared" si="1"/>
        <v>38453</v>
      </c>
      <c r="D127" s="152"/>
      <c r="E127" s="152">
        <v>3505</v>
      </c>
      <c r="F127" s="152">
        <v>918</v>
      </c>
      <c r="G127" s="152">
        <v>45</v>
      </c>
      <c r="H127" s="152">
        <v>4198</v>
      </c>
      <c r="I127" s="152">
        <v>4110</v>
      </c>
      <c r="J127" s="152">
        <v>0</v>
      </c>
      <c r="K127" s="152"/>
      <c r="L127" s="152"/>
      <c r="M127" s="152"/>
      <c r="N127" s="152"/>
      <c r="O127" s="152">
        <v>10114</v>
      </c>
      <c r="P127" s="152">
        <v>15563</v>
      </c>
    </row>
    <row r="128" spans="1:16" s="155" customFormat="1" ht="12" x14ac:dyDescent="0.2">
      <c r="A128" s="150">
        <v>116</v>
      </c>
      <c r="B128" s="151" t="s">
        <v>45</v>
      </c>
      <c r="C128" s="152">
        <f t="shared" si="1"/>
        <v>63390</v>
      </c>
      <c r="D128" s="152"/>
      <c r="E128" s="152">
        <v>5731</v>
      </c>
      <c r="F128" s="152">
        <v>1481</v>
      </c>
      <c r="G128" s="152">
        <v>72</v>
      </c>
      <c r="H128" s="152">
        <v>7556</v>
      </c>
      <c r="I128" s="152">
        <v>6080</v>
      </c>
      <c r="J128" s="152">
        <v>0</v>
      </c>
      <c r="K128" s="152"/>
      <c r="L128" s="152"/>
      <c r="M128" s="152"/>
      <c r="N128" s="152"/>
      <c r="O128" s="152">
        <v>8916</v>
      </c>
      <c r="P128" s="152">
        <v>33554</v>
      </c>
    </row>
    <row r="129" spans="1:16" s="155" customFormat="1" ht="12" x14ac:dyDescent="0.2">
      <c r="A129" s="150">
        <v>117</v>
      </c>
      <c r="B129" s="154" t="s">
        <v>46</v>
      </c>
      <c r="C129" s="152">
        <f t="shared" si="1"/>
        <v>61010</v>
      </c>
      <c r="D129" s="152"/>
      <c r="E129" s="152">
        <v>5189</v>
      </c>
      <c r="F129" s="152">
        <v>1396</v>
      </c>
      <c r="G129" s="152">
        <v>90</v>
      </c>
      <c r="H129" s="152">
        <v>8666</v>
      </c>
      <c r="I129" s="152">
        <v>6224</v>
      </c>
      <c r="J129" s="152">
        <v>0</v>
      </c>
      <c r="K129" s="152"/>
      <c r="L129" s="152"/>
      <c r="M129" s="152">
        <v>670</v>
      </c>
      <c r="N129" s="152"/>
      <c r="O129" s="152">
        <v>12372</v>
      </c>
      <c r="P129" s="152">
        <v>26403</v>
      </c>
    </row>
    <row r="130" spans="1:16" s="155" customFormat="1" ht="12" x14ac:dyDescent="0.2">
      <c r="A130" s="150">
        <v>118</v>
      </c>
      <c r="B130" s="154" t="s">
        <v>47</v>
      </c>
      <c r="C130" s="152">
        <f t="shared" si="1"/>
        <v>85744</v>
      </c>
      <c r="D130" s="152">
        <v>11216</v>
      </c>
      <c r="E130" s="152">
        <v>5248</v>
      </c>
      <c r="F130" s="152">
        <v>1339</v>
      </c>
      <c r="G130" s="152">
        <v>61</v>
      </c>
      <c r="H130" s="152">
        <v>9566</v>
      </c>
      <c r="I130" s="152">
        <v>7885</v>
      </c>
      <c r="J130" s="152">
        <v>1464</v>
      </c>
      <c r="K130" s="152">
        <v>1025</v>
      </c>
      <c r="L130" s="152">
        <v>439</v>
      </c>
      <c r="M130" s="152"/>
      <c r="N130" s="152"/>
      <c r="O130" s="152">
        <v>9040</v>
      </c>
      <c r="P130" s="152">
        <v>39925</v>
      </c>
    </row>
    <row r="131" spans="1:16" s="155" customFormat="1" ht="12" x14ac:dyDescent="0.2">
      <c r="A131" s="150">
        <v>119</v>
      </c>
      <c r="B131" s="151" t="s">
        <v>48</v>
      </c>
      <c r="C131" s="152">
        <f t="shared" si="1"/>
        <v>47030</v>
      </c>
      <c r="D131" s="152"/>
      <c r="E131" s="152">
        <v>4161</v>
      </c>
      <c r="F131" s="152">
        <v>1201</v>
      </c>
      <c r="G131" s="152">
        <v>113</v>
      </c>
      <c r="H131" s="152">
        <v>6712</v>
      </c>
      <c r="I131" s="152">
        <v>4583</v>
      </c>
      <c r="J131" s="152">
        <v>0</v>
      </c>
      <c r="K131" s="152"/>
      <c r="L131" s="152"/>
      <c r="M131" s="152"/>
      <c r="N131" s="152"/>
      <c r="O131" s="152">
        <v>11432</v>
      </c>
      <c r="P131" s="152">
        <v>18828</v>
      </c>
    </row>
    <row r="132" spans="1:16" s="155" customFormat="1" ht="12" x14ac:dyDescent="0.2">
      <c r="A132" s="150">
        <v>120</v>
      </c>
      <c r="B132" s="154" t="s">
        <v>49</v>
      </c>
      <c r="C132" s="152">
        <f t="shared" si="1"/>
        <v>70875</v>
      </c>
      <c r="D132" s="152"/>
      <c r="E132" s="152">
        <v>6228</v>
      </c>
      <c r="F132" s="152">
        <v>1685</v>
      </c>
      <c r="G132" s="152">
        <v>76</v>
      </c>
      <c r="H132" s="152">
        <v>10051</v>
      </c>
      <c r="I132" s="152">
        <v>6096</v>
      </c>
      <c r="J132" s="152">
        <v>0</v>
      </c>
      <c r="K132" s="152"/>
      <c r="L132" s="152"/>
      <c r="M132" s="152"/>
      <c r="N132" s="152"/>
      <c r="O132" s="152">
        <v>10947</v>
      </c>
      <c r="P132" s="152">
        <v>35792</v>
      </c>
    </row>
    <row r="133" spans="1:16" s="155" customFormat="1" ht="12" x14ac:dyDescent="0.2">
      <c r="A133" s="150">
        <v>121</v>
      </c>
      <c r="B133" s="154" t="s">
        <v>50</v>
      </c>
      <c r="C133" s="152">
        <f t="shared" si="1"/>
        <v>114891</v>
      </c>
      <c r="D133" s="152"/>
      <c r="E133" s="152">
        <v>9969</v>
      </c>
      <c r="F133" s="152">
        <v>2463</v>
      </c>
      <c r="G133" s="152">
        <v>75</v>
      </c>
      <c r="H133" s="152">
        <v>17117</v>
      </c>
      <c r="I133" s="152">
        <v>13814</v>
      </c>
      <c r="J133" s="152">
        <v>0</v>
      </c>
      <c r="K133" s="152"/>
      <c r="L133" s="152"/>
      <c r="M133" s="152"/>
      <c r="N133" s="152"/>
      <c r="O133" s="152">
        <v>19852</v>
      </c>
      <c r="P133" s="152">
        <v>51601</v>
      </c>
    </row>
    <row r="134" spans="1:16" s="155" customFormat="1" ht="12" x14ac:dyDescent="0.2">
      <c r="A134" s="150">
        <v>122</v>
      </c>
      <c r="B134" s="154" t="s">
        <v>51</v>
      </c>
      <c r="C134" s="152">
        <f t="shared" si="1"/>
        <v>54994</v>
      </c>
      <c r="D134" s="152"/>
      <c r="E134" s="152">
        <v>4793</v>
      </c>
      <c r="F134" s="152">
        <v>1199</v>
      </c>
      <c r="G134" s="152">
        <v>112</v>
      </c>
      <c r="H134" s="152">
        <v>7971</v>
      </c>
      <c r="I134" s="152">
        <v>6190</v>
      </c>
      <c r="J134" s="152">
        <v>0</v>
      </c>
      <c r="K134" s="152"/>
      <c r="L134" s="152"/>
      <c r="M134" s="152"/>
      <c r="N134" s="152"/>
      <c r="O134" s="152">
        <v>7145</v>
      </c>
      <c r="P134" s="152">
        <v>27584</v>
      </c>
    </row>
    <row r="135" spans="1:16" s="155" customFormat="1" ht="21" customHeight="1" x14ac:dyDescent="0.2">
      <c r="A135" s="150">
        <v>123</v>
      </c>
      <c r="B135" s="160" t="s">
        <v>117</v>
      </c>
      <c r="C135" s="152">
        <f t="shared" si="1"/>
        <v>52288</v>
      </c>
      <c r="D135" s="152"/>
      <c r="E135" s="152">
        <v>3994</v>
      </c>
      <c r="F135" s="152">
        <v>989</v>
      </c>
      <c r="G135" s="152">
        <v>0</v>
      </c>
      <c r="H135" s="152">
        <v>6758</v>
      </c>
      <c r="I135" s="152">
        <v>0</v>
      </c>
      <c r="J135" s="152">
        <v>3080</v>
      </c>
      <c r="K135" s="152">
        <v>2156</v>
      </c>
      <c r="L135" s="152">
        <v>924</v>
      </c>
      <c r="M135" s="152"/>
      <c r="N135" s="152"/>
      <c r="O135" s="152">
        <v>4577</v>
      </c>
      <c r="P135" s="152">
        <v>32890</v>
      </c>
    </row>
    <row r="136" spans="1:16" s="155" customFormat="1" ht="12" x14ac:dyDescent="0.2">
      <c r="A136" s="150">
        <v>124</v>
      </c>
      <c r="B136" s="160" t="s">
        <v>382</v>
      </c>
      <c r="C136" s="152">
        <f t="shared" ref="C136:C172" si="2">D136+E136+F136+G136+H136+I136+J136+M136+N136+O136+P136</f>
        <v>0</v>
      </c>
      <c r="D136" s="152"/>
      <c r="E136" s="152">
        <v>0</v>
      </c>
      <c r="F136" s="152">
        <v>0</v>
      </c>
      <c r="G136" s="152">
        <v>0</v>
      </c>
      <c r="H136" s="152">
        <v>0</v>
      </c>
      <c r="I136" s="152">
        <v>0</v>
      </c>
      <c r="J136" s="152">
        <v>0</v>
      </c>
      <c r="K136" s="152"/>
      <c r="L136" s="152"/>
      <c r="M136" s="152"/>
      <c r="N136" s="152">
        <v>0</v>
      </c>
      <c r="O136" s="152"/>
      <c r="P136" s="152">
        <v>0</v>
      </c>
    </row>
    <row r="137" spans="1:16" s="155" customFormat="1" ht="12" x14ac:dyDescent="0.2">
      <c r="A137" s="150">
        <v>125</v>
      </c>
      <c r="B137" s="160" t="s">
        <v>383</v>
      </c>
      <c r="C137" s="152">
        <f t="shared" si="2"/>
        <v>25</v>
      </c>
      <c r="D137" s="152"/>
      <c r="E137" s="152">
        <v>0</v>
      </c>
      <c r="F137" s="152">
        <v>0</v>
      </c>
      <c r="G137" s="152">
        <v>0</v>
      </c>
      <c r="H137" s="152">
        <v>0</v>
      </c>
      <c r="I137" s="152">
        <v>0</v>
      </c>
      <c r="J137" s="152">
        <v>0</v>
      </c>
      <c r="K137" s="152"/>
      <c r="L137" s="152"/>
      <c r="M137" s="152"/>
      <c r="N137" s="152">
        <v>25</v>
      </c>
      <c r="O137" s="152"/>
      <c r="P137" s="152">
        <v>0</v>
      </c>
    </row>
    <row r="138" spans="1:16" s="159" customFormat="1" ht="12.75" customHeight="1" x14ac:dyDescent="0.2">
      <c r="A138" s="150">
        <v>126</v>
      </c>
      <c r="B138" s="154" t="s">
        <v>384</v>
      </c>
      <c r="C138" s="152">
        <f t="shared" si="2"/>
        <v>0</v>
      </c>
      <c r="D138" s="152"/>
      <c r="E138" s="152">
        <v>0</v>
      </c>
      <c r="F138" s="152">
        <v>0</v>
      </c>
      <c r="G138" s="152">
        <v>0</v>
      </c>
      <c r="H138" s="152">
        <v>0</v>
      </c>
      <c r="I138" s="152">
        <v>0</v>
      </c>
      <c r="J138" s="152">
        <v>0</v>
      </c>
      <c r="K138" s="152"/>
      <c r="L138" s="152"/>
      <c r="M138" s="152"/>
      <c r="N138" s="152"/>
      <c r="O138" s="152"/>
      <c r="P138" s="152">
        <v>0</v>
      </c>
    </row>
    <row r="139" spans="1:16" s="155" customFormat="1" ht="12" x14ac:dyDescent="0.2">
      <c r="A139" s="150">
        <v>127</v>
      </c>
      <c r="B139" s="154" t="s">
        <v>385</v>
      </c>
      <c r="C139" s="152">
        <f t="shared" si="2"/>
        <v>1</v>
      </c>
      <c r="D139" s="152"/>
      <c r="E139" s="152">
        <v>0</v>
      </c>
      <c r="F139" s="152">
        <v>0</v>
      </c>
      <c r="G139" s="152">
        <v>0</v>
      </c>
      <c r="H139" s="152">
        <v>0</v>
      </c>
      <c r="I139" s="152">
        <v>0</v>
      </c>
      <c r="J139" s="152">
        <v>0</v>
      </c>
      <c r="K139" s="152"/>
      <c r="L139" s="152"/>
      <c r="M139" s="152"/>
      <c r="N139" s="152">
        <v>1</v>
      </c>
      <c r="O139" s="152"/>
      <c r="P139" s="152">
        <v>0</v>
      </c>
    </row>
    <row r="140" spans="1:16" s="155" customFormat="1" ht="12" x14ac:dyDescent="0.2">
      <c r="A140" s="150">
        <v>128</v>
      </c>
      <c r="B140" s="154" t="s">
        <v>386</v>
      </c>
      <c r="C140" s="152">
        <f t="shared" si="2"/>
        <v>0</v>
      </c>
      <c r="D140" s="152"/>
      <c r="E140" s="152">
        <v>0</v>
      </c>
      <c r="F140" s="152">
        <v>0</v>
      </c>
      <c r="G140" s="152">
        <v>0</v>
      </c>
      <c r="H140" s="152">
        <v>0</v>
      </c>
      <c r="I140" s="152">
        <v>0</v>
      </c>
      <c r="J140" s="152">
        <v>0</v>
      </c>
      <c r="K140" s="152"/>
      <c r="L140" s="152"/>
      <c r="M140" s="152"/>
      <c r="N140" s="152">
        <v>0</v>
      </c>
      <c r="O140" s="152"/>
      <c r="P140" s="152">
        <v>0</v>
      </c>
    </row>
    <row r="141" spans="1:16" s="161" customFormat="1" ht="12" x14ac:dyDescent="0.2">
      <c r="A141" s="150">
        <v>129</v>
      </c>
      <c r="B141" s="151" t="s">
        <v>387</v>
      </c>
      <c r="C141" s="152">
        <f t="shared" si="2"/>
        <v>100</v>
      </c>
      <c r="D141" s="152"/>
      <c r="E141" s="152">
        <v>0</v>
      </c>
      <c r="F141" s="152">
        <v>0</v>
      </c>
      <c r="G141" s="152">
        <v>0</v>
      </c>
      <c r="H141" s="152">
        <v>0</v>
      </c>
      <c r="I141" s="152">
        <v>0</v>
      </c>
      <c r="J141" s="152">
        <v>0</v>
      </c>
      <c r="K141" s="152"/>
      <c r="L141" s="152"/>
      <c r="M141" s="152"/>
      <c r="N141" s="152">
        <v>100</v>
      </c>
      <c r="O141" s="152"/>
      <c r="P141" s="152">
        <v>0</v>
      </c>
    </row>
    <row r="142" spans="1:16" x14ac:dyDescent="0.25">
      <c r="A142" s="150">
        <v>130</v>
      </c>
      <c r="B142" s="154" t="s">
        <v>388</v>
      </c>
      <c r="C142" s="152">
        <f t="shared" si="2"/>
        <v>0</v>
      </c>
      <c r="D142" s="152"/>
      <c r="E142" s="152">
        <v>0</v>
      </c>
      <c r="F142" s="152">
        <v>0</v>
      </c>
      <c r="G142" s="152">
        <v>0</v>
      </c>
      <c r="H142" s="152">
        <v>0</v>
      </c>
      <c r="I142" s="152">
        <v>0</v>
      </c>
      <c r="J142" s="152">
        <v>0</v>
      </c>
      <c r="K142" s="152"/>
      <c r="L142" s="152"/>
      <c r="M142" s="152"/>
      <c r="N142" s="152">
        <v>0</v>
      </c>
      <c r="O142" s="152"/>
      <c r="P142" s="152">
        <v>0</v>
      </c>
    </row>
    <row r="143" spans="1:16" x14ac:dyDescent="0.25">
      <c r="A143" s="150">
        <v>131</v>
      </c>
      <c r="B143" s="154" t="s">
        <v>389</v>
      </c>
      <c r="C143" s="152">
        <f t="shared" si="2"/>
        <v>50</v>
      </c>
      <c r="D143" s="152"/>
      <c r="E143" s="152">
        <v>0</v>
      </c>
      <c r="F143" s="152">
        <v>0</v>
      </c>
      <c r="G143" s="152">
        <v>0</v>
      </c>
      <c r="H143" s="152">
        <v>0</v>
      </c>
      <c r="I143" s="152">
        <v>0</v>
      </c>
      <c r="J143" s="152">
        <v>0</v>
      </c>
      <c r="K143" s="152"/>
      <c r="L143" s="152"/>
      <c r="M143" s="152"/>
      <c r="N143" s="152">
        <v>50</v>
      </c>
      <c r="O143" s="152"/>
      <c r="P143" s="152">
        <v>0</v>
      </c>
    </row>
    <row r="144" spans="1:16" x14ac:dyDescent="0.25">
      <c r="A144" s="150">
        <v>132</v>
      </c>
      <c r="B144" s="154" t="s">
        <v>390</v>
      </c>
      <c r="C144" s="152">
        <f t="shared" si="2"/>
        <v>40</v>
      </c>
      <c r="D144" s="152"/>
      <c r="E144" s="152">
        <v>0</v>
      </c>
      <c r="F144" s="152">
        <v>0</v>
      </c>
      <c r="G144" s="152">
        <v>0</v>
      </c>
      <c r="H144" s="152">
        <v>0</v>
      </c>
      <c r="I144" s="152">
        <v>0</v>
      </c>
      <c r="J144" s="152">
        <v>0</v>
      </c>
      <c r="K144" s="152"/>
      <c r="L144" s="152"/>
      <c r="M144" s="152"/>
      <c r="N144" s="152">
        <v>40</v>
      </c>
      <c r="O144" s="152"/>
      <c r="P144" s="152">
        <v>0</v>
      </c>
    </row>
    <row r="145" spans="1:16" x14ac:dyDescent="0.25">
      <c r="A145" s="150">
        <v>133</v>
      </c>
      <c r="B145" s="154" t="s">
        <v>391</v>
      </c>
      <c r="C145" s="152">
        <f t="shared" si="2"/>
        <v>32</v>
      </c>
      <c r="D145" s="152"/>
      <c r="E145" s="152">
        <v>0</v>
      </c>
      <c r="F145" s="152">
        <v>0</v>
      </c>
      <c r="G145" s="152">
        <v>0</v>
      </c>
      <c r="H145" s="152">
        <v>0</v>
      </c>
      <c r="I145" s="152">
        <v>0</v>
      </c>
      <c r="J145" s="152">
        <v>0</v>
      </c>
      <c r="K145" s="152"/>
      <c r="L145" s="152"/>
      <c r="M145" s="152"/>
      <c r="N145" s="152">
        <v>32</v>
      </c>
      <c r="O145" s="152"/>
      <c r="P145" s="152">
        <v>0</v>
      </c>
    </row>
    <row r="146" spans="1:16" x14ac:dyDescent="0.25">
      <c r="A146" s="150">
        <v>134</v>
      </c>
      <c r="B146" s="154" t="s">
        <v>392</v>
      </c>
      <c r="C146" s="152">
        <f t="shared" si="2"/>
        <v>0</v>
      </c>
      <c r="D146" s="152"/>
      <c r="E146" s="152">
        <v>0</v>
      </c>
      <c r="F146" s="152">
        <v>0</v>
      </c>
      <c r="G146" s="152">
        <v>0</v>
      </c>
      <c r="H146" s="152">
        <v>0</v>
      </c>
      <c r="I146" s="152">
        <v>0</v>
      </c>
      <c r="J146" s="152">
        <v>0</v>
      </c>
      <c r="K146" s="152"/>
      <c r="L146" s="152"/>
      <c r="M146" s="152"/>
      <c r="N146" s="152">
        <v>0</v>
      </c>
      <c r="O146" s="152"/>
      <c r="P146" s="152">
        <v>0</v>
      </c>
    </row>
    <row r="147" spans="1:16" x14ac:dyDescent="0.25">
      <c r="A147" s="150">
        <v>135</v>
      </c>
      <c r="B147" s="154" t="s">
        <v>393</v>
      </c>
      <c r="C147" s="152">
        <f t="shared" si="2"/>
        <v>25</v>
      </c>
      <c r="D147" s="152"/>
      <c r="E147" s="152">
        <v>0</v>
      </c>
      <c r="F147" s="152">
        <v>0</v>
      </c>
      <c r="G147" s="152">
        <v>0</v>
      </c>
      <c r="H147" s="152">
        <v>0</v>
      </c>
      <c r="I147" s="152">
        <v>0</v>
      </c>
      <c r="J147" s="152">
        <v>0</v>
      </c>
      <c r="K147" s="152"/>
      <c r="L147" s="152"/>
      <c r="M147" s="152"/>
      <c r="N147" s="152">
        <v>25</v>
      </c>
      <c r="O147" s="152"/>
      <c r="P147" s="152">
        <v>0</v>
      </c>
    </row>
    <row r="148" spans="1:16" x14ac:dyDescent="0.25">
      <c r="A148" s="150">
        <v>136</v>
      </c>
      <c r="B148" s="154" t="s">
        <v>123</v>
      </c>
      <c r="C148" s="152">
        <f t="shared" si="2"/>
        <v>382</v>
      </c>
      <c r="D148" s="152"/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0</v>
      </c>
      <c r="K148" s="152"/>
      <c r="L148" s="152"/>
      <c r="M148" s="152"/>
      <c r="N148" s="152">
        <v>382</v>
      </c>
      <c r="O148" s="152"/>
      <c r="P148" s="152">
        <v>0</v>
      </c>
    </row>
    <row r="149" spans="1:16" x14ac:dyDescent="0.25">
      <c r="A149" s="150">
        <v>137</v>
      </c>
      <c r="B149" s="154" t="s">
        <v>394</v>
      </c>
      <c r="C149" s="152">
        <f t="shared" si="2"/>
        <v>90</v>
      </c>
      <c r="D149" s="152"/>
      <c r="E149" s="152">
        <v>0</v>
      </c>
      <c r="F149" s="152">
        <v>0</v>
      </c>
      <c r="G149" s="152">
        <v>0</v>
      </c>
      <c r="H149" s="152">
        <v>0</v>
      </c>
      <c r="I149" s="152">
        <v>0</v>
      </c>
      <c r="J149" s="152">
        <v>0</v>
      </c>
      <c r="K149" s="152"/>
      <c r="L149" s="152"/>
      <c r="M149" s="152"/>
      <c r="N149" s="152">
        <v>90</v>
      </c>
      <c r="O149" s="152"/>
      <c r="P149" s="152">
        <v>0</v>
      </c>
    </row>
    <row r="150" spans="1:16" x14ac:dyDescent="0.25">
      <c r="A150" s="150">
        <v>138</v>
      </c>
      <c r="B150" s="154" t="s">
        <v>395</v>
      </c>
      <c r="C150" s="152">
        <f t="shared" si="2"/>
        <v>82</v>
      </c>
      <c r="D150" s="152"/>
      <c r="E150" s="152">
        <v>0</v>
      </c>
      <c r="F150" s="152">
        <v>0</v>
      </c>
      <c r="G150" s="152">
        <v>0</v>
      </c>
      <c r="H150" s="152">
        <v>0</v>
      </c>
      <c r="I150" s="152">
        <v>0</v>
      </c>
      <c r="J150" s="152">
        <v>0</v>
      </c>
      <c r="K150" s="152"/>
      <c r="L150" s="152"/>
      <c r="M150" s="152"/>
      <c r="N150" s="152">
        <v>82</v>
      </c>
      <c r="O150" s="152"/>
      <c r="P150" s="152">
        <v>0</v>
      </c>
    </row>
    <row r="151" spans="1:16" x14ac:dyDescent="0.25">
      <c r="A151" s="150">
        <v>139</v>
      </c>
      <c r="B151" s="154" t="s">
        <v>396</v>
      </c>
      <c r="C151" s="152">
        <f t="shared" si="2"/>
        <v>32</v>
      </c>
      <c r="D151" s="152"/>
      <c r="E151" s="152">
        <v>0</v>
      </c>
      <c r="F151" s="152">
        <v>0</v>
      </c>
      <c r="G151" s="152">
        <v>0</v>
      </c>
      <c r="H151" s="152">
        <v>0</v>
      </c>
      <c r="I151" s="152">
        <v>0</v>
      </c>
      <c r="J151" s="152">
        <v>0</v>
      </c>
      <c r="K151" s="152"/>
      <c r="L151" s="152"/>
      <c r="M151" s="152"/>
      <c r="N151" s="152">
        <v>32</v>
      </c>
      <c r="O151" s="152"/>
      <c r="P151" s="152">
        <v>0</v>
      </c>
    </row>
    <row r="152" spans="1:16" x14ac:dyDescent="0.25">
      <c r="A152" s="150">
        <v>140</v>
      </c>
      <c r="B152" s="154" t="s">
        <v>397</v>
      </c>
      <c r="C152" s="152">
        <f t="shared" si="2"/>
        <v>25</v>
      </c>
      <c r="D152" s="152"/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0</v>
      </c>
      <c r="K152" s="152"/>
      <c r="L152" s="152"/>
      <c r="M152" s="152"/>
      <c r="N152" s="152">
        <v>25</v>
      </c>
      <c r="O152" s="152"/>
      <c r="P152" s="152">
        <v>0</v>
      </c>
    </row>
    <row r="153" spans="1:16" x14ac:dyDescent="0.25">
      <c r="A153" s="150">
        <v>141</v>
      </c>
      <c r="B153" s="154" t="s">
        <v>398</v>
      </c>
      <c r="C153" s="152">
        <f t="shared" si="2"/>
        <v>32</v>
      </c>
      <c r="D153" s="152"/>
      <c r="E153" s="152">
        <v>0</v>
      </c>
      <c r="F153" s="152">
        <v>0</v>
      </c>
      <c r="G153" s="152">
        <v>0</v>
      </c>
      <c r="H153" s="152">
        <v>0</v>
      </c>
      <c r="I153" s="152">
        <v>0</v>
      </c>
      <c r="J153" s="152">
        <v>0</v>
      </c>
      <c r="K153" s="152"/>
      <c r="L153" s="152"/>
      <c r="M153" s="152"/>
      <c r="N153" s="152">
        <v>32</v>
      </c>
      <c r="O153" s="152"/>
      <c r="P153" s="152">
        <v>0</v>
      </c>
    </row>
    <row r="154" spans="1:16" ht="16.5" x14ac:dyDescent="0.25">
      <c r="A154" s="150">
        <v>142</v>
      </c>
      <c r="B154" s="154" t="s">
        <v>399</v>
      </c>
      <c r="C154" s="152">
        <f t="shared" si="2"/>
        <v>32</v>
      </c>
      <c r="D154" s="152"/>
      <c r="E154" s="152">
        <v>0</v>
      </c>
      <c r="F154" s="152">
        <v>0</v>
      </c>
      <c r="G154" s="152">
        <v>0</v>
      </c>
      <c r="H154" s="152">
        <v>0</v>
      </c>
      <c r="I154" s="152">
        <v>0</v>
      </c>
      <c r="J154" s="152">
        <v>0</v>
      </c>
      <c r="K154" s="152"/>
      <c r="L154" s="152"/>
      <c r="M154" s="152"/>
      <c r="N154" s="152">
        <v>32</v>
      </c>
      <c r="O154" s="152"/>
      <c r="P154" s="152">
        <v>0</v>
      </c>
    </row>
    <row r="155" spans="1:16" x14ac:dyDescent="0.25">
      <c r="A155" s="150">
        <v>143</v>
      </c>
      <c r="B155" s="154" t="s">
        <v>400</v>
      </c>
      <c r="C155" s="152">
        <f t="shared" si="2"/>
        <v>32</v>
      </c>
      <c r="D155" s="152"/>
      <c r="E155" s="152">
        <v>0</v>
      </c>
      <c r="F155" s="152">
        <v>0</v>
      </c>
      <c r="G155" s="152">
        <v>0</v>
      </c>
      <c r="H155" s="152">
        <v>0</v>
      </c>
      <c r="I155" s="152">
        <v>0</v>
      </c>
      <c r="J155" s="152">
        <v>0</v>
      </c>
      <c r="K155" s="152"/>
      <c r="L155" s="152"/>
      <c r="M155" s="152"/>
      <c r="N155" s="152">
        <v>32</v>
      </c>
      <c r="O155" s="152"/>
      <c r="P155" s="152">
        <v>0</v>
      </c>
    </row>
    <row r="156" spans="1:16" x14ac:dyDescent="0.25">
      <c r="A156" s="150">
        <v>144</v>
      </c>
      <c r="B156" s="154" t="s">
        <v>401</v>
      </c>
      <c r="C156" s="152">
        <f t="shared" si="2"/>
        <v>0</v>
      </c>
      <c r="D156" s="152"/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K156" s="152"/>
      <c r="L156" s="152"/>
      <c r="M156" s="152"/>
      <c r="N156" s="152">
        <v>0</v>
      </c>
      <c r="O156" s="152"/>
      <c r="P156" s="152">
        <v>0</v>
      </c>
    </row>
    <row r="157" spans="1:16" x14ac:dyDescent="0.25">
      <c r="A157" s="150">
        <v>145</v>
      </c>
      <c r="B157" s="154" t="s">
        <v>402</v>
      </c>
      <c r="C157" s="152">
        <f t="shared" si="2"/>
        <v>0</v>
      </c>
      <c r="D157" s="152"/>
      <c r="E157" s="152">
        <v>0</v>
      </c>
      <c r="F157" s="152">
        <v>0</v>
      </c>
      <c r="G157" s="152">
        <v>0</v>
      </c>
      <c r="H157" s="152">
        <v>0</v>
      </c>
      <c r="I157" s="152">
        <v>0</v>
      </c>
      <c r="J157" s="152">
        <v>0</v>
      </c>
      <c r="K157" s="152"/>
      <c r="L157" s="152"/>
      <c r="M157" s="152"/>
      <c r="N157" s="152">
        <v>0</v>
      </c>
      <c r="O157" s="152"/>
      <c r="P157" s="152">
        <v>0</v>
      </c>
    </row>
    <row r="158" spans="1:16" x14ac:dyDescent="0.25">
      <c r="A158" s="150">
        <v>146</v>
      </c>
      <c r="B158" s="154" t="s">
        <v>220</v>
      </c>
      <c r="C158" s="152">
        <f t="shared" si="2"/>
        <v>229358</v>
      </c>
      <c r="D158" s="152"/>
      <c r="E158" s="152">
        <v>0</v>
      </c>
      <c r="F158" s="152">
        <v>0</v>
      </c>
      <c r="G158" s="152">
        <v>0</v>
      </c>
      <c r="H158" s="152">
        <v>0</v>
      </c>
      <c r="I158" s="152">
        <v>0</v>
      </c>
      <c r="J158" s="152">
        <v>0</v>
      </c>
      <c r="K158" s="152"/>
      <c r="L158" s="152"/>
      <c r="M158" s="152">
        <v>229358</v>
      </c>
      <c r="N158" s="152"/>
      <c r="O158" s="152"/>
      <c r="P158" s="152">
        <v>0</v>
      </c>
    </row>
    <row r="159" spans="1:16" x14ac:dyDescent="0.25">
      <c r="A159" s="150">
        <v>147</v>
      </c>
      <c r="B159" s="154" t="s">
        <v>292</v>
      </c>
      <c r="C159" s="152">
        <f t="shared" si="2"/>
        <v>124000</v>
      </c>
      <c r="D159" s="152"/>
      <c r="E159" s="152">
        <v>0</v>
      </c>
      <c r="F159" s="152">
        <v>0</v>
      </c>
      <c r="G159" s="152">
        <v>0</v>
      </c>
      <c r="H159" s="152">
        <v>0</v>
      </c>
      <c r="I159" s="152">
        <v>0</v>
      </c>
      <c r="J159" s="152">
        <v>0</v>
      </c>
      <c r="K159" s="152"/>
      <c r="L159" s="152"/>
      <c r="M159" s="152">
        <v>124000</v>
      </c>
      <c r="N159" s="152"/>
      <c r="O159" s="152"/>
      <c r="P159" s="152">
        <v>0</v>
      </c>
    </row>
    <row r="160" spans="1:16" x14ac:dyDescent="0.25">
      <c r="A160" s="150">
        <v>148</v>
      </c>
      <c r="B160" s="154" t="s">
        <v>130</v>
      </c>
      <c r="C160" s="152">
        <f t="shared" si="2"/>
        <v>81000</v>
      </c>
      <c r="D160" s="152"/>
      <c r="E160" s="152">
        <v>0</v>
      </c>
      <c r="F160" s="152">
        <v>0</v>
      </c>
      <c r="G160" s="152">
        <v>0</v>
      </c>
      <c r="H160" s="152">
        <v>0</v>
      </c>
      <c r="I160" s="152">
        <v>0</v>
      </c>
      <c r="J160" s="152">
        <v>0</v>
      </c>
      <c r="K160" s="152"/>
      <c r="L160" s="152"/>
      <c r="M160" s="152">
        <v>81000</v>
      </c>
      <c r="N160" s="152"/>
      <c r="O160" s="152"/>
      <c r="P160" s="152">
        <v>0</v>
      </c>
    </row>
    <row r="161" spans="1:16" x14ac:dyDescent="0.25">
      <c r="A161" s="150">
        <v>149</v>
      </c>
      <c r="B161" s="154" t="s">
        <v>152</v>
      </c>
      <c r="C161" s="152">
        <f t="shared" si="2"/>
        <v>113000</v>
      </c>
      <c r="D161" s="152"/>
      <c r="E161" s="152">
        <v>0</v>
      </c>
      <c r="F161" s="152">
        <v>0</v>
      </c>
      <c r="G161" s="152">
        <v>0</v>
      </c>
      <c r="H161" s="152">
        <v>0</v>
      </c>
      <c r="I161" s="152">
        <v>0</v>
      </c>
      <c r="J161" s="152">
        <v>0</v>
      </c>
      <c r="K161" s="152"/>
      <c r="L161" s="152"/>
      <c r="M161" s="152">
        <v>113000</v>
      </c>
      <c r="N161" s="152"/>
      <c r="O161" s="152"/>
      <c r="P161" s="152">
        <v>0</v>
      </c>
    </row>
    <row r="162" spans="1:16" x14ac:dyDescent="0.25">
      <c r="A162" s="150">
        <v>150</v>
      </c>
      <c r="B162" s="154" t="s">
        <v>134</v>
      </c>
      <c r="C162" s="152">
        <f t="shared" si="2"/>
        <v>7873</v>
      </c>
      <c r="D162" s="152"/>
      <c r="E162" s="152">
        <v>0</v>
      </c>
      <c r="F162" s="152">
        <v>0</v>
      </c>
      <c r="G162" s="152">
        <v>0</v>
      </c>
      <c r="H162" s="152">
        <v>0</v>
      </c>
      <c r="I162" s="152">
        <v>0</v>
      </c>
      <c r="J162" s="152">
        <v>0</v>
      </c>
      <c r="K162" s="152"/>
      <c r="L162" s="152"/>
      <c r="M162" s="152">
        <v>7873</v>
      </c>
      <c r="N162" s="152">
        <v>0</v>
      </c>
      <c r="O162" s="152"/>
      <c r="P162" s="152">
        <v>0</v>
      </c>
    </row>
    <row r="163" spans="1:16" x14ac:dyDescent="0.25">
      <c r="A163" s="150">
        <v>151</v>
      </c>
      <c r="B163" s="154" t="s">
        <v>240</v>
      </c>
      <c r="C163" s="152">
        <f t="shared" si="2"/>
        <v>65356</v>
      </c>
      <c r="D163" s="152"/>
      <c r="E163" s="152">
        <v>0</v>
      </c>
      <c r="F163" s="152">
        <v>0</v>
      </c>
      <c r="G163" s="152">
        <v>0</v>
      </c>
      <c r="H163" s="152">
        <v>0</v>
      </c>
      <c r="I163" s="152">
        <v>0</v>
      </c>
      <c r="J163" s="152">
        <v>0</v>
      </c>
      <c r="K163" s="152"/>
      <c r="L163" s="152"/>
      <c r="M163" s="152">
        <v>65356</v>
      </c>
      <c r="N163" s="152"/>
      <c r="O163" s="152"/>
      <c r="P163" s="152">
        <v>0</v>
      </c>
    </row>
    <row r="164" spans="1:16" x14ac:dyDescent="0.25">
      <c r="A164" s="150">
        <v>152</v>
      </c>
      <c r="B164" s="154" t="s">
        <v>239</v>
      </c>
      <c r="C164" s="152">
        <f t="shared" si="2"/>
        <v>54704</v>
      </c>
      <c r="D164" s="152"/>
      <c r="E164" s="152">
        <v>0</v>
      </c>
      <c r="F164" s="152">
        <v>0</v>
      </c>
      <c r="G164" s="152">
        <v>0</v>
      </c>
      <c r="H164" s="152">
        <v>0</v>
      </c>
      <c r="I164" s="152">
        <v>0</v>
      </c>
      <c r="J164" s="152">
        <v>0</v>
      </c>
      <c r="K164" s="152"/>
      <c r="L164" s="152"/>
      <c r="M164" s="152">
        <v>4000</v>
      </c>
      <c r="N164" s="152">
        <v>50704</v>
      </c>
      <c r="O164" s="152"/>
      <c r="P164" s="152">
        <v>0</v>
      </c>
    </row>
    <row r="165" spans="1:16" x14ac:dyDescent="0.25">
      <c r="A165" s="150">
        <v>153</v>
      </c>
      <c r="B165" s="154" t="s">
        <v>169</v>
      </c>
      <c r="C165" s="152">
        <f t="shared" si="2"/>
        <v>68000</v>
      </c>
      <c r="D165" s="152"/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/>
      <c r="L165" s="152"/>
      <c r="M165" s="152">
        <v>68000</v>
      </c>
      <c r="N165" s="152"/>
      <c r="O165" s="152"/>
      <c r="P165" s="152">
        <v>0</v>
      </c>
    </row>
    <row r="166" spans="1:16" x14ac:dyDescent="0.25">
      <c r="A166" s="150">
        <v>154</v>
      </c>
      <c r="B166" s="154" t="s">
        <v>138</v>
      </c>
      <c r="C166" s="152">
        <f t="shared" si="2"/>
        <v>20199</v>
      </c>
      <c r="D166" s="152">
        <v>20199</v>
      </c>
      <c r="E166" s="152">
        <v>0</v>
      </c>
      <c r="F166" s="152">
        <v>0</v>
      </c>
      <c r="G166" s="152">
        <v>0</v>
      </c>
      <c r="H166" s="152">
        <v>0</v>
      </c>
      <c r="I166" s="152">
        <v>0</v>
      </c>
      <c r="J166" s="152">
        <v>0</v>
      </c>
      <c r="K166" s="152"/>
      <c r="L166" s="152"/>
      <c r="M166" s="152"/>
      <c r="N166" s="152"/>
      <c r="O166" s="152"/>
      <c r="P166" s="152">
        <v>0</v>
      </c>
    </row>
    <row r="167" spans="1:16" x14ac:dyDescent="0.25">
      <c r="A167" s="150">
        <v>155</v>
      </c>
      <c r="B167" s="154" t="s">
        <v>139</v>
      </c>
      <c r="C167" s="152">
        <f t="shared" si="2"/>
        <v>57392</v>
      </c>
      <c r="D167" s="152"/>
      <c r="E167" s="152">
        <v>0</v>
      </c>
      <c r="F167" s="152">
        <v>0</v>
      </c>
      <c r="G167" s="152">
        <v>0</v>
      </c>
      <c r="H167" s="152">
        <v>0</v>
      </c>
      <c r="I167" s="152">
        <v>0</v>
      </c>
      <c r="J167" s="152">
        <v>4392</v>
      </c>
      <c r="K167" s="152">
        <v>3074</v>
      </c>
      <c r="L167" s="152">
        <v>1318</v>
      </c>
      <c r="M167" s="152">
        <v>53000</v>
      </c>
      <c r="N167" s="152"/>
      <c r="O167" s="152"/>
      <c r="P167" s="152">
        <v>0</v>
      </c>
    </row>
    <row r="168" spans="1:16" x14ac:dyDescent="0.25">
      <c r="A168" s="150">
        <v>156</v>
      </c>
      <c r="B168" s="154" t="s">
        <v>153</v>
      </c>
      <c r="C168" s="152">
        <f t="shared" si="2"/>
        <v>800</v>
      </c>
      <c r="D168" s="152"/>
      <c r="E168" s="152">
        <v>0</v>
      </c>
      <c r="F168" s="152">
        <v>0</v>
      </c>
      <c r="G168" s="152">
        <v>0</v>
      </c>
      <c r="H168" s="152">
        <v>0</v>
      </c>
      <c r="I168" s="152">
        <v>0</v>
      </c>
      <c r="J168" s="152">
        <v>0</v>
      </c>
      <c r="K168" s="152"/>
      <c r="L168" s="152"/>
      <c r="M168" s="152">
        <v>800</v>
      </c>
      <c r="N168" s="152"/>
      <c r="O168" s="152"/>
      <c r="P168" s="152">
        <v>0</v>
      </c>
    </row>
    <row r="169" spans="1:16" x14ac:dyDescent="0.25">
      <c r="A169" s="350">
        <v>157</v>
      </c>
      <c r="B169" s="154" t="s">
        <v>403</v>
      </c>
      <c r="C169" s="152">
        <f t="shared" si="2"/>
        <v>114855</v>
      </c>
      <c r="D169" s="152"/>
      <c r="E169" s="152">
        <v>7870</v>
      </c>
      <c r="F169" s="152">
        <v>2117</v>
      </c>
      <c r="G169" s="152">
        <v>0</v>
      </c>
      <c r="H169" s="152">
        <v>20368</v>
      </c>
      <c r="I169" s="152">
        <v>0</v>
      </c>
      <c r="J169" s="152">
        <v>0</v>
      </c>
      <c r="K169" s="152"/>
      <c r="L169" s="152"/>
      <c r="M169" s="152">
        <f>2686+1500</f>
        <v>4186</v>
      </c>
      <c r="N169" s="152"/>
      <c r="O169" s="152">
        <v>35950</v>
      </c>
      <c r="P169" s="152">
        <v>44364</v>
      </c>
    </row>
    <row r="170" spans="1:16" ht="28.5" customHeight="1" x14ac:dyDescent="0.25">
      <c r="A170" s="350"/>
      <c r="B170" s="162" t="s">
        <v>141</v>
      </c>
      <c r="C170" s="152">
        <f t="shared" si="2"/>
        <v>160816</v>
      </c>
      <c r="D170" s="152"/>
      <c r="E170" s="152">
        <v>12440</v>
      </c>
      <c r="F170" s="152">
        <v>3394</v>
      </c>
      <c r="G170" s="152">
        <v>165</v>
      </c>
      <c r="H170" s="152">
        <v>20482</v>
      </c>
      <c r="I170" s="152">
        <v>19674</v>
      </c>
      <c r="J170" s="152">
        <v>0</v>
      </c>
      <c r="K170" s="152"/>
      <c r="L170" s="152"/>
      <c r="M170" s="152"/>
      <c r="N170" s="152"/>
      <c r="O170" s="152">
        <v>20230</v>
      </c>
      <c r="P170" s="152">
        <v>84431</v>
      </c>
    </row>
    <row r="171" spans="1:16" x14ac:dyDescent="0.25">
      <c r="A171" s="150">
        <v>158</v>
      </c>
      <c r="B171" s="154" t="s">
        <v>404</v>
      </c>
      <c r="C171" s="152">
        <f t="shared" si="2"/>
        <v>3000</v>
      </c>
      <c r="D171" s="152"/>
      <c r="E171" s="152">
        <v>0</v>
      </c>
      <c r="F171" s="152">
        <v>0</v>
      </c>
      <c r="G171" s="152">
        <v>0</v>
      </c>
      <c r="H171" s="152">
        <v>0</v>
      </c>
      <c r="I171" s="152">
        <v>0</v>
      </c>
      <c r="J171" s="152">
        <v>0</v>
      </c>
      <c r="K171" s="152"/>
      <c r="L171" s="152"/>
      <c r="M171" s="152">
        <v>3000</v>
      </c>
      <c r="N171" s="152"/>
      <c r="O171" s="152"/>
      <c r="P171" s="152">
        <v>0</v>
      </c>
    </row>
    <row r="172" spans="1:16" x14ac:dyDescent="0.25">
      <c r="A172" s="150">
        <v>159</v>
      </c>
      <c r="B172" s="154" t="s">
        <v>405</v>
      </c>
      <c r="C172" s="152">
        <f t="shared" si="2"/>
        <v>9430</v>
      </c>
      <c r="D172" s="152"/>
      <c r="E172" s="152">
        <v>0</v>
      </c>
      <c r="F172" s="152">
        <v>0</v>
      </c>
      <c r="G172" s="152">
        <v>0</v>
      </c>
      <c r="H172" s="152">
        <v>0</v>
      </c>
      <c r="I172" s="152">
        <v>0</v>
      </c>
      <c r="J172" s="152">
        <v>0</v>
      </c>
      <c r="K172" s="152"/>
      <c r="L172" s="152"/>
      <c r="M172" s="152">
        <v>9430</v>
      </c>
      <c r="N172" s="152"/>
      <c r="O172" s="152"/>
      <c r="P172" s="152">
        <v>0</v>
      </c>
    </row>
    <row r="173" spans="1:16" x14ac:dyDescent="0.25">
      <c r="A173" s="163"/>
      <c r="B173" s="154" t="s">
        <v>149</v>
      </c>
      <c r="C173" s="152">
        <f>315480-137</f>
        <v>315343</v>
      </c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</row>
    <row r="174" spans="1:16" x14ac:dyDescent="0.25">
      <c r="A174" s="163"/>
      <c r="B174" s="154" t="s">
        <v>255</v>
      </c>
      <c r="C174" s="152">
        <f>3863-3863</f>
        <v>0</v>
      </c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1:16" x14ac:dyDescent="0.25">
      <c r="A175" s="164"/>
      <c r="B175" s="164" t="s">
        <v>52</v>
      </c>
      <c r="C175" s="165">
        <f>SUM(C8:C174)</f>
        <v>11685415.800000001</v>
      </c>
      <c r="D175" s="165">
        <f t="shared" ref="D175:P175" si="3">SUM(D8:D173)</f>
        <v>405744</v>
      </c>
      <c r="E175" s="165">
        <f>SUM(E8:E173)</f>
        <v>764740</v>
      </c>
      <c r="F175" s="165">
        <f t="shared" ref="F175:I175" si="4">SUM(F8:F173)</f>
        <v>204950</v>
      </c>
      <c r="G175" s="165">
        <f t="shared" si="4"/>
        <v>11791</v>
      </c>
      <c r="H175" s="165">
        <f t="shared" si="4"/>
        <v>1482336</v>
      </c>
      <c r="I175" s="165">
        <f t="shared" si="4"/>
        <v>946556</v>
      </c>
      <c r="J175" s="165">
        <f t="shared" si="3"/>
        <v>51239.8</v>
      </c>
      <c r="K175" s="165">
        <f t="shared" si="3"/>
        <v>35872.800000000003</v>
      </c>
      <c r="L175" s="165">
        <f t="shared" si="3"/>
        <v>15367</v>
      </c>
      <c r="M175" s="165">
        <f t="shared" si="3"/>
        <v>812271</v>
      </c>
      <c r="N175" s="165">
        <f t="shared" si="3"/>
        <v>304816</v>
      </c>
      <c r="O175" s="165">
        <f t="shared" si="3"/>
        <v>1407219</v>
      </c>
      <c r="P175" s="165">
        <f t="shared" si="3"/>
        <v>4978410</v>
      </c>
    </row>
    <row r="176" spans="1:16" x14ac:dyDescent="0.25">
      <c r="C176" s="166"/>
      <c r="D176" s="166"/>
      <c r="E176" s="166"/>
      <c r="F176" s="166"/>
      <c r="G176" s="167"/>
      <c r="H176" s="166"/>
      <c r="I176" s="166"/>
      <c r="J176" s="166"/>
      <c r="K176" s="166"/>
      <c r="L176" s="166"/>
      <c r="M176" s="166"/>
      <c r="N176" s="166"/>
      <c r="O176" s="166"/>
      <c r="P176" s="166"/>
    </row>
    <row r="177" spans="2:16" x14ac:dyDescent="0.25">
      <c r="B177" s="168"/>
      <c r="C177" s="166"/>
      <c r="D177" s="166"/>
      <c r="E177" s="166"/>
      <c r="F177" s="166"/>
      <c r="G177" s="167"/>
      <c r="H177" s="166"/>
      <c r="I177" s="166"/>
      <c r="J177" s="166"/>
      <c r="K177" s="166"/>
      <c r="L177" s="166"/>
      <c r="M177" s="166"/>
      <c r="N177" s="166"/>
      <c r="O177" s="166"/>
      <c r="P177" s="166"/>
    </row>
    <row r="178" spans="2:16" x14ac:dyDescent="0.25">
      <c r="B178" s="144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</row>
    <row r="179" spans="2:16" x14ac:dyDescent="0.25">
      <c r="J179" s="144"/>
      <c r="M179" s="170"/>
    </row>
    <row r="180" spans="2:16" x14ac:dyDescent="0.25">
      <c r="C180" s="153"/>
    </row>
  </sheetData>
  <mergeCells count="26">
    <mergeCell ref="O4:P5"/>
    <mergeCell ref="A1:P1"/>
    <mergeCell ref="O2:P2"/>
    <mergeCell ref="A3:A6"/>
    <mergeCell ref="B3:B6"/>
    <mergeCell ref="C3:C6"/>
    <mergeCell ref="D3:P3"/>
    <mergeCell ref="D4:D6"/>
    <mergeCell ref="E4:F4"/>
    <mergeCell ref="G4:G6"/>
    <mergeCell ref="H4:H6"/>
    <mergeCell ref="F5:F6"/>
    <mergeCell ref="K5:K6"/>
    <mergeCell ref="L5:L6"/>
    <mergeCell ref="I4:I6"/>
    <mergeCell ref="J4:J6"/>
    <mergeCell ref="K4:L4"/>
    <mergeCell ref="M4:M6"/>
    <mergeCell ref="N4:N6"/>
    <mergeCell ref="A48:A49"/>
    <mergeCell ref="A52:A53"/>
    <mergeCell ref="A116:A117"/>
    <mergeCell ref="A169:A170"/>
    <mergeCell ref="E5:E6"/>
    <mergeCell ref="A12:A13"/>
    <mergeCell ref="A42:A4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2"/>
  <sheetViews>
    <sheetView zoomScale="130" zoomScaleNormal="130" workbookViewId="0">
      <pane xSplit="3" ySplit="7" topLeftCell="D161" activePane="bottomRight" state="frozen"/>
      <selection activeCell="R22" sqref="R22"/>
      <selection pane="topRight" activeCell="R22" sqref="R22"/>
      <selection pane="bottomLeft" activeCell="R22" sqref="R22"/>
      <selection pane="bottomRight" activeCell="H171" sqref="H171"/>
    </sheetView>
  </sheetViews>
  <sheetFormatPr defaultRowHeight="15" x14ac:dyDescent="0.25"/>
  <cols>
    <col min="1" max="1" width="4.28515625" style="144" customWidth="1"/>
    <col min="2" max="2" width="21.42578125" style="146" customWidth="1"/>
    <col min="3" max="4" width="7" style="144" customWidth="1"/>
    <col min="5" max="5" width="18" style="144" customWidth="1"/>
    <col min="6" max="6" width="10.85546875" style="144" customWidth="1"/>
    <col min="7" max="7" width="9.7109375" style="144" customWidth="1"/>
    <col min="8" max="8" width="8.5703125" style="144" customWidth="1"/>
    <col min="9" max="9" width="8.42578125" style="144" customWidth="1"/>
    <col min="10" max="10" width="7.42578125" style="144" customWidth="1"/>
    <col min="11" max="11" width="8" style="144" customWidth="1"/>
    <col min="12" max="13" width="12.5703125" style="144" customWidth="1"/>
    <col min="14" max="14" width="14" style="144" customWidth="1"/>
    <col min="15" max="16384" width="9.140625" style="144"/>
  </cols>
  <sheetData>
    <row r="1" spans="1:13" x14ac:dyDescent="0.25">
      <c r="A1" s="355" t="s">
        <v>299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6.5" thickBot="1" x14ac:dyDescent="0.3">
      <c r="A2" s="145"/>
    </row>
    <row r="3" spans="1:13" s="148" customFormat="1" x14ac:dyDescent="0.25">
      <c r="A3" s="365" t="s">
        <v>0</v>
      </c>
      <c r="B3" s="368" t="s">
        <v>301</v>
      </c>
      <c r="C3" s="371" t="s">
        <v>302</v>
      </c>
      <c r="D3" s="374" t="s">
        <v>406</v>
      </c>
      <c r="E3" s="375"/>
      <c r="F3" s="375"/>
      <c r="G3" s="375"/>
      <c r="H3" s="375"/>
      <c r="I3" s="376"/>
      <c r="J3" s="377" t="s">
        <v>407</v>
      </c>
      <c r="K3" s="378"/>
      <c r="L3" s="378"/>
      <c r="M3" s="379"/>
    </row>
    <row r="4" spans="1:13" s="148" customFormat="1" x14ac:dyDescent="0.25">
      <c r="A4" s="366"/>
      <c r="B4" s="369"/>
      <c r="C4" s="372"/>
      <c r="D4" s="380" t="s">
        <v>52</v>
      </c>
      <c r="E4" s="358" t="s">
        <v>408</v>
      </c>
      <c r="F4" s="358"/>
      <c r="G4" s="358"/>
      <c r="H4" s="358"/>
      <c r="I4" s="381"/>
      <c r="J4" s="380" t="s">
        <v>52</v>
      </c>
      <c r="K4" s="353" t="s">
        <v>408</v>
      </c>
      <c r="L4" s="353"/>
      <c r="M4" s="382"/>
    </row>
    <row r="5" spans="1:13" s="171" customFormat="1" x14ac:dyDescent="0.25">
      <c r="A5" s="366"/>
      <c r="B5" s="369"/>
      <c r="C5" s="372"/>
      <c r="D5" s="380"/>
      <c r="E5" s="361" t="s">
        <v>409</v>
      </c>
      <c r="F5" s="362"/>
      <c r="G5" s="362" t="s">
        <v>410</v>
      </c>
      <c r="H5" s="362" t="s">
        <v>411</v>
      </c>
      <c r="I5" s="363" t="s">
        <v>412</v>
      </c>
      <c r="J5" s="380"/>
      <c r="K5" s="362" t="s">
        <v>413</v>
      </c>
      <c r="L5" s="362" t="s">
        <v>414</v>
      </c>
      <c r="M5" s="360" t="s">
        <v>415</v>
      </c>
    </row>
    <row r="6" spans="1:13" s="171" customFormat="1" ht="41.25" x14ac:dyDescent="0.25">
      <c r="A6" s="367"/>
      <c r="B6" s="370"/>
      <c r="C6" s="373"/>
      <c r="D6" s="380"/>
      <c r="E6" s="172" t="s">
        <v>416</v>
      </c>
      <c r="F6" s="173" t="s">
        <v>417</v>
      </c>
      <c r="G6" s="362"/>
      <c r="H6" s="362"/>
      <c r="I6" s="364"/>
      <c r="J6" s="380"/>
      <c r="K6" s="362"/>
      <c r="L6" s="362"/>
      <c r="M6" s="360"/>
    </row>
    <row r="7" spans="1:13" s="148" customFormat="1" x14ac:dyDescent="0.25">
      <c r="A7" s="174">
        <v>1</v>
      </c>
      <c r="B7" s="175">
        <v>2</v>
      </c>
      <c r="C7" s="176">
        <v>3</v>
      </c>
      <c r="D7" s="174">
        <v>4</v>
      </c>
      <c r="E7" s="149">
        <v>5</v>
      </c>
      <c r="F7" s="149">
        <v>6</v>
      </c>
      <c r="G7" s="149">
        <v>7</v>
      </c>
      <c r="H7" s="149">
        <v>8</v>
      </c>
      <c r="I7" s="177">
        <v>9</v>
      </c>
      <c r="J7" s="174">
        <v>10</v>
      </c>
      <c r="K7" s="149">
        <v>11</v>
      </c>
      <c r="L7" s="149">
        <v>12</v>
      </c>
      <c r="M7" s="177">
        <v>13</v>
      </c>
    </row>
    <row r="8" spans="1:13" s="153" customFormat="1" ht="12" x14ac:dyDescent="0.2">
      <c r="A8" s="178">
        <v>1</v>
      </c>
      <c r="B8" s="179" t="s">
        <v>1</v>
      </c>
      <c r="C8" s="180">
        <f>D8+J8</f>
        <v>153259</v>
      </c>
      <c r="D8" s="181">
        <f>E8+F8+G8+H8+I8</f>
        <v>101526</v>
      </c>
      <c r="E8" s="152">
        <v>34718</v>
      </c>
      <c r="F8" s="152">
        <v>10668</v>
      </c>
      <c r="G8" s="152">
        <v>2032</v>
      </c>
      <c r="H8" s="152">
        <v>37157</v>
      </c>
      <c r="I8" s="182">
        <v>16951</v>
      </c>
      <c r="J8" s="181">
        <f>K8+L8+M8</f>
        <v>51733</v>
      </c>
      <c r="K8" s="152">
        <v>19394</v>
      </c>
      <c r="L8" s="152">
        <v>11190</v>
      </c>
      <c r="M8" s="182">
        <v>21149</v>
      </c>
    </row>
    <row r="9" spans="1:13" s="153" customFormat="1" ht="16.5" x14ac:dyDescent="0.2">
      <c r="A9" s="178">
        <v>2</v>
      </c>
      <c r="B9" s="179" t="s">
        <v>318</v>
      </c>
      <c r="C9" s="180">
        <f t="shared" ref="C9:C72" si="0">D9+J9</f>
        <v>6000</v>
      </c>
      <c r="D9" s="181">
        <f t="shared" ref="D9:D72" si="1">E9+F9+G9+H9+I9</f>
        <v>0</v>
      </c>
      <c r="E9" s="152">
        <v>0</v>
      </c>
      <c r="F9" s="152">
        <v>0</v>
      </c>
      <c r="G9" s="152">
        <v>0</v>
      </c>
      <c r="H9" s="152">
        <v>0</v>
      </c>
      <c r="I9" s="182">
        <v>0</v>
      </c>
      <c r="J9" s="181">
        <f t="shared" ref="J9:J72" si="2">K9+L9+M9</f>
        <v>6000</v>
      </c>
      <c r="K9" s="152">
        <v>2682</v>
      </c>
      <c r="L9" s="152">
        <v>3318</v>
      </c>
      <c r="M9" s="182">
        <v>0</v>
      </c>
    </row>
    <row r="10" spans="1:13" s="155" customFormat="1" ht="12" x14ac:dyDescent="0.2">
      <c r="A10" s="178">
        <v>3</v>
      </c>
      <c r="B10" s="183" t="s">
        <v>2</v>
      </c>
      <c r="C10" s="180">
        <f t="shared" si="0"/>
        <v>163769</v>
      </c>
      <c r="D10" s="181">
        <f t="shared" si="1"/>
        <v>100142</v>
      </c>
      <c r="E10" s="152">
        <v>33183</v>
      </c>
      <c r="F10" s="152">
        <v>11157</v>
      </c>
      <c r="G10" s="152">
        <v>3065</v>
      </c>
      <c r="H10" s="152">
        <v>37951</v>
      </c>
      <c r="I10" s="182">
        <v>14786</v>
      </c>
      <c r="J10" s="181">
        <f t="shared" si="2"/>
        <v>63627</v>
      </c>
      <c r="K10" s="152">
        <v>43118</v>
      </c>
      <c r="L10" s="152">
        <v>4529</v>
      </c>
      <c r="M10" s="182">
        <v>15980</v>
      </c>
    </row>
    <row r="11" spans="1:13" s="155" customFormat="1" ht="12" x14ac:dyDescent="0.2">
      <c r="A11" s="178">
        <v>4</v>
      </c>
      <c r="B11" s="183" t="s">
        <v>319</v>
      </c>
      <c r="C11" s="180">
        <f t="shared" si="0"/>
        <v>5340</v>
      </c>
      <c r="D11" s="181">
        <f t="shared" si="1"/>
        <v>0</v>
      </c>
      <c r="E11" s="184">
        <v>0</v>
      </c>
      <c r="F11" s="152">
        <v>0</v>
      </c>
      <c r="G11" s="152">
        <v>0</v>
      </c>
      <c r="H11" s="152">
        <v>0</v>
      </c>
      <c r="I11" s="182">
        <v>0</v>
      </c>
      <c r="J11" s="181">
        <f t="shared" si="2"/>
        <v>5340</v>
      </c>
      <c r="K11" s="152">
        <v>3195</v>
      </c>
      <c r="L11" s="152">
        <v>382</v>
      </c>
      <c r="M11" s="182">
        <v>1763</v>
      </c>
    </row>
    <row r="12" spans="1:13" s="155" customFormat="1" ht="12" x14ac:dyDescent="0.2">
      <c r="A12" s="359">
        <v>5</v>
      </c>
      <c r="B12" s="185" t="s">
        <v>3</v>
      </c>
      <c r="C12" s="180">
        <f t="shared" si="0"/>
        <v>376043</v>
      </c>
      <c r="D12" s="181">
        <f t="shared" si="1"/>
        <v>238737</v>
      </c>
      <c r="E12" s="152">
        <v>90958</v>
      </c>
      <c r="F12" s="152">
        <v>26911</v>
      </c>
      <c r="G12" s="152">
        <v>8202</v>
      </c>
      <c r="H12" s="152">
        <v>84996</v>
      </c>
      <c r="I12" s="182">
        <v>27670</v>
      </c>
      <c r="J12" s="181">
        <f t="shared" si="2"/>
        <v>137306</v>
      </c>
      <c r="K12" s="152">
        <v>80692</v>
      </c>
      <c r="L12" s="152">
        <v>1338</v>
      </c>
      <c r="M12" s="182">
        <v>55276</v>
      </c>
    </row>
    <row r="13" spans="1:13" s="155" customFormat="1" ht="33" x14ac:dyDescent="0.2">
      <c r="A13" s="359"/>
      <c r="B13" s="186" t="s">
        <v>320</v>
      </c>
      <c r="C13" s="180">
        <f t="shared" si="0"/>
        <v>48167</v>
      </c>
      <c r="D13" s="181">
        <f t="shared" si="1"/>
        <v>25468</v>
      </c>
      <c r="E13" s="152">
        <v>9882</v>
      </c>
      <c r="F13" s="152">
        <v>3536</v>
      </c>
      <c r="G13" s="152">
        <v>1094</v>
      </c>
      <c r="H13" s="152">
        <v>10956</v>
      </c>
      <c r="I13" s="182">
        <v>0</v>
      </c>
      <c r="J13" s="181">
        <f t="shared" si="2"/>
        <v>22699</v>
      </c>
      <c r="K13" s="152">
        <v>5179</v>
      </c>
      <c r="L13" s="152">
        <v>9312</v>
      </c>
      <c r="M13" s="182">
        <v>8208</v>
      </c>
    </row>
    <row r="14" spans="1:13" s="155" customFormat="1" ht="12" x14ac:dyDescent="0.2">
      <c r="A14" s="178">
        <v>6</v>
      </c>
      <c r="B14" s="183" t="s">
        <v>4</v>
      </c>
      <c r="C14" s="180">
        <f t="shared" si="0"/>
        <v>115240</v>
      </c>
      <c r="D14" s="181">
        <f t="shared" si="1"/>
        <v>65407</v>
      </c>
      <c r="E14" s="152">
        <v>24616</v>
      </c>
      <c r="F14" s="152">
        <v>9605</v>
      </c>
      <c r="G14" s="152">
        <v>2741</v>
      </c>
      <c r="H14" s="152">
        <v>28445</v>
      </c>
      <c r="I14" s="182">
        <v>0</v>
      </c>
      <c r="J14" s="181">
        <f t="shared" si="2"/>
        <v>49833</v>
      </c>
      <c r="K14" s="152">
        <v>35028</v>
      </c>
      <c r="L14" s="152">
        <v>415</v>
      </c>
      <c r="M14" s="182">
        <v>14390</v>
      </c>
    </row>
    <row r="15" spans="1:13" s="155" customFormat="1" ht="12" x14ac:dyDescent="0.2">
      <c r="A15" s="178">
        <v>7</v>
      </c>
      <c r="B15" s="183" t="s">
        <v>5</v>
      </c>
      <c r="C15" s="180">
        <f t="shared" si="0"/>
        <v>46702</v>
      </c>
      <c r="D15" s="181">
        <f t="shared" si="1"/>
        <v>30300</v>
      </c>
      <c r="E15" s="152">
        <v>12363</v>
      </c>
      <c r="F15" s="152">
        <v>4369</v>
      </c>
      <c r="G15" s="152">
        <v>1139</v>
      </c>
      <c r="H15" s="152">
        <v>12429</v>
      </c>
      <c r="I15" s="182">
        <v>0</v>
      </c>
      <c r="J15" s="181">
        <f t="shared" si="2"/>
        <v>16402</v>
      </c>
      <c r="K15" s="152">
        <v>11131</v>
      </c>
      <c r="L15" s="152">
        <v>0</v>
      </c>
      <c r="M15" s="182">
        <v>5271</v>
      </c>
    </row>
    <row r="16" spans="1:13" s="155" customFormat="1" ht="12" x14ac:dyDescent="0.2">
      <c r="A16" s="178">
        <v>8</v>
      </c>
      <c r="B16" s="183" t="s">
        <v>6</v>
      </c>
      <c r="C16" s="180">
        <f t="shared" si="0"/>
        <v>51519</v>
      </c>
      <c r="D16" s="181">
        <f t="shared" si="1"/>
        <v>30321</v>
      </c>
      <c r="E16" s="152">
        <v>12014</v>
      </c>
      <c r="F16" s="152">
        <v>4412</v>
      </c>
      <c r="G16" s="152">
        <v>1051</v>
      </c>
      <c r="H16" s="152">
        <v>12844</v>
      </c>
      <c r="I16" s="182">
        <v>0</v>
      </c>
      <c r="J16" s="181">
        <f>K16+L16+M16</f>
        <v>21198</v>
      </c>
      <c r="K16" s="152">
        <v>15010</v>
      </c>
      <c r="L16" s="152">
        <v>0</v>
      </c>
      <c r="M16" s="182">
        <v>6188</v>
      </c>
    </row>
    <row r="17" spans="1:13" s="155" customFormat="1" ht="12" x14ac:dyDescent="0.2">
      <c r="A17" s="178">
        <v>9</v>
      </c>
      <c r="B17" s="183" t="s">
        <v>7</v>
      </c>
      <c r="C17" s="180">
        <f t="shared" si="0"/>
        <v>57051</v>
      </c>
      <c r="D17" s="181">
        <f t="shared" si="1"/>
        <v>33266</v>
      </c>
      <c r="E17" s="152">
        <v>12997</v>
      </c>
      <c r="F17" s="152">
        <v>4917</v>
      </c>
      <c r="G17" s="152">
        <v>1465</v>
      </c>
      <c r="H17" s="152">
        <v>13887</v>
      </c>
      <c r="I17" s="182">
        <v>0</v>
      </c>
      <c r="J17" s="181">
        <f t="shared" si="2"/>
        <v>23785</v>
      </c>
      <c r="K17" s="152">
        <v>15312</v>
      </c>
      <c r="L17" s="152">
        <v>0</v>
      </c>
      <c r="M17" s="182">
        <v>8473</v>
      </c>
    </row>
    <row r="18" spans="1:13" s="155" customFormat="1" ht="12" x14ac:dyDescent="0.2">
      <c r="A18" s="178">
        <v>10</v>
      </c>
      <c r="B18" s="183" t="s">
        <v>8</v>
      </c>
      <c r="C18" s="180">
        <f t="shared" si="0"/>
        <v>57875</v>
      </c>
      <c r="D18" s="181">
        <f t="shared" si="1"/>
        <v>34921</v>
      </c>
      <c r="E18" s="152">
        <v>13948</v>
      </c>
      <c r="F18" s="152">
        <v>4962</v>
      </c>
      <c r="G18" s="152">
        <v>1316</v>
      </c>
      <c r="H18" s="152">
        <v>14695</v>
      </c>
      <c r="I18" s="182">
        <v>0</v>
      </c>
      <c r="J18" s="181">
        <f t="shared" si="2"/>
        <v>22954</v>
      </c>
      <c r="K18" s="152">
        <v>16376</v>
      </c>
      <c r="L18" s="152">
        <v>1426</v>
      </c>
      <c r="M18" s="182">
        <v>5152</v>
      </c>
    </row>
    <row r="19" spans="1:13" s="155" customFormat="1" ht="12" x14ac:dyDescent="0.2">
      <c r="A19" s="178">
        <v>11</v>
      </c>
      <c r="B19" s="185" t="s">
        <v>9</v>
      </c>
      <c r="C19" s="180">
        <f t="shared" si="0"/>
        <v>61045</v>
      </c>
      <c r="D19" s="181">
        <f t="shared" si="1"/>
        <v>35393</v>
      </c>
      <c r="E19" s="152">
        <v>13670</v>
      </c>
      <c r="F19" s="152">
        <v>4729</v>
      </c>
      <c r="G19" s="152">
        <v>1321</v>
      </c>
      <c r="H19" s="152">
        <v>15673</v>
      </c>
      <c r="I19" s="182">
        <v>0</v>
      </c>
      <c r="J19" s="181">
        <f t="shared" si="2"/>
        <v>25652</v>
      </c>
      <c r="K19" s="152">
        <v>13371</v>
      </c>
      <c r="L19" s="152">
        <v>0</v>
      </c>
      <c r="M19" s="182">
        <v>12281</v>
      </c>
    </row>
    <row r="20" spans="1:13" s="155" customFormat="1" ht="12" x14ac:dyDescent="0.2">
      <c r="A20" s="178">
        <v>12</v>
      </c>
      <c r="B20" s="183" t="s">
        <v>10</v>
      </c>
      <c r="C20" s="180">
        <f t="shared" si="0"/>
        <v>56199</v>
      </c>
      <c r="D20" s="181">
        <f t="shared" si="1"/>
        <v>35488</v>
      </c>
      <c r="E20" s="152">
        <v>14876</v>
      </c>
      <c r="F20" s="152">
        <v>4823</v>
      </c>
      <c r="G20" s="152">
        <v>1220</v>
      </c>
      <c r="H20" s="152">
        <v>14569</v>
      </c>
      <c r="I20" s="182">
        <v>0</v>
      </c>
      <c r="J20" s="181">
        <f t="shared" si="2"/>
        <v>20711</v>
      </c>
      <c r="K20" s="152">
        <v>10091</v>
      </c>
      <c r="L20" s="152">
        <v>0</v>
      </c>
      <c r="M20" s="182">
        <v>10620</v>
      </c>
    </row>
    <row r="21" spans="1:13" s="155" customFormat="1" ht="12" x14ac:dyDescent="0.2">
      <c r="A21" s="178">
        <v>13</v>
      </c>
      <c r="B21" s="185" t="s">
        <v>71</v>
      </c>
      <c r="C21" s="180">
        <f t="shared" si="0"/>
        <v>71231</v>
      </c>
      <c r="D21" s="181">
        <f t="shared" si="1"/>
        <v>45033</v>
      </c>
      <c r="E21" s="152">
        <v>18705</v>
      </c>
      <c r="F21" s="152">
        <v>6002</v>
      </c>
      <c r="G21" s="152">
        <v>3276</v>
      </c>
      <c r="H21" s="152">
        <v>17050</v>
      </c>
      <c r="I21" s="182">
        <v>0</v>
      </c>
      <c r="J21" s="181">
        <f t="shared" si="2"/>
        <v>26198</v>
      </c>
      <c r="K21" s="152">
        <v>10668</v>
      </c>
      <c r="L21" s="152">
        <v>3222</v>
      </c>
      <c r="M21" s="182">
        <v>12308</v>
      </c>
    </row>
    <row r="22" spans="1:13" s="155" customFormat="1" ht="12" x14ac:dyDescent="0.2">
      <c r="A22" s="178">
        <v>14</v>
      </c>
      <c r="B22" s="183" t="s">
        <v>11</v>
      </c>
      <c r="C22" s="180">
        <f t="shared" si="0"/>
        <v>52965</v>
      </c>
      <c r="D22" s="181">
        <f t="shared" si="1"/>
        <v>33787</v>
      </c>
      <c r="E22" s="152">
        <v>13287</v>
      </c>
      <c r="F22" s="152">
        <v>4782</v>
      </c>
      <c r="G22" s="152">
        <v>1341</v>
      </c>
      <c r="H22" s="152">
        <v>14377</v>
      </c>
      <c r="I22" s="182">
        <v>0</v>
      </c>
      <c r="J22" s="181">
        <f t="shared" si="2"/>
        <v>19178</v>
      </c>
      <c r="K22" s="152">
        <v>7508</v>
      </c>
      <c r="L22" s="152">
        <v>0</v>
      </c>
      <c r="M22" s="182">
        <v>11670</v>
      </c>
    </row>
    <row r="23" spans="1:13" s="155" customFormat="1" ht="12" x14ac:dyDescent="0.2">
      <c r="A23" s="178">
        <v>16</v>
      </c>
      <c r="B23" s="183" t="s">
        <v>322</v>
      </c>
      <c r="C23" s="180">
        <f t="shared" si="0"/>
        <v>25</v>
      </c>
      <c r="D23" s="181">
        <f t="shared" si="1"/>
        <v>0</v>
      </c>
      <c r="E23" s="152">
        <v>0</v>
      </c>
      <c r="F23" s="152">
        <v>0</v>
      </c>
      <c r="G23" s="152">
        <v>0</v>
      </c>
      <c r="H23" s="152">
        <v>0</v>
      </c>
      <c r="I23" s="182">
        <v>0</v>
      </c>
      <c r="J23" s="181">
        <f t="shared" si="2"/>
        <v>25</v>
      </c>
      <c r="K23" s="152">
        <v>16</v>
      </c>
      <c r="L23" s="152">
        <v>0</v>
      </c>
      <c r="M23" s="182">
        <v>9</v>
      </c>
    </row>
    <row r="24" spans="1:13" s="155" customFormat="1" ht="12" x14ac:dyDescent="0.2">
      <c r="A24" s="178">
        <v>17</v>
      </c>
      <c r="B24" s="183" t="s">
        <v>323</v>
      </c>
      <c r="C24" s="180">
        <f t="shared" si="0"/>
        <v>25</v>
      </c>
      <c r="D24" s="181">
        <f t="shared" si="1"/>
        <v>0</v>
      </c>
      <c r="E24" s="152">
        <v>0</v>
      </c>
      <c r="F24" s="152">
        <v>0</v>
      </c>
      <c r="G24" s="152">
        <v>0</v>
      </c>
      <c r="H24" s="152">
        <v>0</v>
      </c>
      <c r="I24" s="182">
        <v>0</v>
      </c>
      <c r="J24" s="181">
        <f t="shared" si="2"/>
        <v>25</v>
      </c>
      <c r="K24" s="152">
        <v>25</v>
      </c>
      <c r="L24" s="152">
        <v>0</v>
      </c>
      <c r="M24" s="182">
        <v>0</v>
      </c>
    </row>
    <row r="25" spans="1:13" s="155" customFormat="1" ht="12" x14ac:dyDescent="0.2">
      <c r="A25" s="178">
        <v>19</v>
      </c>
      <c r="B25" s="183" t="s">
        <v>325</v>
      </c>
      <c r="C25" s="180">
        <f t="shared" si="0"/>
        <v>100</v>
      </c>
      <c r="D25" s="181">
        <f t="shared" si="1"/>
        <v>0</v>
      </c>
      <c r="E25" s="152">
        <v>0</v>
      </c>
      <c r="F25" s="152">
        <v>0</v>
      </c>
      <c r="G25" s="152">
        <v>0</v>
      </c>
      <c r="H25" s="152">
        <v>0</v>
      </c>
      <c r="I25" s="182">
        <v>0</v>
      </c>
      <c r="J25" s="181">
        <f t="shared" si="2"/>
        <v>100</v>
      </c>
      <c r="K25" s="152">
        <v>100</v>
      </c>
      <c r="L25" s="152">
        <v>0</v>
      </c>
      <c r="M25" s="182">
        <v>0</v>
      </c>
    </row>
    <row r="26" spans="1:13" s="155" customFormat="1" ht="12" x14ac:dyDescent="0.2">
      <c r="A26" s="178">
        <v>20</v>
      </c>
      <c r="B26" s="183" t="s">
        <v>161</v>
      </c>
      <c r="C26" s="180">
        <f t="shared" si="0"/>
        <v>159626</v>
      </c>
      <c r="D26" s="181">
        <f t="shared" si="1"/>
        <v>102720</v>
      </c>
      <c r="E26" s="152">
        <v>34033</v>
      </c>
      <c r="F26" s="152">
        <v>10617</v>
      </c>
      <c r="G26" s="152">
        <v>2472</v>
      </c>
      <c r="H26" s="152">
        <v>38990</v>
      </c>
      <c r="I26" s="182">
        <v>16608</v>
      </c>
      <c r="J26" s="181">
        <f t="shared" si="2"/>
        <v>56906</v>
      </c>
      <c r="K26" s="152">
        <v>32542</v>
      </c>
      <c r="L26" s="152">
        <v>3128</v>
      </c>
      <c r="M26" s="182">
        <v>21236</v>
      </c>
    </row>
    <row r="27" spans="1:13" s="155" customFormat="1" ht="16.5" x14ac:dyDescent="0.2">
      <c r="A27" s="178">
        <v>21</v>
      </c>
      <c r="B27" s="187" t="s">
        <v>326</v>
      </c>
      <c r="C27" s="180">
        <f t="shared" si="0"/>
        <v>9821</v>
      </c>
      <c r="D27" s="181">
        <f t="shared" si="1"/>
        <v>0</v>
      </c>
      <c r="E27" s="152">
        <v>0</v>
      </c>
      <c r="F27" s="152">
        <v>0</v>
      </c>
      <c r="G27" s="152">
        <v>0</v>
      </c>
      <c r="H27" s="152">
        <v>0</v>
      </c>
      <c r="I27" s="182">
        <v>0</v>
      </c>
      <c r="J27" s="181">
        <f t="shared" si="2"/>
        <v>9821</v>
      </c>
      <c r="K27" s="152">
        <v>5461</v>
      </c>
      <c r="L27" s="152">
        <v>3844</v>
      </c>
      <c r="M27" s="182">
        <v>516</v>
      </c>
    </row>
    <row r="28" spans="1:13" s="155" customFormat="1" ht="12" x14ac:dyDescent="0.2">
      <c r="A28" s="178">
        <v>22</v>
      </c>
      <c r="B28" s="183" t="s">
        <v>12</v>
      </c>
      <c r="C28" s="180">
        <f t="shared" si="0"/>
        <v>136272</v>
      </c>
      <c r="D28" s="181">
        <f t="shared" si="1"/>
        <v>79793</v>
      </c>
      <c r="E28" s="152">
        <v>30965</v>
      </c>
      <c r="F28" s="152">
        <v>10116</v>
      </c>
      <c r="G28" s="152">
        <v>2461</v>
      </c>
      <c r="H28" s="152">
        <v>36251</v>
      </c>
      <c r="I28" s="182">
        <v>0</v>
      </c>
      <c r="J28" s="181">
        <f t="shared" si="2"/>
        <v>56479</v>
      </c>
      <c r="K28" s="152">
        <v>31209</v>
      </c>
      <c r="L28" s="152">
        <v>6976</v>
      </c>
      <c r="M28" s="182">
        <v>18294</v>
      </c>
    </row>
    <row r="29" spans="1:13" s="155" customFormat="1" ht="12" x14ac:dyDescent="0.2">
      <c r="A29" s="178">
        <v>23</v>
      </c>
      <c r="B29" s="183" t="s">
        <v>13</v>
      </c>
      <c r="C29" s="180">
        <f t="shared" si="0"/>
        <v>282484</v>
      </c>
      <c r="D29" s="181">
        <f t="shared" si="1"/>
        <v>173178</v>
      </c>
      <c r="E29" s="152">
        <v>58755</v>
      </c>
      <c r="F29" s="152">
        <v>20316</v>
      </c>
      <c r="G29" s="152">
        <v>4203</v>
      </c>
      <c r="H29" s="152">
        <v>64950</v>
      </c>
      <c r="I29" s="182">
        <v>24954</v>
      </c>
      <c r="J29" s="181">
        <f t="shared" si="2"/>
        <v>109306</v>
      </c>
      <c r="K29" s="152">
        <v>33967</v>
      </c>
      <c r="L29" s="152">
        <v>20800</v>
      </c>
      <c r="M29" s="182">
        <v>54539</v>
      </c>
    </row>
    <row r="30" spans="1:13" s="155" customFormat="1" ht="12" x14ac:dyDescent="0.2">
      <c r="A30" s="178">
        <v>24</v>
      </c>
      <c r="B30" s="183" t="s">
        <v>14</v>
      </c>
      <c r="C30" s="180">
        <f t="shared" si="0"/>
        <v>179021</v>
      </c>
      <c r="D30" s="181">
        <f t="shared" si="1"/>
        <v>109035</v>
      </c>
      <c r="E30" s="152">
        <v>41837</v>
      </c>
      <c r="F30" s="152">
        <v>14789</v>
      </c>
      <c r="G30" s="152">
        <v>6711</v>
      </c>
      <c r="H30" s="152">
        <v>45698</v>
      </c>
      <c r="I30" s="182">
        <v>0</v>
      </c>
      <c r="J30" s="181">
        <f t="shared" si="2"/>
        <v>69986</v>
      </c>
      <c r="K30" s="152">
        <v>36308</v>
      </c>
      <c r="L30" s="152">
        <v>13655</v>
      </c>
      <c r="M30" s="182">
        <v>20023</v>
      </c>
    </row>
    <row r="31" spans="1:13" s="155" customFormat="1" ht="12" x14ac:dyDescent="0.2">
      <c r="A31" s="178">
        <v>25</v>
      </c>
      <c r="B31" s="183" t="s">
        <v>327</v>
      </c>
      <c r="C31" s="180">
        <f t="shared" si="0"/>
        <v>39889</v>
      </c>
      <c r="D31" s="181">
        <f t="shared" si="1"/>
        <v>20711</v>
      </c>
      <c r="E31" s="152">
        <v>8266</v>
      </c>
      <c r="F31" s="152">
        <v>2985</v>
      </c>
      <c r="G31" s="152">
        <v>884</v>
      </c>
      <c r="H31" s="152">
        <v>8576</v>
      </c>
      <c r="I31" s="182">
        <v>0</v>
      </c>
      <c r="J31" s="181">
        <f t="shared" si="2"/>
        <v>19178</v>
      </c>
      <c r="K31" s="152">
        <v>11434</v>
      </c>
      <c r="L31" s="152">
        <v>3141</v>
      </c>
      <c r="M31" s="182">
        <v>4603</v>
      </c>
    </row>
    <row r="32" spans="1:13" s="155" customFormat="1" ht="12" x14ac:dyDescent="0.2">
      <c r="A32" s="178">
        <v>26</v>
      </c>
      <c r="B32" s="183" t="s">
        <v>15</v>
      </c>
      <c r="C32" s="180">
        <f t="shared" si="0"/>
        <v>69438</v>
      </c>
      <c r="D32" s="181">
        <f t="shared" si="1"/>
        <v>44781</v>
      </c>
      <c r="E32" s="152">
        <v>18408</v>
      </c>
      <c r="F32" s="152">
        <v>5866</v>
      </c>
      <c r="G32" s="152">
        <v>1568</v>
      </c>
      <c r="H32" s="152">
        <v>18939</v>
      </c>
      <c r="I32" s="182">
        <v>0</v>
      </c>
      <c r="J32" s="181">
        <f t="shared" si="2"/>
        <v>24657</v>
      </c>
      <c r="K32" s="152">
        <v>13836</v>
      </c>
      <c r="L32" s="152">
        <v>2897</v>
      </c>
      <c r="M32" s="182">
        <v>7924</v>
      </c>
    </row>
    <row r="33" spans="1:13" s="155" customFormat="1" ht="12" x14ac:dyDescent="0.2">
      <c r="A33" s="178">
        <v>27</v>
      </c>
      <c r="B33" s="183" t="s">
        <v>16</v>
      </c>
      <c r="C33" s="180">
        <f t="shared" si="0"/>
        <v>87613</v>
      </c>
      <c r="D33" s="181">
        <f t="shared" si="1"/>
        <v>60820</v>
      </c>
      <c r="E33" s="152">
        <v>25681</v>
      </c>
      <c r="F33" s="152">
        <v>7788</v>
      </c>
      <c r="G33" s="152">
        <v>2355</v>
      </c>
      <c r="H33" s="152">
        <v>24996</v>
      </c>
      <c r="I33" s="182">
        <v>0</v>
      </c>
      <c r="J33" s="181">
        <f t="shared" si="2"/>
        <v>26793</v>
      </c>
      <c r="K33" s="152">
        <v>14293</v>
      </c>
      <c r="L33" s="152">
        <v>1000</v>
      </c>
      <c r="M33" s="182">
        <v>11500</v>
      </c>
    </row>
    <row r="34" spans="1:13" s="155" customFormat="1" ht="12" x14ac:dyDescent="0.2">
      <c r="A34" s="178">
        <v>28</v>
      </c>
      <c r="B34" s="183" t="s">
        <v>17</v>
      </c>
      <c r="C34" s="180">
        <f t="shared" si="0"/>
        <v>36995</v>
      </c>
      <c r="D34" s="181">
        <f t="shared" si="1"/>
        <v>25207</v>
      </c>
      <c r="E34" s="152">
        <v>10485</v>
      </c>
      <c r="F34" s="152">
        <v>3101</v>
      </c>
      <c r="G34" s="152">
        <v>890</v>
      </c>
      <c r="H34" s="152">
        <v>10731</v>
      </c>
      <c r="I34" s="182">
        <v>0</v>
      </c>
      <c r="J34" s="181">
        <f t="shared" si="2"/>
        <v>11788</v>
      </c>
      <c r="K34" s="152">
        <v>4929</v>
      </c>
      <c r="L34" s="152">
        <v>3723</v>
      </c>
      <c r="M34" s="182">
        <v>3136</v>
      </c>
    </row>
    <row r="35" spans="1:13" s="155" customFormat="1" ht="12" x14ac:dyDescent="0.2">
      <c r="A35" s="178">
        <v>29</v>
      </c>
      <c r="B35" s="183" t="s">
        <v>18</v>
      </c>
      <c r="C35" s="180">
        <f t="shared" si="0"/>
        <v>31596</v>
      </c>
      <c r="D35" s="181">
        <f t="shared" si="1"/>
        <v>22505</v>
      </c>
      <c r="E35" s="152">
        <v>9409</v>
      </c>
      <c r="F35" s="152">
        <v>3253</v>
      </c>
      <c r="G35" s="152">
        <v>891</v>
      </c>
      <c r="H35" s="152">
        <v>8952</v>
      </c>
      <c r="I35" s="182">
        <v>0</v>
      </c>
      <c r="J35" s="181">
        <f t="shared" si="2"/>
        <v>9091</v>
      </c>
      <c r="K35" s="152">
        <v>4616</v>
      </c>
      <c r="L35" s="152">
        <v>211</v>
      </c>
      <c r="M35" s="182">
        <v>4264</v>
      </c>
    </row>
    <row r="36" spans="1:13" s="155" customFormat="1" ht="12" x14ac:dyDescent="0.2">
      <c r="A36" s="178">
        <v>30</v>
      </c>
      <c r="B36" s="183" t="s">
        <v>328</v>
      </c>
      <c r="C36" s="180">
        <f t="shared" si="0"/>
        <v>2</v>
      </c>
      <c r="D36" s="181">
        <f t="shared" si="1"/>
        <v>0</v>
      </c>
      <c r="E36" s="152">
        <v>0</v>
      </c>
      <c r="F36" s="152">
        <v>0</v>
      </c>
      <c r="G36" s="152">
        <v>0</v>
      </c>
      <c r="H36" s="152">
        <v>0</v>
      </c>
      <c r="I36" s="182">
        <v>0</v>
      </c>
      <c r="J36" s="181">
        <f t="shared" si="2"/>
        <v>2</v>
      </c>
      <c r="K36" s="152">
        <v>1</v>
      </c>
      <c r="L36" s="152">
        <v>0</v>
      </c>
      <c r="M36" s="182">
        <v>1</v>
      </c>
    </row>
    <row r="37" spans="1:13" s="155" customFormat="1" ht="12" x14ac:dyDescent="0.2">
      <c r="A37" s="178">
        <v>31</v>
      </c>
      <c r="B37" s="183" t="s">
        <v>329</v>
      </c>
      <c r="C37" s="180">
        <f t="shared" si="0"/>
        <v>127483</v>
      </c>
      <c r="D37" s="181">
        <f t="shared" si="1"/>
        <v>79513</v>
      </c>
      <c r="E37" s="152">
        <v>27838</v>
      </c>
      <c r="F37" s="152">
        <v>13140</v>
      </c>
      <c r="G37" s="152">
        <v>3879</v>
      </c>
      <c r="H37" s="152">
        <v>34656</v>
      </c>
      <c r="I37" s="182">
        <v>0</v>
      </c>
      <c r="J37" s="181">
        <f t="shared" si="2"/>
        <v>47970</v>
      </c>
      <c r="K37" s="152">
        <v>34964</v>
      </c>
      <c r="L37" s="152">
        <v>2502</v>
      </c>
      <c r="M37" s="182">
        <v>10504</v>
      </c>
    </row>
    <row r="38" spans="1:13" s="155" customFormat="1" ht="16.5" x14ac:dyDescent="0.2">
      <c r="A38" s="178">
        <v>32</v>
      </c>
      <c r="B38" s="183" t="s">
        <v>330</v>
      </c>
      <c r="C38" s="180">
        <f t="shared" si="0"/>
        <v>168832</v>
      </c>
      <c r="D38" s="181">
        <f t="shared" si="1"/>
        <v>122370</v>
      </c>
      <c r="E38" s="152">
        <v>32854</v>
      </c>
      <c r="F38" s="152">
        <v>13837</v>
      </c>
      <c r="G38" s="152">
        <v>4163</v>
      </c>
      <c r="H38" s="152">
        <v>36526</v>
      </c>
      <c r="I38" s="182">
        <v>34990</v>
      </c>
      <c r="J38" s="181">
        <f t="shared" si="2"/>
        <v>46462</v>
      </c>
      <c r="K38" s="152">
        <v>28926</v>
      </c>
      <c r="L38" s="152">
        <v>1672</v>
      </c>
      <c r="M38" s="182">
        <v>15864</v>
      </c>
    </row>
    <row r="39" spans="1:13" s="155" customFormat="1" ht="16.5" x14ac:dyDescent="0.2">
      <c r="A39" s="178">
        <v>33</v>
      </c>
      <c r="B39" s="183" t="s">
        <v>331</v>
      </c>
      <c r="C39" s="180">
        <f t="shared" si="0"/>
        <v>146341</v>
      </c>
      <c r="D39" s="181">
        <f t="shared" si="1"/>
        <v>92608</v>
      </c>
      <c r="E39" s="152">
        <v>36744</v>
      </c>
      <c r="F39" s="152">
        <v>13614</v>
      </c>
      <c r="G39" s="152">
        <v>3679</v>
      </c>
      <c r="H39" s="152">
        <v>38571</v>
      </c>
      <c r="I39" s="182">
        <v>0</v>
      </c>
      <c r="J39" s="181">
        <f t="shared" si="2"/>
        <v>53733</v>
      </c>
      <c r="K39" s="152">
        <v>24766</v>
      </c>
      <c r="L39" s="152">
        <v>11591</v>
      </c>
      <c r="M39" s="182">
        <v>17376</v>
      </c>
    </row>
    <row r="40" spans="1:13" s="155" customFormat="1" ht="16.5" x14ac:dyDescent="0.2">
      <c r="A40" s="359">
        <v>34</v>
      </c>
      <c r="B40" s="183" t="s">
        <v>332</v>
      </c>
      <c r="C40" s="180">
        <f t="shared" si="0"/>
        <v>83042</v>
      </c>
      <c r="D40" s="181">
        <f t="shared" si="1"/>
        <v>47570</v>
      </c>
      <c r="E40" s="152">
        <v>20117</v>
      </c>
      <c r="F40" s="152">
        <v>5538</v>
      </c>
      <c r="G40" s="152">
        <v>1708</v>
      </c>
      <c r="H40" s="152">
        <v>20207</v>
      </c>
      <c r="I40" s="182">
        <v>0</v>
      </c>
      <c r="J40" s="181">
        <f t="shared" si="2"/>
        <v>35472</v>
      </c>
      <c r="K40" s="152">
        <v>10371</v>
      </c>
      <c r="L40" s="152">
        <v>6543</v>
      </c>
      <c r="M40" s="182">
        <v>18558</v>
      </c>
    </row>
    <row r="41" spans="1:13" s="155" customFormat="1" ht="33" x14ac:dyDescent="0.2">
      <c r="A41" s="359"/>
      <c r="B41" s="186" t="s">
        <v>333</v>
      </c>
      <c r="C41" s="180">
        <f t="shared" si="0"/>
        <v>102385</v>
      </c>
      <c r="D41" s="181">
        <f t="shared" si="1"/>
        <v>59018</v>
      </c>
      <c r="E41" s="152">
        <v>23709</v>
      </c>
      <c r="F41" s="152">
        <v>7627</v>
      </c>
      <c r="G41" s="152">
        <v>2496</v>
      </c>
      <c r="H41" s="152">
        <v>25186</v>
      </c>
      <c r="I41" s="182">
        <v>0</v>
      </c>
      <c r="J41" s="181">
        <f t="shared" si="2"/>
        <v>43367</v>
      </c>
      <c r="K41" s="152">
        <v>12267</v>
      </c>
      <c r="L41" s="152">
        <v>11282</v>
      </c>
      <c r="M41" s="182">
        <v>19818</v>
      </c>
    </row>
    <row r="42" spans="1:13" s="155" customFormat="1" ht="16.5" x14ac:dyDescent="0.2">
      <c r="A42" s="178">
        <v>35</v>
      </c>
      <c r="B42" s="183" t="s">
        <v>334</v>
      </c>
      <c r="C42" s="180">
        <f t="shared" si="0"/>
        <v>1600</v>
      </c>
      <c r="D42" s="181">
        <f t="shared" si="1"/>
        <v>0</v>
      </c>
      <c r="E42" s="152">
        <v>0</v>
      </c>
      <c r="F42" s="152">
        <v>0</v>
      </c>
      <c r="G42" s="152">
        <v>0</v>
      </c>
      <c r="H42" s="152">
        <v>0</v>
      </c>
      <c r="I42" s="182">
        <v>0</v>
      </c>
      <c r="J42" s="181">
        <f t="shared" si="2"/>
        <v>1600</v>
      </c>
      <c r="K42" s="152">
        <v>1600</v>
      </c>
      <c r="L42" s="152">
        <v>0</v>
      </c>
      <c r="M42" s="182">
        <v>0</v>
      </c>
    </row>
    <row r="43" spans="1:13" s="155" customFormat="1" ht="16.5" x14ac:dyDescent="0.2">
      <c r="A43" s="178">
        <v>36</v>
      </c>
      <c r="B43" s="183" t="s">
        <v>335</v>
      </c>
      <c r="C43" s="180">
        <f t="shared" si="0"/>
        <v>143665</v>
      </c>
      <c r="D43" s="181">
        <f t="shared" si="1"/>
        <v>94058</v>
      </c>
      <c r="E43" s="152">
        <v>55100</v>
      </c>
      <c r="F43" s="152">
        <v>325</v>
      </c>
      <c r="G43" s="152">
        <v>0</v>
      </c>
      <c r="H43" s="152">
        <v>28113</v>
      </c>
      <c r="I43" s="182">
        <v>10520</v>
      </c>
      <c r="J43" s="181">
        <f t="shared" si="2"/>
        <v>49607</v>
      </c>
      <c r="K43" s="152">
        <v>6952</v>
      </c>
      <c r="L43" s="152">
        <v>4500</v>
      </c>
      <c r="M43" s="182">
        <v>38155</v>
      </c>
    </row>
    <row r="44" spans="1:13" s="155" customFormat="1" ht="16.5" x14ac:dyDescent="0.2">
      <c r="A44" s="178">
        <v>37</v>
      </c>
      <c r="B44" s="183" t="s">
        <v>336</v>
      </c>
      <c r="C44" s="180">
        <f t="shared" si="0"/>
        <v>11500</v>
      </c>
      <c r="D44" s="181">
        <f t="shared" si="1"/>
        <v>0</v>
      </c>
      <c r="E44" s="152">
        <v>0</v>
      </c>
      <c r="F44" s="152">
        <v>0</v>
      </c>
      <c r="G44" s="152">
        <v>0</v>
      </c>
      <c r="H44" s="152">
        <v>0</v>
      </c>
      <c r="I44" s="182">
        <v>0</v>
      </c>
      <c r="J44" s="181">
        <f t="shared" si="2"/>
        <v>11500</v>
      </c>
      <c r="K44" s="152">
        <v>3444</v>
      </c>
      <c r="L44" s="152">
        <v>7526</v>
      </c>
      <c r="M44" s="182">
        <v>530</v>
      </c>
    </row>
    <row r="45" spans="1:13" s="155" customFormat="1" ht="12" x14ac:dyDescent="0.2">
      <c r="A45" s="178">
        <v>38</v>
      </c>
      <c r="B45" s="183" t="s">
        <v>337</v>
      </c>
      <c r="C45" s="180">
        <f t="shared" si="0"/>
        <v>10266</v>
      </c>
      <c r="D45" s="181">
        <f t="shared" si="1"/>
        <v>0</v>
      </c>
      <c r="E45" s="152">
        <v>0</v>
      </c>
      <c r="F45" s="152">
        <v>0</v>
      </c>
      <c r="G45" s="152">
        <v>0</v>
      </c>
      <c r="H45" s="152">
        <v>0</v>
      </c>
      <c r="I45" s="182">
        <v>0</v>
      </c>
      <c r="J45" s="181">
        <f t="shared" si="2"/>
        <v>10266</v>
      </c>
      <c r="K45" s="152">
        <v>8306</v>
      </c>
      <c r="L45" s="152">
        <v>0</v>
      </c>
      <c r="M45" s="182">
        <v>1960</v>
      </c>
    </row>
    <row r="46" spans="1:13" s="155" customFormat="1" ht="12" x14ac:dyDescent="0.2">
      <c r="A46" s="359">
        <v>39</v>
      </c>
      <c r="B46" s="183" t="s">
        <v>162</v>
      </c>
      <c r="C46" s="180">
        <f t="shared" si="0"/>
        <v>251685</v>
      </c>
      <c r="D46" s="181">
        <f t="shared" si="1"/>
        <v>178681</v>
      </c>
      <c r="E46" s="152">
        <v>56557</v>
      </c>
      <c r="F46" s="152">
        <v>26907</v>
      </c>
      <c r="G46" s="152">
        <v>7156</v>
      </c>
      <c r="H46" s="152">
        <v>63695</v>
      </c>
      <c r="I46" s="182">
        <v>24366</v>
      </c>
      <c r="J46" s="181">
        <f t="shared" si="2"/>
        <v>73004</v>
      </c>
      <c r="K46" s="152">
        <v>46524</v>
      </c>
      <c r="L46" s="152">
        <v>9684</v>
      </c>
      <c r="M46" s="182">
        <v>16796</v>
      </c>
    </row>
    <row r="47" spans="1:13" s="155" customFormat="1" ht="33" x14ac:dyDescent="0.2">
      <c r="A47" s="359"/>
      <c r="B47" s="186" t="s">
        <v>338</v>
      </c>
      <c r="C47" s="180">
        <f t="shared" si="0"/>
        <v>62589</v>
      </c>
      <c r="D47" s="181">
        <f t="shared" si="1"/>
        <v>43784</v>
      </c>
      <c r="E47" s="152">
        <v>28421</v>
      </c>
      <c r="F47" s="152">
        <v>231</v>
      </c>
      <c r="G47" s="152">
        <v>0</v>
      </c>
      <c r="H47" s="152">
        <v>15132</v>
      </c>
      <c r="I47" s="182">
        <v>0</v>
      </c>
      <c r="J47" s="181">
        <f t="shared" si="2"/>
        <v>18805</v>
      </c>
      <c r="K47" s="152">
        <v>2009</v>
      </c>
      <c r="L47" s="152">
        <v>1000</v>
      </c>
      <c r="M47" s="182">
        <v>15796</v>
      </c>
    </row>
    <row r="48" spans="1:13" s="159" customFormat="1" ht="16.5" x14ac:dyDescent="0.2">
      <c r="A48" s="178">
        <v>40</v>
      </c>
      <c r="B48" s="183" t="s">
        <v>339</v>
      </c>
      <c r="C48" s="180">
        <f t="shared" si="0"/>
        <v>16800</v>
      </c>
      <c r="D48" s="181">
        <f t="shared" si="1"/>
        <v>0</v>
      </c>
      <c r="E48" s="152">
        <v>0</v>
      </c>
      <c r="F48" s="152">
        <v>0</v>
      </c>
      <c r="G48" s="152">
        <v>0</v>
      </c>
      <c r="H48" s="152">
        <v>0</v>
      </c>
      <c r="I48" s="182">
        <v>0</v>
      </c>
      <c r="J48" s="181">
        <f t="shared" si="2"/>
        <v>16800</v>
      </c>
      <c r="K48" s="152">
        <v>5737</v>
      </c>
      <c r="L48" s="152">
        <v>8456</v>
      </c>
      <c r="M48" s="182">
        <v>2607</v>
      </c>
    </row>
    <row r="49" spans="1:13" s="155" customFormat="1" ht="12" x14ac:dyDescent="0.2">
      <c r="A49" s="178">
        <v>41</v>
      </c>
      <c r="B49" s="183" t="s">
        <v>340</v>
      </c>
      <c r="C49" s="180">
        <f t="shared" si="0"/>
        <v>11900</v>
      </c>
      <c r="D49" s="181">
        <f t="shared" si="1"/>
        <v>0</v>
      </c>
      <c r="E49" s="152">
        <v>0</v>
      </c>
      <c r="F49" s="152">
        <v>0</v>
      </c>
      <c r="G49" s="152">
        <v>0</v>
      </c>
      <c r="H49" s="152">
        <v>0</v>
      </c>
      <c r="I49" s="182">
        <v>0</v>
      </c>
      <c r="J49" s="181">
        <f t="shared" si="2"/>
        <v>11900</v>
      </c>
      <c r="K49" s="152">
        <v>8089</v>
      </c>
      <c r="L49" s="152">
        <v>0</v>
      </c>
      <c r="M49" s="182">
        <v>3811</v>
      </c>
    </row>
    <row r="50" spans="1:13" s="155" customFormat="1" ht="12" x14ac:dyDescent="0.2">
      <c r="A50" s="359">
        <v>42</v>
      </c>
      <c r="B50" s="183" t="s">
        <v>163</v>
      </c>
      <c r="C50" s="180">
        <f t="shared" si="0"/>
        <v>171816</v>
      </c>
      <c r="D50" s="181">
        <f t="shared" si="1"/>
        <v>104426</v>
      </c>
      <c r="E50" s="152">
        <v>35147</v>
      </c>
      <c r="F50" s="152">
        <v>13441</v>
      </c>
      <c r="G50" s="152">
        <v>2983</v>
      </c>
      <c r="H50" s="152">
        <v>38595</v>
      </c>
      <c r="I50" s="182">
        <v>14260</v>
      </c>
      <c r="J50" s="181">
        <f t="shared" si="2"/>
        <v>67390</v>
      </c>
      <c r="K50" s="152">
        <v>43627</v>
      </c>
      <c r="L50" s="152">
        <v>4107</v>
      </c>
      <c r="M50" s="182">
        <v>19656</v>
      </c>
    </row>
    <row r="51" spans="1:13" s="155" customFormat="1" ht="33" x14ac:dyDescent="0.2">
      <c r="A51" s="359"/>
      <c r="B51" s="186" t="s">
        <v>341</v>
      </c>
      <c r="C51" s="180">
        <f t="shared" si="0"/>
        <v>60867</v>
      </c>
      <c r="D51" s="181">
        <f t="shared" si="1"/>
        <v>34066</v>
      </c>
      <c r="E51" s="152">
        <v>12894</v>
      </c>
      <c r="F51" s="152">
        <v>4658</v>
      </c>
      <c r="G51" s="152">
        <v>1336</v>
      </c>
      <c r="H51" s="152">
        <v>15178</v>
      </c>
      <c r="I51" s="182">
        <v>0</v>
      </c>
      <c r="J51" s="181">
        <f t="shared" si="2"/>
        <v>26801</v>
      </c>
      <c r="K51" s="152">
        <v>19888</v>
      </c>
      <c r="L51" s="152">
        <v>50</v>
      </c>
      <c r="M51" s="182">
        <v>6863</v>
      </c>
    </row>
    <row r="52" spans="1:13" s="155" customFormat="1" ht="12" x14ac:dyDescent="0.2">
      <c r="A52" s="178">
        <v>43</v>
      </c>
      <c r="B52" s="183" t="s">
        <v>19</v>
      </c>
      <c r="C52" s="180">
        <f t="shared" si="0"/>
        <v>225657</v>
      </c>
      <c r="D52" s="181">
        <f t="shared" si="1"/>
        <v>133153</v>
      </c>
      <c r="E52" s="152">
        <v>47565</v>
      </c>
      <c r="F52" s="152">
        <v>18134</v>
      </c>
      <c r="G52" s="152">
        <v>4767</v>
      </c>
      <c r="H52" s="152">
        <v>53992</v>
      </c>
      <c r="I52" s="182">
        <v>8695</v>
      </c>
      <c r="J52" s="181">
        <f t="shared" si="2"/>
        <v>92504</v>
      </c>
      <c r="K52" s="152">
        <v>41706</v>
      </c>
      <c r="L52" s="152">
        <v>23045</v>
      </c>
      <c r="M52" s="182">
        <v>27753</v>
      </c>
    </row>
    <row r="53" spans="1:13" s="155" customFormat="1" ht="12" x14ac:dyDescent="0.2">
      <c r="A53" s="178">
        <v>44</v>
      </c>
      <c r="B53" s="183" t="s">
        <v>20</v>
      </c>
      <c r="C53" s="180">
        <f t="shared" si="0"/>
        <v>215012</v>
      </c>
      <c r="D53" s="181">
        <f t="shared" si="1"/>
        <v>127277</v>
      </c>
      <c r="E53" s="152">
        <v>52263</v>
      </c>
      <c r="F53" s="152">
        <v>17814</v>
      </c>
      <c r="G53" s="152">
        <v>4435</v>
      </c>
      <c r="H53" s="152">
        <v>52765</v>
      </c>
      <c r="I53" s="182">
        <v>0</v>
      </c>
      <c r="J53" s="181">
        <f t="shared" si="2"/>
        <v>87735</v>
      </c>
      <c r="K53" s="152">
        <v>56894</v>
      </c>
      <c r="L53" s="152">
        <v>1650</v>
      </c>
      <c r="M53" s="182">
        <v>29191</v>
      </c>
    </row>
    <row r="54" spans="1:13" s="155" customFormat="1" ht="12" x14ac:dyDescent="0.2">
      <c r="A54" s="178">
        <v>45</v>
      </c>
      <c r="B54" s="183" t="s">
        <v>21</v>
      </c>
      <c r="C54" s="180">
        <f t="shared" si="0"/>
        <v>60584</v>
      </c>
      <c r="D54" s="181">
        <f t="shared" si="1"/>
        <v>40020</v>
      </c>
      <c r="E54" s="152">
        <v>16792</v>
      </c>
      <c r="F54" s="152">
        <v>5451</v>
      </c>
      <c r="G54" s="152">
        <v>1395</v>
      </c>
      <c r="H54" s="152">
        <v>16382</v>
      </c>
      <c r="I54" s="182">
        <v>0</v>
      </c>
      <c r="J54" s="181">
        <f t="shared" si="2"/>
        <v>20564</v>
      </c>
      <c r="K54" s="152">
        <v>9493</v>
      </c>
      <c r="L54" s="152">
        <v>2031</v>
      </c>
      <c r="M54" s="182">
        <v>9040</v>
      </c>
    </row>
    <row r="55" spans="1:13" s="155" customFormat="1" ht="12" x14ac:dyDescent="0.2">
      <c r="A55" s="178">
        <v>46</v>
      </c>
      <c r="B55" s="183" t="s">
        <v>22</v>
      </c>
      <c r="C55" s="180">
        <f t="shared" si="0"/>
        <v>78778</v>
      </c>
      <c r="D55" s="181">
        <f t="shared" si="1"/>
        <v>45632</v>
      </c>
      <c r="E55" s="152">
        <v>18913</v>
      </c>
      <c r="F55" s="152">
        <v>5509</v>
      </c>
      <c r="G55" s="152">
        <v>1109</v>
      </c>
      <c r="H55" s="152">
        <v>20101</v>
      </c>
      <c r="I55" s="182">
        <v>0</v>
      </c>
      <c r="J55" s="181">
        <f t="shared" si="2"/>
        <v>33146</v>
      </c>
      <c r="K55" s="152">
        <v>17586</v>
      </c>
      <c r="L55" s="152">
        <v>525</v>
      </c>
      <c r="M55" s="182">
        <v>15035</v>
      </c>
    </row>
    <row r="56" spans="1:13" s="159" customFormat="1" ht="11.25" x14ac:dyDescent="0.2">
      <c r="A56" s="178">
        <v>47</v>
      </c>
      <c r="B56" s="183" t="s">
        <v>23</v>
      </c>
      <c r="C56" s="180">
        <f t="shared" si="0"/>
        <v>70792</v>
      </c>
      <c r="D56" s="181">
        <f t="shared" si="1"/>
        <v>41993</v>
      </c>
      <c r="E56" s="152">
        <v>16393</v>
      </c>
      <c r="F56" s="152">
        <v>5998</v>
      </c>
      <c r="G56" s="152">
        <v>1201</v>
      </c>
      <c r="H56" s="152">
        <v>18401</v>
      </c>
      <c r="I56" s="182">
        <v>0</v>
      </c>
      <c r="J56" s="181">
        <f t="shared" si="2"/>
        <v>28799</v>
      </c>
      <c r="K56" s="152">
        <v>16050</v>
      </c>
      <c r="L56" s="152">
        <v>3869</v>
      </c>
      <c r="M56" s="182">
        <v>8880</v>
      </c>
    </row>
    <row r="57" spans="1:13" s="155" customFormat="1" ht="12" x14ac:dyDescent="0.2">
      <c r="A57" s="178">
        <v>48</v>
      </c>
      <c r="B57" s="183" t="s">
        <v>24</v>
      </c>
      <c r="C57" s="180">
        <f t="shared" si="0"/>
        <v>46223</v>
      </c>
      <c r="D57" s="181">
        <f t="shared" si="1"/>
        <v>29545</v>
      </c>
      <c r="E57" s="152">
        <v>11752</v>
      </c>
      <c r="F57" s="152">
        <v>4589</v>
      </c>
      <c r="G57" s="152">
        <v>1122</v>
      </c>
      <c r="H57" s="152">
        <v>12082</v>
      </c>
      <c r="I57" s="182">
        <v>0</v>
      </c>
      <c r="J57" s="181">
        <f t="shared" si="2"/>
        <v>16678</v>
      </c>
      <c r="K57" s="152">
        <v>9271</v>
      </c>
      <c r="L57" s="152">
        <v>262</v>
      </c>
      <c r="M57" s="182">
        <v>7145</v>
      </c>
    </row>
    <row r="58" spans="1:13" s="155" customFormat="1" ht="12" x14ac:dyDescent="0.2">
      <c r="A58" s="178">
        <v>49</v>
      </c>
      <c r="B58" s="183" t="s">
        <v>25</v>
      </c>
      <c r="C58" s="180">
        <f t="shared" si="0"/>
        <v>85085</v>
      </c>
      <c r="D58" s="181">
        <f t="shared" si="1"/>
        <v>48203</v>
      </c>
      <c r="E58" s="152">
        <v>17881</v>
      </c>
      <c r="F58" s="152">
        <v>7378</v>
      </c>
      <c r="G58" s="152">
        <v>1993</v>
      </c>
      <c r="H58" s="152">
        <v>20951</v>
      </c>
      <c r="I58" s="182">
        <v>0</v>
      </c>
      <c r="J58" s="181">
        <f t="shared" si="2"/>
        <v>36882</v>
      </c>
      <c r="K58" s="152">
        <v>25063</v>
      </c>
      <c r="L58" s="152">
        <v>0</v>
      </c>
      <c r="M58" s="182">
        <v>11819</v>
      </c>
    </row>
    <row r="59" spans="1:13" s="159" customFormat="1" ht="11.25" x14ac:dyDescent="0.2">
      <c r="A59" s="178">
        <v>50</v>
      </c>
      <c r="B59" s="183" t="s">
        <v>26</v>
      </c>
      <c r="C59" s="180">
        <f t="shared" si="0"/>
        <v>38800</v>
      </c>
      <c r="D59" s="181">
        <f t="shared" si="1"/>
        <v>22613</v>
      </c>
      <c r="E59" s="152">
        <v>8620</v>
      </c>
      <c r="F59" s="152">
        <v>3589</v>
      </c>
      <c r="G59" s="152">
        <v>821</v>
      </c>
      <c r="H59" s="152">
        <v>9583</v>
      </c>
      <c r="I59" s="182">
        <v>0</v>
      </c>
      <c r="J59" s="181">
        <f t="shared" si="2"/>
        <v>16187</v>
      </c>
      <c r="K59" s="152">
        <v>10860</v>
      </c>
      <c r="L59" s="152">
        <v>1000</v>
      </c>
      <c r="M59" s="182">
        <v>4327</v>
      </c>
    </row>
    <row r="60" spans="1:13" s="155" customFormat="1" ht="16.5" x14ac:dyDescent="0.2">
      <c r="A60" s="178">
        <v>51</v>
      </c>
      <c r="B60" s="183" t="s">
        <v>342</v>
      </c>
      <c r="C60" s="180">
        <f t="shared" si="0"/>
        <v>17936</v>
      </c>
      <c r="D60" s="181">
        <f t="shared" si="1"/>
        <v>12140</v>
      </c>
      <c r="E60" s="152">
        <v>4317</v>
      </c>
      <c r="F60" s="152">
        <v>2189</v>
      </c>
      <c r="G60" s="152">
        <v>515</v>
      </c>
      <c r="H60" s="152">
        <v>5119</v>
      </c>
      <c r="I60" s="182">
        <v>0</v>
      </c>
      <c r="J60" s="181">
        <f t="shared" si="2"/>
        <v>5796</v>
      </c>
      <c r="K60" s="152">
        <v>3342</v>
      </c>
      <c r="L60" s="152">
        <v>520</v>
      </c>
      <c r="M60" s="182">
        <v>1934</v>
      </c>
    </row>
    <row r="61" spans="1:13" s="155" customFormat="1" ht="16.5" x14ac:dyDescent="0.2">
      <c r="A61" s="178">
        <v>52</v>
      </c>
      <c r="B61" s="183" t="s">
        <v>86</v>
      </c>
      <c r="C61" s="180">
        <f t="shared" si="0"/>
        <v>22000</v>
      </c>
      <c r="D61" s="181">
        <f t="shared" si="1"/>
        <v>0</v>
      </c>
      <c r="E61" s="152">
        <v>0</v>
      </c>
      <c r="F61" s="152">
        <v>0</v>
      </c>
      <c r="G61" s="152">
        <v>0</v>
      </c>
      <c r="H61" s="152">
        <v>0</v>
      </c>
      <c r="I61" s="182">
        <v>0</v>
      </c>
      <c r="J61" s="181">
        <f t="shared" si="2"/>
        <v>22000</v>
      </c>
      <c r="K61" s="152">
        <v>16886</v>
      </c>
      <c r="L61" s="152">
        <v>0</v>
      </c>
      <c r="M61" s="182">
        <v>5114</v>
      </c>
    </row>
    <row r="62" spans="1:13" s="155" customFormat="1" ht="12" x14ac:dyDescent="0.2">
      <c r="A62" s="178">
        <v>53</v>
      </c>
      <c r="B62" s="183" t="s">
        <v>343</v>
      </c>
      <c r="C62" s="180">
        <f t="shared" si="0"/>
        <v>31724</v>
      </c>
      <c r="D62" s="181">
        <f t="shared" si="1"/>
        <v>10138</v>
      </c>
      <c r="E62" s="152">
        <v>0</v>
      </c>
      <c r="F62" s="152">
        <v>0</v>
      </c>
      <c r="G62" s="152">
        <v>0</v>
      </c>
      <c r="H62" s="152">
        <v>10138</v>
      </c>
      <c r="I62" s="182">
        <v>0</v>
      </c>
      <c r="J62" s="181">
        <f t="shared" si="2"/>
        <v>21586</v>
      </c>
      <c r="K62" s="152">
        <v>15148</v>
      </c>
      <c r="L62" s="152">
        <v>1000</v>
      </c>
      <c r="M62" s="182">
        <v>5438</v>
      </c>
    </row>
    <row r="63" spans="1:13" s="155" customFormat="1" ht="12" x14ac:dyDescent="0.2">
      <c r="A63" s="178">
        <v>54</v>
      </c>
      <c r="B63" s="179" t="s">
        <v>27</v>
      </c>
      <c r="C63" s="180">
        <f t="shared" si="0"/>
        <v>332694</v>
      </c>
      <c r="D63" s="181">
        <f t="shared" si="1"/>
        <v>205575</v>
      </c>
      <c r="E63" s="152">
        <v>85207</v>
      </c>
      <c r="F63" s="152">
        <v>26065</v>
      </c>
      <c r="G63" s="152">
        <v>7380</v>
      </c>
      <c r="H63" s="152">
        <v>81642</v>
      </c>
      <c r="I63" s="182">
        <v>5281</v>
      </c>
      <c r="J63" s="181">
        <f t="shared" si="2"/>
        <v>127119</v>
      </c>
      <c r="K63" s="152">
        <v>78162</v>
      </c>
      <c r="L63" s="152">
        <v>12112</v>
      </c>
      <c r="M63" s="182">
        <v>36845</v>
      </c>
    </row>
    <row r="64" spans="1:13" s="155" customFormat="1" ht="12" x14ac:dyDescent="0.2">
      <c r="A64" s="178">
        <v>55</v>
      </c>
      <c r="B64" s="183" t="s">
        <v>28</v>
      </c>
      <c r="C64" s="180">
        <f t="shared" si="0"/>
        <v>238257</v>
      </c>
      <c r="D64" s="181">
        <f t="shared" si="1"/>
        <v>133184</v>
      </c>
      <c r="E64" s="152">
        <v>52963</v>
      </c>
      <c r="F64" s="152">
        <v>18461</v>
      </c>
      <c r="G64" s="152">
        <v>3858</v>
      </c>
      <c r="H64" s="152">
        <v>57902</v>
      </c>
      <c r="I64" s="182">
        <v>0</v>
      </c>
      <c r="J64" s="181">
        <f t="shared" si="2"/>
        <v>105073</v>
      </c>
      <c r="K64" s="152">
        <v>66557</v>
      </c>
      <c r="L64" s="152">
        <v>2699</v>
      </c>
      <c r="M64" s="182">
        <v>35817</v>
      </c>
    </row>
    <row r="65" spans="1:13" s="155" customFormat="1" ht="12" x14ac:dyDescent="0.2">
      <c r="A65" s="178">
        <v>56</v>
      </c>
      <c r="B65" s="179" t="s">
        <v>344</v>
      </c>
      <c r="C65" s="180">
        <f t="shared" si="0"/>
        <v>302146</v>
      </c>
      <c r="D65" s="181">
        <f t="shared" si="1"/>
        <v>199900</v>
      </c>
      <c r="E65" s="152">
        <v>69350</v>
      </c>
      <c r="F65" s="152">
        <v>20041</v>
      </c>
      <c r="G65" s="152">
        <v>5846</v>
      </c>
      <c r="H65" s="152">
        <v>65696</v>
      </c>
      <c r="I65" s="182">
        <v>38967</v>
      </c>
      <c r="J65" s="181">
        <f t="shared" si="2"/>
        <v>102246</v>
      </c>
      <c r="K65" s="152">
        <v>60935</v>
      </c>
      <c r="L65" s="152">
        <v>2729</v>
      </c>
      <c r="M65" s="182">
        <v>38582</v>
      </c>
    </row>
    <row r="66" spans="1:13" s="155" customFormat="1" ht="16.5" x14ac:dyDescent="0.2">
      <c r="A66" s="178">
        <v>57</v>
      </c>
      <c r="B66" s="179" t="s">
        <v>345</v>
      </c>
      <c r="C66" s="180">
        <f t="shared" si="0"/>
        <v>11200</v>
      </c>
      <c r="D66" s="181">
        <f t="shared" si="1"/>
        <v>0</v>
      </c>
      <c r="E66" s="152">
        <v>0</v>
      </c>
      <c r="F66" s="152">
        <v>0</v>
      </c>
      <c r="G66" s="152">
        <v>0</v>
      </c>
      <c r="H66" s="152">
        <v>0</v>
      </c>
      <c r="I66" s="182">
        <v>0</v>
      </c>
      <c r="J66" s="181">
        <f t="shared" si="2"/>
        <v>11200</v>
      </c>
      <c r="K66" s="152">
        <v>6279</v>
      </c>
      <c r="L66" s="152">
        <v>3844</v>
      </c>
      <c r="M66" s="182">
        <v>1077</v>
      </c>
    </row>
    <row r="67" spans="1:13" s="155" customFormat="1" ht="12" x14ac:dyDescent="0.2">
      <c r="A67" s="178">
        <v>58</v>
      </c>
      <c r="B67" s="183" t="s">
        <v>29</v>
      </c>
      <c r="C67" s="180">
        <f t="shared" si="0"/>
        <v>102212</v>
      </c>
      <c r="D67" s="181">
        <f t="shared" si="1"/>
        <v>57289</v>
      </c>
      <c r="E67" s="152">
        <v>21912</v>
      </c>
      <c r="F67" s="152">
        <v>8040</v>
      </c>
      <c r="G67" s="152">
        <v>2149</v>
      </c>
      <c r="H67" s="152">
        <v>25188</v>
      </c>
      <c r="I67" s="182">
        <v>0</v>
      </c>
      <c r="J67" s="181">
        <f t="shared" si="2"/>
        <v>44923</v>
      </c>
      <c r="K67" s="152">
        <v>28217</v>
      </c>
      <c r="L67" s="152">
        <v>20</v>
      </c>
      <c r="M67" s="182">
        <v>16686</v>
      </c>
    </row>
    <row r="68" spans="1:13" s="155" customFormat="1" ht="12" x14ac:dyDescent="0.2">
      <c r="A68" s="178">
        <v>59</v>
      </c>
      <c r="B68" s="179" t="s">
        <v>30</v>
      </c>
      <c r="C68" s="180">
        <f t="shared" si="0"/>
        <v>68573</v>
      </c>
      <c r="D68" s="181">
        <f t="shared" si="1"/>
        <v>39685</v>
      </c>
      <c r="E68" s="152">
        <v>15007</v>
      </c>
      <c r="F68" s="152">
        <v>6041</v>
      </c>
      <c r="G68" s="152">
        <v>1758</v>
      </c>
      <c r="H68" s="152">
        <v>16879</v>
      </c>
      <c r="I68" s="182">
        <v>0</v>
      </c>
      <c r="J68" s="181">
        <f t="shared" si="2"/>
        <v>28888</v>
      </c>
      <c r="K68" s="152">
        <v>16319</v>
      </c>
      <c r="L68" s="152">
        <v>2272</v>
      </c>
      <c r="M68" s="182">
        <v>10297</v>
      </c>
    </row>
    <row r="69" spans="1:13" s="155" customFormat="1" ht="12" x14ac:dyDescent="0.2">
      <c r="A69" s="178">
        <v>60</v>
      </c>
      <c r="B69" s="183" t="s">
        <v>31</v>
      </c>
      <c r="C69" s="180">
        <f t="shared" si="0"/>
        <v>51765</v>
      </c>
      <c r="D69" s="181">
        <f t="shared" si="1"/>
        <v>32645</v>
      </c>
      <c r="E69" s="152">
        <v>12737</v>
      </c>
      <c r="F69" s="152">
        <v>5145</v>
      </c>
      <c r="G69" s="152">
        <v>1135</v>
      </c>
      <c r="H69" s="152">
        <v>13628</v>
      </c>
      <c r="I69" s="182">
        <v>0</v>
      </c>
      <c r="J69" s="181">
        <f t="shared" si="2"/>
        <v>19120</v>
      </c>
      <c r="K69" s="152">
        <v>14304</v>
      </c>
      <c r="L69" s="152">
        <v>0</v>
      </c>
      <c r="M69" s="182">
        <v>4816</v>
      </c>
    </row>
    <row r="70" spans="1:13" s="155" customFormat="1" ht="12" x14ac:dyDescent="0.2">
      <c r="A70" s="178">
        <v>61</v>
      </c>
      <c r="B70" s="179" t="s">
        <v>32</v>
      </c>
      <c r="C70" s="180">
        <f t="shared" si="0"/>
        <v>75176</v>
      </c>
      <c r="D70" s="181">
        <f t="shared" si="1"/>
        <v>41493</v>
      </c>
      <c r="E70" s="152">
        <v>13439</v>
      </c>
      <c r="F70" s="152">
        <v>6350</v>
      </c>
      <c r="G70" s="152">
        <v>1848</v>
      </c>
      <c r="H70" s="152">
        <v>19856</v>
      </c>
      <c r="I70" s="182">
        <v>0</v>
      </c>
      <c r="J70" s="181">
        <f t="shared" si="2"/>
        <v>33683</v>
      </c>
      <c r="K70" s="152">
        <v>17438</v>
      </c>
      <c r="L70" s="152">
        <v>150</v>
      </c>
      <c r="M70" s="182">
        <v>16095</v>
      </c>
    </row>
    <row r="71" spans="1:13" s="155" customFormat="1" ht="12" x14ac:dyDescent="0.2">
      <c r="A71" s="178">
        <v>62</v>
      </c>
      <c r="B71" s="183" t="s">
        <v>33</v>
      </c>
      <c r="C71" s="180">
        <f t="shared" si="0"/>
        <v>35376</v>
      </c>
      <c r="D71" s="181">
        <f t="shared" si="1"/>
        <v>21263</v>
      </c>
      <c r="E71" s="152">
        <v>8293</v>
      </c>
      <c r="F71" s="152">
        <v>3235</v>
      </c>
      <c r="G71" s="152">
        <v>1048</v>
      </c>
      <c r="H71" s="152">
        <v>8687</v>
      </c>
      <c r="I71" s="182">
        <v>0</v>
      </c>
      <c r="J71" s="181">
        <f t="shared" si="2"/>
        <v>14113</v>
      </c>
      <c r="K71" s="152">
        <v>10230</v>
      </c>
      <c r="L71" s="152">
        <v>760</v>
      </c>
      <c r="M71" s="182">
        <v>3123</v>
      </c>
    </row>
    <row r="72" spans="1:13" s="155" customFormat="1" ht="12" x14ac:dyDescent="0.2">
      <c r="A72" s="178">
        <v>63</v>
      </c>
      <c r="B72" s="183" t="s">
        <v>34</v>
      </c>
      <c r="C72" s="180">
        <f t="shared" si="0"/>
        <v>68611</v>
      </c>
      <c r="D72" s="181">
        <f t="shared" si="1"/>
        <v>40496</v>
      </c>
      <c r="E72" s="152">
        <v>16156</v>
      </c>
      <c r="F72" s="152">
        <v>5993</v>
      </c>
      <c r="G72" s="152">
        <v>1847</v>
      </c>
      <c r="H72" s="152">
        <v>16500</v>
      </c>
      <c r="I72" s="182">
        <v>0</v>
      </c>
      <c r="J72" s="181">
        <f t="shared" si="2"/>
        <v>28115</v>
      </c>
      <c r="K72" s="152">
        <v>16122</v>
      </c>
      <c r="L72" s="152">
        <v>3037</v>
      </c>
      <c r="M72" s="182">
        <v>8956</v>
      </c>
    </row>
    <row r="73" spans="1:13" s="155" customFormat="1" ht="12" x14ac:dyDescent="0.2">
      <c r="A73" s="178">
        <v>64</v>
      </c>
      <c r="B73" s="183" t="s">
        <v>35</v>
      </c>
      <c r="C73" s="180">
        <f t="shared" ref="C73:C136" si="3">D73+J73</f>
        <v>98859</v>
      </c>
      <c r="D73" s="181">
        <f t="shared" ref="D73:D136" si="4">E73+F73+G73+H73+I73</f>
        <v>59507</v>
      </c>
      <c r="E73" s="152">
        <v>23936</v>
      </c>
      <c r="F73" s="152">
        <v>8864</v>
      </c>
      <c r="G73" s="152">
        <v>2114</v>
      </c>
      <c r="H73" s="152">
        <v>24593</v>
      </c>
      <c r="I73" s="182">
        <v>0</v>
      </c>
      <c r="J73" s="181">
        <f t="shared" ref="J73:J136" si="5">K73+L73+M73</f>
        <v>39352</v>
      </c>
      <c r="K73" s="152">
        <v>28467</v>
      </c>
      <c r="L73" s="152">
        <v>2861</v>
      </c>
      <c r="M73" s="182">
        <v>8024</v>
      </c>
    </row>
    <row r="74" spans="1:13" s="155" customFormat="1" ht="12" x14ac:dyDescent="0.2">
      <c r="A74" s="178">
        <v>65</v>
      </c>
      <c r="B74" s="179" t="s">
        <v>36</v>
      </c>
      <c r="C74" s="180">
        <f t="shared" si="3"/>
        <v>51511</v>
      </c>
      <c r="D74" s="181">
        <f t="shared" si="4"/>
        <v>31906</v>
      </c>
      <c r="E74" s="152">
        <v>12790</v>
      </c>
      <c r="F74" s="152">
        <v>4615</v>
      </c>
      <c r="G74" s="152">
        <v>998</v>
      </c>
      <c r="H74" s="152">
        <v>13503</v>
      </c>
      <c r="I74" s="182">
        <v>0</v>
      </c>
      <c r="J74" s="181">
        <f t="shared" si="5"/>
        <v>19605</v>
      </c>
      <c r="K74" s="152">
        <v>10499</v>
      </c>
      <c r="L74" s="152">
        <v>1000</v>
      </c>
      <c r="M74" s="182">
        <v>8106</v>
      </c>
    </row>
    <row r="75" spans="1:13" s="155" customFormat="1" ht="16.5" x14ac:dyDescent="0.2">
      <c r="A75" s="178">
        <v>66</v>
      </c>
      <c r="B75" s="183" t="s">
        <v>346</v>
      </c>
      <c r="C75" s="180">
        <f t="shared" si="3"/>
        <v>107</v>
      </c>
      <c r="D75" s="181">
        <f t="shared" si="4"/>
        <v>0</v>
      </c>
      <c r="E75" s="152">
        <v>0</v>
      </c>
      <c r="F75" s="152">
        <v>0</v>
      </c>
      <c r="G75" s="152">
        <v>0</v>
      </c>
      <c r="H75" s="152">
        <v>0</v>
      </c>
      <c r="I75" s="182">
        <v>0</v>
      </c>
      <c r="J75" s="181">
        <f t="shared" si="5"/>
        <v>107</v>
      </c>
      <c r="K75" s="152">
        <v>97</v>
      </c>
      <c r="L75" s="152">
        <v>0</v>
      </c>
      <c r="M75" s="182">
        <v>10</v>
      </c>
    </row>
    <row r="76" spans="1:13" s="155" customFormat="1" ht="12" x14ac:dyDescent="0.2">
      <c r="A76" s="178">
        <v>67</v>
      </c>
      <c r="B76" s="183" t="s">
        <v>347</v>
      </c>
      <c r="C76" s="180">
        <f t="shared" si="3"/>
        <v>100</v>
      </c>
      <c r="D76" s="181">
        <f t="shared" si="4"/>
        <v>0</v>
      </c>
      <c r="E76" s="152">
        <v>0</v>
      </c>
      <c r="F76" s="152">
        <v>0</v>
      </c>
      <c r="G76" s="152">
        <v>0</v>
      </c>
      <c r="H76" s="152">
        <v>0</v>
      </c>
      <c r="I76" s="182">
        <v>0</v>
      </c>
      <c r="J76" s="181">
        <f t="shared" si="5"/>
        <v>100</v>
      </c>
      <c r="K76" s="152">
        <v>63</v>
      </c>
      <c r="L76" s="152">
        <v>0</v>
      </c>
      <c r="M76" s="182">
        <v>37</v>
      </c>
    </row>
    <row r="77" spans="1:13" s="155" customFormat="1" ht="12" x14ac:dyDescent="0.2">
      <c r="A77" s="178">
        <v>68</v>
      </c>
      <c r="B77" s="183" t="s">
        <v>348</v>
      </c>
      <c r="C77" s="180">
        <f t="shared" si="3"/>
        <v>85</v>
      </c>
      <c r="D77" s="181">
        <f t="shared" si="4"/>
        <v>0</v>
      </c>
      <c r="E77" s="152">
        <v>0</v>
      </c>
      <c r="F77" s="152">
        <v>0</v>
      </c>
      <c r="G77" s="152">
        <v>0</v>
      </c>
      <c r="H77" s="152">
        <v>0</v>
      </c>
      <c r="I77" s="182">
        <v>0</v>
      </c>
      <c r="J77" s="181">
        <f t="shared" si="5"/>
        <v>85</v>
      </c>
      <c r="K77" s="152">
        <v>79</v>
      </c>
      <c r="L77" s="152">
        <v>0</v>
      </c>
      <c r="M77" s="182">
        <v>6</v>
      </c>
    </row>
    <row r="78" spans="1:13" s="155" customFormat="1" ht="16.5" x14ac:dyDescent="0.2">
      <c r="A78" s="178">
        <v>69</v>
      </c>
      <c r="B78" s="183" t="s">
        <v>349</v>
      </c>
      <c r="C78" s="180">
        <f t="shared" si="3"/>
        <v>25</v>
      </c>
      <c r="D78" s="181">
        <f t="shared" si="4"/>
        <v>0</v>
      </c>
      <c r="E78" s="152">
        <v>0</v>
      </c>
      <c r="F78" s="152">
        <v>0</v>
      </c>
      <c r="G78" s="152">
        <v>0</v>
      </c>
      <c r="H78" s="152">
        <v>0</v>
      </c>
      <c r="I78" s="182">
        <v>0</v>
      </c>
      <c r="J78" s="181">
        <f t="shared" si="5"/>
        <v>25</v>
      </c>
      <c r="K78" s="152">
        <v>17</v>
      </c>
      <c r="L78" s="152">
        <v>0</v>
      </c>
      <c r="M78" s="182">
        <v>8</v>
      </c>
    </row>
    <row r="79" spans="1:13" s="155" customFormat="1" ht="16.5" x14ac:dyDescent="0.2">
      <c r="A79" s="178">
        <v>70</v>
      </c>
      <c r="B79" s="188" t="s">
        <v>350</v>
      </c>
      <c r="C79" s="180">
        <f t="shared" si="3"/>
        <v>118813</v>
      </c>
      <c r="D79" s="181">
        <f t="shared" si="4"/>
        <v>64892</v>
      </c>
      <c r="E79" s="152">
        <v>40809</v>
      </c>
      <c r="F79" s="152">
        <v>270</v>
      </c>
      <c r="G79" s="152">
        <v>0</v>
      </c>
      <c r="H79" s="152">
        <v>23813</v>
      </c>
      <c r="I79" s="182">
        <v>0</v>
      </c>
      <c r="J79" s="181">
        <f t="shared" si="5"/>
        <v>53921</v>
      </c>
      <c r="K79" s="152">
        <v>28840</v>
      </c>
      <c r="L79" s="152">
        <v>0</v>
      </c>
      <c r="M79" s="182">
        <v>25081</v>
      </c>
    </row>
    <row r="80" spans="1:13" s="155" customFormat="1" ht="16.5" x14ac:dyDescent="0.2">
      <c r="A80" s="178">
        <v>71</v>
      </c>
      <c r="B80" s="188" t="s">
        <v>351</v>
      </c>
      <c r="C80" s="180">
        <f t="shared" si="3"/>
        <v>104633</v>
      </c>
      <c r="D80" s="181">
        <f t="shared" si="4"/>
        <v>55386</v>
      </c>
      <c r="E80" s="152">
        <v>34522</v>
      </c>
      <c r="F80" s="152">
        <v>418</v>
      </c>
      <c r="G80" s="152">
        <v>0</v>
      </c>
      <c r="H80" s="152">
        <v>20446</v>
      </c>
      <c r="I80" s="182">
        <v>0</v>
      </c>
      <c r="J80" s="181">
        <f t="shared" si="5"/>
        <v>49247</v>
      </c>
      <c r="K80" s="152">
        <v>33339</v>
      </c>
      <c r="L80" s="152">
        <v>0</v>
      </c>
      <c r="M80" s="182">
        <v>15908</v>
      </c>
    </row>
    <row r="81" spans="1:13" s="155" customFormat="1" ht="16.5" x14ac:dyDescent="0.2">
      <c r="A81" s="178">
        <v>72</v>
      </c>
      <c r="B81" s="188" t="s">
        <v>352</v>
      </c>
      <c r="C81" s="180">
        <f t="shared" si="3"/>
        <v>138748</v>
      </c>
      <c r="D81" s="181">
        <f t="shared" si="4"/>
        <v>74637</v>
      </c>
      <c r="E81" s="152">
        <v>47168</v>
      </c>
      <c r="F81" s="152">
        <v>75</v>
      </c>
      <c r="G81" s="152">
        <v>0</v>
      </c>
      <c r="H81" s="152">
        <v>27394</v>
      </c>
      <c r="I81" s="182">
        <v>0</v>
      </c>
      <c r="J81" s="181">
        <f t="shared" si="5"/>
        <v>64111</v>
      </c>
      <c r="K81" s="152">
        <v>38294</v>
      </c>
      <c r="L81" s="152">
        <v>415</v>
      </c>
      <c r="M81" s="182">
        <v>25402</v>
      </c>
    </row>
    <row r="82" spans="1:13" s="155" customFormat="1" ht="16.5" x14ac:dyDescent="0.2">
      <c r="A82" s="178">
        <v>73</v>
      </c>
      <c r="B82" s="188" t="s">
        <v>353</v>
      </c>
      <c r="C82" s="180">
        <f t="shared" si="3"/>
        <v>172673</v>
      </c>
      <c r="D82" s="181">
        <f t="shared" si="4"/>
        <v>115014</v>
      </c>
      <c r="E82" s="152">
        <v>65888</v>
      </c>
      <c r="F82" s="152">
        <v>352</v>
      </c>
      <c r="G82" s="152">
        <v>0</v>
      </c>
      <c r="H82" s="152">
        <v>33512</v>
      </c>
      <c r="I82" s="182">
        <v>15262</v>
      </c>
      <c r="J82" s="181">
        <f t="shared" si="5"/>
        <v>57659</v>
      </c>
      <c r="K82" s="152">
        <v>8186</v>
      </c>
      <c r="L82" s="152">
        <v>0</v>
      </c>
      <c r="M82" s="182">
        <v>49473</v>
      </c>
    </row>
    <row r="83" spans="1:13" s="155" customFormat="1" ht="16.5" x14ac:dyDescent="0.2">
      <c r="A83" s="178">
        <v>74</v>
      </c>
      <c r="B83" s="188" t="s">
        <v>354</v>
      </c>
      <c r="C83" s="180">
        <f t="shared" si="3"/>
        <v>68130</v>
      </c>
      <c r="D83" s="181">
        <f t="shared" si="4"/>
        <v>33684</v>
      </c>
      <c r="E83" s="152">
        <v>20656</v>
      </c>
      <c r="F83" s="152">
        <v>105</v>
      </c>
      <c r="G83" s="152">
        <v>0</v>
      </c>
      <c r="H83" s="152">
        <v>12923</v>
      </c>
      <c r="I83" s="182">
        <v>0</v>
      </c>
      <c r="J83" s="181">
        <f t="shared" si="5"/>
        <v>34446</v>
      </c>
      <c r="K83" s="152">
        <v>19488</v>
      </c>
      <c r="L83" s="152">
        <v>0</v>
      </c>
      <c r="M83" s="182">
        <v>14958</v>
      </c>
    </row>
    <row r="84" spans="1:13" s="155" customFormat="1" ht="16.5" x14ac:dyDescent="0.2">
      <c r="A84" s="178">
        <v>75</v>
      </c>
      <c r="B84" s="188" t="s">
        <v>355</v>
      </c>
      <c r="C84" s="180">
        <f t="shared" si="3"/>
        <v>29413</v>
      </c>
      <c r="D84" s="181">
        <f t="shared" si="4"/>
        <v>0</v>
      </c>
      <c r="E84" s="152">
        <v>0</v>
      </c>
      <c r="F84" s="152">
        <v>0</v>
      </c>
      <c r="G84" s="152">
        <v>0</v>
      </c>
      <c r="H84" s="152">
        <v>0</v>
      </c>
      <c r="I84" s="182">
        <v>0</v>
      </c>
      <c r="J84" s="181">
        <f t="shared" si="5"/>
        <v>29413</v>
      </c>
      <c r="K84" s="152">
        <v>6476</v>
      </c>
      <c r="L84" s="152">
        <v>21189</v>
      </c>
      <c r="M84" s="182">
        <v>1748</v>
      </c>
    </row>
    <row r="85" spans="1:13" s="155" customFormat="1" ht="16.5" x14ac:dyDescent="0.2">
      <c r="A85" s="178">
        <v>76</v>
      </c>
      <c r="B85" s="188" t="s">
        <v>356</v>
      </c>
      <c r="C85" s="180">
        <f t="shared" si="3"/>
        <v>31369</v>
      </c>
      <c r="D85" s="181">
        <f t="shared" si="4"/>
        <v>0</v>
      </c>
      <c r="E85" s="152">
        <v>0</v>
      </c>
      <c r="F85" s="152">
        <v>0</v>
      </c>
      <c r="G85" s="152">
        <v>0</v>
      </c>
      <c r="H85" s="152">
        <v>0</v>
      </c>
      <c r="I85" s="182">
        <v>0</v>
      </c>
      <c r="J85" s="181">
        <f t="shared" si="5"/>
        <v>31369</v>
      </c>
      <c r="K85" s="152">
        <v>16156</v>
      </c>
      <c r="L85" s="152">
        <v>14504</v>
      </c>
      <c r="M85" s="182">
        <v>709</v>
      </c>
    </row>
    <row r="86" spans="1:13" s="155" customFormat="1" ht="12" x14ac:dyDescent="0.2">
      <c r="A86" s="178">
        <v>77</v>
      </c>
      <c r="B86" s="188" t="s">
        <v>357</v>
      </c>
      <c r="C86" s="180">
        <f t="shared" si="3"/>
        <v>121848</v>
      </c>
      <c r="D86" s="181">
        <f t="shared" si="4"/>
        <v>87206</v>
      </c>
      <c r="E86" s="152">
        <v>25491</v>
      </c>
      <c r="F86" s="152">
        <v>13167</v>
      </c>
      <c r="G86" s="152">
        <v>1852</v>
      </c>
      <c r="H86" s="152">
        <v>46696</v>
      </c>
      <c r="I86" s="182">
        <v>0</v>
      </c>
      <c r="J86" s="181">
        <f t="shared" si="5"/>
        <v>34642</v>
      </c>
      <c r="K86" s="152">
        <v>24487</v>
      </c>
      <c r="L86" s="152">
        <v>350</v>
      </c>
      <c r="M86" s="182">
        <v>9805</v>
      </c>
    </row>
    <row r="87" spans="1:13" s="155" customFormat="1" ht="12" x14ac:dyDescent="0.2">
      <c r="A87" s="178">
        <v>78</v>
      </c>
      <c r="B87" s="188" t="s">
        <v>358</v>
      </c>
      <c r="C87" s="180">
        <f t="shared" si="3"/>
        <v>104395</v>
      </c>
      <c r="D87" s="181">
        <f t="shared" si="4"/>
        <v>80824</v>
      </c>
      <c r="E87" s="152">
        <v>24123</v>
      </c>
      <c r="F87" s="152">
        <v>10125</v>
      </c>
      <c r="G87" s="152">
        <v>2996</v>
      </c>
      <c r="H87" s="152">
        <v>26128</v>
      </c>
      <c r="I87" s="182">
        <v>17452</v>
      </c>
      <c r="J87" s="181">
        <f t="shared" si="5"/>
        <v>23571</v>
      </c>
      <c r="K87" s="152">
        <v>16773</v>
      </c>
      <c r="L87" s="152">
        <v>0</v>
      </c>
      <c r="M87" s="182">
        <v>6798</v>
      </c>
    </row>
    <row r="88" spans="1:13" s="155" customFormat="1" ht="12" x14ac:dyDescent="0.2">
      <c r="A88" s="178">
        <v>79</v>
      </c>
      <c r="B88" s="188" t="s">
        <v>359</v>
      </c>
      <c r="C88" s="180">
        <f t="shared" si="3"/>
        <v>84686</v>
      </c>
      <c r="D88" s="181">
        <f t="shared" si="4"/>
        <v>59225</v>
      </c>
      <c r="E88" s="152">
        <v>21455</v>
      </c>
      <c r="F88" s="152">
        <v>9919</v>
      </c>
      <c r="G88" s="152">
        <v>2729</v>
      </c>
      <c r="H88" s="152">
        <v>25122</v>
      </c>
      <c r="I88" s="182">
        <v>0</v>
      </c>
      <c r="J88" s="181">
        <f t="shared" si="5"/>
        <v>25461</v>
      </c>
      <c r="K88" s="152">
        <v>20143</v>
      </c>
      <c r="L88" s="152">
        <v>0</v>
      </c>
      <c r="M88" s="182">
        <v>5318</v>
      </c>
    </row>
    <row r="89" spans="1:13" s="155" customFormat="1" ht="12" x14ac:dyDescent="0.2">
      <c r="A89" s="178">
        <v>80</v>
      </c>
      <c r="B89" s="188" t="s">
        <v>360</v>
      </c>
      <c r="C89" s="180">
        <f t="shared" si="3"/>
        <v>90617</v>
      </c>
      <c r="D89" s="181">
        <f t="shared" si="4"/>
        <v>70926</v>
      </c>
      <c r="E89" s="152">
        <v>15578</v>
      </c>
      <c r="F89" s="152">
        <v>7249</v>
      </c>
      <c r="G89" s="152">
        <v>1751</v>
      </c>
      <c r="H89" s="152">
        <v>19557</v>
      </c>
      <c r="I89" s="182">
        <v>26791</v>
      </c>
      <c r="J89" s="181">
        <f t="shared" si="5"/>
        <v>19691</v>
      </c>
      <c r="K89" s="152">
        <v>12124</v>
      </c>
      <c r="L89" s="152">
        <v>0</v>
      </c>
      <c r="M89" s="182">
        <v>7567</v>
      </c>
    </row>
    <row r="90" spans="1:13" s="155" customFormat="1" ht="12" x14ac:dyDescent="0.2">
      <c r="A90" s="178">
        <v>81</v>
      </c>
      <c r="B90" s="188" t="s">
        <v>164</v>
      </c>
      <c r="C90" s="180">
        <f t="shared" si="3"/>
        <v>185884</v>
      </c>
      <c r="D90" s="181">
        <f t="shared" si="4"/>
        <v>110894</v>
      </c>
      <c r="E90" s="152">
        <v>41031</v>
      </c>
      <c r="F90" s="152">
        <v>16887</v>
      </c>
      <c r="G90" s="152">
        <v>4848</v>
      </c>
      <c r="H90" s="152">
        <v>48128</v>
      </c>
      <c r="I90" s="182">
        <v>0</v>
      </c>
      <c r="J90" s="181">
        <f t="shared" si="5"/>
        <v>74990</v>
      </c>
      <c r="K90" s="152">
        <v>47223</v>
      </c>
      <c r="L90" s="152">
        <v>0</v>
      </c>
      <c r="M90" s="182">
        <v>27767</v>
      </c>
    </row>
    <row r="91" spans="1:13" s="155" customFormat="1" ht="12" x14ac:dyDescent="0.2">
      <c r="A91" s="178">
        <v>82</v>
      </c>
      <c r="B91" s="188" t="s">
        <v>361</v>
      </c>
      <c r="C91" s="180">
        <f t="shared" si="3"/>
        <v>99519</v>
      </c>
      <c r="D91" s="181">
        <f t="shared" si="4"/>
        <v>62311</v>
      </c>
      <c r="E91" s="152">
        <v>24254</v>
      </c>
      <c r="F91" s="152">
        <v>9613</v>
      </c>
      <c r="G91" s="152">
        <v>2794</v>
      </c>
      <c r="H91" s="152">
        <v>25650</v>
      </c>
      <c r="I91" s="182">
        <v>0</v>
      </c>
      <c r="J91" s="181">
        <f t="shared" si="5"/>
        <v>37208</v>
      </c>
      <c r="K91" s="152">
        <v>25876</v>
      </c>
      <c r="L91" s="152">
        <v>0</v>
      </c>
      <c r="M91" s="182">
        <v>11332</v>
      </c>
    </row>
    <row r="92" spans="1:13" s="155" customFormat="1" ht="12" x14ac:dyDescent="0.2">
      <c r="A92" s="178">
        <v>83</v>
      </c>
      <c r="B92" s="188" t="s">
        <v>165</v>
      </c>
      <c r="C92" s="180">
        <f t="shared" si="3"/>
        <v>113678</v>
      </c>
      <c r="D92" s="181">
        <f t="shared" si="4"/>
        <v>82664</v>
      </c>
      <c r="E92" s="152">
        <v>22478</v>
      </c>
      <c r="F92" s="152">
        <v>10776</v>
      </c>
      <c r="G92" s="152">
        <v>2720</v>
      </c>
      <c r="H92" s="152">
        <v>29005</v>
      </c>
      <c r="I92" s="182">
        <v>17685</v>
      </c>
      <c r="J92" s="181">
        <f t="shared" si="5"/>
        <v>31014</v>
      </c>
      <c r="K92" s="152">
        <v>21232</v>
      </c>
      <c r="L92" s="152">
        <v>0</v>
      </c>
      <c r="M92" s="182">
        <v>9782</v>
      </c>
    </row>
    <row r="93" spans="1:13" s="155" customFormat="1" ht="12" x14ac:dyDescent="0.2">
      <c r="A93" s="178">
        <v>84</v>
      </c>
      <c r="B93" s="188" t="s">
        <v>362</v>
      </c>
      <c r="C93" s="180">
        <f t="shared" si="3"/>
        <v>58065</v>
      </c>
      <c r="D93" s="181">
        <f t="shared" si="4"/>
        <v>40602</v>
      </c>
      <c r="E93" s="152">
        <v>14552</v>
      </c>
      <c r="F93" s="152">
        <v>6544</v>
      </c>
      <c r="G93" s="152">
        <v>1802</v>
      </c>
      <c r="H93" s="152">
        <v>17704</v>
      </c>
      <c r="I93" s="182">
        <v>0</v>
      </c>
      <c r="J93" s="181">
        <f t="shared" si="5"/>
        <v>17463</v>
      </c>
      <c r="K93" s="152">
        <v>12320</v>
      </c>
      <c r="L93" s="152">
        <v>0</v>
      </c>
      <c r="M93" s="182">
        <v>5143</v>
      </c>
    </row>
    <row r="94" spans="1:13" s="155" customFormat="1" ht="12" x14ac:dyDescent="0.2">
      <c r="A94" s="178">
        <v>85</v>
      </c>
      <c r="B94" s="188" t="s">
        <v>363</v>
      </c>
      <c r="C94" s="180">
        <f t="shared" si="3"/>
        <v>193065</v>
      </c>
      <c r="D94" s="181">
        <f t="shared" si="4"/>
        <v>116011</v>
      </c>
      <c r="E94" s="152">
        <v>42019</v>
      </c>
      <c r="F94" s="152">
        <v>19313</v>
      </c>
      <c r="G94" s="152">
        <v>5991</v>
      </c>
      <c r="H94" s="152">
        <v>48688</v>
      </c>
      <c r="I94" s="182">
        <v>0</v>
      </c>
      <c r="J94" s="181">
        <f t="shared" si="5"/>
        <v>77054</v>
      </c>
      <c r="K94" s="152">
        <v>48441</v>
      </c>
      <c r="L94" s="152">
        <v>0</v>
      </c>
      <c r="M94" s="182">
        <v>28613</v>
      </c>
    </row>
    <row r="95" spans="1:13" s="155" customFormat="1" ht="12" x14ac:dyDescent="0.2">
      <c r="A95" s="178">
        <v>86</v>
      </c>
      <c r="B95" s="188" t="s">
        <v>364</v>
      </c>
      <c r="C95" s="180">
        <f t="shared" si="3"/>
        <v>72740</v>
      </c>
      <c r="D95" s="181">
        <f t="shared" si="4"/>
        <v>51267</v>
      </c>
      <c r="E95" s="152">
        <v>19123</v>
      </c>
      <c r="F95" s="152">
        <v>8077</v>
      </c>
      <c r="G95" s="152">
        <v>1909</v>
      </c>
      <c r="H95" s="152">
        <v>22158</v>
      </c>
      <c r="I95" s="182">
        <v>0</v>
      </c>
      <c r="J95" s="181">
        <f t="shared" si="5"/>
        <v>21473</v>
      </c>
      <c r="K95" s="152">
        <v>14468</v>
      </c>
      <c r="L95" s="152">
        <v>0</v>
      </c>
      <c r="M95" s="182">
        <v>7005</v>
      </c>
    </row>
    <row r="96" spans="1:13" s="155" customFormat="1" ht="12" x14ac:dyDescent="0.2">
      <c r="A96" s="178">
        <v>87</v>
      </c>
      <c r="B96" s="188" t="s">
        <v>365</v>
      </c>
      <c r="C96" s="180">
        <f t="shared" si="3"/>
        <v>71088</v>
      </c>
      <c r="D96" s="181">
        <f t="shared" si="4"/>
        <v>45662</v>
      </c>
      <c r="E96" s="152">
        <v>14459</v>
      </c>
      <c r="F96" s="152">
        <v>7672</v>
      </c>
      <c r="G96" s="152">
        <v>2106</v>
      </c>
      <c r="H96" s="152">
        <v>21425</v>
      </c>
      <c r="I96" s="182">
        <v>0</v>
      </c>
      <c r="J96" s="181">
        <f t="shared" si="5"/>
        <v>25426</v>
      </c>
      <c r="K96" s="152">
        <f>11770+2500</f>
        <v>14270</v>
      </c>
      <c r="L96" s="152">
        <v>0</v>
      </c>
      <c r="M96" s="182">
        <v>11156</v>
      </c>
    </row>
    <row r="97" spans="1:13" s="155" customFormat="1" ht="16.5" x14ac:dyDescent="0.2">
      <c r="A97" s="178">
        <v>88</v>
      </c>
      <c r="B97" s="188" t="s">
        <v>366</v>
      </c>
      <c r="C97" s="180">
        <f t="shared" si="3"/>
        <v>2646</v>
      </c>
      <c r="D97" s="181">
        <f t="shared" si="4"/>
        <v>0</v>
      </c>
      <c r="E97" s="152">
        <v>0</v>
      </c>
      <c r="F97" s="152">
        <v>0</v>
      </c>
      <c r="G97" s="152">
        <v>0</v>
      </c>
      <c r="H97" s="152">
        <v>0</v>
      </c>
      <c r="I97" s="182">
        <v>0</v>
      </c>
      <c r="J97" s="181">
        <f t="shared" si="5"/>
        <v>2646</v>
      </c>
      <c r="K97" s="152">
        <v>2252</v>
      </c>
      <c r="L97" s="152">
        <v>0</v>
      </c>
      <c r="M97" s="182">
        <v>394</v>
      </c>
    </row>
    <row r="98" spans="1:13" s="155" customFormat="1" ht="16.5" x14ac:dyDescent="0.2">
      <c r="A98" s="178">
        <v>89</v>
      </c>
      <c r="B98" s="188" t="s">
        <v>367</v>
      </c>
      <c r="C98" s="180">
        <f t="shared" si="3"/>
        <v>3086</v>
      </c>
      <c r="D98" s="181">
        <f t="shared" si="4"/>
        <v>0</v>
      </c>
      <c r="E98" s="152">
        <v>0</v>
      </c>
      <c r="F98" s="152">
        <v>0</v>
      </c>
      <c r="G98" s="152">
        <v>0</v>
      </c>
      <c r="H98" s="152">
        <v>0</v>
      </c>
      <c r="I98" s="182">
        <v>0</v>
      </c>
      <c r="J98" s="181">
        <f t="shared" si="5"/>
        <v>3086</v>
      </c>
      <c r="K98" s="152">
        <v>2106</v>
      </c>
      <c r="L98" s="152">
        <v>0</v>
      </c>
      <c r="M98" s="182">
        <v>980</v>
      </c>
    </row>
    <row r="99" spans="1:13" s="155" customFormat="1" ht="16.5" x14ac:dyDescent="0.2">
      <c r="A99" s="178">
        <v>90</v>
      </c>
      <c r="B99" s="188" t="s">
        <v>368</v>
      </c>
      <c r="C99" s="180">
        <f t="shared" si="3"/>
        <v>3661</v>
      </c>
      <c r="D99" s="181">
        <f t="shared" si="4"/>
        <v>0</v>
      </c>
      <c r="E99" s="152">
        <v>0</v>
      </c>
      <c r="F99" s="152">
        <v>0</v>
      </c>
      <c r="G99" s="152">
        <v>0</v>
      </c>
      <c r="H99" s="152">
        <v>0</v>
      </c>
      <c r="I99" s="182">
        <v>0</v>
      </c>
      <c r="J99" s="181">
        <f t="shared" si="5"/>
        <v>3661</v>
      </c>
      <c r="K99" s="152">
        <v>3564</v>
      </c>
      <c r="L99" s="152">
        <v>0</v>
      </c>
      <c r="M99" s="182">
        <v>97</v>
      </c>
    </row>
    <row r="100" spans="1:13" s="155" customFormat="1" ht="16.5" x14ac:dyDescent="0.2">
      <c r="A100" s="178">
        <v>91</v>
      </c>
      <c r="B100" s="188" t="s">
        <v>369</v>
      </c>
      <c r="C100" s="180">
        <f t="shared" si="3"/>
        <v>2971</v>
      </c>
      <c r="D100" s="181">
        <f t="shared" si="4"/>
        <v>0</v>
      </c>
      <c r="E100" s="152">
        <v>0</v>
      </c>
      <c r="F100" s="152">
        <v>0</v>
      </c>
      <c r="G100" s="152">
        <v>0</v>
      </c>
      <c r="H100" s="152">
        <v>0</v>
      </c>
      <c r="I100" s="182">
        <v>0</v>
      </c>
      <c r="J100" s="181">
        <f t="shared" si="5"/>
        <v>2971</v>
      </c>
      <c r="K100" s="152">
        <v>2830</v>
      </c>
      <c r="L100" s="152">
        <v>0</v>
      </c>
      <c r="M100" s="182">
        <v>141</v>
      </c>
    </row>
    <row r="101" spans="1:13" s="155" customFormat="1" ht="16.5" x14ac:dyDescent="0.2">
      <c r="A101" s="178">
        <v>92</v>
      </c>
      <c r="B101" s="188" t="s">
        <v>370</v>
      </c>
      <c r="C101" s="180">
        <f t="shared" si="3"/>
        <v>13089</v>
      </c>
      <c r="D101" s="181">
        <f t="shared" si="4"/>
        <v>0</v>
      </c>
      <c r="E101" s="152">
        <v>0</v>
      </c>
      <c r="F101" s="152">
        <v>0</v>
      </c>
      <c r="G101" s="152">
        <v>0</v>
      </c>
      <c r="H101" s="152">
        <v>0</v>
      </c>
      <c r="I101" s="182">
        <v>0</v>
      </c>
      <c r="J101" s="181">
        <f t="shared" si="5"/>
        <v>13089</v>
      </c>
      <c r="K101" s="152">
        <v>5926</v>
      </c>
      <c r="L101" s="152">
        <v>6434</v>
      </c>
      <c r="M101" s="182">
        <v>729</v>
      </c>
    </row>
    <row r="102" spans="1:13" s="155" customFormat="1" ht="16.5" x14ac:dyDescent="0.2">
      <c r="A102" s="178">
        <v>93</v>
      </c>
      <c r="B102" s="188" t="s">
        <v>371</v>
      </c>
      <c r="C102" s="180">
        <f t="shared" si="3"/>
        <v>2707</v>
      </c>
      <c r="D102" s="181">
        <f t="shared" si="4"/>
        <v>0</v>
      </c>
      <c r="E102" s="152">
        <v>0</v>
      </c>
      <c r="F102" s="152">
        <v>0</v>
      </c>
      <c r="G102" s="152">
        <v>0</v>
      </c>
      <c r="H102" s="152">
        <v>0</v>
      </c>
      <c r="I102" s="182">
        <v>0</v>
      </c>
      <c r="J102" s="181">
        <f t="shared" si="5"/>
        <v>2707</v>
      </c>
      <c r="K102" s="152">
        <v>2030</v>
      </c>
      <c r="L102" s="152">
        <v>499</v>
      </c>
      <c r="M102" s="182">
        <v>178</v>
      </c>
    </row>
    <row r="103" spans="1:13" s="155" customFormat="1" ht="16.5" x14ac:dyDescent="0.2">
      <c r="A103" s="178">
        <v>94</v>
      </c>
      <c r="B103" s="188" t="s">
        <v>372</v>
      </c>
      <c r="C103" s="180">
        <f t="shared" si="3"/>
        <v>2344</v>
      </c>
      <c r="D103" s="181">
        <f t="shared" si="4"/>
        <v>0</v>
      </c>
      <c r="E103" s="152">
        <v>0</v>
      </c>
      <c r="F103" s="152">
        <v>0</v>
      </c>
      <c r="G103" s="152">
        <v>0</v>
      </c>
      <c r="H103" s="152">
        <v>0</v>
      </c>
      <c r="I103" s="182">
        <v>0</v>
      </c>
      <c r="J103" s="181">
        <f t="shared" si="5"/>
        <v>2344</v>
      </c>
      <c r="K103" s="152">
        <v>2296</v>
      </c>
      <c r="L103" s="152">
        <v>0</v>
      </c>
      <c r="M103" s="182">
        <v>48</v>
      </c>
    </row>
    <row r="104" spans="1:13" s="155" customFormat="1" ht="12" x14ac:dyDescent="0.2">
      <c r="A104" s="178">
        <v>95</v>
      </c>
      <c r="B104" s="188" t="s">
        <v>373</v>
      </c>
      <c r="C104" s="180">
        <f t="shared" si="3"/>
        <v>160249</v>
      </c>
      <c r="D104" s="181">
        <f t="shared" si="4"/>
        <v>114568</v>
      </c>
      <c r="E104" s="152">
        <v>46486</v>
      </c>
      <c r="F104" s="152">
        <v>11082</v>
      </c>
      <c r="G104" s="152">
        <v>2790</v>
      </c>
      <c r="H104" s="152">
        <v>40636</v>
      </c>
      <c r="I104" s="182">
        <v>13574</v>
      </c>
      <c r="J104" s="181">
        <f t="shared" si="5"/>
        <v>45681</v>
      </c>
      <c r="K104" s="152">
        <v>24914</v>
      </c>
      <c r="L104" s="152">
        <v>20</v>
      </c>
      <c r="M104" s="182">
        <v>20747</v>
      </c>
    </row>
    <row r="105" spans="1:13" s="155" customFormat="1" ht="12" x14ac:dyDescent="0.2">
      <c r="A105" s="178">
        <v>96</v>
      </c>
      <c r="B105" s="188" t="s">
        <v>374</v>
      </c>
      <c r="C105" s="180">
        <f t="shared" si="3"/>
        <v>123540.8</v>
      </c>
      <c r="D105" s="181">
        <f t="shared" si="4"/>
        <v>71172</v>
      </c>
      <c r="E105" s="152">
        <v>29039</v>
      </c>
      <c r="F105" s="152">
        <v>12001</v>
      </c>
      <c r="G105" s="152">
        <v>2036</v>
      </c>
      <c r="H105" s="152">
        <v>28096</v>
      </c>
      <c r="I105" s="182">
        <v>0</v>
      </c>
      <c r="J105" s="181">
        <f t="shared" si="5"/>
        <v>52368.800000000003</v>
      </c>
      <c r="K105" s="152">
        <v>46453.8</v>
      </c>
      <c r="L105" s="152">
        <v>360</v>
      </c>
      <c r="M105" s="182">
        <v>5555</v>
      </c>
    </row>
    <row r="106" spans="1:13" s="155" customFormat="1" ht="12" x14ac:dyDescent="0.2">
      <c r="A106" s="178">
        <v>97</v>
      </c>
      <c r="B106" s="188" t="s">
        <v>166</v>
      </c>
      <c r="C106" s="180">
        <f t="shared" si="3"/>
        <v>98844</v>
      </c>
      <c r="D106" s="181">
        <f t="shared" si="4"/>
        <v>58602</v>
      </c>
      <c r="E106" s="152">
        <v>21651</v>
      </c>
      <c r="F106" s="152">
        <v>9275</v>
      </c>
      <c r="G106" s="152">
        <v>2961</v>
      </c>
      <c r="H106" s="152">
        <v>24715</v>
      </c>
      <c r="I106" s="182">
        <v>0</v>
      </c>
      <c r="J106" s="181">
        <f t="shared" si="5"/>
        <v>40242</v>
      </c>
      <c r="K106" s="152">
        <v>23014</v>
      </c>
      <c r="L106" s="152">
        <v>4633</v>
      </c>
      <c r="M106" s="182">
        <v>12595</v>
      </c>
    </row>
    <row r="107" spans="1:13" s="155" customFormat="1" ht="12" x14ac:dyDescent="0.2">
      <c r="A107" s="178">
        <v>98</v>
      </c>
      <c r="B107" s="188" t="s">
        <v>375</v>
      </c>
      <c r="C107" s="180">
        <f t="shared" si="3"/>
        <v>52253</v>
      </c>
      <c r="D107" s="181">
        <f t="shared" si="4"/>
        <v>30380</v>
      </c>
      <c r="E107" s="152">
        <v>9468</v>
      </c>
      <c r="F107" s="152">
        <v>5336</v>
      </c>
      <c r="G107" s="152">
        <v>1566</v>
      </c>
      <c r="H107" s="152">
        <v>14010</v>
      </c>
      <c r="I107" s="182">
        <v>0</v>
      </c>
      <c r="J107" s="181">
        <f t="shared" si="5"/>
        <v>21873</v>
      </c>
      <c r="K107" s="152">
        <v>18155</v>
      </c>
      <c r="L107" s="152">
        <v>0</v>
      </c>
      <c r="M107" s="182">
        <v>3718</v>
      </c>
    </row>
    <row r="108" spans="1:13" s="155" customFormat="1" ht="12" x14ac:dyDescent="0.2">
      <c r="A108" s="178">
        <v>99</v>
      </c>
      <c r="B108" s="188" t="s">
        <v>376</v>
      </c>
      <c r="C108" s="180">
        <f t="shared" si="3"/>
        <v>39237</v>
      </c>
      <c r="D108" s="181">
        <f t="shared" si="4"/>
        <v>30818</v>
      </c>
      <c r="E108" s="152">
        <v>4757</v>
      </c>
      <c r="F108" s="152">
        <v>2108</v>
      </c>
      <c r="G108" s="152">
        <v>523</v>
      </c>
      <c r="H108" s="152">
        <v>6378</v>
      </c>
      <c r="I108" s="182">
        <v>17052</v>
      </c>
      <c r="J108" s="181">
        <f t="shared" si="5"/>
        <v>8419</v>
      </c>
      <c r="K108" s="152">
        <v>5244</v>
      </c>
      <c r="L108" s="152">
        <v>25</v>
      </c>
      <c r="M108" s="182">
        <v>3150</v>
      </c>
    </row>
    <row r="109" spans="1:13" s="155" customFormat="1" ht="12" x14ac:dyDescent="0.2">
      <c r="A109" s="178">
        <v>100</v>
      </c>
      <c r="B109" s="188" t="s">
        <v>377</v>
      </c>
      <c r="C109" s="180">
        <f t="shared" si="3"/>
        <v>42779</v>
      </c>
      <c r="D109" s="181">
        <f t="shared" si="4"/>
        <v>22010</v>
      </c>
      <c r="E109" s="152">
        <v>5867</v>
      </c>
      <c r="F109" s="152">
        <v>3534</v>
      </c>
      <c r="G109" s="152">
        <v>681</v>
      </c>
      <c r="H109" s="152">
        <v>11928</v>
      </c>
      <c r="I109" s="182">
        <v>0</v>
      </c>
      <c r="J109" s="181">
        <f t="shared" si="5"/>
        <v>20769</v>
      </c>
      <c r="K109" s="152">
        <v>9039</v>
      </c>
      <c r="L109" s="152">
        <v>4224</v>
      </c>
      <c r="M109" s="182">
        <v>7506</v>
      </c>
    </row>
    <row r="110" spans="1:13" s="155" customFormat="1" ht="12" x14ac:dyDescent="0.2">
      <c r="A110" s="178">
        <v>101</v>
      </c>
      <c r="B110" s="188" t="s">
        <v>167</v>
      </c>
      <c r="C110" s="180">
        <f t="shared" si="3"/>
        <v>302017</v>
      </c>
      <c r="D110" s="181">
        <f t="shared" si="4"/>
        <v>163572</v>
      </c>
      <c r="E110" s="152">
        <v>58768</v>
      </c>
      <c r="F110" s="152">
        <v>25723</v>
      </c>
      <c r="G110" s="152">
        <v>5859</v>
      </c>
      <c r="H110" s="152">
        <v>73222</v>
      </c>
      <c r="I110" s="182">
        <v>0</v>
      </c>
      <c r="J110" s="181">
        <f t="shared" si="5"/>
        <v>138445</v>
      </c>
      <c r="K110" s="152">
        <v>108573</v>
      </c>
      <c r="L110" s="152">
        <v>3056</v>
      </c>
      <c r="M110" s="182">
        <v>26816</v>
      </c>
    </row>
    <row r="111" spans="1:13" s="155" customFormat="1" ht="12" x14ac:dyDescent="0.2">
      <c r="A111" s="178">
        <v>102</v>
      </c>
      <c r="B111" s="188" t="s">
        <v>378</v>
      </c>
      <c r="C111" s="180">
        <f t="shared" si="3"/>
        <v>102689</v>
      </c>
      <c r="D111" s="181">
        <f t="shared" si="4"/>
        <v>64270</v>
      </c>
      <c r="E111" s="152">
        <v>34088</v>
      </c>
      <c r="F111" s="152">
        <v>482</v>
      </c>
      <c r="G111" s="152">
        <v>0</v>
      </c>
      <c r="H111" s="152">
        <v>19988</v>
      </c>
      <c r="I111" s="182">
        <v>9712</v>
      </c>
      <c r="J111" s="181">
        <f t="shared" si="5"/>
        <v>38419</v>
      </c>
      <c r="K111" s="152">
        <v>13066</v>
      </c>
      <c r="L111" s="152">
        <v>0</v>
      </c>
      <c r="M111" s="182">
        <v>25353</v>
      </c>
    </row>
    <row r="112" spans="1:13" s="155" customFormat="1" ht="12" x14ac:dyDescent="0.2">
      <c r="A112" s="178">
        <v>103</v>
      </c>
      <c r="B112" s="188" t="s">
        <v>155</v>
      </c>
      <c r="C112" s="180">
        <f t="shared" si="3"/>
        <v>121368</v>
      </c>
      <c r="D112" s="181">
        <f t="shared" si="4"/>
        <v>70683</v>
      </c>
      <c r="E112" s="152">
        <v>15672</v>
      </c>
      <c r="F112" s="152">
        <v>7150</v>
      </c>
      <c r="G112" s="152">
        <v>1607</v>
      </c>
      <c r="H112" s="152">
        <v>27501</v>
      </c>
      <c r="I112" s="182">
        <v>18753</v>
      </c>
      <c r="J112" s="181">
        <f t="shared" si="5"/>
        <v>50685</v>
      </c>
      <c r="K112" s="152">
        <v>42198</v>
      </c>
      <c r="L112" s="152">
        <v>0</v>
      </c>
      <c r="M112" s="182">
        <v>8487</v>
      </c>
    </row>
    <row r="113" spans="1:13" s="155" customFormat="1" ht="12" x14ac:dyDescent="0.2">
      <c r="A113" s="178">
        <v>104</v>
      </c>
      <c r="B113" s="188" t="s">
        <v>168</v>
      </c>
      <c r="C113" s="180">
        <f t="shared" si="3"/>
        <v>44588</v>
      </c>
      <c r="D113" s="181">
        <f t="shared" si="4"/>
        <v>20184</v>
      </c>
      <c r="E113" s="152">
        <v>0</v>
      </c>
      <c r="F113" s="152">
        <v>0</v>
      </c>
      <c r="G113" s="152">
        <v>0</v>
      </c>
      <c r="H113" s="152">
        <v>20184</v>
      </c>
      <c r="I113" s="182">
        <v>0</v>
      </c>
      <c r="J113" s="181">
        <f t="shared" si="5"/>
        <v>24404</v>
      </c>
      <c r="K113" s="152">
        <v>15301</v>
      </c>
      <c r="L113" s="152">
        <v>0</v>
      </c>
      <c r="M113" s="182">
        <v>9103</v>
      </c>
    </row>
    <row r="114" spans="1:13" s="155" customFormat="1" ht="12" x14ac:dyDescent="0.2">
      <c r="A114" s="359">
        <v>105</v>
      </c>
      <c r="B114" s="188" t="s">
        <v>115</v>
      </c>
      <c r="C114" s="180">
        <f t="shared" si="3"/>
        <v>28235</v>
      </c>
      <c r="D114" s="181">
        <f t="shared" si="4"/>
        <v>5892</v>
      </c>
      <c r="E114" s="152">
        <v>243</v>
      </c>
      <c r="F114" s="152">
        <v>904</v>
      </c>
      <c r="G114" s="152">
        <v>38</v>
      </c>
      <c r="H114" s="152">
        <v>4707</v>
      </c>
      <c r="I114" s="182">
        <v>0</v>
      </c>
      <c r="J114" s="181">
        <f t="shared" si="5"/>
        <v>22343</v>
      </c>
      <c r="K114" s="152">
        <v>22246</v>
      </c>
      <c r="L114" s="152">
        <v>0</v>
      </c>
      <c r="M114" s="182">
        <v>97</v>
      </c>
    </row>
    <row r="115" spans="1:13" s="155" customFormat="1" ht="16.5" x14ac:dyDescent="0.2">
      <c r="A115" s="359"/>
      <c r="B115" s="188" t="s">
        <v>379</v>
      </c>
      <c r="C115" s="180">
        <f t="shared" si="3"/>
        <v>3600</v>
      </c>
      <c r="D115" s="181">
        <f t="shared" si="4"/>
        <v>0</v>
      </c>
      <c r="E115" s="152">
        <v>0</v>
      </c>
      <c r="F115" s="152">
        <v>0</v>
      </c>
      <c r="G115" s="152">
        <v>0</v>
      </c>
      <c r="H115" s="152">
        <v>0</v>
      </c>
      <c r="I115" s="182">
        <v>0</v>
      </c>
      <c r="J115" s="181">
        <f t="shared" si="5"/>
        <v>3600</v>
      </c>
      <c r="K115" s="152">
        <v>2843</v>
      </c>
      <c r="L115" s="152">
        <v>0</v>
      </c>
      <c r="M115" s="182">
        <v>757</v>
      </c>
    </row>
    <row r="116" spans="1:13" s="155" customFormat="1" ht="16.5" x14ac:dyDescent="0.2">
      <c r="A116" s="178">
        <v>106</v>
      </c>
      <c r="B116" s="188" t="s">
        <v>380</v>
      </c>
      <c r="C116" s="180">
        <f t="shared" si="3"/>
        <v>8362</v>
      </c>
      <c r="D116" s="181">
        <f t="shared" si="4"/>
        <v>0</v>
      </c>
      <c r="E116" s="152">
        <v>0</v>
      </c>
      <c r="F116" s="152">
        <v>0</v>
      </c>
      <c r="G116" s="152">
        <v>0</v>
      </c>
      <c r="H116" s="152">
        <v>0</v>
      </c>
      <c r="I116" s="182">
        <v>0</v>
      </c>
      <c r="J116" s="181">
        <f t="shared" si="5"/>
        <v>8362</v>
      </c>
      <c r="K116" s="152">
        <v>7413</v>
      </c>
      <c r="L116" s="152">
        <v>0</v>
      </c>
      <c r="M116" s="182">
        <v>949</v>
      </c>
    </row>
    <row r="117" spans="1:13" s="155" customFormat="1" ht="12" x14ac:dyDescent="0.2">
      <c r="A117" s="178">
        <v>107</v>
      </c>
      <c r="B117" s="183" t="s">
        <v>381</v>
      </c>
      <c r="C117" s="180">
        <f t="shared" si="3"/>
        <v>13304</v>
      </c>
      <c r="D117" s="181">
        <f t="shared" si="4"/>
        <v>9440</v>
      </c>
      <c r="E117" s="152">
        <v>3731</v>
      </c>
      <c r="F117" s="152">
        <v>1444</v>
      </c>
      <c r="G117" s="152">
        <v>233</v>
      </c>
      <c r="H117" s="152">
        <v>4032</v>
      </c>
      <c r="I117" s="182">
        <v>0</v>
      </c>
      <c r="J117" s="181">
        <f t="shared" si="5"/>
        <v>3864</v>
      </c>
      <c r="K117" s="152">
        <v>2075</v>
      </c>
      <c r="L117" s="152">
        <v>0</v>
      </c>
      <c r="M117" s="182">
        <v>1789</v>
      </c>
    </row>
    <row r="118" spans="1:13" s="155" customFormat="1" ht="12" x14ac:dyDescent="0.2">
      <c r="A118" s="178">
        <v>108</v>
      </c>
      <c r="B118" s="179" t="s">
        <v>37</v>
      </c>
      <c r="C118" s="180">
        <f t="shared" si="3"/>
        <v>40519</v>
      </c>
      <c r="D118" s="181">
        <f t="shared" si="4"/>
        <v>26871</v>
      </c>
      <c r="E118" s="152">
        <v>11575</v>
      </c>
      <c r="F118" s="152">
        <v>3490</v>
      </c>
      <c r="G118" s="152">
        <v>749</v>
      </c>
      <c r="H118" s="152">
        <v>11057</v>
      </c>
      <c r="I118" s="182">
        <v>0</v>
      </c>
      <c r="J118" s="181">
        <f t="shared" si="5"/>
        <v>13648</v>
      </c>
      <c r="K118" s="152">
        <v>7531</v>
      </c>
      <c r="L118" s="152">
        <v>0</v>
      </c>
      <c r="M118" s="182">
        <v>6117</v>
      </c>
    </row>
    <row r="119" spans="1:13" s="155" customFormat="1" ht="12" x14ac:dyDescent="0.2">
      <c r="A119" s="178">
        <v>109</v>
      </c>
      <c r="B119" s="183" t="s">
        <v>38</v>
      </c>
      <c r="C119" s="180">
        <f t="shared" si="3"/>
        <v>41576</v>
      </c>
      <c r="D119" s="181">
        <f t="shared" si="4"/>
        <v>27803</v>
      </c>
      <c r="E119" s="152">
        <v>12003</v>
      </c>
      <c r="F119" s="152">
        <v>3724</v>
      </c>
      <c r="G119" s="152">
        <v>855</v>
      </c>
      <c r="H119" s="152">
        <v>11221</v>
      </c>
      <c r="I119" s="182">
        <v>0</v>
      </c>
      <c r="J119" s="181">
        <f t="shared" si="5"/>
        <v>13773</v>
      </c>
      <c r="K119" s="152">
        <v>7715</v>
      </c>
      <c r="L119" s="152">
        <v>690</v>
      </c>
      <c r="M119" s="182">
        <v>5368</v>
      </c>
    </row>
    <row r="120" spans="1:13" s="155" customFormat="1" ht="12" x14ac:dyDescent="0.2">
      <c r="A120" s="178">
        <v>110</v>
      </c>
      <c r="B120" s="179" t="s">
        <v>39</v>
      </c>
      <c r="C120" s="180">
        <f t="shared" si="3"/>
        <v>126844</v>
      </c>
      <c r="D120" s="181">
        <f t="shared" si="4"/>
        <v>71325</v>
      </c>
      <c r="E120" s="152">
        <v>29308</v>
      </c>
      <c r="F120" s="152">
        <v>8379</v>
      </c>
      <c r="G120" s="152">
        <v>1795</v>
      </c>
      <c r="H120" s="152">
        <v>31843</v>
      </c>
      <c r="I120" s="182">
        <v>0</v>
      </c>
      <c r="J120" s="181">
        <f t="shared" si="5"/>
        <v>55519</v>
      </c>
      <c r="K120" s="152">
        <v>31315</v>
      </c>
      <c r="L120" s="152">
        <v>4521</v>
      </c>
      <c r="M120" s="182">
        <v>19683</v>
      </c>
    </row>
    <row r="121" spans="1:13" s="155" customFormat="1" ht="12" x14ac:dyDescent="0.2">
      <c r="A121" s="178">
        <v>111</v>
      </c>
      <c r="B121" s="183" t="s">
        <v>40</v>
      </c>
      <c r="C121" s="180">
        <f t="shared" si="3"/>
        <v>54226</v>
      </c>
      <c r="D121" s="181">
        <f t="shared" si="4"/>
        <v>32611</v>
      </c>
      <c r="E121" s="152">
        <v>13314</v>
      </c>
      <c r="F121" s="152">
        <v>4625</v>
      </c>
      <c r="G121" s="152">
        <v>911</v>
      </c>
      <c r="H121" s="152">
        <v>13761</v>
      </c>
      <c r="I121" s="182">
        <v>0</v>
      </c>
      <c r="J121" s="181">
        <f t="shared" si="5"/>
        <v>21615</v>
      </c>
      <c r="K121" s="152">
        <v>11585</v>
      </c>
      <c r="L121" s="152">
        <v>2260</v>
      </c>
      <c r="M121" s="182">
        <v>7770</v>
      </c>
    </row>
    <row r="122" spans="1:13" s="155" customFormat="1" ht="12" x14ac:dyDescent="0.2">
      <c r="A122" s="178">
        <v>112</v>
      </c>
      <c r="B122" s="183" t="s">
        <v>41</v>
      </c>
      <c r="C122" s="180">
        <f t="shared" si="3"/>
        <v>70993</v>
      </c>
      <c r="D122" s="181">
        <f t="shared" si="4"/>
        <v>39314</v>
      </c>
      <c r="E122" s="152">
        <v>14834</v>
      </c>
      <c r="F122" s="152">
        <v>6064</v>
      </c>
      <c r="G122" s="152">
        <v>1574</v>
      </c>
      <c r="H122" s="152">
        <v>16842</v>
      </c>
      <c r="I122" s="182">
        <v>0</v>
      </c>
      <c r="J122" s="181">
        <f t="shared" si="5"/>
        <v>31679</v>
      </c>
      <c r="K122" s="152">
        <v>12027</v>
      </c>
      <c r="L122" s="152">
        <v>7755</v>
      </c>
      <c r="M122" s="182">
        <v>11897</v>
      </c>
    </row>
    <row r="123" spans="1:13" s="155" customFormat="1" ht="12" x14ac:dyDescent="0.2">
      <c r="A123" s="178">
        <v>113</v>
      </c>
      <c r="B123" s="179" t="s">
        <v>42</v>
      </c>
      <c r="C123" s="180">
        <f t="shared" si="3"/>
        <v>127064</v>
      </c>
      <c r="D123" s="181">
        <f t="shared" si="4"/>
        <v>72556</v>
      </c>
      <c r="E123" s="152">
        <v>27635</v>
      </c>
      <c r="F123" s="152">
        <v>9739</v>
      </c>
      <c r="G123" s="152">
        <v>2502</v>
      </c>
      <c r="H123" s="152">
        <v>32680</v>
      </c>
      <c r="I123" s="182">
        <v>0</v>
      </c>
      <c r="J123" s="181">
        <f t="shared" si="5"/>
        <v>54508</v>
      </c>
      <c r="K123" s="152">
        <v>25827</v>
      </c>
      <c r="L123" s="152">
        <v>6392</v>
      </c>
      <c r="M123" s="182">
        <v>22289</v>
      </c>
    </row>
    <row r="124" spans="1:13" s="155" customFormat="1" ht="12" x14ac:dyDescent="0.2">
      <c r="A124" s="178">
        <v>114</v>
      </c>
      <c r="B124" s="179" t="s">
        <v>43</v>
      </c>
      <c r="C124" s="180">
        <f t="shared" si="3"/>
        <v>123108</v>
      </c>
      <c r="D124" s="181">
        <f t="shared" si="4"/>
        <v>63178</v>
      </c>
      <c r="E124" s="152">
        <v>24023</v>
      </c>
      <c r="F124" s="152">
        <v>8449</v>
      </c>
      <c r="G124" s="152">
        <v>2153</v>
      </c>
      <c r="H124" s="152">
        <v>28553</v>
      </c>
      <c r="I124" s="182">
        <v>0</v>
      </c>
      <c r="J124" s="181">
        <f t="shared" si="5"/>
        <v>59930</v>
      </c>
      <c r="K124" s="152">
        <v>37864</v>
      </c>
      <c r="L124" s="152">
        <v>2957</v>
      </c>
      <c r="M124" s="182">
        <v>19109</v>
      </c>
    </row>
    <row r="125" spans="1:13" s="155" customFormat="1" ht="12" x14ac:dyDescent="0.2">
      <c r="A125" s="178">
        <v>115</v>
      </c>
      <c r="B125" s="183" t="s">
        <v>44</v>
      </c>
      <c r="C125" s="180">
        <f t="shared" si="3"/>
        <v>38453</v>
      </c>
      <c r="D125" s="181">
        <f t="shared" si="4"/>
        <v>23134</v>
      </c>
      <c r="E125" s="152">
        <v>8308</v>
      </c>
      <c r="F125" s="152">
        <v>3550</v>
      </c>
      <c r="G125" s="152">
        <v>918</v>
      </c>
      <c r="H125" s="152">
        <v>10358</v>
      </c>
      <c r="I125" s="182">
        <v>0</v>
      </c>
      <c r="J125" s="181">
        <f t="shared" si="5"/>
        <v>15319</v>
      </c>
      <c r="K125" s="152">
        <v>5165</v>
      </c>
      <c r="L125" s="152">
        <v>1211</v>
      </c>
      <c r="M125" s="182">
        <v>8943</v>
      </c>
    </row>
    <row r="126" spans="1:13" s="155" customFormat="1" ht="12" x14ac:dyDescent="0.2">
      <c r="A126" s="178">
        <v>116</v>
      </c>
      <c r="B126" s="179" t="s">
        <v>45</v>
      </c>
      <c r="C126" s="180">
        <f t="shared" si="3"/>
        <v>63390</v>
      </c>
      <c r="D126" s="181">
        <f t="shared" si="4"/>
        <v>37196</v>
      </c>
      <c r="E126" s="152">
        <v>13636</v>
      </c>
      <c r="F126" s="152">
        <v>5803</v>
      </c>
      <c r="G126" s="152">
        <v>1481</v>
      </c>
      <c r="H126" s="152">
        <v>16276</v>
      </c>
      <c r="I126" s="182">
        <v>0</v>
      </c>
      <c r="J126" s="181">
        <f t="shared" si="5"/>
        <v>26194</v>
      </c>
      <c r="K126" s="152">
        <v>20496</v>
      </c>
      <c r="L126" s="152">
        <v>17</v>
      </c>
      <c r="M126" s="182">
        <v>5681</v>
      </c>
    </row>
    <row r="127" spans="1:13" s="155" customFormat="1" ht="12" x14ac:dyDescent="0.2">
      <c r="A127" s="178">
        <v>117</v>
      </c>
      <c r="B127" s="183" t="s">
        <v>46</v>
      </c>
      <c r="C127" s="180">
        <f t="shared" si="3"/>
        <v>61010</v>
      </c>
      <c r="D127" s="181">
        <f t="shared" si="4"/>
        <v>37085</v>
      </c>
      <c r="E127" s="152">
        <v>14890</v>
      </c>
      <c r="F127" s="152">
        <v>5279</v>
      </c>
      <c r="G127" s="152">
        <v>1396</v>
      </c>
      <c r="H127" s="152">
        <v>15520</v>
      </c>
      <c r="I127" s="182">
        <v>0</v>
      </c>
      <c r="J127" s="181">
        <f t="shared" si="5"/>
        <v>23925</v>
      </c>
      <c r="K127" s="152">
        <v>9102</v>
      </c>
      <c r="L127" s="152">
        <v>4427</v>
      </c>
      <c r="M127" s="182">
        <v>10396</v>
      </c>
    </row>
    <row r="128" spans="1:13" s="155" customFormat="1" ht="12" x14ac:dyDescent="0.2">
      <c r="A128" s="178">
        <v>118</v>
      </c>
      <c r="B128" s="183" t="s">
        <v>47</v>
      </c>
      <c r="C128" s="180">
        <f t="shared" si="3"/>
        <v>85744</v>
      </c>
      <c r="D128" s="181">
        <f t="shared" si="4"/>
        <v>54095</v>
      </c>
      <c r="E128" s="152">
        <v>17451</v>
      </c>
      <c r="F128" s="152">
        <v>5309</v>
      </c>
      <c r="G128" s="152">
        <v>1339</v>
      </c>
      <c r="H128" s="152">
        <v>18780</v>
      </c>
      <c r="I128" s="182">
        <v>11216</v>
      </c>
      <c r="J128" s="181">
        <f t="shared" si="5"/>
        <v>31649</v>
      </c>
      <c r="K128" s="152">
        <v>19786</v>
      </c>
      <c r="L128" s="152">
        <v>1967</v>
      </c>
      <c r="M128" s="182">
        <v>9896</v>
      </c>
    </row>
    <row r="129" spans="1:13" s="155" customFormat="1" ht="12" x14ac:dyDescent="0.2">
      <c r="A129" s="178">
        <v>119</v>
      </c>
      <c r="B129" s="179" t="s">
        <v>48</v>
      </c>
      <c r="C129" s="180">
        <f t="shared" si="3"/>
        <v>47030</v>
      </c>
      <c r="D129" s="181">
        <f t="shared" si="4"/>
        <v>28769</v>
      </c>
      <c r="E129" s="152">
        <v>11295</v>
      </c>
      <c r="F129" s="152">
        <v>4274</v>
      </c>
      <c r="G129" s="152">
        <v>1201</v>
      </c>
      <c r="H129" s="152">
        <v>11999</v>
      </c>
      <c r="I129" s="182">
        <v>0</v>
      </c>
      <c r="J129" s="181">
        <f t="shared" si="5"/>
        <v>18261</v>
      </c>
      <c r="K129" s="152">
        <v>7199</v>
      </c>
      <c r="L129" s="152">
        <v>7009</v>
      </c>
      <c r="M129" s="182">
        <v>4053</v>
      </c>
    </row>
    <row r="130" spans="1:13" s="155" customFormat="1" ht="12" x14ac:dyDescent="0.2">
      <c r="A130" s="178">
        <v>120</v>
      </c>
      <c r="B130" s="183" t="s">
        <v>49</v>
      </c>
      <c r="C130" s="180">
        <f t="shared" si="3"/>
        <v>70875</v>
      </c>
      <c r="D130" s="181">
        <f t="shared" si="4"/>
        <v>41878</v>
      </c>
      <c r="E130" s="152">
        <v>16147</v>
      </c>
      <c r="F130" s="152">
        <v>6304</v>
      </c>
      <c r="G130" s="152">
        <v>1685</v>
      </c>
      <c r="H130" s="152">
        <v>17742</v>
      </c>
      <c r="I130" s="182">
        <v>0</v>
      </c>
      <c r="J130" s="181">
        <f t="shared" si="5"/>
        <v>28997</v>
      </c>
      <c r="K130" s="152">
        <v>18934</v>
      </c>
      <c r="L130" s="152">
        <v>0</v>
      </c>
      <c r="M130" s="182">
        <v>10063</v>
      </c>
    </row>
    <row r="131" spans="1:13" s="155" customFormat="1" ht="12" x14ac:dyDescent="0.2">
      <c r="A131" s="178">
        <v>121</v>
      </c>
      <c r="B131" s="183" t="s">
        <v>50</v>
      </c>
      <c r="C131" s="180">
        <f t="shared" si="3"/>
        <v>114891</v>
      </c>
      <c r="D131" s="181">
        <f t="shared" si="4"/>
        <v>73090</v>
      </c>
      <c r="E131" s="152">
        <v>30931</v>
      </c>
      <c r="F131" s="152">
        <v>10044</v>
      </c>
      <c r="G131" s="152">
        <v>2463</v>
      </c>
      <c r="H131" s="152">
        <v>29652</v>
      </c>
      <c r="I131" s="182">
        <v>0</v>
      </c>
      <c r="J131" s="181">
        <f t="shared" si="5"/>
        <v>41801</v>
      </c>
      <c r="K131" s="152">
        <v>11706</v>
      </c>
      <c r="L131" s="152">
        <v>11524</v>
      </c>
      <c r="M131" s="182">
        <v>18571</v>
      </c>
    </row>
    <row r="132" spans="1:13" s="155" customFormat="1" ht="12" x14ac:dyDescent="0.2">
      <c r="A132" s="178">
        <v>122</v>
      </c>
      <c r="B132" s="183" t="s">
        <v>51</v>
      </c>
      <c r="C132" s="180">
        <f t="shared" si="3"/>
        <v>54994</v>
      </c>
      <c r="D132" s="181">
        <f t="shared" si="4"/>
        <v>34439</v>
      </c>
      <c r="E132" s="152">
        <v>14161</v>
      </c>
      <c r="F132" s="152">
        <v>4905</v>
      </c>
      <c r="G132" s="152">
        <v>1199</v>
      </c>
      <c r="H132" s="152">
        <v>14174</v>
      </c>
      <c r="I132" s="182">
        <v>0</v>
      </c>
      <c r="J132" s="181">
        <f t="shared" si="5"/>
        <v>20555</v>
      </c>
      <c r="K132" s="152">
        <v>8238</v>
      </c>
      <c r="L132" s="152">
        <v>5359</v>
      </c>
      <c r="M132" s="182">
        <v>6958</v>
      </c>
    </row>
    <row r="133" spans="1:13" s="155" customFormat="1" ht="24.75" x14ac:dyDescent="0.2">
      <c r="A133" s="178">
        <v>123</v>
      </c>
      <c r="B133" s="188" t="s">
        <v>117</v>
      </c>
      <c r="C133" s="180">
        <f t="shared" si="3"/>
        <v>52288</v>
      </c>
      <c r="D133" s="181">
        <f t="shared" si="4"/>
        <v>23836</v>
      </c>
      <c r="E133" s="152">
        <v>6758</v>
      </c>
      <c r="F133" s="152">
        <v>3994</v>
      </c>
      <c r="G133" s="152">
        <v>989</v>
      </c>
      <c r="H133" s="152">
        <v>12095</v>
      </c>
      <c r="I133" s="182">
        <v>0</v>
      </c>
      <c r="J133" s="181">
        <f t="shared" si="5"/>
        <v>28452</v>
      </c>
      <c r="K133" s="152">
        <v>26779</v>
      </c>
      <c r="L133" s="152">
        <v>0</v>
      </c>
      <c r="M133" s="182">
        <v>1673</v>
      </c>
    </row>
    <row r="134" spans="1:13" s="155" customFormat="1" ht="12" x14ac:dyDescent="0.2">
      <c r="A134" s="178">
        <v>124</v>
      </c>
      <c r="B134" s="188" t="s">
        <v>383</v>
      </c>
      <c r="C134" s="180">
        <f t="shared" si="3"/>
        <v>25</v>
      </c>
      <c r="D134" s="181">
        <f t="shared" si="4"/>
        <v>0</v>
      </c>
      <c r="E134" s="152">
        <v>0</v>
      </c>
      <c r="F134" s="152">
        <v>0</v>
      </c>
      <c r="G134" s="152">
        <v>0</v>
      </c>
      <c r="H134" s="152">
        <v>0</v>
      </c>
      <c r="I134" s="182">
        <v>0</v>
      </c>
      <c r="J134" s="181">
        <f t="shared" si="5"/>
        <v>25</v>
      </c>
      <c r="K134" s="152">
        <v>25</v>
      </c>
      <c r="L134" s="152">
        <v>0</v>
      </c>
      <c r="M134" s="182">
        <v>0</v>
      </c>
    </row>
    <row r="135" spans="1:13" s="155" customFormat="1" ht="12" x14ac:dyDescent="0.2">
      <c r="A135" s="178">
        <v>125</v>
      </c>
      <c r="B135" s="183" t="s">
        <v>385</v>
      </c>
      <c r="C135" s="180">
        <f t="shared" si="3"/>
        <v>1</v>
      </c>
      <c r="D135" s="181">
        <f t="shared" si="4"/>
        <v>0</v>
      </c>
      <c r="E135" s="152">
        <v>0</v>
      </c>
      <c r="F135" s="152">
        <v>0</v>
      </c>
      <c r="G135" s="152">
        <v>0</v>
      </c>
      <c r="H135" s="152">
        <v>0</v>
      </c>
      <c r="I135" s="182">
        <v>0</v>
      </c>
      <c r="J135" s="181">
        <f t="shared" si="5"/>
        <v>1</v>
      </c>
      <c r="K135" s="152">
        <v>0</v>
      </c>
      <c r="L135" s="152">
        <v>0</v>
      </c>
      <c r="M135" s="182">
        <v>1</v>
      </c>
    </row>
    <row r="136" spans="1:13" s="161" customFormat="1" ht="12" x14ac:dyDescent="0.2">
      <c r="A136" s="178">
        <v>126</v>
      </c>
      <c r="B136" s="179" t="s">
        <v>387</v>
      </c>
      <c r="C136" s="180">
        <f t="shared" si="3"/>
        <v>100</v>
      </c>
      <c r="D136" s="181">
        <f t="shared" si="4"/>
        <v>0</v>
      </c>
      <c r="E136" s="152">
        <v>0</v>
      </c>
      <c r="F136" s="152">
        <v>0</v>
      </c>
      <c r="G136" s="152">
        <v>0</v>
      </c>
      <c r="H136" s="152">
        <v>0</v>
      </c>
      <c r="I136" s="182">
        <v>0</v>
      </c>
      <c r="J136" s="181">
        <f t="shared" si="5"/>
        <v>100</v>
      </c>
      <c r="K136" s="152">
        <v>94</v>
      </c>
      <c r="L136" s="152">
        <v>0</v>
      </c>
      <c r="M136" s="182">
        <v>6</v>
      </c>
    </row>
    <row r="137" spans="1:13" x14ac:dyDescent="0.25">
      <c r="A137" s="178">
        <v>127</v>
      </c>
      <c r="B137" s="183" t="s">
        <v>389</v>
      </c>
      <c r="C137" s="180">
        <f t="shared" ref="C137:C164" si="6">D137+J137</f>
        <v>50</v>
      </c>
      <c r="D137" s="181">
        <f t="shared" ref="D137:D164" si="7">E137+F137+G137+H137+I137</f>
        <v>0</v>
      </c>
      <c r="E137" s="152">
        <v>0</v>
      </c>
      <c r="F137" s="152">
        <v>0</v>
      </c>
      <c r="G137" s="152">
        <v>0</v>
      </c>
      <c r="H137" s="152">
        <v>0</v>
      </c>
      <c r="I137" s="182">
        <v>0</v>
      </c>
      <c r="J137" s="181">
        <f t="shared" ref="J137:J164" si="8">K137+L137+M137</f>
        <v>50</v>
      </c>
      <c r="K137" s="152">
        <v>50</v>
      </c>
      <c r="L137" s="152">
        <v>0</v>
      </c>
      <c r="M137" s="182">
        <v>0</v>
      </c>
    </row>
    <row r="138" spans="1:13" ht="16.5" x14ac:dyDescent="0.25">
      <c r="A138" s="178">
        <v>128</v>
      </c>
      <c r="B138" s="183" t="s">
        <v>390</v>
      </c>
      <c r="C138" s="180">
        <f t="shared" si="6"/>
        <v>40</v>
      </c>
      <c r="D138" s="181">
        <f t="shared" si="7"/>
        <v>0</v>
      </c>
      <c r="E138" s="152">
        <v>0</v>
      </c>
      <c r="F138" s="152">
        <v>0</v>
      </c>
      <c r="G138" s="152">
        <v>0</v>
      </c>
      <c r="H138" s="152">
        <v>0</v>
      </c>
      <c r="I138" s="182">
        <v>0</v>
      </c>
      <c r="J138" s="181">
        <f t="shared" si="8"/>
        <v>40</v>
      </c>
      <c r="K138" s="152">
        <v>40</v>
      </c>
      <c r="L138" s="152">
        <v>0</v>
      </c>
      <c r="M138" s="182">
        <v>0</v>
      </c>
    </row>
    <row r="139" spans="1:13" x14ac:dyDescent="0.25">
      <c r="A139" s="178">
        <v>129</v>
      </c>
      <c r="B139" s="183" t="s">
        <v>391</v>
      </c>
      <c r="C139" s="180">
        <f t="shared" si="6"/>
        <v>32</v>
      </c>
      <c r="D139" s="181">
        <f t="shared" si="7"/>
        <v>0</v>
      </c>
      <c r="E139" s="152">
        <v>0</v>
      </c>
      <c r="F139" s="152">
        <v>0</v>
      </c>
      <c r="G139" s="152">
        <v>0</v>
      </c>
      <c r="H139" s="152">
        <v>0</v>
      </c>
      <c r="I139" s="182">
        <v>0</v>
      </c>
      <c r="J139" s="181">
        <f t="shared" si="8"/>
        <v>32</v>
      </c>
      <c r="K139" s="152">
        <v>22</v>
      </c>
      <c r="L139" s="152">
        <v>0</v>
      </c>
      <c r="M139" s="182">
        <v>10</v>
      </c>
    </row>
    <row r="140" spans="1:13" ht="16.5" x14ac:dyDescent="0.25">
      <c r="A140" s="178">
        <v>130</v>
      </c>
      <c r="B140" s="183" t="s">
        <v>393</v>
      </c>
      <c r="C140" s="180">
        <f t="shared" si="6"/>
        <v>25</v>
      </c>
      <c r="D140" s="181">
        <f t="shared" si="7"/>
        <v>0</v>
      </c>
      <c r="E140" s="152">
        <v>0</v>
      </c>
      <c r="F140" s="152">
        <v>0</v>
      </c>
      <c r="G140" s="152">
        <v>0</v>
      </c>
      <c r="H140" s="152">
        <v>0</v>
      </c>
      <c r="I140" s="182">
        <v>0</v>
      </c>
      <c r="J140" s="181">
        <f t="shared" si="8"/>
        <v>25</v>
      </c>
      <c r="K140" s="152">
        <v>17</v>
      </c>
      <c r="L140" s="152">
        <v>0</v>
      </c>
      <c r="M140" s="182">
        <v>8</v>
      </c>
    </row>
    <row r="141" spans="1:13" x14ac:dyDescent="0.25">
      <c r="A141" s="178">
        <v>131</v>
      </c>
      <c r="B141" s="183" t="s">
        <v>123</v>
      </c>
      <c r="C141" s="180">
        <f t="shared" si="6"/>
        <v>382</v>
      </c>
      <c r="D141" s="181">
        <f t="shared" si="7"/>
        <v>0</v>
      </c>
      <c r="E141" s="152">
        <v>0</v>
      </c>
      <c r="F141" s="152">
        <v>0</v>
      </c>
      <c r="G141" s="152">
        <v>0</v>
      </c>
      <c r="H141" s="152">
        <v>0</v>
      </c>
      <c r="I141" s="182">
        <v>0</v>
      </c>
      <c r="J141" s="181">
        <f t="shared" si="8"/>
        <v>382</v>
      </c>
      <c r="K141" s="152">
        <v>330</v>
      </c>
      <c r="L141" s="152">
        <v>0</v>
      </c>
      <c r="M141" s="182">
        <v>52</v>
      </c>
    </row>
    <row r="142" spans="1:13" ht="16.5" x14ac:dyDescent="0.25">
      <c r="A142" s="178">
        <v>132</v>
      </c>
      <c r="B142" s="183" t="s">
        <v>394</v>
      </c>
      <c r="C142" s="180">
        <f t="shared" si="6"/>
        <v>90</v>
      </c>
      <c r="D142" s="181">
        <f t="shared" si="7"/>
        <v>0</v>
      </c>
      <c r="E142" s="152">
        <v>0</v>
      </c>
      <c r="F142" s="152">
        <v>0</v>
      </c>
      <c r="G142" s="152">
        <v>0</v>
      </c>
      <c r="H142" s="152">
        <v>0</v>
      </c>
      <c r="I142" s="182">
        <v>0</v>
      </c>
      <c r="J142" s="181">
        <f t="shared" si="8"/>
        <v>90</v>
      </c>
      <c r="K142" s="152">
        <v>53</v>
      </c>
      <c r="L142" s="152">
        <v>28</v>
      </c>
      <c r="M142" s="182">
        <v>9</v>
      </c>
    </row>
    <row r="143" spans="1:13" x14ac:dyDescent="0.25">
      <c r="A143" s="178">
        <v>133</v>
      </c>
      <c r="B143" s="183" t="s">
        <v>395</v>
      </c>
      <c r="C143" s="180">
        <f t="shared" si="6"/>
        <v>82</v>
      </c>
      <c r="D143" s="181">
        <f t="shared" si="7"/>
        <v>0</v>
      </c>
      <c r="E143" s="152">
        <v>0</v>
      </c>
      <c r="F143" s="152">
        <v>0</v>
      </c>
      <c r="G143" s="152">
        <v>0</v>
      </c>
      <c r="H143" s="152">
        <v>0</v>
      </c>
      <c r="I143" s="182">
        <v>0</v>
      </c>
      <c r="J143" s="181">
        <f t="shared" si="8"/>
        <v>82</v>
      </c>
      <c r="K143" s="152">
        <v>82</v>
      </c>
      <c r="L143" s="152">
        <v>0</v>
      </c>
      <c r="M143" s="182">
        <v>0</v>
      </c>
    </row>
    <row r="144" spans="1:13" x14ac:dyDescent="0.25">
      <c r="A144" s="178">
        <v>134</v>
      </c>
      <c r="B144" s="183" t="s">
        <v>396</v>
      </c>
      <c r="C144" s="180">
        <f t="shared" si="6"/>
        <v>32</v>
      </c>
      <c r="D144" s="181">
        <f t="shared" si="7"/>
        <v>0</v>
      </c>
      <c r="E144" s="152">
        <v>0</v>
      </c>
      <c r="F144" s="152">
        <v>0</v>
      </c>
      <c r="G144" s="152">
        <v>0</v>
      </c>
      <c r="H144" s="152">
        <v>0</v>
      </c>
      <c r="I144" s="182">
        <v>0</v>
      </c>
      <c r="J144" s="181">
        <f t="shared" si="8"/>
        <v>32</v>
      </c>
      <c r="K144" s="152">
        <v>32</v>
      </c>
      <c r="L144" s="152">
        <v>0</v>
      </c>
      <c r="M144" s="182">
        <v>0</v>
      </c>
    </row>
    <row r="145" spans="1:13" x14ac:dyDescent="0.25">
      <c r="A145" s="178">
        <v>135</v>
      </c>
      <c r="B145" s="183" t="s">
        <v>397</v>
      </c>
      <c r="C145" s="180">
        <f t="shared" si="6"/>
        <v>25</v>
      </c>
      <c r="D145" s="181">
        <f t="shared" si="7"/>
        <v>0</v>
      </c>
      <c r="E145" s="152">
        <v>0</v>
      </c>
      <c r="F145" s="152">
        <v>0</v>
      </c>
      <c r="G145" s="152">
        <v>0</v>
      </c>
      <c r="H145" s="152">
        <v>0</v>
      </c>
      <c r="I145" s="182">
        <v>0</v>
      </c>
      <c r="J145" s="181">
        <f t="shared" si="8"/>
        <v>25</v>
      </c>
      <c r="K145" s="152">
        <v>25</v>
      </c>
      <c r="L145" s="152">
        <v>0</v>
      </c>
      <c r="M145" s="182">
        <v>0</v>
      </c>
    </row>
    <row r="146" spans="1:13" ht="16.5" x14ac:dyDescent="0.25">
      <c r="A146" s="178">
        <v>136</v>
      </c>
      <c r="B146" s="183" t="s">
        <v>398</v>
      </c>
      <c r="C146" s="180">
        <f t="shared" si="6"/>
        <v>32</v>
      </c>
      <c r="D146" s="181">
        <f t="shared" si="7"/>
        <v>0</v>
      </c>
      <c r="E146" s="152">
        <v>0</v>
      </c>
      <c r="F146" s="152">
        <v>0</v>
      </c>
      <c r="G146" s="152">
        <v>0</v>
      </c>
      <c r="H146" s="152">
        <v>0</v>
      </c>
      <c r="I146" s="182">
        <v>0</v>
      </c>
      <c r="J146" s="181">
        <f t="shared" si="8"/>
        <v>32</v>
      </c>
      <c r="K146" s="152">
        <v>32</v>
      </c>
      <c r="L146" s="152">
        <v>0</v>
      </c>
      <c r="M146" s="182">
        <v>0</v>
      </c>
    </row>
    <row r="147" spans="1:13" ht="16.5" x14ac:dyDescent="0.25">
      <c r="A147" s="178">
        <v>137</v>
      </c>
      <c r="B147" s="183" t="s">
        <v>399</v>
      </c>
      <c r="C147" s="180">
        <f t="shared" si="6"/>
        <v>32</v>
      </c>
      <c r="D147" s="181">
        <f t="shared" si="7"/>
        <v>0</v>
      </c>
      <c r="E147" s="152">
        <v>0</v>
      </c>
      <c r="F147" s="152">
        <v>0</v>
      </c>
      <c r="G147" s="152">
        <v>0</v>
      </c>
      <c r="H147" s="152">
        <v>0</v>
      </c>
      <c r="I147" s="182">
        <v>0</v>
      </c>
      <c r="J147" s="181">
        <f t="shared" si="8"/>
        <v>32</v>
      </c>
      <c r="K147" s="152">
        <v>32</v>
      </c>
      <c r="L147" s="152">
        <v>0</v>
      </c>
      <c r="M147" s="182">
        <v>0</v>
      </c>
    </row>
    <row r="148" spans="1:13" x14ac:dyDescent="0.25">
      <c r="A148" s="178">
        <v>138</v>
      </c>
      <c r="B148" s="183" t="s">
        <v>400</v>
      </c>
      <c r="C148" s="180">
        <f t="shared" si="6"/>
        <v>32</v>
      </c>
      <c r="D148" s="181">
        <f t="shared" si="7"/>
        <v>0</v>
      </c>
      <c r="E148" s="152">
        <v>0</v>
      </c>
      <c r="F148" s="152">
        <v>0</v>
      </c>
      <c r="G148" s="152">
        <v>0</v>
      </c>
      <c r="H148" s="152">
        <v>0</v>
      </c>
      <c r="I148" s="182">
        <v>0</v>
      </c>
      <c r="J148" s="181">
        <f t="shared" si="8"/>
        <v>32</v>
      </c>
      <c r="K148" s="152">
        <v>32</v>
      </c>
      <c r="L148" s="152">
        <v>0</v>
      </c>
      <c r="M148" s="182">
        <v>0</v>
      </c>
    </row>
    <row r="149" spans="1:13" x14ac:dyDescent="0.25">
      <c r="A149" s="178">
        <v>139</v>
      </c>
      <c r="B149" s="183" t="s">
        <v>220</v>
      </c>
      <c r="C149" s="180">
        <f t="shared" si="6"/>
        <v>229358</v>
      </c>
      <c r="D149" s="181">
        <f t="shared" si="7"/>
        <v>0</v>
      </c>
      <c r="E149" s="152">
        <v>0</v>
      </c>
      <c r="F149" s="152">
        <v>0</v>
      </c>
      <c r="G149" s="152">
        <v>0</v>
      </c>
      <c r="H149" s="152">
        <v>0</v>
      </c>
      <c r="I149" s="182">
        <v>0</v>
      </c>
      <c r="J149" s="181">
        <f t="shared" si="8"/>
        <v>229358</v>
      </c>
      <c r="K149" s="152">
        <v>229358</v>
      </c>
      <c r="L149" s="152">
        <v>0</v>
      </c>
      <c r="M149" s="182">
        <v>0</v>
      </c>
    </row>
    <row r="150" spans="1:13" x14ac:dyDescent="0.25">
      <c r="A150" s="178">
        <v>140</v>
      </c>
      <c r="B150" s="183" t="s">
        <v>292</v>
      </c>
      <c r="C150" s="180">
        <f t="shared" si="6"/>
        <v>124000</v>
      </c>
      <c r="D150" s="181">
        <f t="shared" si="7"/>
        <v>0</v>
      </c>
      <c r="E150" s="152">
        <v>0</v>
      </c>
      <c r="F150" s="152">
        <v>0</v>
      </c>
      <c r="G150" s="152">
        <v>0</v>
      </c>
      <c r="H150" s="152">
        <v>0</v>
      </c>
      <c r="I150" s="182">
        <v>0</v>
      </c>
      <c r="J150" s="181">
        <f t="shared" si="8"/>
        <v>124000</v>
      </c>
      <c r="K150" s="152">
        <v>124000</v>
      </c>
      <c r="L150" s="152">
        <v>0</v>
      </c>
      <c r="M150" s="182">
        <v>0</v>
      </c>
    </row>
    <row r="151" spans="1:13" x14ac:dyDescent="0.25">
      <c r="A151" s="178">
        <v>141</v>
      </c>
      <c r="B151" s="183" t="s">
        <v>130</v>
      </c>
      <c r="C151" s="180">
        <f t="shared" si="6"/>
        <v>81000</v>
      </c>
      <c r="D151" s="181">
        <f t="shared" si="7"/>
        <v>0</v>
      </c>
      <c r="E151" s="152">
        <v>0</v>
      </c>
      <c r="F151" s="152">
        <v>0</v>
      </c>
      <c r="G151" s="152">
        <v>0</v>
      </c>
      <c r="H151" s="152">
        <v>0</v>
      </c>
      <c r="I151" s="182">
        <v>0</v>
      </c>
      <c r="J151" s="181">
        <f t="shared" si="8"/>
        <v>81000</v>
      </c>
      <c r="K151" s="152">
        <v>81000</v>
      </c>
      <c r="L151" s="152">
        <v>0</v>
      </c>
      <c r="M151" s="182">
        <v>0</v>
      </c>
    </row>
    <row r="152" spans="1:13" x14ac:dyDescent="0.25">
      <c r="A152" s="178">
        <v>142</v>
      </c>
      <c r="B152" s="183" t="s">
        <v>152</v>
      </c>
      <c r="C152" s="180">
        <f t="shared" si="6"/>
        <v>113000</v>
      </c>
      <c r="D152" s="181">
        <f t="shared" si="7"/>
        <v>0</v>
      </c>
      <c r="E152" s="152">
        <v>0</v>
      </c>
      <c r="F152" s="152">
        <v>0</v>
      </c>
      <c r="G152" s="152">
        <v>0</v>
      </c>
      <c r="H152" s="152">
        <v>0</v>
      </c>
      <c r="I152" s="182">
        <v>0</v>
      </c>
      <c r="J152" s="181">
        <f t="shared" si="8"/>
        <v>113000</v>
      </c>
      <c r="K152" s="152">
        <v>113000</v>
      </c>
      <c r="L152" s="152">
        <v>0</v>
      </c>
      <c r="M152" s="182">
        <v>0</v>
      </c>
    </row>
    <row r="153" spans="1:13" x14ac:dyDescent="0.25">
      <c r="A153" s="178">
        <v>143</v>
      </c>
      <c r="B153" s="183" t="s">
        <v>134</v>
      </c>
      <c r="C153" s="180">
        <f t="shared" si="6"/>
        <v>7873</v>
      </c>
      <c r="D153" s="181">
        <f t="shared" si="7"/>
        <v>0</v>
      </c>
      <c r="E153" s="152">
        <v>0</v>
      </c>
      <c r="F153" s="152">
        <v>0</v>
      </c>
      <c r="G153" s="152">
        <v>0</v>
      </c>
      <c r="H153" s="152">
        <v>0</v>
      </c>
      <c r="I153" s="182">
        <v>0</v>
      </c>
      <c r="J153" s="181">
        <f t="shared" si="8"/>
        <v>7873</v>
      </c>
      <c r="K153" s="152">
        <v>7873</v>
      </c>
      <c r="L153" s="152">
        <v>0</v>
      </c>
      <c r="M153" s="182">
        <v>0</v>
      </c>
    </row>
    <row r="154" spans="1:13" x14ac:dyDescent="0.25">
      <c r="A154" s="178">
        <v>144</v>
      </c>
      <c r="B154" s="183" t="s">
        <v>240</v>
      </c>
      <c r="C154" s="180">
        <f t="shared" si="6"/>
        <v>65356</v>
      </c>
      <c r="D154" s="181">
        <f t="shared" si="7"/>
        <v>0</v>
      </c>
      <c r="E154" s="152">
        <v>0</v>
      </c>
      <c r="F154" s="152">
        <v>0</v>
      </c>
      <c r="G154" s="152">
        <v>0</v>
      </c>
      <c r="H154" s="152">
        <v>0</v>
      </c>
      <c r="I154" s="182">
        <v>0</v>
      </c>
      <c r="J154" s="181">
        <f t="shared" si="8"/>
        <v>65356</v>
      </c>
      <c r="K154" s="152">
        <v>65356</v>
      </c>
      <c r="L154" s="152">
        <v>0</v>
      </c>
      <c r="M154" s="182">
        <v>0</v>
      </c>
    </row>
    <row r="155" spans="1:13" x14ac:dyDescent="0.25">
      <c r="A155" s="178">
        <v>145</v>
      </c>
      <c r="B155" s="183" t="s">
        <v>239</v>
      </c>
      <c r="C155" s="180">
        <f t="shared" si="6"/>
        <v>54704</v>
      </c>
      <c r="D155" s="181">
        <f t="shared" si="7"/>
        <v>21567</v>
      </c>
      <c r="E155" s="152">
        <v>0</v>
      </c>
      <c r="F155" s="152">
        <v>0</v>
      </c>
      <c r="G155" s="152">
        <v>0</v>
      </c>
      <c r="H155" s="152">
        <v>21567</v>
      </c>
      <c r="I155" s="182">
        <v>0</v>
      </c>
      <c r="J155" s="181">
        <f t="shared" si="8"/>
        <v>33137</v>
      </c>
      <c r="K155" s="152">
        <v>26772</v>
      </c>
      <c r="L155" s="152">
        <v>0</v>
      </c>
      <c r="M155" s="182">
        <v>6365</v>
      </c>
    </row>
    <row r="156" spans="1:13" x14ac:dyDescent="0.25">
      <c r="A156" s="178">
        <v>146</v>
      </c>
      <c r="B156" s="183" t="s">
        <v>169</v>
      </c>
      <c r="C156" s="180">
        <f t="shared" si="6"/>
        <v>68000</v>
      </c>
      <c r="D156" s="181">
        <f t="shared" si="7"/>
        <v>0</v>
      </c>
      <c r="E156" s="152">
        <v>0</v>
      </c>
      <c r="F156" s="152">
        <v>0</v>
      </c>
      <c r="G156" s="152">
        <v>0</v>
      </c>
      <c r="H156" s="152">
        <v>0</v>
      </c>
      <c r="I156" s="182">
        <v>0</v>
      </c>
      <c r="J156" s="181">
        <f t="shared" si="8"/>
        <v>68000</v>
      </c>
      <c r="K156" s="152">
        <v>68000</v>
      </c>
      <c r="L156" s="152">
        <v>0</v>
      </c>
      <c r="M156" s="182">
        <v>0</v>
      </c>
    </row>
    <row r="157" spans="1:13" x14ac:dyDescent="0.25">
      <c r="A157" s="178">
        <v>147</v>
      </c>
      <c r="B157" s="183" t="s">
        <v>138</v>
      </c>
      <c r="C157" s="180">
        <f t="shared" si="6"/>
        <v>20199</v>
      </c>
      <c r="D157" s="181">
        <f t="shared" si="7"/>
        <v>20199</v>
      </c>
      <c r="E157" s="152">
        <v>0</v>
      </c>
      <c r="F157" s="152">
        <v>0</v>
      </c>
      <c r="G157" s="152">
        <v>0</v>
      </c>
      <c r="H157" s="152">
        <v>0</v>
      </c>
      <c r="I157" s="182">
        <v>20199</v>
      </c>
      <c r="J157" s="181">
        <f t="shared" si="8"/>
        <v>0</v>
      </c>
      <c r="K157" s="152">
        <v>0</v>
      </c>
      <c r="L157" s="152">
        <v>0</v>
      </c>
      <c r="M157" s="182">
        <v>0</v>
      </c>
    </row>
    <row r="158" spans="1:13" x14ac:dyDescent="0.25">
      <c r="A158" s="178">
        <v>148</v>
      </c>
      <c r="B158" s="183" t="s">
        <v>139</v>
      </c>
      <c r="C158" s="180">
        <f t="shared" si="6"/>
        <v>57392</v>
      </c>
      <c r="D158" s="181">
        <f t="shared" si="7"/>
        <v>0</v>
      </c>
      <c r="E158" s="152">
        <v>0</v>
      </c>
      <c r="F158" s="152">
        <v>0</v>
      </c>
      <c r="G158" s="152">
        <v>0</v>
      </c>
      <c r="H158" s="152">
        <v>0</v>
      </c>
      <c r="I158" s="182">
        <v>0</v>
      </c>
      <c r="J158" s="181">
        <f t="shared" si="8"/>
        <v>57392</v>
      </c>
      <c r="K158" s="152">
        <v>57392</v>
      </c>
      <c r="L158" s="152">
        <v>0</v>
      </c>
      <c r="M158" s="182">
        <v>0</v>
      </c>
    </row>
    <row r="159" spans="1:13" x14ac:dyDescent="0.25">
      <c r="A159" s="178">
        <v>149</v>
      </c>
      <c r="B159" s="183" t="s">
        <v>153</v>
      </c>
      <c r="C159" s="180">
        <f t="shared" si="6"/>
        <v>800</v>
      </c>
      <c r="D159" s="181">
        <f t="shared" si="7"/>
        <v>0</v>
      </c>
      <c r="E159" s="152">
        <v>0</v>
      </c>
      <c r="F159" s="152">
        <v>0</v>
      </c>
      <c r="G159" s="152">
        <v>0</v>
      </c>
      <c r="H159" s="152">
        <v>0</v>
      </c>
      <c r="I159" s="182">
        <v>0</v>
      </c>
      <c r="J159" s="181">
        <f t="shared" si="8"/>
        <v>800</v>
      </c>
      <c r="K159" s="152">
        <v>800</v>
      </c>
      <c r="L159" s="152">
        <v>0</v>
      </c>
      <c r="M159" s="182">
        <v>0</v>
      </c>
    </row>
    <row r="160" spans="1:13" x14ac:dyDescent="0.25">
      <c r="A160" s="359">
        <v>150</v>
      </c>
      <c r="B160" s="183" t="s">
        <v>403</v>
      </c>
      <c r="C160" s="180">
        <f t="shared" si="6"/>
        <v>114855</v>
      </c>
      <c r="D160" s="181">
        <f t="shared" si="7"/>
        <v>53713</v>
      </c>
      <c r="E160" s="152">
        <v>20368</v>
      </c>
      <c r="F160" s="152">
        <v>7870</v>
      </c>
      <c r="G160" s="152">
        <v>2117</v>
      </c>
      <c r="H160" s="152">
        <v>23358</v>
      </c>
      <c r="I160" s="182">
        <v>0</v>
      </c>
      <c r="J160" s="181">
        <f t="shared" si="8"/>
        <v>61142</v>
      </c>
      <c r="K160" s="152">
        <f>42586+1500</f>
        <v>44086</v>
      </c>
      <c r="L160" s="152">
        <v>2255</v>
      </c>
      <c r="M160" s="182">
        <v>14801</v>
      </c>
    </row>
    <row r="161" spans="1:14" ht="28.5" customHeight="1" x14ac:dyDescent="0.25">
      <c r="A161" s="359"/>
      <c r="B161" s="189" t="s">
        <v>141</v>
      </c>
      <c r="C161" s="180">
        <f t="shared" si="6"/>
        <v>160816</v>
      </c>
      <c r="D161" s="181">
        <f t="shared" si="7"/>
        <v>103660</v>
      </c>
      <c r="E161" s="152">
        <v>40156</v>
      </c>
      <c r="F161" s="152">
        <v>12605</v>
      </c>
      <c r="G161" s="152">
        <v>3394</v>
      </c>
      <c r="H161" s="152">
        <v>47505</v>
      </c>
      <c r="I161" s="182">
        <v>0</v>
      </c>
      <c r="J161" s="181">
        <f t="shared" si="8"/>
        <v>57156</v>
      </c>
      <c r="K161" s="152">
        <v>34531</v>
      </c>
      <c r="L161" s="152">
        <v>6063</v>
      </c>
      <c r="M161" s="182">
        <v>16562</v>
      </c>
    </row>
    <row r="162" spans="1:14" x14ac:dyDescent="0.25">
      <c r="A162" s="178">
        <v>152</v>
      </c>
      <c r="B162" s="183" t="s">
        <v>404</v>
      </c>
      <c r="C162" s="180">
        <f t="shared" si="6"/>
        <v>3000</v>
      </c>
      <c r="D162" s="181">
        <f t="shared" si="7"/>
        <v>0</v>
      </c>
      <c r="E162" s="152">
        <v>0</v>
      </c>
      <c r="F162" s="152">
        <v>0</v>
      </c>
      <c r="G162" s="152">
        <v>0</v>
      </c>
      <c r="H162" s="152">
        <v>0</v>
      </c>
      <c r="I162" s="182">
        <v>0</v>
      </c>
      <c r="J162" s="181">
        <f t="shared" si="8"/>
        <v>3000</v>
      </c>
      <c r="K162" s="152">
        <v>3000</v>
      </c>
      <c r="L162" s="152">
        <v>0</v>
      </c>
      <c r="M162" s="182">
        <v>0</v>
      </c>
    </row>
    <row r="163" spans="1:14" x14ac:dyDescent="0.25">
      <c r="A163" s="178">
        <v>153</v>
      </c>
      <c r="B163" s="183" t="s">
        <v>405</v>
      </c>
      <c r="C163" s="180">
        <f t="shared" si="6"/>
        <v>9430</v>
      </c>
      <c r="D163" s="181">
        <f t="shared" si="7"/>
        <v>0</v>
      </c>
      <c r="E163" s="152">
        <v>0</v>
      </c>
      <c r="F163" s="152">
        <v>0</v>
      </c>
      <c r="G163" s="152">
        <v>0</v>
      </c>
      <c r="H163" s="152">
        <v>0</v>
      </c>
      <c r="I163" s="182">
        <v>0</v>
      </c>
      <c r="J163" s="181">
        <f t="shared" si="8"/>
        <v>9430</v>
      </c>
      <c r="K163" s="152">
        <v>9430</v>
      </c>
      <c r="L163" s="152">
        <v>0</v>
      </c>
      <c r="M163" s="182">
        <v>0</v>
      </c>
    </row>
    <row r="164" spans="1:14" x14ac:dyDescent="0.25">
      <c r="A164" s="190"/>
      <c r="B164" s="183" t="s">
        <v>149</v>
      </c>
      <c r="C164" s="180">
        <f t="shared" si="6"/>
        <v>315343</v>
      </c>
      <c r="D164" s="181">
        <f t="shared" si="7"/>
        <v>0</v>
      </c>
      <c r="E164" s="152">
        <v>0</v>
      </c>
      <c r="F164" s="152">
        <v>0</v>
      </c>
      <c r="G164" s="152">
        <v>0</v>
      </c>
      <c r="H164" s="152">
        <v>0</v>
      </c>
      <c r="I164" s="182">
        <v>0</v>
      </c>
      <c r="J164" s="181">
        <f t="shared" si="8"/>
        <v>315343</v>
      </c>
      <c r="K164" s="152">
        <f>319343-4000</f>
        <v>315343</v>
      </c>
      <c r="L164" s="152">
        <v>0</v>
      </c>
      <c r="M164" s="182">
        <v>0</v>
      </c>
    </row>
    <row r="165" spans="1:14" ht="15.75" thickBot="1" x14ac:dyDescent="0.3">
      <c r="A165" s="191"/>
      <c r="B165" s="192" t="s">
        <v>52</v>
      </c>
      <c r="C165" s="193">
        <f>SUM(C8:C164)</f>
        <v>11685415.800000001</v>
      </c>
      <c r="D165" s="194">
        <f t="shared" ref="D165:L165" si="9">SUM(D8:D164)</f>
        <v>6377405</v>
      </c>
      <c r="E165" s="195">
        <f t="shared" si="9"/>
        <v>2428892</v>
      </c>
      <c r="F165" s="195">
        <f t="shared" si="9"/>
        <v>776531</v>
      </c>
      <c r="G165" s="196">
        <f t="shared" si="9"/>
        <v>204950</v>
      </c>
      <c r="H165" s="197">
        <f t="shared" si="9"/>
        <v>2561288</v>
      </c>
      <c r="I165" s="198">
        <f t="shared" si="9"/>
        <v>405744</v>
      </c>
      <c r="J165" s="194">
        <f t="shared" si="9"/>
        <v>5308010.8</v>
      </c>
      <c r="K165" s="195">
        <f t="shared" si="9"/>
        <v>3522796.8</v>
      </c>
      <c r="L165" s="196">
        <f t="shared" si="9"/>
        <v>348950</v>
      </c>
      <c r="M165" s="198">
        <f>SUM(M8:M164)</f>
        <v>1436264</v>
      </c>
      <c r="N165" s="170"/>
    </row>
    <row r="166" spans="1:14" x14ac:dyDescent="0.25"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</row>
    <row r="167" spans="1:14" x14ac:dyDescent="0.25">
      <c r="B167" s="168"/>
      <c r="C167" s="166"/>
      <c r="D167" s="166"/>
      <c r="E167" s="166"/>
      <c r="F167" s="166"/>
      <c r="G167" s="166"/>
      <c r="H167" s="199"/>
      <c r="I167" s="199"/>
      <c r="J167" s="199"/>
      <c r="K167" s="199"/>
      <c r="L167" s="199"/>
      <c r="M167" s="199"/>
      <c r="N167" s="200"/>
    </row>
    <row r="168" spans="1:14" x14ac:dyDescent="0.25">
      <c r="B168" s="144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</row>
    <row r="169" spans="1:14" x14ac:dyDescent="0.25">
      <c r="H169" s="201"/>
      <c r="I169" s="201"/>
      <c r="J169" s="201"/>
      <c r="K169" s="201"/>
      <c r="L169" s="201"/>
      <c r="M169" s="201"/>
      <c r="N169" s="201"/>
    </row>
    <row r="170" spans="1:14" x14ac:dyDescent="0.25">
      <c r="C170" s="153"/>
      <c r="D170" s="153"/>
      <c r="E170" s="153"/>
      <c r="F170" s="153"/>
      <c r="G170" s="153"/>
      <c r="H170" s="202"/>
      <c r="I170" s="202"/>
      <c r="J170" s="202"/>
      <c r="K170" s="203"/>
      <c r="L170" s="203"/>
      <c r="M170" s="203"/>
      <c r="N170" s="201"/>
    </row>
    <row r="171" spans="1:14" x14ac:dyDescent="0.25">
      <c r="H171" s="201"/>
      <c r="I171" s="201"/>
      <c r="J171" s="201"/>
      <c r="K171" s="201"/>
      <c r="L171" s="201"/>
      <c r="M171" s="201"/>
      <c r="N171" s="201"/>
    </row>
    <row r="172" spans="1:14" x14ac:dyDescent="0.25">
      <c r="H172" s="201"/>
      <c r="I172" s="201"/>
      <c r="J172" s="201"/>
      <c r="K172" s="201"/>
      <c r="L172" s="201"/>
      <c r="M172" s="201"/>
      <c r="N172" s="201"/>
    </row>
  </sheetData>
  <mergeCells count="23">
    <mergeCell ref="A1:M1"/>
    <mergeCell ref="A3:A6"/>
    <mergeCell ref="B3:B6"/>
    <mergeCell ref="C3:C6"/>
    <mergeCell ref="D3:I3"/>
    <mergeCell ref="J3:M3"/>
    <mergeCell ref="D4:D6"/>
    <mergeCell ref="E4:I4"/>
    <mergeCell ref="J4:J6"/>
    <mergeCell ref="K4:M4"/>
    <mergeCell ref="A160:A161"/>
    <mergeCell ref="M5:M6"/>
    <mergeCell ref="A12:A13"/>
    <mergeCell ref="A40:A41"/>
    <mergeCell ref="A46:A47"/>
    <mergeCell ref="A50:A51"/>
    <mergeCell ref="A114:A115"/>
    <mergeCell ref="E5:F5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КС(пр.99)</vt:lpstr>
      <vt:lpstr>ВМП(пр.99)</vt:lpstr>
      <vt:lpstr>ДС Пр. 99</vt:lpstr>
      <vt:lpstr>ЛДУ Пр.99 </vt:lpstr>
      <vt:lpstr>Гемодиализ Пр. 99</vt:lpstr>
      <vt:lpstr>Гемодиализ в АПУ по кв.Пр 99</vt:lpstr>
      <vt:lpstr>Гемодиализ в ДС по кв. (Пр 99)</vt:lpstr>
      <vt:lpstr>АПУ посещения Пр.99 </vt:lpstr>
      <vt:lpstr>АПУ посещения по меропр. Пр.99 </vt:lpstr>
      <vt:lpstr>ДВН иссл. Пр.99</vt:lpstr>
      <vt:lpstr>АПУ обращения Пр. 99</vt:lpstr>
      <vt:lpstr>Частн.МО  обращен Пр.99</vt:lpstr>
      <vt:lpstr>'АПУ обращения Пр. 99'!Заголовки_для_печати</vt:lpstr>
      <vt:lpstr>'КС(пр.99)'!Заголовки_для_печати</vt:lpstr>
      <vt:lpstr>'Частн.МО  обращен Пр.99'!Заголовки_для_печати</vt:lpstr>
      <vt:lpstr>'Гемодиализ в ДС по кв. (Пр 99)'!Область_печати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Гульшат М. Ардеева</cp:lastModifiedBy>
  <cp:lastPrinted>2019-05-27T09:54:23Z</cp:lastPrinted>
  <dcterms:created xsi:type="dcterms:W3CDTF">2018-12-06T04:36:54Z</dcterms:created>
  <dcterms:modified xsi:type="dcterms:W3CDTF">2019-07-04T03:35:53Z</dcterms:modified>
</cp:coreProperties>
</file>