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19\Протокол 108\"/>
    </mc:Choice>
  </mc:AlternateContent>
  <bookViews>
    <workbookView xWindow="0" yWindow="60" windowWidth="19200" windowHeight="10875" tabRatio="805" firstSheet="2" activeTab="6"/>
  </bookViews>
  <sheets>
    <sheet name="КС (пр.108)" sheetId="118" r:id="rId1"/>
    <sheet name="ВМП (пр.108)" sheetId="117" r:id="rId2"/>
    <sheet name="ДС Пр. 108" sheetId="119" r:id="rId3"/>
    <sheet name="ЛДУ Пр.108" sheetId="120" r:id="rId4"/>
    <sheet name=" Неотложка и обращения Пр.108" sheetId="113" r:id="rId5"/>
    <sheet name="Частн. МО неот. Пр.108" sheetId="114" r:id="rId6"/>
    <sheet name="СМП(пр.108)" sheetId="1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'Частн. МО неот. Пр.108'!$A$5:$E$5</definedName>
    <definedName name="res2_range" localSheetId="1">#REF!</definedName>
    <definedName name="res2_range" localSheetId="2">#REF!</definedName>
    <definedName name="res2_range" localSheetId="0">#REF!</definedName>
    <definedName name="res2_range" localSheetId="3">#REF!</definedName>
    <definedName name="res2_range" localSheetId="6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 localSheetId="2">[2]Данные!$B$1:$EF$178</definedName>
    <definedName name="Д" localSheetId="0">[3]Данные!$B$1:$EF$178</definedName>
    <definedName name="Д" localSheetId="3">[4]Данные!$B$1:$EF$178</definedName>
    <definedName name="Д" localSheetId="6">[5]Данные!$B$1:$EF$178</definedName>
    <definedName name="Д">[6]Данные!$B$1:$EF$178</definedName>
    <definedName name="_xlnm.Print_Titles" localSheetId="4">' Неотложка и обращения Пр.108'!$3:$6</definedName>
    <definedName name="_xlnm.Print_Titles" localSheetId="1">'ВМП (пр.108)'!$2:$2</definedName>
    <definedName name="_xlnm.Print_Titles" localSheetId="2">'ДС Пр. 108'!$3:$4</definedName>
    <definedName name="_xlnm.Print_Titles" localSheetId="0">'КС (пр.108)'!$3:$5</definedName>
    <definedName name="_xlnm.Print_Titles" localSheetId="6">'СМП(пр.108)'!$3:$4</definedName>
    <definedName name="_xlnm.Print_Titles" localSheetId="5">'Частн. МО неот. Пр.108'!$4:$5</definedName>
    <definedName name="ЗД" localSheetId="2">[2]Данные!$BY$3:$DB$3</definedName>
    <definedName name="ЗД" localSheetId="0">[3]Данные!$BY$3:$DB$3</definedName>
    <definedName name="ЗД" localSheetId="3">[4]Данные!$BY$3:$DB$3</definedName>
    <definedName name="ЗД" localSheetId="6">[5]Данные!$BY$3:$DB$3</definedName>
    <definedName name="ЗД">[6]Данные!$BY$3:$DB$3</definedName>
    <definedName name="_xlnm.Print_Area" localSheetId="5">'Частн. МО неот. Пр.108'!$A$1:$D$27</definedName>
    <definedName name="ФЗ" localSheetId="2">[2]Данные!$DC$3:$EF$3</definedName>
    <definedName name="ФЗ" localSheetId="0">[3]Данные!$DC$3:$EF$3</definedName>
    <definedName name="ФЗ" localSheetId="3">[4]Данные!$DC$3:$EF$3</definedName>
    <definedName name="ФЗ" localSheetId="6">[5]Данные!$DC$3:$EF$3</definedName>
    <definedName name="ФЗ">[6]Данные!$DC$3:$EF$3</definedName>
    <definedName name="Шт" localSheetId="2">[2]Данные!$AU$3:$BX$3</definedName>
    <definedName name="Шт" localSheetId="0">[3]Данные!$AU$3:$BX$3</definedName>
    <definedName name="Шт" localSheetId="3">[4]Данные!$AU$3:$BX$3</definedName>
    <definedName name="Шт" localSheetId="6">[5]Данные!$AU$3:$BX$3</definedName>
    <definedName name="Шт">[6]Данные!$AU$3:$BX$3</definedName>
  </definedNames>
  <calcPr calcId="152511"/>
</workbook>
</file>

<file path=xl/calcChain.xml><?xml version="1.0" encoding="utf-8"?>
<calcChain xmlns="http://schemas.openxmlformats.org/spreadsheetml/2006/main">
  <c r="E64" i="123" l="1"/>
  <c r="F53" i="123"/>
  <c r="E33" i="123" l="1"/>
  <c r="J65" i="123"/>
  <c r="I65" i="123"/>
  <c r="H65" i="123"/>
  <c r="G65" i="123"/>
  <c r="F65" i="123"/>
  <c r="C64" i="123"/>
  <c r="E63" i="123"/>
  <c r="C63" i="123"/>
  <c r="E62" i="123"/>
  <c r="C62" i="123"/>
  <c r="E61" i="123"/>
  <c r="C61" i="123"/>
  <c r="E60" i="123"/>
  <c r="C60" i="123"/>
  <c r="E59" i="123"/>
  <c r="C59" i="123"/>
  <c r="E58" i="123"/>
  <c r="C58" i="123"/>
  <c r="E57" i="123"/>
  <c r="C57" i="123"/>
  <c r="E56" i="123"/>
  <c r="C56" i="123"/>
  <c r="E55" i="123"/>
  <c r="C55" i="123"/>
  <c r="E54" i="123"/>
  <c r="C54" i="123"/>
  <c r="E53" i="123"/>
  <c r="D53" i="123"/>
  <c r="E52" i="123"/>
  <c r="C52" i="123" s="1"/>
  <c r="E51" i="123"/>
  <c r="C51" i="123" s="1"/>
  <c r="E50" i="123"/>
  <c r="C50" i="123" s="1"/>
  <c r="E49" i="123"/>
  <c r="C49" i="123" s="1"/>
  <c r="E48" i="123"/>
  <c r="C48" i="123" s="1"/>
  <c r="E47" i="123"/>
  <c r="C47" i="123" s="1"/>
  <c r="E46" i="123"/>
  <c r="C46" i="123" s="1"/>
  <c r="E45" i="123"/>
  <c r="C45" i="123" s="1"/>
  <c r="E44" i="123"/>
  <c r="C44" i="123" s="1"/>
  <c r="E43" i="123"/>
  <c r="C43" i="123" s="1"/>
  <c r="E42" i="123"/>
  <c r="C42" i="123" s="1"/>
  <c r="E41" i="123"/>
  <c r="C41" i="123" s="1"/>
  <c r="E40" i="123"/>
  <c r="C40" i="123" s="1"/>
  <c r="E39" i="123"/>
  <c r="C39" i="123" s="1"/>
  <c r="E38" i="123"/>
  <c r="C38" i="123" s="1"/>
  <c r="E37" i="123"/>
  <c r="C37" i="123" s="1"/>
  <c r="E36" i="123"/>
  <c r="D36" i="123"/>
  <c r="C36" i="123"/>
  <c r="E35" i="123"/>
  <c r="C35" i="123"/>
  <c r="E34" i="123"/>
  <c r="C34" i="123"/>
  <c r="C33" i="123"/>
  <c r="E32" i="123"/>
  <c r="C32" i="123"/>
  <c r="E31" i="123"/>
  <c r="C31" i="123"/>
  <c r="E30" i="123"/>
  <c r="C30" i="123"/>
  <c r="E29" i="123"/>
  <c r="C29" i="123"/>
  <c r="E28" i="123"/>
  <c r="C28" i="123"/>
  <c r="E27" i="123"/>
  <c r="C27" i="123"/>
  <c r="E26" i="123"/>
  <c r="C26" i="123"/>
  <c r="E25" i="123"/>
  <c r="C25" i="123"/>
  <c r="E24" i="123"/>
  <c r="C24" i="123"/>
  <c r="E23" i="123"/>
  <c r="C23" i="123"/>
  <c r="E22" i="123"/>
  <c r="C22" i="123"/>
  <c r="E21" i="123"/>
  <c r="C21" i="123"/>
  <c r="E20" i="123"/>
  <c r="C20" i="123"/>
  <c r="E19" i="123"/>
  <c r="C19" i="123"/>
  <c r="E18" i="123"/>
  <c r="C18" i="123"/>
  <c r="E17" i="123"/>
  <c r="C17" i="123"/>
  <c r="E16" i="123"/>
  <c r="C16" i="123"/>
  <c r="E15" i="123"/>
  <c r="C15" i="123"/>
  <c r="E14" i="123"/>
  <c r="C14" i="123"/>
  <c r="E13" i="123"/>
  <c r="C13" i="123"/>
  <c r="E12" i="123"/>
  <c r="C12" i="123"/>
  <c r="E11" i="123"/>
  <c r="C11" i="123"/>
  <c r="E10" i="123"/>
  <c r="C10" i="123"/>
  <c r="E9" i="123"/>
  <c r="C9" i="123"/>
  <c r="E8" i="123"/>
  <c r="C8" i="123"/>
  <c r="E7" i="123"/>
  <c r="C7" i="123"/>
  <c r="E6" i="123"/>
  <c r="C6" i="123"/>
  <c r="E5" i="123"/>
  <c r="C5" i="123"/>
  <c r="C53" i="123" l="1"/>
  <c r="E65" i="123"/>
  <c r="C65" i="123"/>
  <c r="D65" i="123"/>
  <c r="R54" i="120" l="1"/>
  <c r="K54" i="120"/>
  <c r="M54" i="120" s="1"/>
  <c r="I54" i="120"/>
  <c r="G54" i="120"/>
  <c r="F54" i="120"/>
  <c r="E54" i="120"/>
  <c r="C54" i="120"/>
  <c r="Q53" i="120"/>
  <c r="R53" i="120" s="1"/>
  <c r="P53" i="120"/>
  <c r="J53" i="120"/>
  <c r="F53" i="120"/>
  <c r="R52" i="120"/>
  <c r="G52" i="120"/>
  <c r="J52" i="120" s="1"/>
  <c r="F52" i="120"/>
  <c r="R51" i="120"/>
  <c r="J51" i="120"/>
  <c r="F51" i="120"/>
  <c r="Q50" i="120"/>
  <c r="P50" i="120"/>
  <c r="J50" i="120"/>
  <c r="D50" i="120"/>
  <c r="F50" i="120" s="1"/>
  <c r="C50" i="120"/>
  <c r="R49" i="120"/>
  <c r="J49" i="120"/>
  <c r="F49" i="120"/>
  <c r="R48" i="120"/>
  <c r="J48" i="120"/>
  <c r="C48" i="120"/>
  <c r="F48" i="120" s="1"/>
  <c r="R47" i="120"/>
  <c r="O47" i="120"/>
  <c r="O55" i="120" s="1"/>
  <c r="J47" i="120"/>
  <c r="F47" i="120"/>
  <c r="R46" i="120"/>
  <c r="K46" i="120"/>
  <c r="M46" i="120" s="1"/>
  <c r="J46" i="120"/>
  <c r="D46" i="120"/>
  <c r="C46" i="120"/>
  <c r="R45" i="120"/>
  <c r="I45" i="120"/>
  <c r="H45" i="120"/>
  <c r="G45" i="120"/>
  <c r="E45" i="120"/>
  <c r="D45" i="120"/>
  <c r="C45" i="120"/>
  <c r="R44" i="120"/>
  <c r="J44" i="120"/>
  <c r="E44" i="120"/>
  <c r="D44" i="120"/>
  <c r="C44" i="120"/>
  <c r="Q43" i="120"/>
  <c r="P43" i="120"/>
  <c r="I43" i="120"/>
  <c r="G43" i="120"/>
  <c r="F43" i="120"/>
  <c r="R42" i="120"/>
  <c r="G42" i="120"/>
  <c r="J42" i="120" s="1"/>
  <c r="C42" i="120"/>
  <c r="F42" i="120" s="1"/>
  <c r="R41" i="120"/>
  <c r="K41" i="120"/>
  <c r="M41" i="120" s="1"/>
  <c r="J41" i="120"/>
  <c r="E41" i="120"/>
  <c r="F41" i="120" s="1"/>
  <c r="S41" i="120" s="1"/>
  <c r="C41" i="120"/>
  <c r="R40" i="120"/>
  <c r="N40" i="120"/>
  <c r="K40" i="120"/>
  <c r="M40" i="120" s="1"/>
  <c r="I40" i="120"/>
  <c r="G40" i="120"/>
  <c r="J40" i="120" s="1"/>
  <c r="E40" i="120"/>
  <c r="F40" i="120" s="1"/>
  <c r="C40" i="120"/>
  <c r="R39" i="120"/>
  <c r="L39" i="120"/>
  <c r="L55" i="120" s="1"/>
  <c r="K39" i="120"/>
  <c r="I39" i="120"/>
  <c r="J39" i="120" s="1"/>
  <c r="G39" i="120"/>
  <c r="E39" i="120"/>
  <c r="C39" i="120"/>
  <c r="R38" i="120"/>
  <c r="H38" i="120"/>
  <c r="G38" i="120"/>
  <c r="D38" i="120"/>
  <c r="C38" i="120"/>
  <c r="F38" i="120" s="1"/>
  <c r="R37" i="120"/>
  <c r="G37" i="120"/>
  <c r="J37" i="120" s="1"/>
  <c r="F37" i="120"/>
  <c r="R36" i="120"/>
  <c r="G36" i="120"/>
  <c r="J36" i="120" s="1"/>
  <c r="F36" i="120"/>
  <c r="R35" i="120"/>
  <c r="K35" i="120"/>
  <c r="M35" i="120" s="1"/>
  <c r="H35" i="120"/>
  <c r="J35" i="120" s="1"/>
  <c r="G35" i="120"/>
  <c r="E35" i="120"/>
  <c r="C35" i="120"/>
  <c r="Q34" i="120"/>
  <c r="P34" i="120"/>
  <c r="J34" i="120"/>
  <c r="F34" i="120"/>
  <c r="R33" i="120"/>
  <c r="I33" i="120"/>
  <c r="G33" i="120"/>
  <c r="J33" i="120" s="1"/>
  <c r="E33" i="120"/>
  <c r="D33" i="120"/>
  <c r="C33" i="120"/>
  <c r="F33" i="120" s="1"/>
  <c r="S33" i="120" s="1"/>
  <c r="R32" i="120"/>
  <c r="J32" i="120"/>
  <c r="C32" i="120"/>
  <c r="F32" i="120" s="1"/>
  <c r="Q31" i="120"/>
  <c r="P31" i="120"/>
  <c r="J31" i="120"/>
  <c r="E31" i="120"/>
  <c r="D31" i="120"/>
  <c r="C31" i="120"/>
  <c r="R30" i="120"/>
  <c r="J30" i="120"/>
  <c r="D30" i="120"/>
  <c r="C30" i="120"/>
  <c r="R29" i="120"/>
  <c r="J29" i="120"/>
  <c r="D29" i="120"/>
  <c r="F29" i="120" s="1"/>
  <c r="C29" i="120"/>
  <c r="Q28" i="120"/>
  <c r="R28" i="120" s="1"/>
  <c r="P28" i="120"/>
  <c r="J28" i="120"/>
  <c r="F28" i="120"/>
  <c r="R27" i="120"/>
  <c r="J27" i="120"/>
  <c r="E27" i="120"/>
  <c r="D27" i="120"/>
  <c r="C27" i="120"/>
  <c r="R26" i="120"/>
  <c r="J26" i="120"/>
  <c r="C26" i="120"/>
  <c r="F26" i="120" s="1"/>
  <c r="Q25" i="120"/>
  <c r="P25" i="120"/>
  <c r="J25" i="120"/>
  <c r="D25" i="120"/>
  <c r="C25" i="120"/>
  <c r="F25" i="120" s="1"/>
  <c r="Q24" i="120"/>
  <c r="P24" i="120"/>
  <c r="R24" i="120" s="1"/>
  <c r="J24" i="120"/>
  <c r="C24" i="120"/>
  <c r="F24" i="120" s="1"/>
  <c r="S24" i="120" s="1"/>
  <c r="Q23" i="120"/>
  <c r="P23" i="120"/>
  <c r="R23" i="120" s="1"/>
  <c r="J23" i="120"/>
  <c r="F23" i="120"/>
  <c r="Q22" i="120"/>
  <c r="P22" i="120"/>
  <c r="J22" i="120"/>
  <c r="F22" i="120"/>
  <c r="Q21" i="120"/>
  <c r="P21" i="120"/>
  <c r="R21" i="120" s="1"/>
  <c r="J21" i="120"/>
  <c r="D21" i="120"/>
  <c r="C21" i="120"/>
  <c r="F21" i="120" s="1"/>
  <c r="S21" i="120" s="1"/>
  <c r="R20" i="120"/>
  <c r="J20" i="120"/>
  <c r="E20" i="120"/>
  <c r="C20" i="120"/>
  <c r="F20" i="120" s="1"/>
  <c r="S20" i="120" s="1"/>
  <c r="Q19" i="120"/>
  <c r="P19" i="120"/>
  <c r="R19" i="120" s="1"/>
  <c r="J19" i="120"/>
  <c r="D19" i="120"/>
  <c r="C19" i="120"/>
  <c r="R18" i="120"/>
  <c r="J18" i="120"/>
  <c r="F18" i="120"/>
  <c r="S18" i="120" s="1"/>
  <c r="Q17" i="120"/>
  <c r="P17" i="120"/>
  <c r="R17" i="120" s="1"/>
  <c r="J17" i="120"/>
  <c r="D17" i="120"/>
  <c r="C17" i="120"/>
  <c r="R16" i="120"/>
  <c r="N16" i="120"/>
  <c r="N55" i="120" s="1"/>
  <c r="J16" i="120"/>
  <c r="H16" i="120"/>
  <c r="G16" i="120"/>
  <c r="E16" i="120"/>
  <c r="D16" i="120"/>
  <c r="C16" i="120"/>
  <c r="R15" i="120"/>
  <c r="J15" i="120"/>
  <c r="E15" i="120"/>
  <c r="D15" i="120"/>
  <c r="C15" i="120"/>
  <c r="R14" i="120"/>
  <c r="J14" i="120"/>
  <c r="G14" i="120"/>
  <c r="F14" i="120"/>
  <c r="Q13" i="120"/>
  <c r="R13" i="120" s="1"/>
  <c r="P13" i="120"/>
  <c r="J13" i="120"/>
  <c r="E13" i="120"/>
  <c r="D13" i="120"/>
  <c r="C13" i="120"/>
  <c r="F13" i="120" s="1"/>
  <c r="S13" i="120" s="1"/>
  <c r="R12" i="120"/>
  <c r="J12" i="120"/>
  <c r="C12" i="120"/>
  <c r="F12" i="120" s="1"/>
  <c r="Q11" i="120"/>
  <c r="P11" i="120"/>
  <c r="J11" i="120"/>
  <c r="D11" i="120"/>
  <c r="C11" i="120"/>
  <c r="Q10" i="120"/>
  <c r="P10" i="120"/>
  <c r="R10" i="120" s="1"/>
  <c r="J10" i="120"/>
  <c r="E10" i="120"/>
  <c r="C10" i="120"/>
  <c r="R9" i="120"/>
  <c r="J9" i="120"/>
  <c r="E9" i="120"/>
  <c r="C9" i="120"/>
  <c r="Q8" i="120"/>
  <c r="P8" i="120"/>
  <c r="J8" i="120"/>
  <c r="E8" i="120"/>
  <c r="C8" i="120"/>
  <c r="F8" i="120" s="1"/>
  <c r="R7" i="120"/>
  <c r="J7" i="120"/>
  <c r="D7" i="120"/>
  <c r="C7" i="120"/>
  <c r="Q6" i="120"/>
  <c r="P6" i="120"/>
  <c r="J6" i="120"/>
  <c r="E6" i="120"/>
  <c r="C6" i="120"/>
  <c r="R5" i="120"/>
  <c r="J5" i="120"/>
  <c r="F5" i="120"/>
  <c r="D5" i="120"/>
  <c r="C5" i="120"/>
  <c r="S23" i="120" l="1"/>
  <c r="S35" i="120"/>
  <c r="S40" i="120"/>
  <c r="D55" i="120"/>
  <c r="F9" i="120"/>
  <c r="S9" i="120" s="1"/>
  <c r="F10" i="120"/>
  <c r="S10" i="120" s="1"/>
  <c r="R11" i="120"/>
  <c r="F16" i="120"/>
  <c r="S16" i="120" s="1"/>
  <c r="R22" i="120"/>
  <c r="S26" i="120"/>
  <c r="F30" i="120"/>
  <c r="S30" i="120" s="1"/>
  <c r="R31" i="120"/>
  <c r="F35" i="120"/>
  <c r="J38" i="120"/>
  <c r="M39" i="120"/>
  <c r="M55" i="120" s="1"/>
  <c r="J43" i="120"/>
  <c r="F44" i="120"/>
  <c r="F46" i="120"/>
  <c r="S46" i="120" s="1"/>
  <c r="R50" i="120"/>
  <c r="S50" i="120" s="1"/>
  <c r="S53" i="120"/>
  <c r="J54" i="120"/>
  <c r="K55" i="120"/>
  <c r="P55" i="120"/>
  <c r="F27" i="120"/>
  <c r="S27" i="120" s="1"/>
  <c r="S29" i="120"/>
  <c r="C55" i="120"/>
  <c r="R8" i="120"/>
  <c r="S8" i="120" s="1"/>
  <c r="S12" i="120"/>
  <c r="F17" i="120"/>
  <c r="F19" i="120"/>
  <c r="R25" i="120"/>
  <c r="S25" i="120" s="1"/>
  <c r="S32" i="120"/>
  <c r="R43" i="120"/>
  <c r="F45" i="120"/>
  <c r="S47" i="120"/>
  <c r="S49" i="120"/>
  <c r="S51" i="120"/>
  <c r="S5" i="120"/>
  <c r="E55" i="120"/>
  <c r="F7" i="120"/>
  <c r="S7" i="120" s="1"/>
  <c r="S19" i="120"/>
  <c r="S36" i="120"/>
  <c r="S37" i="120"/>
  <c r="S43" i="120"/>
  <c r="F6" i="120"/>
  <c r="S6" i="120" s="1"/>
  <c r="R6" i="120"/>
  <c r="S14" i="120"/>
  <c r="F11" i="120"/>
  <c r="S11" i="120" s="1"/>
  <c r="F15" i="120"/>
  <c r="S15" i="120" s="1"/>
  <c r="S22" i="120"/>
  <c r="S28" i="120"/>
  <c r="F31" i="120"/>
  <c r="S31" i="120" s="1"/>
  <c r="R34" i="120"/>
  <c r="F39" i="120"/>
  <c r="J45" i="120"/>
  <c r="J55" i="120" s="1"/>
  <c r="H55" i="120"/>
  <c r="Q55" i="120"/>
  <c r="S17" i="120"/>
  <c r="S34" i="120"/>
  <c r="S38" i="120"/>
  <c r="S42" i="120"/>
  <c r="I55" i="120"/>
  <c r="S44" i="120"/>
  <c r="S48" i="120"/>
  <c r="S52" i="120"/>
  <c r="S54" i="120"/>
  <c r="G55" i="120"/>
  <c r="R55" i="120" l="1"/>
  <c r="S39" i="120"/>
  <c r="S55" i="120" s="1"/>
  <c r="F55" i="120"/>
  <c r="S45" i="120"/>
  <c r="G148" i="119" l="1"/>
  <c r="D148" i="119"/>
  <c r="C148" i="119"/>
  <c r="C147" i="119"/>
  <c r="H146" i="119"/>
  <c r="D146" i="119"/>
  <c r="D142" i="119" s="1"/>
  <c r="C146" i="119"/>
  <c r="I145" i="119"/>
  <c r="C145" i="119" s="1"/>
  <c r="I144" i="119"/>
  <c r="C144" i="119"/>
  <c r="C143" i="119"/>
  <c r="H142" i="119"/>
  <c r="G142" i="119"/>
  <c r="F142" i="119"/>
  <c r="E142" i="119"/>
  <c r="D141" i="119"/>
  <c r="C141" i="119"/>
  <c r="D140" i="119"/>
  <c r="C140" i="119" s="1"/>
  <c r="H139" i="119"/>
  <c r="F139" i="119"/>
  <c r="D139" i="119"/>
  <c r="C139" i="119" s="1"/>
  <c r="C138" i="119"/>
  <c r="F137" i="119"/>
  <c r="D137" i="119"/>
  <c r="C137" i="119" s="1"/>
  <c r="G136" i="119"/>
  <c r="D136" i="119"/>
  <c r="C136" i="119"/>
  <c r="D135" i="119"/>
  <c r="C135" i="119" s="1"/>
  <c r="D134" i="119"/>
  <c r="C134" i="119"/>
  <c r="D133" i="119"/>
  <c r="C133" i="119" s="1"/>
  <c r="E132" i="119"/>
  <c r="D132" i="119"/>
  <c r="C132" i="119"/>
  <c r="E131" i="119"/>
  <c r="E129" i="119" s="1"/>
  <c r="D131" i="119"/>
  <c r="C131" i="119"/>
  <c r="H130" i="119"/>
  <c r="H129" i="119" s="1"/>
  <c r="F130" i="119"/>
  <c r="F129" i="119" s="1"/>
  <c r="E130" i="119"/>
  <c r="D130" i="119"/>
  <c r="D129" i="119" s="1"/>
  <c r="C130" i="119"/>
  <c r="C129" i="119" s="1"/>
  <c r="G129" i="119"/>
  <c r="C128" i="119"/>
  <c r="H127" i="119"/>
  <c r="D127" i="119"/>
  <c r="C127" i="119"/>
  <c r="D126" i="119"/>
  <c r="C126" i="119"/>
  <c r="C125" i="119"/>
  <c r="C124" i="119"/>
  <c r="D123" i="119"/>
  <c r="C123" i="119"/>
  <c r="D122" i="119"/>
  <c r="C122" i="119"/>
  <c r="G121" i="119"/>
  <c r="D121" i="119"/>
  <c r="C121" i="119" s="1"/>
  <c r="D120" i="119"/>
  <c r="C120" i="119"/>
  <c r="C119" i="119"/>
  <c r="G118" i="119"/>
  <c r="D118" i="119"/>
  <c r="C118" i="119"/>
  <c r="D117" i="119"/>
  <c r="C117" i="119" s="1"/>
  <c r="D116" i="119"/>
  <c r="C116" i="119" s="1"/>
  <c r="C114" i="119"/>
  <c r="G113" i="119"/>
  <c r="D113" i="119"/>
  <c r="C113" i="119" s="1"/>
  <c r="D112" i="119"/>
  <c r="C112" i="119"/>
  <c r="F111" i="119"/>
  <c r="D111" i="119"/>
  <c r="C111" i="119"/>
  <c r="D110" i="119"/>
  <c r="C110" i="119"/>
  <c r="D109" i="119"/>
  <c r="C109" i="119"/>
  <c r="D108" i="119"/>
  <c r="C108" i="119"/>
  <c r="C107" i="119"/>
  <c r="H106" i="119"/>
  <c r="D106" i="119"/>
  <c r="C106" i="119"/>
  <c r="D105" i="119"/>
  <c r="C105" i="119"/>
  <c r="D104" i="119"/>
  <c r="C104" i="119"/>
  <c r="D103" i="119"/>
  <c r="C103" i="119"/>
  <c r="D102" i="119"/>
  <c r="C102" i="119"/>
  <c r="D101" i="119"/>
  <c r="C101" i="119"/>
  <c r="C100" i="119"/>
  <c r="D99" i="119"/>
  <c r="C99" i="119" s="1"/>
  <c r="D98" i="119"/>
  <c r="C98" i="119"/>
  <c r="D97" i="119"/>
  <c r="C97" i="119" s="1"/>
  <c r="C96" i="119"/>
  <c r="C95" i="119"/>
  <c r="H94" i="119"/>
  <c r="F94" i="119"/>
  <c r="D94" i="119"/>
  <c r="C94" i="119" s="1"/>
  <c r="C93" i="119"/>
  <c r="H92" i="119"/>
  <c r="F92" i="119"/>
  <c r="D92" i="119"/>
  <c r="C92" i="119"/>
  <c r="F91" i="119"/>
  <c r="E91" i="119"/>
  <c r="D91" i="119"/>
  <c r="C91" i="119"/>
  <c r="H90" i="119"/>
  <c r="F90" i="119"/>
  <c r="D90" i="119"/>
  <c r="C90" i="119"/>
  <c r="D89" i="119"/>
  <c r="C89" i="119"/>
  <c r="F88" i="119"/>
  <c r="D88" i="119"/>
  <c r="C88" i="119" s="1"/>
  <c r="C87" i="119"/>
  <c r="D86" i="119"/>
  <c r="C86" i="119" s="1"/>
  <c r="C85" i="119"/>
  <c r="D84" i="119"/>
  <c r="C84" i="119"/>
  <c r="D83" i="119"/>
  <c r="C83" i="119" s="1"/>
  <c r="D82" i="119"/>
  <c r="C82" i="119"/>
  <c r="H81" i="119"/>
  <c r="D81" i="119"/>
  <c r="C81" i="119"/>
  <c r="C80" i="119"/>
  <c r="F79" i="119"/>
  <c r="D79" i="119"/>
  <c r="C79" i="119"/>
  <c r="D78" i="119"/>
  <c r="C78" i="119"/>
  <c r="H77" i="119"/>
  <c r="D77" i="119"/>
  <c r="C77" i="119"/>
  <c r="D76" i="119"/>
  <c r="C76" i="119" s="1"/>
  <c r="H75" i="119"/>
  <c r="D75" i="119"/>
  <c r="C75" i="119"/>
  <c r="D74" i="119"/>
  <c r="C74" i="119" s="1"/>
  <c r="H73" i="119"/>
  <c r="E73" i="119"/>
  <c r="D73" i="119"/>
  <c r="C73" i="119" s="1"/>
  <c r="E72" i="119"/>
  <c r="D72" i="119"/>
  <c r="C72" i="119" s="1"/>
  <c r="F71" i="119"/>
  <c r="E71" i="119"/>
  <c r="D71" i="119"/>
  <c r="C71" i="119" s="1"/>
  <c r="F70" i="119"/>
  <c r="E70" i="119"/>
  <c r="D70" i="119"/>
  <c r="C70" i="119" s="1"/>
  <c r="F69" i="119"/>
  <c r="E69" i="119"/>
  <c r="D69" i="119"/>
  <c r="C69" i="119" s="1"/>
  <c r="F68" i="119"/>
  <c r="E68" i="119"/>
  <c r="D68" i="119"/>
  <c r="C68" i="119" s="1"/>
  <c r="C67" i="119"/>
  <c r="C66" i="119"/>
  <c r="C65" i="119"/>
  <c r="C64" i="119"/>
  <c r="D63" i="119"/>
  <c r="C63" i="119" s="1"/>
  <c r="C62" i="119"/>
  <c r="C61" i="119"/>
  <c r="D60" i="119"/>
  <c r="C60" i="119" s="1"/>
  <c r="H59" i="119"/>
  <c r="F59" i="119"/>
  <c r="D59" i="119"/>
  <c r="C59" i="119" s="1"/>
  <c r="H58" i="119"/>
  <c r="D58" i="119"/>
  <c r="C58" i="119"/>
  <c r="D57" i="119"/>
  <c r="C57" i="119"/>
  <c r="C56" i="119"/>
  <c r="H55" i="119"/>
  <c r="D55" i="119"/>
  <c r="C55" i="119"/>
  <c r="D54" i="119"/>
  <c r="C54" i="119"/>
  <c r="C53" i="119"/>
  <c r="D52" i="119"/>
  <c r="C52" i="119" s="1"/>
  <c r="D51" i="119"/>
  <c r="C51" i="119"/>
  <c r="D50" i="119"/>
  <c r="C50" i="119" s="1"/>
  <c r="D49" i="119"/>
  <c r="C49" i="119"/>
  <c r="D48" i="119"/>
  <c r="C48" i="119" s="1"/>
  <c r="D47" i="119"/>
  <c r="C47" i="119"/>
  <c r="H46" i="119"/>
  <c r="D46" i="119"/>
  <c r="C46" i="119" s="1"/>
  <c r="D45" i="119"/>
  <c r="C45" i="119"/>
  <c r="D44" i="119"/>
  <c r="C44" i="119" s="1"/>
  <c r="H43" i="119"/>
  <c r="D43" i="119"/>
  <c r="C43" i="119" s="1"/>
  <c r="C42" i="119"/>
  <c r="D41" i="119"/>
  <c r="C41" i="119"/>
  <c r="C40" i="119"/>
  <c r="H39" i="119"/>
  <c r="D39" i="119"/>
  <c r="C39" i="119"/>
  <c r="C38" i="119"/>
  <c r="C37" i="119"/>
  <c r="E36" i="119"/>
  <c r="D36" i="119"/>
  <c r="C36" i="119" s="1"/>
  <c r="D35" i="119"/>
  <c r="C35" i="119"/>
  <c r="D34" i="119"/>
  <c r="C34" i="119" s="1"/>
  <c r="D33" i="119"/>
  <c r="C33" i="119"/>
  <c r="C32" i="119"/>
  <c r="D31" i="119"/>
  <c r="C31" i="119"/>
  <c r="H30" i="119"/>
  <c r="D30" i="119"/>
  <c r="C30" i="119" s="1"/>
  <c r="D29" i="119"/>
  <c r="C29" i="119"/>
  <c r="D28" i="119"/>
  <c r="C28" i="119" s="1"/>
  <c r="D27" i="119"/>
  <c r="C27" i="119" s="1"/>
  <c r="C26" i="119"/>
  <c r="D25" i="119"/>
  <c r="C25" i="119"/>
  <c r="D24" i="119"/>
  <c r="C24" i="119"/>
  <c r="H23" i="119"/>
  <c r="D23" i="119"/>
  <c r="C23" i="119" s="1"/>
  <c r="D22" i="119"/>
  <c r="C22" i="119" s="1"/>
  <c r="F21" i="119"/>
  <c r="D21" i="119"/>
  <c r="C21" i="119" s="1"/>
  <c r="C20" i="119"/>
  <c r="D19" i="119"/>
  <c r="C19" i="119"/>
  <c r="C18" i="119"/>
  <c r="C17" i="119"/>
  <c r="D16" i="119"/>
  <c r="C16" i="119"/>
  <c r="D15" i="119"/>
  <c r="C15" i="119" s="1"/>
  <c r="C14" i="119"/>
  <c r="D13" i="119"/>
  <c r="C13" i="119"/>
  <c r="D12" i="119"/>
  <c r="C12" i="119"/>
  <c r="D11" i="119"/>
  <c r="C11" i="119"/>
  <c r="C10" i="119"/>
  <c r="C9" i="119"/>
  <c r="H8" i="119"/>
  <c r="D8" i="119"/>
  <c r="C8" i="119" s="1"/>
  <c r="D7" i="119"/>
  <c r="C7" i="119"/>
  <c r="H6" i="119"/>
  <c r="D6" i="119"/>
  <c r="C6" i="119" s="1"/>
  <c r="H149" i="119" l="1"/>
  <c r="F149" i="119"/>
  <c r="D115" i="119"/>
  <c r="I142" i="119"/>
  <c r="C142" i="119" s="1"/>
  <c r="C149" i="119" s="1"/>
  <c r="E149" i="119"/>
  <c r="G149" i="119"/>
  <c r="I149" i="119"/>
  <c r="C115" i="119"/>
  <c r="D149" i="119"/>
  <c r="H111" i="118" l="1"/>
  <c r="G111" i="118"/>
  <c r="F111" i="118"/>
  <c r="D111" i="118"/>
  <c r="C111" i="118" s="1"/>
  <c r="H110" i="118"/>
  <c r="F110" i="118"/>
  <c r="C110" i="118" s="1"/>
  <c r="C109" i="118"/>
  <c r="F108" i="118"/>
  <c r="C108" i="118" s="1"/>
  <c r="F107" i="118"/>
  <c r="C107" i="118" s="1"/>
  <c r="H106" i="118"/>
  <c r="G106" i="118"/>
  <c r="F106" i="118"/>
  <c r="D106" i="118"/>
  <c r="H105" i="118"/>
  <c r="G105" i="118"/>
  <c r="F105" i="118"/>
  <c r="D105" i="118"/>
  <c r="G104" i="118"/>
  <c r="F104" i="118"/>
  <c r="C104" i="118" s="1"/>
  <c r="F103" i="118"/>
  <c r="D103" i="118"/>
  <c r="F102" i="118"/>
  <c r="C102" i="118" s="1"/>
  <c r="F101" i="118"/>
  <c r="D101" i="118"/>
  <c r="C101" i="118"/>
  <c r="H100" i="118"/>
  <c r="G100" i="118"/>
  <c r="F100" i="118"/>
  <c r="E100" i="118"/>
  <c r="D100" i="118"/>
  <c r="C100" i="118" s="1"/>
  <c r="G99" i="118"/>
  <c r="F99" i="118"/>
  <c r="D99" i="118"/>
  <c r="C99" i="118" s="1"/>
  <c r="H98" i="118"/>
  <c r="F98" i="118"/>
  <c r="E98" i="118"/>
  <c r="D98" i="118"/>
  <c r="C98" i="118"/>
  <c r="H97" i="118"/>
  <c r="G97" i="118"/>
  <c r="F97" i="118"/>
  <c r="D97" i="118"/>
  <c r="C97" i="118" s="1"/>
  <c r="C96" i="118"/>
  <c r="I95" i="118"/>
  <c r="C95" i="118" s="1"/>
  <c r="I94" i="118"/>
  <c r="C94" i="118" s="1"/>
  <c r="C93" i="118"/>
  <c r="C92" i="118"/>
  <c r="F91" i="118"/>
  <c r="D91" i="118"/>
  <c r="C91" i="118"/>
  <c r="H90" i="118"/>
  <c r="G90" i="118"/>
  <c r="F90" i="118"/>
  <c r="C90" i="118" s="1"/>
  <c r="F89" i="118"/>
  <c r="C89" i="118" s="1"/>
  <c r="H88" i="118"/>
  <c r="F88" i="118"/>
  <c r="C88" i="118"/>
  <c r="F87" i="118"/>
  <c r="C87" i="118" s="1"/>
  <c r="H86" i="118"/>
  <c r="F86" i="118"/>
  <c r="C86" i="118" s="1"/>
  <c r="H85" i="118"/>
  <c r="G85" i="118"/>
  <c r="F85" i="118"/>
  <c r="D85" i="118"/>
  <c r="H84" i="118"/>
  <c r="F84" i="118"/>
  <c r="C84" i="118" s="1"/>
  <c r="H83" i="118"/>
  <c r="F83" i="118"/>
  <c r="C83" i="118" s="1"/>
  <c r="F82" i="118"/>
  <c r="C82" i="118" s="1"/>
  <c r="H81" i="118"/>
  <c r="F81" i="118"/>
  <c r="C81" i="118"/>
  <c r="H80" i="118"/>
  <c r="F80" i="118"/>
  <c r="C80" i="118" s="1"/>
  <c r="H79" i="118"/>
  <c r="F79" i="118"/>
  <c r="C79" i="118"/>
  <c r="H78" i="118"/>
  <c r="F78" i="118"/>
  <c r="C78" i="118" s="1"/>
  <c r="H77" i="118"/>
  <c r="F77" i="118"/>
  <c r="C77" i="118"/>
  <c r="F76" i="118"/>
  <c r="C76" i="118" s="1"/>
  <c r="F75" i="118"/>
  <c r="C75" i="118" s="1"/>
  <c r="F74" i="118"/>
  <c r="C74" i="118" s="1"/>
  <c r="H73" i="118"/>
  <c r="G73" i="118"/>
  <c r="F73" i="118"/>
  <c r="E73" i="118"/>
  <c r="D73" i="118"/>
  <c r="C73" i="118"/>
  <c r="F72" i="118"/>
  <c r="C72" i="118" s="1"/>
  <c r="H71" i="118"/>
  <c r="G71" i="118"/>
  <c r="F71" i="118"/>
  <c r="D71" i="118"/>
  <c r="G70" i="118"/>
  <c r="F70" i="118"/>
  <c r="C70" i="118" s="1"/>
  <c r="H69" i="118"/>
  <c r="G69" i="118"/>
  <c r="F69" i="118"/>
  <c r="D69" i="118"/>
  <c r="F68" i="118"/>
  <c r="C68" i="118" s="1"/>
  <c r="F67" i="118"/>
  <c r="C67" i="118" s="1"/>
  <c r="F66" i="118"/>
  <c r="C66" i="118"/>
  <c r="H65" i="118"/>
  <c r="F65" i="118"/>
  <c r="C65" i="118" s="1"/>
  <c r="G64" i="118"/>
  <c r="F64" i="118"/>
  <c r="C64" i="118"/>
  <c r="H63" i="118"/>
  <c r="F63" i="118"/>
  <c r="C63" i="118" s="1"/>
  <c r="H62" i="118"/>
  <c r="F62" i="118"/>
  <c r="C62" i="118"/>
  <c r="H61" i="118"/>
  <c r="F61" i="118"/>
  <c r="C61" i="118" s="1"/>
  <c r="H60" i="118"/>
  <c r="F60" i="118"/>
  <c r="C60" i="118"/>
  <c r="H59" i="118"/>
  <c r="F59" i="118"/>
  <c r="C59" i="118" s="1"/>
  <c r="H58" i="118"/>
  <c r="F58" i="118"/>
  <c r="C58" i="118"/>
  <c r="C57" i="118"/>
  <c r="F56" i="118"/>
  <c r="C56" i="118" s="1"/>
  <c r="F55" i="118"/>
  <c r="C55" i="118"/>
  <c r="H54" i="118"/>
  <c r="G54" i="118"/>
  <c r="F54" i="118"/>
  <c r="C54" i="118" s="1"/>
  <c r="H53" i="118"/>
  <c r="F53" i="118"/>
  <c r="C53" i="118" s="1"/>
  <c r="H52" i="118"/>
  <c r="F52" i="118"/>
  <c r="C52" i="118" s="1"/>
  <c r="H51" i="118"/>
  <c r="F51" i="118"/>
  <c r="E51" i="118"/>
  <c r="D51" i="118"/>
  <c r="C51" i="118" s="1"/>
  <c r="F50" i="118"/>
  <c r="C50" i="118" s="1"/>
  <c r="H49" i="118"/>
  <c r="F49" i="118"/>
  <c r="C49" i="118"/>
  <c r="H48" i="118"/>
  <c r="F48" i="118"/>
  <c r="C48" i="118" s="1"/>
  <c r="F47" i="118"/>
  <c r="C47" i="118" s="1"/>
  <c r="H46" i="118"/>
  <c r="F46" i="118"/>
  <c r="C46" i="118" s="1"/>
  <c r="F45" i="118"/>
  <c r="C45" i="118"/>
  <c r="H44" i="118"/>
  <c r="F44" i="118"/>
  <c r="C44" i="118" s="1"/>
  <c r="H43" i="118"/>
  <c r="F43" i="118"/>
  <c r="C43" i="118"/>
  <c r="H42" i="118"/>
  <c r="F42" i="118"/>
  <c r="C42" i="118" s="1"/>
  <c r="C41" i="118"/>
  <c r="H40" i="118"/>
  <c r="G40" i="118"/>
  <c r="F40" i="118"/>
  <c r="C40" i="118"/>
  <c r="F39" i="118"/>
  <c r="C39" i="118" s="1"/>
  <c r="F38" i="118"/>
  <c r="C38" i="118" s="1"/>
  <c r="F37" i="118"/>
  <c r="C37" i="118" s="1"/>
  <c r="H36" i="118"/>
  <c r="F36" i="118"/>
  <c r="D36" i="118"/>
  <c r="C36" i="118" s="1"/>
  <c r="C35" i="118"/>
  <c r="F34" i="118"/>
  <c r="C34" i="118" s="1"/>
  <c r="F33" i="118"/>
  <c r="C33" i="118" s="1"/>
  <c r="F32" i="118"/>
  <c r="C32" i="118" s="1"/>
  <c r="F31" i="118"/>
  <c r="C31" i="118" s="1"/>
  <c r="H30" i="118"/>
  <c r="F30" i="118"/>
  <c r="C30" i="118" s="1"/>
  <c r="F29" i="118"/>
  <c r="C29" i="118" s="1"/>
  <c r="H28" i="118"/>
  <c r="F28" i="118"/>
  <c r="D28" i="118"/>
  <c r="C28" i="118" s="1"/>
  <c r="F27" i="118"/>
  <c r="C27" i="118" s="1"/>
  <c r="H26" i="118"/>
  <c r="F26" i="118"/>
  <c r="C26" i="118" s="1"/>
  <c r="F25" i="118"/>
  <c r="C25" i="118" s="1"/>
  <c r="F24" i="118"/>
  <c r="C24" i="118" s="1"/>
  <c r="F23" i="118"/>
  <c r="C23" i="118"/>
  <c r="H22" i="118"/>
  <c r="F22" i="118"/>
  <c r="C22" i="118" s="1"/>
  <c r="H21" i="118"/>
  <c r="G21" i="118"/>
  <c r="F21" i="118"/>
  <c r="C21" i="118" s="1"/>
  <c r="F20" i="118"/>
  <c r="C20" i="118"/>
  <c r="H19" i="118"/>
  <c r="G19" i="118"/>
  <c r="F19" i="118"/>
  <c r="C19" i="118" s="1"/>
  <c r="H18" i="118"/>
  <c r="F18" i="118"/>
  <c r="C18" i="118" s="1"/>
  <c r="F17" i="118"/>
  <c r="C17" i="118" s="1"/>
  <c r="H16" i="118"/>
  <c r="F16" i="118"/>
  <c r="C16" i="118"/>
  <c r="H15" i="118"/>
  <c r="F15" i="118"/>
  <c r="C15" i="118" s="1"/>
  <c r="F14" i="118"/>
  <c r="C14" i="118" s="1"/>
  <c r="H13" i="118"/>
  <c r="F13" i="118"/>
  <c r="C13" i="118" s="1"/>
  <c r="H12" i="118"/>
  <c r="F12" i="118"/>
  <c r="C12" i="118" s="1"/>
  <c r="F11" i="118"/>
  <c r="C11" i="118"/>
  <c r="F10" i="118"/>
  <c r="C10" i="118" s="1"/>
  <c r="F9" i="118"/>
  <c r="C9" i="118" s="1"/>
  <c r="H8" i="118"/>
  <c r="G8" i="118"/>
  <c r="F8" i="118"/>
  <c r="D8" i="118"/>
  <c r="H7" i="118"/>
  <c r="F7" i="118"/>
  <c r="C7" i="118" s="1"/>
  <c r="A7" i="118"/>
  <c r="A8" i="118" s="1"/>
  <c r="A10" i="118" s="1"/>
  <c r="A11" i="118" s="1"/>
  <c r="A12" i="118" s="1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3" i="118" s="1"/>
  <c r="A34" i="118" s="1"/>
  <c r="A35" i="118" s="1"/>
  <c r="A36" i="118" s="1"/>
  <c r="A39" i="118" s="1"/>
  <c r="A40" i="118" s="1"/>
  <c r="A42" i="118" s="1"/>
  <c r="A43" i="118" s="1"/>
  <c r="A44" i="118" s="1"/>
  <c r="A45" i="118" s="1"/>
  <c r="A46" i="118" s="1"/>
  <c r="A47" i="118" s="1"/>
  <c r="A48" i="118" s="1"/>
  <c r="A49" i="118" s="1"/>
  <c r="A50" i="118" s="1"/>
  <c r="A51" i="118" s="1"/>
  <c r="A52" i="118" s="1"/>
  <c r="A53" i="118" s="1"/>
  <c r="A54" i="118" s="1"/>
  <c r="A55" i="118" s="1"/>
  <c r="A56" i="118" s="1"/>
  <c r="A57" i="118" s="1"/>
  <c r="A58" i="118" s="1"/>
  <c r="A59" i="118" s="1"/>
  <c r="A60" i="118" s="1"/>
  <c r="A61" i="118" s="1"/>
  <c r="A62" i="118" s="1"/>
  <c r="A63" i="118" s="1"/>
  <c r="A64" i="118" s="1"/>
  <c r="A65" i="118" s="1"/>
  <c r="A66" i="118" s="1"/>
  <c r="A67" i="118" s="1"/>
  <c r="A68" i="118" s="1"/>
  <c r="A69" i="118" s="1"/>
  <c r="A70" i="118" s="1"/>
  <c r="A71" i="118" s="1"/>
  <c r="A72" i="118" s="1"/>
  <c r="A73" i="118" s="1"/>
  <c r="A74" i="118" s="1"/>
  <c r="A75" i="118" s="1"/>
  <c r="A76" i="118" s="1"/>
  <c r="A77" i="118" s="1"/>
  <c r="A78" i="118" s="1"/>
  <c r="A79" i="118" s="1"/>
  <c r="A80" i="118" s="1"/>
  <c r="A81" i="118" s="1"/>
  <c r="A82" i="118" s="1"/>
  <c r="A83" i="118" s="1"/>
  <c r="A84" i="118" s="1"/>
  <c r="A85" i="118" s="1"/>
  <c r="A86" i="118" s="1"/>
  <c r="A87" i="118" s="1"/>
  <c r="A88" i="118" s="1"/>
  <c r="A89" i="118" s="1"/>
  <c r="A90" i="118" s="1"/>
  <c r="A91" i="118" s="1"/>
  <c r="A92" i="118" s="1"/>
  <c r="A93" i="118" s="1"/>
  <c r="A94" i="118" s="1"/>
  <c r="A95" i="118" s="1"/>
  <c r="A96" i="118" s="1"/>
  <c r="A97" i="118" s="1"/>
  <c r="A98" i="118" s="1"/>
  <c r="A99" i="118" s="1"/>
  <c r="A100" i="118" s="1"/>
  <c r="A101" i="118" s="1"/>
  <c r="A102" i="118" s="1"/>
  <c r="A103" i="118" s="1"/>
  <c r="A104" i="118" s="1"/>
  <c r="A105" i="118" s="1"/>
  <c r="A106" i="118" s="1"/>
  <c r="A108" i="118" s="1"/>
  <c r="H6" i="118"/>
  <c r="F6" i="118"/>
  <c r="F112" i="118" s="1"/>
  <c r="E112" i="118" l="1"/>
  <c r="D112" i="118"/>
  <c r="G112" i="118"/>
  <c r="C69" i="118"/>
  <c r="C71" i="118"/>
  <c r="C85" i="118"/>
  <c r="C103" i="118"/>
  <c r="C105" i="118"/>
  <c r="C106" i="118"/>
  <c r="I112" i="118"/>
  <c r="C6" i="118"/>
  <c r="H112" i="118"/>
  <c r="C8" i="118"/>
  <c r="C112" i="118" l="1"/>
  <c r="AB77" i="117" l="1"/>
  <c r="Z77" i="117"/>
  <c r="E76" i="117"/>
  <c r="Z76" i="117" s="1"/>
  <c r="AA75" i="117"/>
  <c r="Y75" i="117"/>
  <c r="X75" i="117"/>
  <c r="W75" i="117"/>
  <c r="V75" i="117"/>
  <c r="U75" i="117"/>
  <c r="T75" i="117"/>
  <c r="S75" i="117"/>
  <c r="R75" i="117"/>
  <c r="Q75" i="117"/>
  <c r="P75" i="117"/>
  <c r="O75" i="117"/>
  <c r="N75" i="117"/>
  <c r="M75" i="117"/>
  <c r="L75" i="117"/>
  <c r="K75" i="117"/>
  <c r="J75" i="117"/>
  <c r="I75" i="117"/>
  <c r="H75" i="117"/>
  <c r="G75" i="117"/>
  <c r="F75" i="117"/>
  <c r="E75" i="117"/>
  <c r="D75" i="117"/>
  <c r="C75" i="117"/>
  <c r="B75" i="117"/>
  <c r="AB74" i="117"/>
  <c r="AB73" i="117" s="1"/>
  <c r="J74" i="117"/>
  <c r="Z74" i="117" s="1"/>
  <c r="E74" i="117"/>
  <c r="AA73" i="117"/>
  <c r="Z73" i="117"/>
  <c r="Y73" i="117"/>
  <c r="X73" i="117"/>
  <c r="W73" i="117"/>
  <c r="V73" i="117"/>
  <c r="U73" i="117"/>
  <c r="T73" i="117"/>
  <c r="S73" i="117"/>
  <c r="R73" i="117"/>
  <c r="Q73" i="117"/>
  <c r="P73" i="117"/>
  <c r="O73" i="117"/>
  <c r="N73" i="117"/>
  <c r="M73" i="117"/>
  <c r="L73" i="117"/>
  <c r="K73" i="117"/>
  <c r="J73" i="117"/>
  <c r="I73" i="117"/>
  <c r="H73" i="117"/>
  <c r="G73" i="117"/>
  <c r="F73" i="117"/>
  <c r="E73" i="117"/>
  <c r="D73" i="117"/>
  <c r="C73" i="117"/>
  <c r="B73" i="117"/>
  <c r="V72" i="117"/>
  <c r="B72" i="117"/>
  <c r="B70" i="117" s="1"/>
  <c r="W71" i="117"/>
  <c r="O71" i="117"/>
  <c r="O70" i="117" s="1"/>
  <c r="I71" i="117"/>
  <c r="E71" i="117"/>
  <c r="E70" i="117" s="1"/>
  <c r="B71" i="117"/>
  <c r="AA70" i="117"/>
  <c r="Y70" i="117"/>
  <c r="X70" i="117"/>
  <c r="W70" i="117"/>
  <c r="V70" i="117"/>
  <c r="U70" i="117"/>
  <c r="T70" i="117"/>
  <c r="S70" i="117"/>
  <c r="R70" i="117"/>
  <c r="Q70" i="117"/>
  <c r="P70" i="117"/>
  <c r="N70" i="117"/>
  <c r="M70" i="117"/>
  <c r="L70" i="117"/>
  <c r="K70" i="117"/>
  <c r="J70" i="117"/>
  <c r="I70" i="117"/>
  <c r="H70" i="117"/>
  <c r="G70" i="117"/>
  <c r="F70" i="117"/>
  <c r="D70" i="117"/>
  <c r="C70" i="117"/>
  <c r="Z69" i="117"/>
  <c r="AB69" i="117" s="1"/>
  <c r="O69" i="117"/>
  <c r="P68" i="117"/>
  <c r="P63" i="117" s="1"/>
  <c r="I68" i="117"/>
  <c r="Z68" i="117" s="1"/>
  <c r="AB68" i="117" s="1"/>
  <c r="H68" i="117"/>
  <c r="H63" i="117" s="1"/>
  <c r="B68" i="117"/>
  <c r="W67" i="117"/>
  <c r="W63" i="117" s="1"/>
  <c r="V67" i="117"/>
  <c r="R67" i="117"/>
  <c r="P67" i="117"/>
  <c r="N67" i="117"/>
  <c r="N63" i="117" s="1"/>
  <c r="J67" i="117"/>
  <c r="I67" i="117"/>
  <c r="H67" i="117"/>
  <c r="B67" i="117"/>
  <c r="W66" i="117"/>
  <c r="R66" i="117"/>
  <c r="E66" i="117"/>
  <c r="U65" i="117"/>
  <c r="U63" i="117" s="1"/>
  <c r="R65" i="117"/>
  <c r="O65" i="117"/>
  <c r="O63" i="117" s="1"/>
  <c r="N65" i="117"/>
  <c r="I65" i="117"/>
  <c r="B65" i="117"/>
  <c r="V64" i="117"/>
  <c r="V63" i="117" s="1"/>
  <c r="R64" i="117"/>
  <c r="O64" i="117"/>
  <c r="N64" i="117"/>
  <c r="I64" i="117"/>
  <c r="E64" i="117"/>
  <c r="B64" i="117"/>
  <c r="AA63" i="117"/>
  <c r="Y63" i="117"/>
  <c r="X63" i="117"/>
  <c r="T63" i="117"/>
  <c r="S63" i="117"/>
  <c r="Q63" i="117"/>
  <c r="M63" i="117"/>
  <c r="L63" i="117"/>
  <c r="K63" i="117"/>
  <c r="J63" i="117"/>
  <c r="G63" i="117"/>
  <c r="F63" i="117"/>
  <c r="E63" i="117"/>
  <c r="D63" i="117"/>
  <c r="C63" i="117"/>
  <c r="B62" i="117"/>
  <c r="Z62" i="117" s="1"/>
  <c r="AB62" i="117" s="1"/>
  <c r="Y61" i="117"/>
  <c r="B61" i="117"/>
  <c r="AA60" i="117"/>
  <c r="Y60" i="117"/>
  <c r="X60" i="117"/>
  <c r="W60" i="117"/>
  <c r="V60" i="117"/>
  <c r="U60" i="117"/>
  <c r="T60" i="117"/>
  <c r="S60" i="117"/>
  <c r="R60" i="117"/>
  <c r="Q60" i="117"/>
  <c r="P60" i="117"/>
  <c r="O60" i="117"/>
  <c r="N60" i="117"/>
  <c r="M60" i="117"/>
  <c r="L60" i="117"/>
  <c r="K60" i="117"/>
  <c r="J60" i="117"/>
  <c r="I60" i="117"/>
  <c r="H60" i="117"/>
  <c r="G60" i="117"/>
  <c r="F60" i="117"/>
  <c r="E60" i="117"/>
  <c r="D60" i="117"/>
  <c r="C60" i="117"/>
  <c r="Y59" i="117"/>
  <c r="D59" i="117"/>
  <c r="Z59" i="117" s="1"/>
  <c r="AB59" i="117" s="1"/>
  <c r="Y58" i="117"/>
  <c r="Y48" i="117" s="1"/>
  <c r="P58" i="117"/>
  <c r="D58" i="117"/>
  <c r="Z57" i="117"/>
  <c r="AB57" i="117" s="1"/>
  <c r="D57" i="117"/>
  <c r="P56" i="117"/>
  <c r="Z56" i="117" s="1"/>
  <c r="AB56" i="117" s="1"/>
  <c r="D56" i="117"/>
  <c r="AB55" i="117"/>
  <c r="I55" i="117"/>
  <c r="Z55" i="117" s="1"/>
  <c r="D55" i="117"/>
  <c r="AA54" i="117"/>
  <c r="Y54" i="117"/>
  <c r="W54" i="117"/>
  <c r="S54" i="117"/>
  <c r="P54" i="117"/>
  <c r="J54" i="117"/>
  <c r="I54" i="117"/>
  <c r="Z54" i="117" s="1"/>
  <c r="AB54" i="117" s="1"/>
  <c r="D54" i="117"/>
  <c r="B54" i="117"/>
  <c r="AA53" i="117"/>
  <c r="Y53" i="117"/>
  <c r="W53" i="117"/>
  <c r="V53" i="117"/>
  <c r="S53" i="117"/>
  <c r="P53" i="117"/>
  <c r="J53" i="117"/>
  <c r="I53" i="117"/>
  <c r="D53" i="117"/>
  <c r="B53" i="117"/>
  <c r="AA52" i="117"/>
  <c r="W52" i="117"/>
  <c r="V52" i="117"/>
  <c r="S52" i="117"/>
  <c r="P52" i="117"/>
  <c r="J52" i="117"/>
  <c r="I52" i="117"/>
  <c r="Z52" i="117" s="1"/>
  <c r="AB52" i="117" s="1"/>
  <c r="D52" i="117"/>
  <c r="B52" i="117"/>
  <c r="AA51" i="117"/>
  <c r="Y51" i="117"/>
  <c r="W51" i="117"/>
  <c r="V51" i="117"/>
  <c r="S51" i="117"/>
  <c r="R51" i="117"/>
  <c r="P51" i="117"/>
  <c r="J51" i="117"/>
  <c r="I51" i="117"/>
  <c r="Z51" i="117" s="1"/>
  <c r="AB51" i="117" s="1"/>
  <c r="D51" i="117"/>
  <c r="B51" i="117"/>
  <c r="AA50" i="117"/>
  <c r="Y50" i="117"/>
  <c r="W50" i="117"/>
  <c r="V50" i="117"/>
  <c r="V48" i="117" s="1"/>
  <c r="S50" i="117"/>
  <c r="R50" i="117"/>
  <c r="R48" i="117" s="1"/>
  <c r="P50" i="117"/>
  <c r="J50" i="117"/>
  <c r="J48" i="117" s="1"/>
  <c r="I50" i="117"/>
  <c r="Z50" i="117" s="1"/>
  <c r="AB50" i="117" s="1"/>
  <c r="D50" i="117"/>
  <c r="B50" i="117"/>
  <c r="AA49" i="117"/>
  <c r="Y49" i="117"/>
  <c r="W49" i="117"/>
  <c r="V49" i="117"/>
  <c r="S49" i="117"/>
  <c r="R49" i="117"/>
  <c r="P49" i="117"/>
  <c r="J49" i="117"/>
  <c r="I49" i="117"/>
  <c r="Z49" i="117" s="1"/>
  <c r="D49" i="117"/>
  <c r="B49" i="117"/>
  <c r="B48" i="117" s="1"/>
  <c r="AA48" i="117"/>
  <c r="X48" i="117"/>
  <c r="W48" i="117"/>
  <c r="U48" i="117"/>
  <c r="T48" i="117"/>
  <c r="S48" i="117"/>
  <c r="Q48" i="117"/>
  <c r="O48" i="117"/>
  <c r="N48" i="117"/>
  <c r="M48" i="117"/>
  <c r="L48" i="117"/>
  <c r="K48" i="117"/>
  <c r="I48" i="117"/>
  <c r="H48" i="117"/>
  <c r="G48" i="117"/>
  <c r="F48" i="117"/>
  <c r="E48" i="117"/>
  <c r="C48" i="117"/>
  <c r="V47" i="117"/>
  <c r="AA46" i="117"/>
  <c r="Y46" i="117"/>
  <c r="X46" i="117"/>
  <c r="W46" i="117"/>
  <c r="U46" i="117"/>
  <c r="T46" i="117"/>
  <c r="S46" i="117"/>
  <c r="R46" i="117"/>
  <c r="Q46" i="117"/>
  <c r="P46" i="117"/>
  <c r="O46" i="117"/>
  <c r="N46" i="117"/>
  <c r="M46" i="117"/>
  <c r="L46" i="117"/>
  <c r="K46" i="117"/>
  <c r="J46" i="117"/>
  <c r="I46" i="117"/>
  <c r="H46" i="117"/>
  <c r="G46" i="117"/>
  <c r="F46" i="117"/>
  <c r="E46" i="117"/>
  <c r="D46" i="117"/>
  <c r="C46" i="117"/>
  <c r="B46" i="117"/>
  <c r="AB45" i="117"/>
  <c r="Z45" i="117"/>
  <c r="AB44" i="117"/>
  <c r="Z44" i="117"/>
  <c r="E43" i="117"/>
  <c r="Z43" i="117" s="1"/>
  <c r="AA42" i="117"/>
  <c r="Y42" i="117"/>
  <c r="X42" i="117"/>
  <c r="W42" i="117"/>
  <c r="V42" i="117"/>
  <c r="U42" i="117"/>
  <c r="T42" i="117"/>
  <c r="S42" i="117"/>
  <c r="R42" i="117"/>
  <c r="Q42" i="117"/>
  <c r="P42" i="117"/>
  <c r="O42" i="117"/>
  <c r="N42" i="117"/>
  <c r="M42" i="117"/>
  <c r="L42" i="117"/>
  <c r="K42" i="117"/>
  <c r="J42" i="117"/>
  <c r="I42" i="117"/>
  <c r="H42" i="117"/>
  <c r="G42" i="117"/>
  <c r="F42" i="117"/>
  <c r="E42" i="117"/>
  <c r="D42" i="117"/>
  <c r="C42" i="117"/>
  <c r="B42" i="117"/>
  <c r="AB41" i="117"/>
  <c r="K41" i="117"/>
  <c r="Z41" i="117" s="1"/>
  <c r="L40" i="117"/>
  <c r="K40" i="117"/>
  <c r="K39" i="117" s="1"/>
  <c r="E40" i="117"/>
  <c r="AA39" i="117"/>
  <c r="Y39" i="117"/>
  <c r="X39" i="117"/>
  <c r="W39" i="117"/>
  <c r="V39" i="117"/>
  <c r="U39" i="117"/>
  <c r="T39" i="117"/>
  <c r="S39" i="117"/>
  <c r="R39" i="117"/>
  <c r="Q39" i="117"/>
  <c r="P39" i="117"/>
  <c r="O39" i="117"/>
  <c r="N39" i="117"/>
  <c r="M39" i="117"/>
  <c r="L39" i="117"/>
  <c r="J39" i="117"/>
  <c r="I39" i="117"/>
  <c r="H39" i="117"/>
  <c r="G39" i="117"/>
  <c r="F39" i="117"/>
  <c r="E39" i="117"/>
  <c r="D39" i="117"/>
  <c r="C39" i="117"/>
  <c r="B39" i="117"/>
  <c r="N38" i="117"/>
  <c r="J38" i="117"/>
  <c r="J36" i="117" s="1"/>
  <c r="I38" i="117"/>
  <c r="E38" i="117"/>
  <c r="E36" i="117" s="1"/>
  <c r="B38" i="117"/>
  <c r="N37" i="117"/>
  <c r="N36" i="117" s="1"/>
  <c r="J37" i="117"/>
  <c r="I37" i="117"/>
  <c r="E37" i="117"/>
  <c r="B37" i="117"/>
  <c r="B36" i="117" s="1"/>
  <c r="AA36" i="117"/>
  <c r="Y36" i="117"/>
  <c r="X36" i="117"/>
  <c r="W36" i="117"/>
  <c r="V36" i="117"/>
  <c r="U36" i="117"/>
  <c r="T36" i="117"/>
  <c r="S36" i="117"/>
  <c r="R36" i="117"/>
  <c r="Q36" i="117"/>
  <c r="P36" i="117"/>
  <c r="O36" i="117"/>
  <c r="M36" i="117"/>
  <c r="L36" i="117"/>
  <c r="K36" i="117"/>
  <c r="I36" i="117"/>
  <c r="H36" i="117"/>
  <c r="G36" i="117"/>
  <c r="F36" i="117"/>
  <c r="D36" i="117"/>
  <c r="C36" i="117"/>
  <c r="Y35" i="117"/>
  <c r="E35" i="117"/>
  <c r="C35" i="117"/>
  <c r="B35" i="117"/>
  <c r="Z35" i="117" s="1"/>
  <c r="AB35" i="117" s="1"/>
  <c r="AB34" i="117"/>
  <c r="Z34" i="117"/>
  <c r="Y33" i="117"/>
  <c r="W33" i="117"/>
  <c r="V33" i="117"/>
  <c r="E33" i="117"/>
  <c r="C33" i="117"/>
  <c r="C32" i="117" s="1"/>
  <c r="AA32" i="117"/>
  <c r="Y32" i="117"/>
  <c r="X32" i="117"/>
  <c r="W32" i="117"/>
  <c r="U32" i="117"/>
  <c r="T32" i="117"/>
  <c r="S32" i="117"/>
  <c r="R32" i="117"/>
  <c r="Q32" i="117"/>
  <c r="P32" i="117"/>
  <c r="O32" i="117"/>
  <c r="N32" i="117"/>
  <c r="M32" i="117"/>
  <c r="L32" i="117"/>
  <c r="K32" i="117"/>
  <c r="J32" i="117"/>
  <c r="I32" i="117"/>
  <c r="H32" i="117"/>
  <c r="G32" i="117"/>
  <c r="F32" i="117"/>
  <c r="E32" i="117"/>
  <c r="D32" i="117"/>
  <c r="B32" i="117"/>
  <c r="Y31" i="117"/>
  <c r="Y29" i="117" s="1"/>
  <c r="O31" i="117"/>
  <c r="F31" i="117"/>
  <c r="E31" i="117"/>
  <c r="B31" i="117"/>
  <c r="Y30" i="117"/>
  <c r="O30" i="117"/>
  <c r="Z30" i="117" s="1"/>
  <c r="F30" i="117"/>
  <c r="E30" i="117"/>
  <c r="B30" i="117"/>
  <c r="AA29" i="117"/>
  <c r="X29" i="117"/>
  <c r="W29" i="117"/>
  <c r="V29" i="117"/>
  <c r="U29" i="117"/>
  <c r="T29" i="117"/>
  <c r="S29" i="117"/>
  <c r="R29" i="117"/>
  <c r="Q29" i="117"/>
  <c r="P29" i="117"/>
  <c r="O29" i="117"/>
  <c r="N29" i="117"/>
  <c r="M29" i="117"/>
  <c r="L29" i="117"/>
  <c r="K29" i="117"/>
  <c r="J29" i="117"/>
  <c r="I29" i="117"/>
  <c r="H29" i="117"/>
  <c r="G29" i="117"/>
  <c r="F29" i="117"/>
  <c r="E29" i="117"/>
  <c r="D29" i="117"/>
  <c r="C29" i="117"/>
  <c r="B29" i="117"/>
  <c r="Z28" i="117"/>
  <c r="AB28" i="117" s="1"/>
  <c r="J28" i="117"/>
  <c r="B27" i="117"/>
  <c r="Z27" i="117" s="1"/>
  <c r="AB27" i="117" s="1"/>
  <c r="O26" i="117"/>
  <c r="E26" i="117"/>
  <c r="Z26" i="117" s="1"/>
  <c r="AB26" i="117" s="1"/>
  <c r="V25" i="117"/>
  <c r="O25" i="117"/>
  <c r="O22" i="117" s="1"/>
  <c r="J25" i="117"/>
  <c r="B25" i="117"/>
  <c r="V24" i="117"/>
  <c r="R24" i="117"/>
  <c r="Z24" i="117" s="1"/>
  <c r="AB24" i="117" s="1"/>
  <c r="B24" i="117"/>
  <c r="V23" i="117"/>
  <c r="O23" i="117"/>
  <c r="J23" i="117"/>
  <c r="J22" i="117" s="1"/>
  <c r="I23" i="117"/>
  <c r="E23" i="117"/>
  <c r="E22" i="117" s="1"/>
  <c r="B23" i="117"/>
  <c r="AA22" i="117"/>
  <c r="Y22" i="117"/>
  <c r="X22" i="117"/>
  <c r="W22" i="117"/>
  <c r="V22" i="117"/>
  <c r="U22" i="117"/>
  <c r="T22" i="117"/>
  <c r="S22" i="117"/>
  <c r="R22" i="117"/>
  <c r="Q22" i="117"/>
  <c r="P22" i="117"/>
  <c r="N22" i="117"/>
  <c r="M22" i="117"/>
  <c r="L22" i="117"/>
  <c r="K22" i="117"/>
  <c r="I22" i="117"/>
  <c r="H22" i="117"/>
  <c r="G22" i="117"/>
  <c r="F22" i="117"/>
  <c r="D22" i="117"/>
  <c r="C22" i="117"/>
  <c r="B22" i="117"/>
  <c r="Z21" i="117"/>
  <c r="AB21" i="117" s="1"/>
  <c r="V20" i="117"/>
  <c r="P20" i="117"/>
  <c r="P19" i="117" s="1"/>
  <c r="AA19" i="117"/>
  <c r="Y19" i="117"/>
  <c r="X19" i="117"/>
  <c r="W19" i="117"/>
  <c r="V19" i="117"/>
  <c r="U19" i="117"/>
  <c r="T19" i="117"/>
  <c r="S19" i="117"/>
  <c r="R19" i="117"/>
  <c r="Q19" i="117"/>
  <c r="O19" i="117"/>
  <c r="N19" i="117"/>
  <c r="M19" i="117"/>
  <c r="L19" i="117"/>
  <c r="K19" i="117"/>
  <c r="J19" i="117"/>
  <c r="I19" i="117"/>
  <c r="H19" i="117"/>
  <c r="G19" i="117"/>
  <c r="F19" i="117"/>
  <c r="E19" i="117"/>
  <c r="D19" i="117"/>
  <c r="C19" i="117"/>
  <c r="B19" i="117"/>
  <c r="AB18" i="117"/>
  <c r="Z18" i="117"/>
  <c r="AB17" i="117"/>
  <c r="AA17" i="117"/>
  <c r="Z17" i="117"/>
  <c r="Y17" i="117"/>
  <c r="X17" i="117"/>
  <c r="W17" i="117"/>
  <c r="V17" i="117"/>
  <c r="U17" i="117"/>
  <c r="T17" i="117"/>
  <c r="S17" i="117"/>
  <c r="R17" i="117"/>
  <c r="Q17" i="117"/>
  <c r="P17" i="117"/>
  <c r="O17" i="117"/>
  <c r="N17" i="117"/>
  <c r="M17" i="117"/>
  <c r="L17" i="117"/>
  <c r="K17" i="117"/>
  <c r="J17" i="117"/>
  <c r="I17" i="117"/>
  <c r="H17" i="117"/>
  <c r="G17" i="117"/>
  <c r="F17" i="117"/>
  <c r="E17" i="117"/>
  <c r="D17" i="117"/>
  <c r="C17" i="117"/>
  <c r="B17" i="117"/>
  <c r="Z16" i="117"/>
  <c r="AB16" i="117" s="1"/>
  <c r="E16" i="117"/>
  <c r="AB15" i="117"/>
  <c r="AA15" i="117"/>
  <c r="Z15" i="117"/>
  <c r="Y15" i="117"/>
  <c r="X15" i="117"/>
  <c r="W15" i="117"/>
  <c r="V15" i="117"/>
  <c r="U15" i="117"/>
  <c r="T15" i="117"/>
  <c r="S15" i="117"/>
  <c r="R15" i="117"/>
  <c r="Q15" i="117"/>
  <c r="P15" i="117"/>
  <c r="O15" i="117"/>
  <c r="N15" i="117"/>
  <c r="M15" i="117"/>
  <c r="L15" i="117"/>
  <c r="K15" i="117"/>
  <c r="J15" i="117"/>
  <c r="I15" i="117"/>
  <c r="H15" i="117"/>
  <c r="G15" i="117"/>
  <c r="F15" i="117"/>
  <c r="E15" i="117"/>
  <c r="D15" i="117"/>
  <c r="C15" i="117"/>
  <c r="B15" i="117"/>
  <c r="Z14" i="117"/>
  <c r="AB14" i="117" s="1"/>
  <c r="N13" i="117"/>
  <c r="E13" i="117"/>
  <c r="E12" i="117" s="1"/>
  <c r="B13" i="117"/>
  <c r="AA12" i="117"/>
  <c r="Y12" i="117"/>
  <c r="X12" i="117"/>
  <c r="W12" i="117"/>
  <c r="V12" i="117"/>
  <c r="U12" i="117"/>
  <c r="T12" i="117"/>
  <c r="S12" i="117"/>
  <c r="R12" i="117"/>
  <c r="Q12" i="117"/>
  <c r="P12" i="117"/>
  <c r="O12" i="117"/>
  <c r="N12" i="117"/>
  <c r="M12" i="117"/>
  <c r="L12" i="117"/>
  <c r="K12" i="117"/>
  <c r="J12" i="117"/>
  <c r="I12" i="117"/>
  <c r="H12" i="117"/>
  <c r="G12" i="117"/>
  <c r="F12" i="117"/>
  <c r="D12" i="117"/>
  <c r="C12" i="117"/>
  <c r="B12" i="117"/>
  <c r="Z11" i="117"/>
  <c r="AB11" i="117" s="1"/>
  <c r="E11" i="117"/>
  <c r="AB10" i="117"/>
  <c r="AA10" i="117"/>
  <c r="Z10" i="117"/>
  <c r="Y10" i="117"/>
  <c r="X10" i="117"/>
  <c r="W10" i="117"/>
  <c r="V10" i="117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J9" i="117"/>
  <c r="F9" i="117"/>
  <c r="F7" i="117" s="1"/>
  <c r="E9" i="117"/>
  <c r="B9" i="117"/>
  <c r="Z9" i="117" s="1"/>
  <c r="AB9" i="117" s="1"/>
  <c r="Y8" i="117"/>
  <c r="J8" i="117"/>
  <c r="J7" i="117" s="1"/>
  <c r="F8" i="117"/>
  <c r="B8" i="117"/>
  <c r="B7" i="117" s="1"/>
  <c r="AA7" i="117"/>
  <c r="Y7" i="117"/>
  <c r="X7" i="117"/>
  <c r="W7" i="117"/>
  <c r="V7" i="117"/>
  <c r="U7" i="117"/>
  <c r="T7" i="117"/>
  <c r="S7" i="117"/>
  <c r="R7" i="117"/>
  <c r="Q7" i="117"/>
  <c r="P7" i="117"/>
  <c r="O7" i="117"/>
  <c r="N7" i="117"/>
  <c r="M7" i="117"/>
  <c r="L7" i="117"/>
  <c r="K7" i="117"/>
  <c r="I7" i="117"/>
  <c r="H7" i="117"/>
  <c r="G7" i="117"/>
  <c r="E7" i="117"/>
  <c r="D7" i="117"/>
  <c r="C7" i="117"/>
  <c r="X6" i="117"/>
  <c r="Z6" i="117" s="1"/>
  <c r="AB6" i="117" s="1"/>
  <c r="B6" i="117"/>
  <c r="X5" i="117"/>
  <c r="J5" i="117"/>
  <c r="Z5" i="117" s="1"/>
  <c r="Z4" i="117" s="1"/>
  <c r="B5" i="117"/>
  <c r="AA4" i="117"/>
  <c r="AA78" i="117" s="1"/>
  <c r="Y4" i="117"/>
  <c r="W4" i="117"/>
  <c r="W78" i="117" s="1"/>
  <c r="V4" i="117"/>
  <c r="U4" i="117"/>
  <c r="T4" i="117"/>
  <c r="S4" i="117"/>
  <c r="S78" i="117" s="1"/>
  <c r="R4" i="117"/>
  <c r="Q4" i="117"/>
  <c r="Q78" i="117" s="1"/>
  <c r="P4" i="117"/>
  <c r="O4" i="117"/>
  <c r="O78" i="117" s="1"/>
  <c r="N4" i="117"/>
  <c r="M4" i="117"/>
  <c r="M78" i="117" s="1"/>
  <c r="L4" i="117"/>
  <c r="K4" i="117"/>
  <c r="K78" i="117" s="1"/>
  <c r="J4" i="117"/>
  <c r="I4" i="117"/>
  <c r="H4" i="117"/>
  <c r="G4" i="117"/>
  <c r="G78" i="117" s="1"/>
  <c r="F4" i="117"/>
  <c r="E4" i="117"/>
  <c r="E78" i="117" s="1"/>
  <c r="D4" i="117"/>
  <c r="C4" i="117"/>
  <c r="C78" i="117" s="1"/>
  <c r="B4" i="117"/>
  <c r="U78" i="117" l="1"/>
  <c r="AB5" i="117"/>
  <c r="AB4" i="117" s="1"/>
  <c r="Z8" i="117"/>
  <c r="Z13" i="117"/>
  <c r="Z20" i="117"/>
  <c r="Z25" i="117"/>
  <c r="AB25" i="117" s="1"/>
  <c r="Z47" i="117"/>
  <c r="V46" i="117"/>
  <c r="Z65" i="117"/>
  <c r="AB65" i="117" s="1"/>
  <c r="I63" i="117"/>
  <c r="I78" i="117" s="1"/>
  <c r="Z67" i="117"/>
  <c r="AB67" i="117" s="1"/>
  <c r="Z75" i="117"/>
  <c r="AB76" i="117"/>
  <c r="AB75" i="117" s="1"/>
  <c r="B78" i="117"/>
  <c r="F78" i="117"/>
  <c r="Y78" i="117"/>
  <c r="X4" i="117"/>
  <c r="X78" i="117" s="1"/>
  <c r="Z23" i="117"/>
  <c r="AB30" i="117"/>
  <c r="AB29" i="117" s="1"/>
  <c r="Z33" i="117"/>
  <c r="V32" i="117"/>
  <c r="Z38" i="117"/>
  <c r="AB38" i="117" s="1"/>
  <c r="Z40" i="117"/>
  <c r="Z42" i="117"/>
  <c r="AB43" i="117"/>
  <c r="AB42" i="117" s="1"/>
  <c r="AB49" i="117"/>
  <c r="Z72" i="117"/>
  <c r="AB72" i="117" s="1"/>
  <c r="H78" i="117"/>
  <c r="J78" i="117"/>
  <c r="L78" i="117"/>
  <c r="N78" i="117"/>
  <c r="R78" i="117"/>
  <c r="T78" i="117"/>
  <c r="V78" i="117"/>
  <c r="Z31" i="117"/>
  <c r="AB31" i="117" s="1"/>
  <c r="Z37" i="117"/>
  <c r="P48" i="117"/>
  <c r="P78" i="117" s="1"/>
  <c r="D48" i="117"/>
  <c r="D78" i="117" s="1"/>
  <c r="Z53" i="117"/>
  <c r="AB53" i="117" s="1"/>
  <c r="Z58" i="117"/>
  <c r="AB58" i="117" s="1"/>
  <c r="B60" i="117"/>
  <c r="Z61" i="117"/>
  <c r="B63" i="117"/>
  <c r="Z64" i="117"/>
  <c r="R63" i="117"/>
  <c r="Z66" i="117"/>
  <c r="AB66" i="117" s="1"/>
  <c r="Z71" i="117"/>
  <c r="F190" i="113"/>
  <c r="L190" i="113"/>
  <c r="C190" i="113"/>
  <c r="L189" i="113"/>
  <c r="F189" i="113" s="1"/>
  <c r="I189" i="113"/>
  <c r="L188" i="113"/>
  <c r="I188" i="113"/>
  <c r="L187" i="113"/>
  <c r="F187" i="113" s="1"/>
  <c r="C187" i="113"/>
  <c r="M186" i="113"/>
  <c r="L186" i="113" s="1"/>
  <c r="F186" i="113" s="1"/>
  <c r="M185" i="113"/>
  <c r="L185" i="113" s="1"/>
  <c r="F185" i="113" s="1"/>
  <c r="D185" i="113"/>
  <c r="C185" i="113"/>
  <c r="L184" i="113"/>
  <c r="F184" i="113" s="1"/>
  <c r="C184" i="113"/>
  <c r="L183" i="113"/>
  <c r="I183" i="113"/>
  <c r="L182" i="113"/>
  <c r="I182" i="113"/>
  <c r="L181" i="113"/>
  <c r="I181" i="113"/>
  <c r="E181" i="113"/>
  <c r="C181" i="113"/>
  <c r="L180" i="113"/>
  <c r="J180" i="113"/>
  <c r="D180" i="113"/>
  <c r="C180" i="113"/>
  <c r="L179" i="113"/>
  <c r="J179" i="113"/>
  <c r="F179" i="113"/>
  <c r="L178" i="113"/>
  <c r="I178" i="113"/>
  <c r="C178" i="113"/>
  <c r="L177" i="113"/>
  <c r="I177" i="113"/>
  <c r="L176" i="113"/>
  <c r="I176" i="113"/>
  <c r="C176" i="113"/>
  <c r="L175" i="113"/>
  <c r="I175" i="113"/>
  <c r="C175" i="113"/>
  <c r="L174" i="113"/>
  <c r="F174" i="113" s="1"/>
  <c r="L173" i="113"/>
  <c r="F173" i="113" s="1"/>
  <c r="L172" i="113"/>
  <c r="J172" i="113"/>
  <c r="L171" i="113"/>
  <c r="F171" i="113" s="1"/>
  <c r="L170" i="113"/>
  <c r="F170" i="113" s="1"/>
  <c r="L169" i="113"/>
  <c r="J169" i="113"/>
  <c r="L168" i="113"/>
  <c r="I168" i="113"/>
  <c r="C168" i="113"/>
  <c r="L167" i="113"/>
  <c r="I167" i="113"/>
  <c r="C167" i="113"/>
  <c r="L166" i="113"/>
  <c r="I166" i="113"/>
  <c r="F166" i="113" s="1"/>
  <c r="L165" i="113"/>
  <c r="I165" i="113"/>
  <c r="L164" i="113"/>
  <c r="I164" i="113"/>
  <c r="L163" i="113"/>
  <c r="F163" i="113" s="1"/>
  <c r="L162" i="113"/>
  <c r="I162" i="113"/>
  <c r="L161" i="113"/>
  <c r="I161" i="113"/>
  <c r="L160" i="113"/>
  <c r="F160" i="113" s="1"/>
  <c r="I160" i="113"/>
  <c r="C160" i="113"/>
  <c r="L159" i="113"/>
  <c r="J159" i="113"/>
  <c r="L158" i="113"/>
  <c r="I158" i="113"/>
  <c r="F158" i="113" s="1"/>
  <c r="L157" i="113"/>
  <c r="I157" i="113"/>
  <c r="L156" i="113"/>
  <c r="I156" i="113"/>
  <c r="L155" i="113"/>
  <c r="I155" i="113"/>
  <c r="F155" i="113" s="1"/>
  <c r="L154" i="113"/>
  <c r="F154" i="113" s="1"/>
  <c r="L153" i="113"/>
  <c r="I153" i="113"/>
  <c r="C153" i="113"/>
  <c r="L152" i="113"/>
  <c r="I152" i="113"/>
  <c r="F152" i="113" s="1"/>
  <c r="C152" i="113"/>
  <c r="L151" i="113"/>
  <c r="I151" i="113"/>
  <c r="L150" i="113"/>
  <c r="I150" i="113"/>
  <c r="L149" i="113"/>
  <c r="J149" i="113"/>
  <c r="M148" i="113"/>
  <c r="L148" i="113" s="1"/>
  <c r="F148" i="113" s="1"/>
  <c r="C148" i="113"/>
  <c r="M147" i="113"/>
  <c r="L147" i="113" s="1"/>
  <c r="F147" i="113" s="1"/>
  <c r="C147" i="113"/>
  <c r="M146" i="113"/>
  <c r="L146" i="113" s="1"/>
  <c r="F146" i="113" s="1"/>
  <c r="M145" i="113"/>
  <c r="L145" i="113"/>
  <c r="F145" i="113" s="1"/>
  <c r="M144" i="113"/>
  <c r="L144" i="113" s="1"/>
  <c r="F144" i="113" s="1"/>
  <c r="C144" i="113"/>
  <c r="M143" i="113"/>
  <c r="L143" i="113"/>
  <c r="F143" i="113" s="1"/>
  <c r="M142" i="113"/>
  <c r="L142" i="113" s="1"/>
  <c r="F142" i="113" s="1"/>
  <c r="C142" i="113"/>
  <c r="M141" i="113"/>
  <c r="L141" i="113" s="1"/>
  <c r="F141" i="113" s="1"/>
  <c r="M140" i="113"/>
  <c r="L140" i="113" s="1"/>
  <c r="F140" i="113" s="1"/>
  <c r="M139" i="113"/>
  <c r="L139" i="113" s="1"/>
  <c r="F139" i="113" s="1"/>
  <c r="M138" i="113"/>
  <c r="L138" i="113" s="1"/>
  <c r="F138" i="113" s="1"/>
  <c r="M137" i="113"/>
  <c r="L137" i="113" s="1"/>
  <c r="F137" i="113" s="1"/>
  <c r="M136" i="113"/>
  <c r="L136" i="113" s="1"/>
  <c r="F136" i="113" s="1"/>
  <c r="M135" i="113"/>
  <c r="L135" i="113" s="1"/>
  <c r="F135" i="113" s="1"/>
  <c r="M134" i="113"/>
  <c r="L134" i="113" s="1"/>
  <c r="F134" i="113" s="1"/>
  <c r="C134" i="113"/>
  <c r="M133" i="113"/>
  <c r="L133" i="113" s="1"/>
  <c r="F133" i="113" s="1"/>
  <c r="M132" i="113"/>
  <c r="L132" i="113" s="1"/>
  <c r="F132" i="113" s="1"/>
  <c r="L131" i="113"/>
  <c r="F131" i="113" s="1"/>
  <c r="L130" i="113"/>
  <c r="I130" i="113"/>
  <c r="M129" i="113"/>
  <c r="L129" i="113" s="1"/>
  <c r="F129" i="113" s="1"/>
  <c r="L128" i="113"/>
  <c r="I128" i="113"/>
  <c r="M127" i="113"/>
  <c r="L127" i="113" s="1"/>
  <c r="F127" i="113" s="1"/>
  <c r="M126" i="113"/>
  <c r="L126" i="113" s="1"/>
  <c r="F126" i="113" s="1"/>
  <c r="C126" i="113"/>
  <c r="M125" i="113"/>
  <c r="L125" i="113" s="1"/>
  <c r="G125" i="113"/>
  <c r="C125" i="113"/>
  <c r="M124" i="113"/>
  <c r="L124" i="113" s="1"/>
  <c r="F124" i="113" s="1"/>
  <c r="M123" i="113"/>
  <c r="L123" i="113"/>
  <c r="K123" i="113"/>
  <c r="E123" i="113"/>
  <c r="D123" i="113"/>
  <c r="C123" i="113"/>
  <c r="M122" i="113"/>
  <c r="L122" i="113" s="1"/>
  <c r="F122" i="113" s="1"/>
  <c r="C122" i="113"/>
  <c r="M121" i="113"/>
  <c r="L121" i="113" s="1"/>
  <c r="F121" i="113" s="1"/>
  <c r="C121" i="113"/>
  <c r="M120" i="113"/>
  <c r="L120" i="113" s="1"/>
  <c r="K120" i="113"/>
  <c r="D120" i="113"/>
  <c r="C120" i="113"/>
  <c r="M119" i="113"/>
  <c r="L119" i="113" s="1"/>
  <c r="K119" i="113"/>
  <c r="D119" i="113"/>
  <c r="C119" i="113"/>
  <c r="L118" i="113"/>
  <c r="I118" i="113"/>
  <c r="L117" i="113"/>
  <c r="F117" i="113" s="1"/>
  <c r="L116" i="113"/>
  <c r="I116" i="113"/>
  <c r="L115" i="113"/>
  <c r="I115" i="113"/>
  <c r="L114" i="113"/>
  <c r="I114" i="113"/>
  <c r="L113" i="113"/>
  <c r="I113" i="113"/>
  <c r="C113" i="113"/>
  <c r="L112" i="113"/>
  <c r="I112" i="113"/>
  <c r="M111" i="113"/>
  <c r="L111" i="113"/>
  <c r="F111" i="113" s="1"/>
  <c r="C111" i="113"/>
  <c r="M110" i="113"/>
  <c r="L110" i="113" s="1"/>
  <c r="F110" i="113" s="1"/>
  <c r="C110" i="113"/>
  <c r="M109" i="113"/>
  <c r="L109" i="113" s="1"/>
  <c r="G109" i="113"/>
  <c r="M108" i="113"/>
  <c r="L108" i="113" s="1"/>
  <c r="F108" i="113" s="1"/>
  <c r="M107" i="113"/>
  <c r="L107" i="113" s="1"/>
  <c r="F107" i="113" s="1"/>
  <c r="C107" i="113"/>
  <c r="M106" i="113"/>
  <c r="L106" i="113" s="1"/>
  <c r="F106" i="113" s="1"/>
  <c r="C106" i="113"/>
  <c r="M105" i="113"/>
  <c r="L105" i="113" s="1"/>
  <c r="F105" i="113" s="1"/>
  <c r="C105" i="113"/>
  <c r="M104" i="113"/>
  <c r="L104" i="113" s="1"/>
  <c r="F104" i="113" s="1"/>
  <c r="C104" i="113"/>
  <c r="M103" i="113"/>
  <c r="L103" i="113" s="1"/>
  <c r="G103" i="113"/>
  <c r="F103" i="113" s="1"/>
  <c r="M102" i="113"/>
  <c r="L102" i="113" s="1"/>
  <c r="F102" i="113" s="1"/>
  <c r="C102" i="113"/>
  <c r="M101" i="113"/>
  <c r="L101" i="113" s="1"/>
  <c r="F101" i="113" s="1"/>
  <c r="C101" i="113"/>
  <c r="L100" i="113"/>
  <c r="I100" i="113"/>
  <c r="L99" i="113"/>
  <c r="I99" i="113"/>
  <c r="M98" i="113"/>
  <c r="L98" i="113" s="1"/>
  <c r="F98" i="113" s="1"/>
  <c r="C98" i="113"/>
  <c r="N97" i="113"/>
  <c r="N191" i="113" s="1"/>
  <c r="M97" i="113"/>
  <c r="K97" i="113"/>
  <c r="D97" i="113"/>
  <c r="C97" i="113"/>
  <c r="M96" i="113"/>
  <c r="L96" i="113" s="1"/>
  <c r="F96" i="113" s="1"/>
  <c r="D96" i="113"/>
  <c r="C96" i="113"/>
  <c r="M95" i="113"/>
  <c r="L95" i="113" s="1"/>
  <c r="F95" i="113" s="1"/>
  <c r="C95" i="113"/>
  <c r="M94" i="113"/>
  <c r="L94" i="113" s="1"/>
  <c r="F94" i="113" s="1"/>
  <c r="C94" i="113"/>
  <c r="L93" i="113"/>
  <c r="I93" i="113"/>
  <c r="L92" i="113"/>
  <c r="I92" i="113"/>
  <c r="L91" i="113"/>
  <c r="I91" i="113"/>
  <c r="C91" i="113"/>
  <c r="L90" i="113"/>
  <c r="I90" i="113"/>
  <c r="L89" i="113"/>
  <c r="F89" i="113" s="1"/>
  <c r="C89" i="113"/>
  <c r="L88" i="113"/>
  <c r="I88" i="113"/>
  <c r="C88" i="113"/>
  <c r="M87" i="113"/>
  <c r="L87" i="113"/>
  <c r="F87" i="113" s="1"/>
  <c r="C87" i="113"/>
  <c r="M86" i="113"/>
  <c r="L86" i="113" s="1"/>
  <c r="F86" i="113" s="1"/>
  <c r="M85" i="113"/>
  <c r="L85" i="113"/>
  <c r="F85" i="113" s="1"/>
  <c r="C85" i="113"/>
  <c r="M84" i="113"/>
  <c r="L84" i="113" s="1"/>
  <c r="F84" i="113" s="1"/>
  <c r="M83" i="113"/>
  <c r="L83" i="113" s="1"/>
  <c r="F83" i="113" s="1"/>
  <c r="C83" i="113"/>
  <c r="M82" i="113"/>
  <c r="L82" i="113" s="1"/>
  <c r="F82" i="113" s="1"/>
  <c r="M81" i="113"/>
  <c r="L81" i="113" s="1"/>
  <c r="F81" i="113" s="1"/>
  <c r="C81" i="113"/>
  <c r="M80" i="113"/>
  <c r="L80" i="113" s="1"/>
  <c r="F80" i="113" s="1"/>
  <c r="L79" i="113"/>
  <c r="I79" i="113"/>
  <c r="F79" i="113" s="1"/>
  <c r="C79" i="113"/>
  <c r="M78" i="113"/>
  <c r="L78" i="113" s="1"/>
  <c r="H78" i="113"/>
  <c r="G78" i="113"/>
  <c r="M77" i="113"/>
  <c r="L77" i="113" s="1"/>
  <c r="F77" i="113" s="1"/>
  <c r="M76" i="113"/>
  <c r="L76" i="113" s="1"/>
  <c r="F76" i="113" s="1"/>
  <c r="C76" i="113"/>
  <c r="L75" i="113"/>
  <c r="I75" i="113"/>
  <c r="L74" i="113"/>
  <c r="G74" i="113"/>
  <c r="M73" i="113"/>
  <c r="L73" i="113" s="1"/>
  <c r="F73" i="113" s="1"/>
  <c r="C73" i="113"/>
  <c r="L72" i="113"/>
  <c r="I72" i="113"/>
  <c r="F72" i="113" s="1"/>
  <c r="C72" i="113"/>
  <c r="M71" i="113"/>
  <c r="L71" i="113" s="1"/>
  <c r="F71" i="113" s="1"/>
  <c r="C71" i="113"/>
  <c r="M70" i="113"/>
  <c r="L70" i="113" s="1"/>
  <c r="F70" i="113" s="1"/>
  <c r="C70" i="113"/>
  <c r="M69" i="113"/>
  <c r="L69" i="113" s="1"/>
  <c r="F69" i="113" s="1"/>
  <c r="C69" i="113"/>
  <c r="M68" i="113"/>
  <c r="L68" i="113" s="1"/>
  <c r="F68" i="113" s="1"/>
  <c r="M67" i="113"/>
  <c r="L67" i="113" s="1"/>
  <c r="F67" i="113" s="1"/>
  <c r="C67" i="113"/>
  <c r="M66" i="113"/>
  <c r="L66" i="113" s="1"/>
  <c r="F66" i="113" s="1"/>
  <c r="C66" i="113"/>
  <c r="M65" i="113"/>
  <c r="L65" i="113" s="1"/>
  <c r="F65" i="113" s="1"/>
  <c r="C65" i="113"/>
  <c r="M64" i="113"/>
  <c r="L64" i="113" s="1"/>
  <c r="F64" i="113" s="1"/>
  <c r="C64" i="113"/>
  <c r="M63" i="113"/>
  <c r="L63" i="113" s="1"/>
  <c r="F63" i="113" s="1"/>
  <c r="C63" i="113"/>
  <c r="M62" i="113"/>
  <c r="L62" i="113" s="1"/>
  <c r="F62" i="113" s="1"/>
  <c r="C62" i="113"/>
  <c r="M61" i="113"/>
  <c r="L61" i="113" s="1"/>
  <c r="H61" i="113"/>
  <c r="G61" i="113"/>
  <c r="L60" i="113"/>
  <c r="I60" i="113"/>
  <c r="L59" i="113"/>
  <c r="I59" i="113"/>
  <c r="M58" i="113"/>
  <c r="L58" i="113" s="1"/>
  <c r="F58" i="113" s="1"/>
  <c r="C58" i="113"/>
  <c r="M57" i="113"/>
  <c r="L57" i="113" s="1"/>
  <c r="F57" i="113" s="1"/>
  <c r="C57" i="113"/>
  <c r="M56" i="113"/>
  <c r="L56" i="113" s="1"/>
  <c r="G56" i="113"/>
  <c r="C56" i="113"/>
  <c r="L55" i="113"/>
  <c r="I55" i="113"/>
  <c r="L54" i="113"/>
  <c r="I54" i="113"/>
  <c r="M53" i="113"/>
  <c r="L53" i="113" s="1"/>
  <c r="F53" i="113" s="1"/>
  <c r="M52" i="113"/>
  <c r="L52" i="113" s="1"/>
  <c r="F52" i="113"/>
  <c r="M51" i="113"/>
  <c r="L51" i="113" s="1"/>
  <c r="F51" i="113" s="1"/>
  <c r="M50" i="113"/>
  <c r="L50" i="113" s="1"/>
  <c r="G50" i="113"/>
  <c r="C50" i="113"/>
  <c r="M49" i="113"/>
  <c r="L49" i="113" s="1"/>
  <c r="F49" i="113" s="1"/>
  <c r="M48" i="113"/>
  <c r="L48" i="113" s="1"/>
  <c r="G48" i="113"/>
  <c r="D48" i="113"/>
  <c r="C48" i="113"/>
  <c r="L47" i="113"/>
  <c r="I47" i="113"/>
  <c r="L46" i="113"/>
  <c r="I46" i="113"/>
  <c r="L45" i="113"/>
  <c r="I45" i="113"/>
  <c r="M44" i="113"/>
  <c r="L44" i="113" s="1"/>
  <c r="F44" i="113" s="1"/>
  <c r="M43" i="113"/>
  <c r="L43" i="113" s="1"/>
  <c r="F43" i="113" s="1"/>
  <c r="M42" i="113"/>
  <c r="L42" i="113" s="1"/>
  <c r="F42" i="113" s="1"/>
  <c r="C42" i="113"/>
  <c r="M41" i="113"/>
  <c r="L41" i="113" s="1"/>
  <c r="F41" i="113" s="1"/>
  <c r="M40" i="113"/>
  <c r="L40" i="113"/>
  <c r="F40" i="113" s="1"/>
  <c r="C40" i="113"/>
  <c r="M39" i="113"/>
  <c r="L39" i="113" s="1"/>
  <c r="F39" i="113" s="1"/>
  <c r="M38" i="113"/>
  <c r="L38" i="113" s="1"/>
  <c r="G38" i="113"/>
  <c r="M37" i="113"/>
  <c r="L37" i="113" s="1"/>
  <c r="F37" i="113" s="1"/>
  <c r="L36" i="113"/>
  <c r="I36" i="113"/>
  <c r="F36" i="113"/>
  <c r="M35" i="113"/>
  <c r="L35" i="113" s="1"/>
  <c r="F35" i="113" s="1"/>
  <c r="L34" i="113"/>
  <c r="I34" i="113"/>
  <c r="L33" i="113"/>
  <c r="F33" i="113" s="1"/>
  <c r="L32" i="113"/>
  <c r="I32" i="113"/>
  <c r="L31" i="113"/>
  <c r="I31" i="113"/>
  <c r="L30" i="113"/>
  <c r="I30" i="113"/>
  <c r="F30" i="113" s="1"/>
  <c r="L29" i="113"/>
  <c r="I29" i="113"/>
  <c r="F28" i="113"/>
  <c r="L27" i="113"/>
  <c r="I27" i="113"/>
  <c r="F27" i="113" s="1"/>
  <c r="C27" i="113"/>
  <c r="L26" i="113"/>
  <c r="F26" i="113" s="1"/>
  <c r="L25" i="113"/>
  <c r="I25" i="113"/>
  <c r="C25" i="113"/>
  <c r="L24" i="113"/>
  <c r="I24" i="113"/>
  <c r="L23" i="113"/>
  <c r="I23" i="113"/>
  <c r="L22" i="113"/>
  <c r="I22" i="113"/>
  <c r="F22" i="113"/>
  <c r="M21" i="113"/>
  <c r="L21" i="113" s="1"/>
  <c r="F21" i="113" s="1"/>
  <c r="M20" i="113"/>
  <c r="L20" i="113" s="1"/>
  <c r="F20" i="113" s="1"/>
  <c r="M19" i="113"/>
  <c r="L19" i="113" s="1"/>
  <c r="F19" i="113" s="1"/>
  <c r="C19" i="113"/>
  <c r="M18" i="113"/>
  <c r="L18" i="113" s="1"/>
  <c r="F18" i="113" s="1"/>
  <c r="C18" i="113"/>
  <c r="M17" i="113"/>
  <c r="L17" i="113" s="1"/>
  <c r="F17" i="113" s="1"/>
  <c r="M16" i="113"/>
  <c r="L16" i="113" s="1"/>
  <c r="F16" i="113" s="1"/>
  <c r="M15" i="113"/>
  <c r="L15" i="113" s="1"/>
  <c r="F15" i="113" s="1"/>
  <c r="C15" i="113"/>
  <c r="M14" i="113"/>
  <c r="L14" i="113" s="1"/>
  <c r="F14" i="113" s="1"/>
  <c r="C14" i="113"/>
  <c r="M13" i="113"/>
  <c r="L13" i="113" s="1"/>
  <c r="F13" i="113" s="1"/>
  <c r="M12" i="113"/>
  <c r="L12" i="113" s="1"/>
  <c r="F12" i="113" s="1"/>
  <c r="M11" i="113"/>
  <c r="L11" i="113" s="1"/>
  <c r="H11" i="113"/>
  <c r="H191" i="113" s="1"/>
  <c r="G11" i="113"/>
  <c r="L10" i="113"/>
  <c r="I10" i="113"/>
  <c r="C10" i="113"/>
  <c r="M9" i="113"/>
  <c r="L9" i="113" s="1"/>
  <c r="F9" i="113" s="1"/>
  <c r="C9" i="113"/>
  <c r="L8" i="113"/>
  <c r="F8" i="113" s="1"/>
  <c r="C8" i="113"/>
  <c r="M7" i="113"/>
  <c r="L7" i="113" s="1"/>
  <c r="F7" i="113" s="1"/>
  <c r="C7" i="113"/>
  <c r="Z63" i="117" l="1"/>
  <c r="AB64" i="117"/>
  <c r="AB63" i="117" s="1"/>
  <c r="AB61" i="117"/>
  <c r="AB60" i="117" s="1"/>
  <c r="Z60" i="117"/>
  <c r="Z36" i="117"/>
  <c r="AB37" i="117"/>
  <c r="AB36" i="117" s="1"/>
  <c r="Z48" i="117"/>
  <c r="Z32" i="117"/>
  <c r="AB33" i="117"/>
  <c r="AB32" i="117" s="1"/>
  <c r="AB13" i="117"/>
  <c r="AB12" i="117" s="1"/>
  <c r="Z12" i="117"/>
  <c r="AB71" i="117"/>
  <c r="AB70" i="117" s="1"/>
  <c r="Z70" i="117"/>
  <c r="AB48" i="117"/>
  <c r="AB40" i="117"/>
  <c r="AB39" i="117" s="1"/>
  <c r="AB78" i="117" s="1"/>
  <c r="Z39" i="117"/>
  <c r="Z29" i="117"/>
  <c r="AB23" i="117"/>
  <c r="AB22" i="117" s="1"/>
  <c r="Z22" i="117"/>
  <c r="Z46" i="117"/>
  <c r="AB47" i="117"/>
  <c r="AB46" i="117" s="1"/>
  <c r="AB20" i="117"/>
  <c r="AB19" i="117" s="1"/>
  <c r="Z19" i="117"/>
  <c r="AB8" i="117"/>
  <c r="AB7" i="117" s="1"/>
  <c r="Z7" i="117"/>
  <c r="Z78" i="117" s="1"/>
  <c r="F78" i="113"/>
  <c r="F54" i="113"/>
  <c r="F75" i="113"/>
  <c r="F90" i="113"/>
  <c r="K191" i="113"/>
  <c r="F115" i="113"/>
  <c r="F149" i="113"/>
  <c r="F150" i="113"/>
  <c r="F159" i="113"/>
  <c r="F167" i="113"/>
  <c r="F188" i="113"/>
  <c r="F47" i="113"/>
  <c r="F92" i="113"/>
  <c r="F112" i="113"/>
  <c r="F118" i="113"/>
  <c r="F120" i="113"/>
  <c r="F169" i="113"/>
  <c r="F172" i="113"/>
  <c r="F183" i="113"/>
  <c r="F23" i="113"/>
  <c r="F29" i="113"/>
  <c r="F46" i="113"/>
  <c r="F55" i="113"/>
  <c r="F60" i="113"/>
  <c r="F61" i="113"/>
  <c r="F74" i="113"/>
  <c r="F91" i="113"/>
  <c r="F100" i="113"/>
  <c r="F116" i="113"/>
  <c r="E191" i="113"/>
  <c r="F130" i="113"/>
  <c r="F168" i="113"/>
  <c r="F175" i="113"/>
  <c r="F178" i="113"/>
  <c r="I191" i="113"/>
  <c r="C191" i="113"/>
  <c r="F31" i="113"/>
  <c r="F48" i="113"/>
  <c r="F88" i="113"/>
  <c r="F109" i="113"/>
  <c r="F114" i="113"/>
  <c r="F128" i="113"/>
  <c r="F151" i="113"/>
  <c r="F156" i="113"/>
  <c r="F162" i="113"/>
  <c r="F164" i="113"/>
  <c r="F177" i="113"/>
  <c r="F182" i="113"/>
  <c r="F50" i="113"/>
  <c r="F119" i="113"/>
  <c r="F25" i="113"/>
  <c r="F32" i="113"/>
  <c r="F34" i="113"/>
  <c r="F59" i="113"/>
  <c r="L97" i="113"/>
  <c r="F97" i="113" s="1"/>
  <c r="F99" i="113"/>
  <c r="F113" i="113"/>
  <c r="F123" i="113"/>
  <c r="J191" i="113"/>
  <c r="M191" i="113"/>
  <c r="F11" i="113"/>
  <c r="F10" i="113"/>
  <c r="F24" i="113"/>
  <c r="F38" i="113"/>
  <c r="F45" i="113"/>
  <c r="D191" i="113"/>
  <c r="F56" i="113"/>
  <c r="F93" i="113"/>
  <c r="F125" i="113"/>
  <c r="F153" i="113"/>
  <c r="F157" i="113"/>
  <c r="F161" i="113"/>
  <c r="F165" i="113"/>
  <c r="F176" i="113"/>
  <c r="F180" i="113"/>
  <c r="F181" i="113"/>
  <c r="G191" i="113"/>
  <c r="L191" i="113" l="1"/>
  <c r="F191" i="113"/>
  <c r="D18" i="114" l="1"/>
  <c r="C18" i="114" s="1"/>
  <c r="D15" i="114"/>
  <c r="D26" i="114" s="1"/>
  <c r="C15" i="114"/>
  <c r="C26" i="114" s="1"/>
</calcChain>
</file>

<file path=xl/sharedStrings.xml><?xml version="1.0" encoding="utf-8"?>
<sst xmlns="http://schemas.openxmlformats.org/spreadsheetml/2006/main" count="707" uniqueCount="431">
  <si>
    <t>Наименование медицинской организации</t>
  </si>
  <si>
    <t>ООО "Лаборатория гемодиализа"</t>
  </si>
  <si>
    <t>ООО "МЦ "Агидель"</t>
  </si>
  <si>
    <t>ООО "Сфера-Эстейт"</t>
  </si>
  <si>
    <t>ООО "Экома"</t>
  </si>
  <si>
    <t>Всего</t>
  </si>
  <si>
    <t>(услуги)</t>
  </si>
  <si>
    <t>№ п/п</t>
  </si>
  <si>
    <t>Итого</t>
  </si>
  <si>
    <t>ГБУЗ РБ Белебеевская ЦРБ</t>
  </si>
  <si>
    <t>ГБУЗ РБ Белорецкая ЦРКБ</t>
  </si>
  <si>
    <t>ГАУЗ РБ Учалинская ЦГБ</t>
  </si>
  <si>
    <t>ГБУЗ РБ Бирская ЦРБ</t>
  </si>
  <si>
    <t>ГБУЗ РБ Дюртюлинская ЦРБ</t>
  </si>
  <si>
    <t xml:space="preserve">ГБУЗ РБ ГБ г. Нефтекамск </t>
  </si>
  <si>
    <t>ГБУЗ РБ Месягутовская ЦРБ</t>
  </si>
  <si>
    <t>ГБУЗ РБ Баймакская ЦГБ</t>
  </si>
  <si>
    <t>ГБУЗ РБ КБ № 1 г.Стерлитамак</t>
  </si>
  <si>
    <t>ГБУЗ РБ Ишимбайская ЦРБ</t>
  </si>
  <si>
    <t>ГБУЗ РБ Мелеузовская ЦРБ</t>
  </si>
  <si>
    <t>ГБУЗ РБ Туймазинская ЦРБ</t>
  </si>
  <si>
    <t>ГАУЗ РБ ГКБ №18 г.Уфа</t>
  </si>
  <si>
    <t>ФГБОУ ВО БГМУ Минздрава России</t>
  </si>
  <si>
    <t>ГАУЗ РКОД МЗ РБ</t>
  </si>
  <si>
    <t>ГБУЗ РКЦ</t>
  </si>
  <si>
    <t>ГБУЗ РДКБ</t>
  </si>
  <si>
    <t>ГБУЗ "РКПЦ" МЗ РБ</t>
  </si>
  <si>
    <t>ГБУЗ РКГВВ</t>
  </si>
  <si>
    <t>ГБУЗ РБ БСМП г.Уфа</t>
  </si>
  <si>
    <t xml:space="preserve">ГБУЗ РБ ГКБ № 21 г.Уфа </t>
  </si>
  <si>
    <t>ГБУЗ РБ Благовещенская ЦРБ</t>
  </si>
  <si>
    <t>ЧУЗ «КБ «РЖД - Медицина» г. Уфа»</t>
  </si>
  <si>
    <t>Медицинская помощь за пределами РБ</t>
  </si>
  <si>
    <t>Наименование МО</t>
  </si>
  <si>
    <t>ГБУЗ РКБ им. Г.Г. Куватова</t>
  </si>
  <si>
    <t xml:space="preserve">ГБУЗ РБ ГКБ № 21 г. Уфа </t>
  </si>
  <si>
    <t>ГАУЗ РБ ГКБ № 18 г. Уфа</t>
  </si>
  <si>
    <t>ГБУЗ РБ КБ № 1 г. Стерлитамак</t>
  </si>
  <si>
    <t>(случай лечения)</t>
  </si>
  <si>
    <t xml:space="preserve">В рамках базовой программы ОМС </t>
  </si>
  <si>
    <t>ГБУЗ РБ ГБ г. Нефтекамск</t>
  </si>
  <si>
    <t>Обособленное структурное подразделение ГБУЗ РБ ГБ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</si>
  <si>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</si>
  <si>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</si>
  <si>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</si>
  <si>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</si>
  <si>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</si>
  <si>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</si>
  <si>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</si>
  <si>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</si>
  <si>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</si>
  <si>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"Белый Жемчуг" (г.Нефтекамск)</t>
  </si>
  <si>
    <t>ООО МЦ "СЕМЕЙНЫЙ ДОКТОР" (г.Бирск)</t>
  </si>
  <si>
    <t>ГБУЗ РБ ЦГБ г. Сибай</t>
  </si>
  <si>
    <t>ФГБУЗ МСЧ № 142 ФМБА России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</si>
  <si>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</si>
  <si>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</si>
  <si>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</si>
  <si>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</si>
  <si>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</si>
  <si>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</si>
  <si>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</si>
  <si>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</si>
  <si>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г. Стерлитамак</t>
  </si>
  <si>
    <t>ГБУЗ РБ ДБ г. Стерлитамак</t>
  </si>
  <si>
    <t>ГАУЗ РБ "Санаторий для детей НУР г. Стерлитамак"</t>
  </si>
  <si>
    <t xml:space="preserve">ГАУЗ РБ КВД г. Стерлитамак 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</si>
  <si>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</si>
  <si>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</si>
  <si>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Обособленное структурное подразделение Родильный дом ГБУЗ РБ ГБ г.Салават</t>
  </si>
  <si>
    <t>ГАУЗ РБ КВД г. Салават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</si>
  <si>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</si>
  <si>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</si>
  <si>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</si>
  <si>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</si>
  <si>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</si>
  <si>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</si>
  <si>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</si>
  <si>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</si>
  <si>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АНО "Перинатальный центр" (г. Салават)</t>
  </si>
  <si>
    <t>ООО "Клиника доктора Симаковой" (г.Стерлитамак)</t>
  </si>
  <si>
    <t>ООО "Медсервис" г. Салават</t>
  </si>
  <si>
    <t>ГБУЗ РБ ГБ № 1 г. Октябрьский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</si>
  <si>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</si>
  <si>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</si>
  <si>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</si>
  <si>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</si>
  <si>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</si>
  <si>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</si>
  <si>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</si>
  <si>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</si>
  <si>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</si>
  <si>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</si>
  <si>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</si>
  <si>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</si>
  <si>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</si>
  <si>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</si>
  <si>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</si>
  <si>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</si>
  <si>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</si>
  <si>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</si>
  <si>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</si>
  <si>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</si>
  <si>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</si>
  <si>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</si>
  <si>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</si>
  <si>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</si>
  <si>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</si>
  <si>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</si>
  <si>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</si>
  <si>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</si>
  <si>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</si>
  <si>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</si>
  <si>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</si>
  <si>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</si>
  <si>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 xml:space="preserve">ГБУЗ РБ РД № 3 г. Уфа  </t>
  </si>
  <si>
    <t>Поликлиника УНЦ РАН</t>
  </si>
  <si>
    <t>ГБУЗ РБ Архангельская ЦРБ</t>
  </si>
  <si>
    <t>ГБУЗ РБ Белокатайская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</si>
  <si>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</si>
  <si>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</si>
  <si>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</si>
  <si>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</si>
  <si>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</si>
  <si>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</si>
  <si>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</si>
  <si>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</si>
  <si>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</si>
  <si>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</si>
  <si>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</si>
  <si>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ООО "Клиника глазных болезней" (г.Уфа)</t>
  </si>
  <si>
    <t>ООО "Лаборатория гемодиализа" (гемодиализ ds18.002)</t>
  </si>
  <si>
    <t>ООО "МЦ МЕГИ" (г.Уфа)</t>
  </si>
  <si>
    <t>ГБУЗ РКБ им.Г.Г. Куватова</t>
  </si>
  <si>
    <t>ГБУЗ РКБ им.Г.Г. Куватова (гемодиализ ds18.002)</t>
  </si>
  <si>
    <t xml:space="preserve">ГБУЗ "РДКБ" </t>
  </si>
  <si>
    <t>ГБУЗ "РДКБ" (гемодиализ ds18.002)</t>
  </si>
  <si>
    <t>ГБУ "УфНИИ ГБ АН РБ"</t>
  </si>
  <si>
    <t>ГАУЗ РКВД № 1</t>
  </si>
  <si>
    <t>ГБУЗ РМГЦ*</t>
  </si>
  <si>
    <t>ГАУЗ РВФД</t>
  </si>
  <si>
    <t>Обособленное структурное подразделение ГБУЗ РБ ГКБ № 21 г. Уфа ранее именуемое ГБУЗ РБ Уфимская ЦРП</t>
  </si>
  <si>
    <t>ГБУЗ РБ ИКБ № 4 г. Уфа</t>
  </si>
  <si>
    <t>ООО "ПЭТ-Технолоджи",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</si>
  <si>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</si>
  <si>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</si>
  <si>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</si>
  <si>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-'КТ/ПЭТ исследования</t>
  </si>
  <si>
    <t>ООО "Клиника лазерной хирургии"</t>
  </si>
  <si>
    <t>ИТОГО</t>
  </si>
  <si>
    <t>Медицинская помощь, оказываемая в условиях дневных стационаров всех типов, на 2019 год.</t>
  </si>
  <si>
    <t>Всего в рамках программы ОМС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</si>
  <si>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</si>
  <si>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</si>
  <si>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</si>
  <si>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</si>
  <si>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</si>
  <si>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</si>
  <si>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ООО "АНЭКО"*</t>
  </si>
  <si>
    <t>ООО "МД Проект 2010"*</t>
  </si>
  <si>
    <t>ООО "ЦМТ"*</t>
  </si>
  <si>
    <t>НУЗ "Узловая больница на ст. Стерлитамак ОАО "РЖД"</t>
  </si>
  <si>
    <t>ООО "Лаборатория гемодиализа" (ds18.003)</t>
  </si>
  <si>
    <t xml:space="preserve">ГБУЗ РКБ им.Г.Г. Куватова </t>
  </si>
  <si>
    <t>ГБУЗ РКБ им.Г.Г. Куватова (ds18.003)</t>
  </si>
  <si>
    <t>ГБУЗ "РДКБ" (ds18.003)</t>
  </si>
  <si>
    <t>ГБУЗ РБ ГБ г.Кумертау</t>
  </si>
  <si>
    <t>ГБУЗ РБ ГБ г.Салават</t>
  </si>
  <si>
    <t>ГБУЗ РБ ЦГБ г.Сибай</t>
  </si>
  <si>
    <t>ГБУЗ РБ Городская больница №2 г.Стерлитамак</t>
  </si>
  <si>
    <t>ГБУЗ РБ Детская поликлиника №5 г.Уфа</t>
  </si>
  <si>
    <t>ГБУЗ РБ Поликлиника №2 г.Уфа</t>
  </si>
  <si>
    <t>ГБУЗ РБ Поликлиника №38 г.Уфа</t>
  </si>
  <si>
    <t>ГБУЗ РБ Поликлиника №46 г.Уфа</t>
  </si>
  <si>
    <t>ГБУЗ РБ ГКБ №10 г.Уфа</t>
  </si>
  <si>
    <t>ГБУЗ РБ ГДКБ №17 г.Уфа</t>
  </si>
  <si>
    <t>Наименование медицинских организаций</t>
  </si>
  <si>
    <t>в том числе</t>
  </si>
  <si>
    <t>ГБУЗ РБ КБ №1 г.Стерлитамак</t>
  </si>
  <si>
    <t>ГБУЗ РБ ГБ №1 г. Октябрьский</t>
  </si>
  <si>
    <t>ГБУЗ РБ ГКБ Дёмского района г.Уфа</t>
  </si>
  <si>
    <t>ГБУЗ РБ ГКБ №13 г.Уфа</t>
  </si>
  <si>
    <t>ООО "МД Проект 2010" (г.Уфа)</t>
  </si>
  <si>
    <t>ГАУЗ РКОД  МЗ РБ</t>
  </si>
  <si>
    <t>ГБУЗ РМГЦ</t>
  </si>
  <si>
    <t xml:space="preserve">ГБУЗ РБ ГКБ №21 г.Уфа </t>
  </si>
  <si>
    <t>ГБУЗ РБ ГКБ №8 г.Уфа</t>
  </si>
  <si>
    <t>Медицинская помощь, оказываемая в круглосуточных стационарах на 2019 год.</t>
  </si>
  <si>
    <t>(случаи госпитализации)</t>
  </si>
  <si>
    <t>ВМП</t>
  </si>
  <si>
    <t xml:space="preserve">в том числе </t>
  </si>
  <si>
    <t xml:space="preserve">В рамках специлизиро-ванной программы ОМС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</si>
  <si>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</si>
  <si>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</si>
  <si>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</si>
  <si>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>ГБУЗ РБ Городская инфекционная больница                                                                            г. Стерлитамак</t>
  </si>
  <si>
    <t xml:space="preserve">Обособленное структурное подразделение Родильный дом ГБУЗ РБ ГБ г. Салават </t>
  </si>
  <si>
    <t>Обособленное структурное подразделение ГБУЗ РБ ГБ г. Кумертау ранее именуемое ГБУЗ РБ Ермолаевская ЦРБ</t>
  </si>
  <si>
    <t>ООО "Медсервис" (г. Салават)</t>
  </si>
  <si>
    <t>ФКУЗ «МСЧ МВД России по РБ»</t>
  </si>
  <si>
    <t>ЧУЗ КБ "РЖД-Медицина" г.Уфа</t>
  </si>
  <si>
    <t>ООО "МД Проект 2010"</t>
  </si>
  <si>
    <t>ООО "Медицинский центр Семья"</t>
  </si>
  <si>
    <t>ООО «Санаторий "Зеленая роща"» РБ</t>
  </si>
  <si>
    <t>ООО  санаторий "Юматово"</t>
  </si>
  <si>
    <t>ООО "ЦМТ"</t>
  </si>
  <si>
    <t>ГБУЗ РКБ им. Г.Г.Куватова</t>
  </si>
  <si>
    <t>ГБУЗ " РДКБ"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</si>
  <si>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</si>
  <si>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</si>
  <si>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</si>
  <si>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</si>
  <si>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</si>
  <si>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>Объем, перечень видов ВМП, финансовое обеспечение которых осуществляется за счет средств ОМС, установленные Комиссией на 2019 год</t>
  </si>
  <si>
    <t>№ группы ВМП</t>
  </si>
  <si>
    <t>ГБУЗ РКПЦ МЗ РБ</t>
  </si>
  <si>
    <t>ГАУЗ РКВД №1</t>
  </si>
  <si>
    <t>ГБУЗ РБ ГКБ №21 г. Уфа</t>
  </si>
  <si>
    <t>ФГБУ "ВЦГПХ" Минздрава России</t>
  </si>
  <si>
    <t>ГБУ  "УфНИИ ГБ АН РБ"</t>
  </si>
  <si>
    <t>ГБУЗ РБ ГКБ №10 г. Уфа</t>
  </si>
  <si>
    <t>ГБУЗ РБ ГКБ №13 г. Уфа</t>
  </si>
  <si>
    <t>ГБУЗ РБ ГДКБ № 17 г. Уфа</t>
  </si>
  <si>
    <t>ГАУЗ РБ ГКБ №18 г. Уфа</t>
  </si>
  <si>
    <t>ГБУЗ РБ РД №3 г. Уфа</t>
  </si>
  <si>
    <t>ГБУЗ РБ ГБ г.Нефтекакмск</t>
  </si>
  <si>
    <t>ГБУЗ РБ КБ №1 г. Стерлитамак</t>
  </si>
  <si>
    <t>ООО "Медсервис" г.Салават</t>
  </si>
  <si>
    <t>ООО"МД Проект 2010"</t>
  </si>
  <si>
    <t>ИТОГО без резерва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</si>
  <si>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</si>
  <si>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</si>
  <si>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</si>
  <si>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</si>
  <si>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</si>
  <si>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</si>
  <si>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</si>
  <si>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</si>
  <si>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</si>
  <si>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</si>
  <si>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</si>
  <si>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</si>
  <si>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</si>
  <si>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</si>
  <si>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</si>
  <si>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</si>
  <si>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</si>
  <si>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</si>
  <si>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</si>
  <si>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</si>
  <si>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</si>
  <si>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</si>
  <si>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</si>
  <si>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</si>
  <si>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</si>
  <si>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</si>
  <si>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</si>
  <si>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</si>
  <si>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</si>
  <si>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</si>
  <si>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</si>
  <si>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</si>
  <si>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</si>
  <si>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</si>
  <si>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</si>
  <si>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</si>
  <si>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</si>
  <si>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</si>
  <si>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</si>
  <si>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ОСП Родильный дом ГБУЗ РБ ГБ г.Салават</t>
  </si>
  <si>
    <t>АНО "Перинатальный центр"</t>
  </si>
  <si>
    <t>ГБУЗ РБ ГБ № 1 г.Октябрьский</t>
  </si>
  <si>
    <t>ГБУЗ РБ Поликлиника №43 г.Уфа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</si>
  <si>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</si>
  <si>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</si>
  <si>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</si>
  <si>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ГБУЗ РБ РД №3 г.Уфа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</si>
  <si>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</si>
  <si>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</si>
  <si>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</si>
  <si>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</si>
  <si>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</si>
  <si>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ООО "Центр здоровья"</t>
  </si>
  <si>
    <t>Амбулаторно-поликлиническая помощь в части обращений в связи с заболеваниями  и неотложной медицинской помощи на 2019 год.</t>
  </si>
  <si>
    <t>Неотложная медицинская помощь (посещение по неотложной медицинской помощи)</t>
  </si>
  <si>
    <t xml:space="preserve">в том числе посещения в травматологические пункты                                      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</si>
  <si>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</si>
  <si>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</si>
  <si>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</si>
  <si>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</si>
  <si>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</si>
  <si>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</si>
  <si>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</si>
  <si>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</si>
  <si>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по специальности "травматология и ортопедия"</t>
  </si>
  <si>
    <t>по специальности 
"офтальмология"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</si>
  <si>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</si>
  <si>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</si>
  <si>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</si>
  <si>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</si>
  <si>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</si>
  <si>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"Авиценна (г.Нефтекамск)</t>
  </si>
  <si>
    <t>ООО "Ваша стоматология" (г.Нефтекамск)</t>
  </si>
  <si>
    <t>ООО "ВИТАЛ" (г.Нефтекамск)</t>
  </si>
  <si>
    <t>ООО "Городская стоматологическая клиника" (г.Нефтекамск)</t>
  </si>
  <si>
    <t>ООО "Дантист+"(г. Нефтекамск)</t>
  </si>
  <si>
    <t>ООО "Дента" (г.Нефтекамск)</t>
  </si>
  <si>
    <t>ООО "Корона+" (г.Нефтекамск)</t>
  </si>
  <si>
    <t>ООО "МедСервис" (г.Нефтекамск)</t>
  </si>
  <si>
    <t>ООО "СтомЭл" (г.Нефтекамс)</t>
  </si>
  <si>
    <t>ООО "ЭнжеДент" (г.Нефтекамс)</t>
  </si>
  <si>
    <t>ГАУЗ РБ Стоматологическая поликлиника г.Сибай</t>
  </si>
  <si>
    <t>ФГБУЗ МСЧ №142 ФМБА России</t>
  </si>
  <si>
    <t>ИП Искужин Р.Г. (с.Темясово)</t>
  </si>
  <si>
    <t>ООО "Медента" (г.Баймак)</t>
  </si>
  <si>
    <t>ООО "Мой доктор" (с.Аскарово)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</si>
  <si>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</si>
  <si>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</si>
  <si>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</si>
  <si>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</si>
  <si>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</si>
  <si>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</si>
  <si>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</si>
  <si>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ГБУЗ РБ Стоматологическая поликлиника г.Салават</t>
  </si>
  <si>
    <t>ГАУЗ РБ КВД г.Салават</t>
  </si>
  <si>
    <t>Обособленное структурное подразделение ГБУЗ РБ ЦГБ города Кумертау, ранее именуемое ГБУЗ РБ Ермолаевская ЦРБ</t>
  </si>
  <si>
    <t>ЧУЗ «РЖД- Медицина» г.Стерлитамак»</t>
  </si>
  <si>
    <t>ООО "Медсервис" (г.Салават)</t>
  </si>
  <si>
    <t>ООО "ММОЦ" (г.Стерлитамак)</t>
  </si>
  <si>
    <t>ООО СП "Берёзка" (г.Стерлитамак)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</si>
  <si>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</si>
  <si>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</si>
  <si>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</si>
  <si>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"Медсервис" (с.Верхнеяркеево)</t>
  </si>
  <si>
    <t>ООО "Радуга" (с.Киргиз-Мияки)</t>
  </si>
  <si>
    <t>ООО "Центр здоровья и красоты" (с.Киргиз-Мияки)</t>
  </si>
  <si>
    <t>ООО "Экодент" (г.Белебей)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</si>
  <si>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</si>
  <si>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</si>
  <si>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</si>
  <si>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</si>
  <si>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</si>
  <si>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</si>
  <si>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</si>
  <si>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№32 г.Уфа</t>
  </si>
  <si>
    <t>ГБУЗ РБ Поликлиника №44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</si>
  <si>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</si>
  <si>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</si>
  <si>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</si>
  <si>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</si>
  <si>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</si>
  <si>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</si>
  <si>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</si>
  <si>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</si>
  <si>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</si>
  <si>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</si>
  <si>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</si>
  <si>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№5 г.Уфа</t>
  </si>
  <si>
    <t>ГБУЗ РБ ГБ №9 г.Уфа</t>
  </si>
  <si>
    <t>ГБУЗ РБ ГБ №12 г.Уфа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</si>
  <si>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</si>
  <si>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</si>
  <si>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</si>
  <si>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ЧУЗ «КБ «РЖД- Медицина» г.Уфа»</t>
  </si>
  <si>
    <t>ООО "МЦ "Агидель""</t>
  </si>
  <si>
    <t>ООО "АЙМЕД" (г.Уфа)</t>
  </si>
  <si>
    <t>ООО "Академия здоровья" (г.Уфа)</t>
  </si>
  <si>
    <t>ООО "Арт-Лион" (г.Уфа)</t>
  </si>
  <si>
    <t>ООО "Витадент Космо" (г.Уфа)</t>
  </si>
  <si>
    <t>ООО "Дантист" (г.Благовещенск)</t>
  </si>
  <si>
    <t>ООО "ДЭНТА" (г.Уфа)</t>
  </si>
  <si>
    <t>ООО "Евромед+" (г.Уфа)</t>
  </si>
  <si>
    <t>ООО "Евромед-Уфа" (г.Уфа)</t>
  </si>
  <si>
    <t>ООО "Клиника Авиценна" (с.Нагаево)</t>
  </si>
  <si>
    <t>ООО "Лаборатория гемодиализа" (г.Уфа)</t>
  </si>
  <si>
    <t>ООО "МАСТЕР-ДЕНТ" (г.Уфа)</t>
  </si>
  <si>
    <t>ООО "Медик" (г.Уфа)</t>
  </si>
  <si>
    <t>ООО "Медицинский центр Семья" (г.Уфа)</t>
  </si>
  <si>
    <t>ООО "Медхелп"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</si>
  <si>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</si>
  <si>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</si>
  <si>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</si>
  <si>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"Сфера-Эстейт" (г.Уфа)</t>
  </si>
  <si>
    <t>ООО "ЦДХ" (г.Уфа)</t>
  </si>
  <si>
    <t>ООО "ЦМТ" (г.Уфа)</t>
  </si>
  <si>
    <t>ООО "Экома"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</si>
  <si>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</si>
  <si>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</si>
  <si>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</si>
  <si>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 Г.Амантая)</t>
  </si>
  <si>
    <t>ООО "Эмидент" (г.Уфа, ул.Мира)</t>
  </si>
  <si>
    <t>ООО "ЮНИСТ" (г.Уфа)</t>
  </si>
  <si>
    <t>ГБУЗ РБ ИКБ №4 г.Уфа</t>
  </si>
  <si>
    <t>АУЗ РСП</t>
  </si>
  <si>
    <t>ООО "ВИП" (г.Нефтекамск)</t>
  </si>
  <si>
    <t>стоматология</t>
  </si>
  <si>
    <t>ООО "Академия здоровья", с.Киргиз-Мияки</t>
  </si>
  <si>
    <t xml:space="preserve">ООО "Дентал Стандарт", с.Бижбуляк </t>
  </si>
  <si>
    <t xml:space="preserve">ООО "Дантист", 
г. Благовещенск </t>
  </si>
  <si>
    <t>ООО "Белый жемчуг"</t>
  </si>
  <si>
    <t xml:space="preserve"> ООО "Корона+"</t>
  </si>
  <si>
    <t>ООО "Ваша стоматология"</t>
  </si>
  <si>
    <t>ООО "ВИП"</t>
  </si>
  <si>
    <t>ООО "Городская стоматологическая клиника"</t>
  </si>
  <si>
    <t>ООО "Арт-Лион"</t>
  </si>
  <si>
    <t xml:space="preserve"> ООО "МАСТЕР-ДЕНТ"</t>
  </si>
  <si>
    <t>ООО "ЮНИСТ"</t>
  </si>
  <si>
    <t>ООО "Эмидент" ул.Амантая</t>
  </si>
  <si>
    <t>ООО "МЦ МЕГИ"</t>
  </si>
  <si>
    <t>ООО "Эмидент Люкс" ул.Айская</t>
  </si>
  <si>
    <t>ООО "Эмидент Люкс" ул.Революционная</t>
  </si>
  <si>
    <t>ООО  "Профи-клиник"</t>
  </si>
  <si>
    <t>ООО  "Студия Стоматологии"</t>
  </si>
  <si>
    <t>ООО "Витадент Космо"</t>
  </si>
  <si>
    <t>ООО "Эмидент плюс"</t>
  </si>
  <si>
    <t xml:space="preserve">ООО "Радуга" с.Киргиз-Мияки </t>
  </si>
  <si>
    <t>Неотложная помощь, оказываемая в амбулаторно-поликлинических условиях на 2019 г.
(для медицинских организаций частной формы собственности, не имеющих прикрепленного населения и финансируемых по реестрам)</t>
  </si>
  <si>
    <t>Всего посещений по неотложной медицинской помощи</t>
  </si>
  <si>
    <t>с том числе по специальности</t>
  </si>
  <si>
    <t>Скорая медицинская помощь на 2019 год</t>
  </si>
  <si>
    <t>(вызов)</t>
  </si>
  <si>
    <t>ВСЕГО</t>
  </si>
  <si>
    <t>Сверхбазовая часть программы ОМС (психиатри-ческие бригады)</t>
  </si>
  <si>
    <t xml:space="preserve">Объемы скорой медицинской помощи в рамках базовой программы ОМС </t>
  </si>
  <si>
    <t>Фельдшер-ские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</si>
  <si>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</si>
  <si>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</si>
  <si>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</si>
  <si>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Станция скорой медицинской помощи г. Стерлитамак</t>
  </si>
  <si>
    <t>ГБУЗ РССМП и ЦМК</t>
  </si>
  <si>
    <t>Объемы медицинской помощи за пределами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</si>
</sst>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9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25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0" applyNumberFormat="0" applyAlignment="0" applyProtection="0"/>
    <xf numFmtId="0" fontId="11" fillId="68" borderId="10"/>
    <xf numFmtId="0" fontId="12" fillId="69" borderId="11" applyNumberFormat="0" applyAlignment="0" applyProtection="0"/>
    <xf numFmtId="0" fontId="12" fillId="70" borderId="0"/>
    <xf numFmtId="166" fontId="13" fillId="0" borderId="0"/>
    <xf numFmtId="167" fontId="13" fillId="0" borderId="0" applyBorder="0" applyProtection="0"/>
    <xf numFmtId="166" fontId="13" fillId="0" borderId="0" applyBorder="0" applyProtection="0"/>
    <xf numFmtId="166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2" applyNumberFormat="0" applyFill="0" applyAlignment="0" applyProtection="0"/>
    <xf numFmtId="0" fontId="18" fillId="0" borderId="12"/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0" applyNumberFormat="0" applyAlignment="0" applyProtection="0"/>
    <xf numFmtId="0" fontId="21" fillId="39" borderId="10"/>
    <xf numFmtId="0" fontId="22" fillId="0" borderId="15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6" applyNumberFormat="0" applyFont="0" applyAlignment="0" applyProtection="0"/>
    <xf numFmtId="0" fontId="26" fillId="72" borderId="16"/>
    <xf numFmtId="0" fontId="27" fillId="50" borderId="17" applyNumberFormat="0" applyAlignment="0" applyProtection="0"/>
    <xf numFmtId="0" fontId="27" fillId="68" borderId="17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8" applyNumberFormat="0" applyFill="0" applyAlignment="0" applyProtection="0"/>
    <xf numFmtId="0" fontId="30" fillId="0" borderId="19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9" borderId="1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68" borderId="17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68" borderId="1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4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1" applyNumberFormat="0" applyFill="0" applyAlignment="0" applyProtection="0"/>
    <xf numFmtId="0" fontId="20" fillId="0" borderId="14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2" applyNumberFormat="0" applyFill="0" applyAlignment="0" applyProtection="0"/>
    <xf numFmtId="0" fontId="30" fillId="0" borderId="19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1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1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6" applyNumberFormat="0" applyFont="0" applyAlignment="0" applyProtection="0"/>
    <xf numFmtId="0" fontId="49" fillId="41" borderId="16" applyNumberFormat="0" applyFont="0" applyAlignment="0" applyProtection="0"/>
    <xf numFmtId="0" fontId="43" fillId="41" borderId="16" applyNumberFormat="0" applyFont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5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5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9" fontId="58" fillId="0" borderId="0"/>
    <xf numFmtId="165" fontId="8" fillId="0" borderId="0" applyFont="0" applyFill="0" applyBorder="0" applyAlignment="0" applyProtection="0"/>
    <xf numFmtId="167" fontId="51" fillId="0" borderId="0"/>
    <xf numFmtId="167" fontId="51" fillId="0" borderId="0" applyFill="0" applyBorder="0" applyAlignment="0" applyProtection="0"/>
    <xf numFmtId="167" fontId="51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</cellStyleXfs>
  <cellXfs count="247">
    <xf numFmtId="0" fontId="0" fillId="0" borderId="0" xfId="0"/>
    <xf numFmtId="0" fontId="65" fillId="0" borderId="0" xfId="0" applyFont="1" applyFill="1"/>
    <xf numFmtId="0" fontId="68" fillId="74" borderId="0" xfId="57847" applyFont="1" applyFill="1" applyAlignment="1">
      <alignment horizontal="center"/>
    </xf>
    <xf numFmtId="0" fontId="68" fillId="74" borderId="0" xfId="57847" applyFont="1" applyFill="1"/>
    <xf numFmtId="0" fontId="60" fillId="74" borderId="0" xfId="0" applyFont="1" applyFill="1"/>
    <xf numFmtId="3" fontId="60" fillId="74" borderId="0" xfId="0" applyNumberFormat="1" applyFont="1" applyFill="1"/>
    <xf numFmtId="0" fontId="60" fillId="74" borderId="0" xfId="0" applyFont="1" applyFill="1" applyAlignment="1">
      <alignment vertical="center"/>
    </xf>
    <xf numFmtId="0" fontId="73" fillId="74" borderId="0" xfId="0" applyFont="1" applyFill="1" applyAlignment="1">
      <alignment horizontal="center" vertical="center"/>
    </xf>
    <xf numFmtId="3" fontId="60" fillId="74" borderId="23" xfId="0" applyNumberFormat="1" applyFont="1" applyFill="1" applyBorder="1" applyAlignment="1">
      <alignment horizontal="center" vertical="center" wrapText="1"/>
    </xf>
    <xf numFmtId="0" fontId="60" fillId="74" borderId="0" xfId="0" applyFont="1" applyFill="1" applyAlignment="1">
      <alignment horizontal="center" vertical="center"/>
    </xf>
    <xf numFmtId="0" fontId="60" fillId="74" borderId="23" xfId="0" applyFont="1" applyFill="1" applyBorder="1" applyAlignment="1">
      <alignment horizontal="center" vertical="center"/>
    </xf>
    <xf numFmtId="3" fontId="60" fillId="74" borderId="23" xfId="0" applyNumberFormat="1" applyFont="1" applyFill="1" applyBorder="1" applyAlignment="1">
      <alignment vertical="center"/>
    </xf>
    <xf numFmtId="3" fontId="60" fillId="74" borderId="23" xfId="0" applyNumberFormat="1" applyFont="1" applyFill="1" applyBorder="1" applyAlignment="1">
      <alignment horizontal="center" vertical="center"/>
    </xf>
    <xf numFmtId="4" fontId="76" fillId="74" borderId="23" xfId="59250" applyNumberFormat="1" applyFont="1" applyFill="1" applyBorder="1" applyAlignment="1">
      <alignment horizontal="left" vertical="center" wrapText="1"/>
    </xf>
    <xf numFmtId="3" fontId="76" fillId="74" borderId="23" xfId="0" applyNumberFormat="1" applyFont="1" applyFill="1" applyBorder="1" applyAlignment="1">
      <alignment horizontal="center" vertical="center"/>
    </xf>
    <xf numFmtId="4" fontId="76" fillId="74" borderId="23" xfId="0" applyNumberFormat="1" applyFont="1" applyFill="1" applyBorder="1" applyAlignment="1">
      <alignment wrapText="1"/>
    </xf>
    <xf numFmtId="0" fontId="76" fillId="74" borderId="0" xfId="0" applyFont="1" applyFill="1"/>
    <xf numFmtId="3" fontId="60" fillId="74" borderId="23" xfId="0" applyNumberFormat="1" applyFont="1" applyFill="1" applyBorder="1" applyAlignment="1">
      <alignment vertical="center" wrapText="1"/>
    </xf>
    <xf numFmtId="4" fontId="76" fillId="74" borderId="23" xfId="0" applyNumberFormat="1" applyFont="1" applyFill="1" applyBorder="1" applyAlignment="1">
      <alignment vertical="center" wrapText="1"/>
    </xf>
    <xf numFmtId="4" fontId="60" fillId="74" borderId="27" xfId="59248" applyNumberFormat="1" applyFont="1" applyFill="1" applyBorder="1" applyAlignment="1">
      <alignment horizontal="left" vertical="center" wrapText="1"/>
    </xf>
    <xf numFmtId="3" fontId="60" fillId="74" borderId="23" xfId="0" applyNumberFormat="1" applyFont="1" applyFill="1" applyBorder="1" applyAlignment="1">
      <alignment wrapText="1"/>
    </xf>
    <xf numFmtId="4" fontId="60" fillId="74" borderId="26" xfId="59248" applyNumberFormat="1" applyFont="1" applyFill="1" applyBorder="1" applyAlignment="1">
      <alignment horizontal="left" vertical="center" wrapText="1"/>
    </xf>
    <xf numFmtId="4" fontId="60" fillId="74" borderId="23" xfId="0" applyNumberFormat="1" applyFont="1" applyFill="1" applyBorder="1" applyAlignment="1">
      <alignment wrapText="1"/>
    </xf>
    <xf numFmtId="4" fontId="60" fillId="74" borderId="23" xfId="59251" applyNumberFormat="1" applyFont="1" applyFill="1" applyBorder="1" applyAlignment="1">
      <alignment wrapText="1"/>
    </xf>
    <xf numFmtId="4" fontId="60" fillId="74" borderId="23" xfId="0" applyNumberFormat="1" applyFont="1" applyFill="1" applyBorder="1" applyAlignment="1">
      <alignment horizontal="left" wrapText="1"/>
    </xf>
    <xf numFmtId="0" fontId="73" fillId="74" borderId="23" xfId="0" applyFont="1" applyFill="1" applyBorder="1" applyAlignment="1">
      <alignment horizontal="center" vertical="center"/>
    </xf>
    <xf numFmtId="0" fontId="73" fillId="74" borderId="23" xfId="0" applyFont="1" applyFill="1" applyBorder="1" applyAlignment="1">
      <alignment vertical="center"/>
    </xf>
    <xf numFmtId="3" fontId="73" fillId="74" borderId="23" xfId="0" applyNumberFormat="1" applyFont="1" applyFill="1" applyBorder="1" applyAlignment="1">
      <alignment horizontal="center" vertical="center"/>
    </xf>
    <xf numFmtId="4" fontId="60" fillId="74" borderId="23" xfId="0" applyNumberFormat="1" applyFont="1" applyFill="1" applyBorder="1" applyAlignment="1">
      <alignment horizontal="left" vertical="center" wrapText="1"/>
    </xf>
    <xf numFmtId="3" fontId="68" fillId="74" borderId="23" xfId="0" applyNumberFormat="1" applyFont="1" applyFill="1" applyBorder="1" applyAlignment="1">
      <alignment vertical="center"/>
    </xf>
    <xf numFmtId="3" fontId="60" fillId="74" borderId="23" xfId="0" applyNumberFormat="1" applyFont="1" applyFill="1" applyBorder="1" applyAlignment="1">
      <alignment horizontal="center"/>
    </xf>
    <xf numFmtId="0" fontId="62" fillId="74" borderId="0" xfId="57847" applyFont="1" applyFill="1" applyProtection="1">
      <protection locked="0"/>
    </xf>
    <xf numFmtId="0" fontId="71" fillId="74" borderId="23" xfId="57847" applyFont="1" applyFill="1" applyBorder="1" applyAlignment="1" applyProtection="1">
      <alignment horizontal="center" vertical="center" wrapText="1"/>
      <protection locked="0"/>
    </xf>
    <xf numFmtId="0" fontId="78" fillId="74" borderId="24" xfId="57847" applyFont="1" applyFill="1" applyBorder="1" applyAlignment="1" applyProtection="1">
      <alignment vertical="center" wrapText="1"/>
      <protection locked="0"/>
    </xf>
    <xf numFmtId="3" fontId="62" fillId="74" borderId="24" xfId="57847" applyNumberFormat="1" applyFont="1" applyFill="1" applyBorder="1" applyAlignment="1" applyProtection="1">
      <alignment horizontal="center" vertical="center"/>
      <protection locked="0"/>
    </xf>
    <xf numFmtId="3" fontId="79" fillId="74" borderId="24" xfId="57847" applyNumberFormat="1" applyFont="1" applyFill="1" applyBorder="1" applyAlignment="1" applyProtection="1">
      <alignment horizontal="center" vertical="center"/>
      <protection locked="0"/>
    </xf>
    <xf numFmtId="0" fontId="78" fillId="74" borderId="23" xfId="57847" applyFont="1" applyFill="1" applyBorder="1" applyAlignment="1" applyProtection="1">
      <alignment vertical="center" wrapText="1"/>
      <protection locked="0"/>
    </xf>
    <xf numFmtId="3" fontId="62" fillId="74" borderId="23" xfId="57847" applyNumberFormat="1" applyFont="1" applyFill="1" applyBorder="1" applyAlignment="1" applyProtection="1">
      <alignment horizontal="center" vertical="center"/>
      <protection locked="0"/>
    </xf>
    <xf numFmtId="3" fontId="79" fillId="74" borderId="23" xfId="57847" applyNumberFormat="1" applyFont="1" applyFill="1" applyBorder="1" applyAlignment="1" applyProtection="1">
      <alignment horizontal="center" vertical="center"/>
      <protection locked="0"/>
    </xf>
    <xf numFmtId="3" fontId="62" fillId="74" borderId="23" xfId="57847" applyNumberFormat="1" applyFont="1" applyFill="1" applyBorder="1" applyAlignment="1" applyProtection="1">
      <alignment vertical="center"/>
      <protection locked="0"/>
    </xf>
    <xf numFmtId="3" fontId="79" fillId="74" borderId="23" xfId="57847" applyNumberFormat="1" applyFont="1" applyFill="1" applyBorder="1" applyAlignment="1" applyProtection="1">
      <alignment vertical="center"/>
      <protection locked="0"/>
    </xf>
    <xf numFmtId="3" fontId="62" fillId="74" borderId="32" xfId="57847" applyNumberFormat="1" applyFont="1" applyFill="1" applyBorder="1" applyAlignment="1" applyProtection="1">
      <alignment horizontal="center" vertical="center"/>
      <protection locked="0"/>
    </xf>
    <xf numFmtId="3" fontId="79" fillId="74" borderId="32" xfId="57847" applyNumberFormat="1" applyFont="1" applyFill="1" applyBorder="1" applyAlignment="1" applyProtection="1">
      <alignment horizontal="center" vertical="center"/>
      <protection locked="0"/>
    </xf>
    <xf numFmtId="3" fontId="62" fillId="74" borderId="32" xfId="57847" applyNumberFormat="1" applyFont="1" applyFill="1" applyBorder="1" applyAlignment="1" applyProtection="1">
      <alignment vertical="center"/>
      <protection locked="0"/>
    </xf>
    <xf numFmtId="3" fontId="79" fillId="74" borderId="32" xfId="57847" applyNumberFormat="1" applyFont="1" applyFill="1" applyBorder="1" applyAlignment="1" applyProtection="1">
      <alignment vertical="center"/>
      <protection locked="0"/>
    </xf>
    <xf numFmtId="3" fontId="62" fillId="74" borderId="24" xfId="57847" applyNumberFormat="1" applyFont="1" applyFill="1" applyBorder="1" applyAlignment="1" applyProtection="1">
      <alignment vertical="center"/>
      <protection locked="0"/>
    </xf>
    <xf numFmtId="0" fontId="78" fillId="74" borderId="30" xfId="57847" applyFont="1" applyFill="1" applyBorder="1" applyAlignment="1" applyProtection="1">
      <alignment vertical="center" wrapText="1"/>
      <protection locked="0"/>
    </xf>
    <xf numFmtId="3" fontId="62" fillId="74" borderId="30" xfId="57847" applyNumberFormat="1" applyFont="1" applyFill="1" applyBorder="1" applyAlignment="1" applyProtection="1">
      <alignment horizontal="center" vertical="center"/>
      <protection locked="0"/>
    </xf>
    <xf numFmtId="3" fontId="62" fillId="74" borderId="30" xfId="57847" applyNumberFormat="1" applyFont="1" applyFill="1" applyBorder="1" applyAlignment="1" applyProtection="1">
      <alignment vertical="center"/>
      <protection locked="0"/>
    </xf>
    <xf numFmtId="0" fontId="62" fillId="74" borderId="23" xfId="57847" applyFont="1" applyFill="1" applyBorder="1" applyAlignment="1" applyProtection="1">
      <alignment horizontal="center"/>
      <protection locked="0"/>
    </xf>
    <xf numFmtId="0" fontId="62" fillId="74" borderId="23" xfId="57847" applyFont="1" applyFill="1" applyBorder="1" applyProtection="1">
      <protection locked="0"/>
    </xf>
    <xf numFmtId="0" fontId="77" fillId="74" borderId="25" xfId="57847" applyFont="1" applyFill="1" applyBorder="1" applyAlignment="1" applyProtection="1">
      <alignment horizontal="center" vertical="center" wrapText="1"/>
      <protection locked="0"/>
    </xf>
    <xf numFmtId="3" fontId="64" fillId="74" borderId="23" xfId="57847" applyNumberFormat="1" applyFont="1" applyFill="1" applyBorder="1" applyAlignment="1" applyProtection="1">
      <alignment horizontal="center" vertical="center"/>
      <protection locked="0"/>
    </xf>
    <xf numFmtId="0" fontId="64" fillId="74" borderId="0" xfId="57847" applyFont="1" applyFill="1" applyProtection="1">
      <protection locked="0"/>
    </xf>
    <xf numFmtId="3" fontId="62" fillId="74" borderId="23" xfId="57847" applyNumberFormat="1" applyFont="1" applyFill="1" applyBorder="1" applyAlignment="1" applyProtection="1">
      <alignment horizontal="center"/>
      <protection locked="0"/>
    </xf>
    <xf numFmtId="0" fontId="71" fillId="74" borderId="24" xfId="57847" applyFont="1" applyFill="1" applyBorder="1" applyAlignment="1" applyProtection="1">
      <alignment vertical="center" wrapText="1"/>
      <protection locked="0"/>
    </xf>
    <xf numFmtId="0" fontId="60" fillId="0" borderId="23" xfId="0" applyFont="1" applyFill="1" applyBorder="1" applyAlignment="1">
      <alignment horizontal="center" vertical="center"/>
    </xf>
    <xf numFmtId="3" fontId="73" fillId="0" borderId="23" xfId="0" applyNumberFormat="1" applyFont="1" applyFill="1" applyBorder="1" applyAlignment="1">
      <alignment horizontal="left" vertical="center"/>
    </xf>
    <xf numFmtId="0" fontId="68" fillId="0" borderId="0" xfId="0" applyFont="1" applyFill="1"/>
    <xf numFmtId="3" fontId="68" fillId="0" borderId="0" xfId="0" applyNumberFormat="1" applyFont="1" applyFill="1"/>
    <xf numFmtId="3" fontId="68" fillId="0" borderId="23" xfId="0" applyNumberFormat="1" applyFont="1" applyFill="1" applyBorder="1" applyAlignment="1">
      <alignment horizontal="center" vertical="center"/>
    </xf>
    <xf numFmtId="4" fontId="60" fillId="0" borderId="27" xfId="0" applyNumberFormat="1" applyFont="1" applyFill="1" applyBorder="1" applyAlignment="1">
      <alignment horizontal="left" vertical="center" wrapText="1"/>
    </xf>
    <xf numFmtId="3" fontId="72" fillId="0" borderId="23" xfId="0" applyNumberFormat="1" applyFont="1" applyFill="1" applyBorder="1" applyAlignment="1">
      <alignment horizontal="center" vertical="center" wrapText="1"/>
    </xf>
    <xf numFmtId="4" fontId="60" fillId="0" borderId="27" xfId="59250" applyNumberFormat="1" applyFont="1" applyFill="1" applyBorder="1" applyAlignment="1">
      <alignment vertical="center" wrapText="1"/>
    </xf>
    <xf numFmtId="4" fontId="60" fillId="0" borderId="27" xfId="0" applyNumberFormat="1" applyFont="1" applyFill="1" applyBorder="1" applyAlignment="1">
      <alignment vertical="center" wrapText="1"/>
    </xf>
    <xf numFmtId="3" fontId="60" fillId="0" borderId="27" xfId="0" applyNumberFormat="1" applyFont="1" applyFill="1" applyBorder="1" applyAlignment="1">
      <alignment vertical="center" wrapText="1"/>
    </xf>
    <xf numFmtId="0" fontId="72" fillId="0" borderId="0" xfId="0" applyFont="1" applyFill="1" applyAlignment="1">
      <alignment horizontal="left" vertical="center" wrapText="1"/>
    </xf>
    <xf numFmtId="0" fontId="68" fillId="0" borderId="0" xfId="0" applyFont="1" applyFill="1" applyAlignment="1">
      <alignment horizontal="center"/>
    </xf>
    <xf numFmtId="3" fontId="68" fillId="0" borderId="0" xfId="0" applyNumberFormat="1" applyFont="1" applyFill="1" applyAlignment="1">
      <alignment horizontal="center"/>
    </xf>
    <xf numFmtId="4" fontId="76" fillId="0" borderId="23" xfId="59250" applyNumberFormat="1" applyFont="1" applyFill="1" applyBorder="1" applyAlignment="1">
      <alignment horizontal="left" vertical="center" wrapText="1"/>
    </xf>
    <xf numFmtId="3" fontId="76" fillId="0" borderId="23" xfId="0" applyNumberFormat="1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left" vertical="center" wrapText="1"/>
    </xf>
    <xf numFmtId="0" fontId="60" fillId="74" borderId="23" xfId="0" applyFont="1" applyFill="1" applyBorder="1" applyAlignment="1">
      <alignment horizontal="center" vertical="center" wrapText="1"/>
    </xf>
    <xf numFmtId="3" fontId="60" fillId="74" borderId="24" xfId="0" applyNumberFormat="1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0" fontId="81" fillId="0" borderId="31" xfId="0" applyFont="1" applyFill="1" applyBorder="1" applyAlignment="1">
      <alignment wrapText="1"/>
    </xf>
    <xf numFmtId="3" fontId="80" fillId="0" borderId="23" xfId="57896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vertical="center"/>
    </xf>
    <xf numFmtId="0" fontId="76" fillId="0" borderId="0" xfId="0" applyFont="1" applyFill="1"/>
    <xf numFmtId="4" fontId="60" fillId="0" borderId="27" xfId="59250" applyNumberFormat="1" applyFont="1" applyFill="1" applyBorder="1" applyAlignment="1">
      <alignment horizontal="left" vertical="center" wrapText="1"/>
    </xf>
    <xf numFmtId="4" fontId="76" fillId="0" borderId="27" xfId="59250" applyNumberFormat="1" applyFont="1" applyFill="1" applyBorder="1" applyAlignment="1">
      <alignment horizontal="left" vertical="center" wrapText="1"/>
    </xf>
    <xf numFmtId="0" fontId="72" fillId="0" borderId="23" xfId="0" applyFont="1" applyFill="1" applyBorder="1" applyAlignment="1">
      <alignment horizontal="left" vertical="center" wrapText="1"/>
    </xf>
    <xf numFmtId="4" fontId="60" fillId="0" borderId="27" xfId="57749" applyNumberFormat="1" applyFont="1" applyFill="1" applyBorder="1" applyAlignment="1">
      <alignment horizontal="left" vertical="center" wrapText="1"/>
    </xf>
    <xf numFmtId="4" fontId="60" fillId="0" borderId="23" xfId="0" applyNumberFormat="1" applyFont="1" applyFill="1" applyBorder="1" applyAlignment="1">
      <alignment vertical="center" wrapText="1"/>
    </xf>
    <xf numFmtId="3" fontId="76" fillId="0" borderId="27" xfId="0" applyNumberFormat="1" applyFont="1" applyFill="1" applyBorder="1" applyAlignment="1">
      <alignment vertical="center" wrapText="1"/>
    </xf>
    <xf numFmtId="3" fontId="85" fillId="0" borderId="23" xfId="0" applyNumberFormat="1" applyFont="1" applyFill="1" applyBorder="1" applyAlignment="1">
      <alignment horizontal="center" vertical="center" wrapText="1"/>
    </xf>
    <xf numFmtId="4" fontId="60" fillId="0" borderId="29" xfId="0" applyNumberFormat="1" applyFont="1" applyFill="1" applyBorder="1" applyAlignment="1">
      <alignment vertical="center" wrapText="1"/>
    </xf>
    <xf numFmtId="0" fontId="69" fillId="0" borderId="0" xfId="0" applyFont="1" applyFill="1" applyAlignment="1">
      <alignment horizontal="center"/>
    </xf>
    <xf numFmtId="0" fontId="68" fillId="0" borderId="0" xfId="0" applyFont="1" applyFill="1" applyAlignment="1">
      <alignment vertical="center"/>
    </xf>
    <xf numFmtId="3" fontId="76" fillId="0" borderId="0" xfId="0" applyNumberFormat="1" applyFont="1" applyFill="1" applyAlignment="1">
      <alignment vertical="center" wrapText="1"/>
    </xf>
    <xf numFmtId="3" fontId="84" fillId="0" borderId="0" xfId="0" applyNumberFormat="1" applyFont="1" applyFill="1" applyAlignment="1">
      <alignment vertical="center"/>
    </xf>
    <xf numFmtId="0" fontId="73" fillId="0" borderId="23" xfId="0" applyFont="1" applyFill="1" applyBorder="1" applyAlignment="1">
      <alignment horizontal="center" vertical="center"/>
    </xf>
    <xf numFmtId="3" fontId="69" fillId="0" borderId="23" xfId="0" applyNumberFormat="1" applyFont="1" applyFill="1" applyBorder="1" applyAlignment="1">
      <alignment horizontal="center"/>
    </xf>
    <xf numFmtId="0" fontId="6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wrapText="1"/>
    </xf>
    <xf numFmtId="0" fontId="68" fillId="0" borderId="0" xfId="0" applyFont="1" applyFill="1" applyAlignment="1">
      <alignment horizontal="right"/>
    </xf>
    <xf numFmtId="0" fontId="68" fillId="0" borderId="23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wrapText="1"/>
    </xf>
    <xf numFmtId="0" fontId="68" fillId="0" borderId="23" xfId="0" applyFont="1" applyFill="1" applyBorder="1" applyAlignment="1">
      <alignment horizontal="center" vertical="center"/>
    </xf>
    <xf numFmtId="3" fontId="68" fillId="0" borderId="0" xfId="0" applyNumberFormat="1" applyFont="1" applyFill="1" applyAlignment="1">
      <alignment wrapText="1"/>
    </xf>
    <xf numFmtId="0" fontId="68" fillId="0" borderId="23" xfId="0" applyFont="1" applyFill="1" applyBorder="1" applyAlignment="1">
      <alignment vertical="center" wrapText="1"/>
    </xf>
    <xf numFmtId="0" fontId="69" fillId="0" borderId="23" xfId="0" applyFont="1" applyFill="1" applyBorder="1" applyAlignment="1">
      <alignment horizontal="center" vertical="center"/>
    </xf>
    <xf numFmtId="0" fontId="69" fillId="0" borderId="23" xfId="0" applyFont="1" applyFill="1" applyBorder="1" applyAlignment="1">
      <alignment vertical="center" wrapText="1"/>
    </xf>
    <xf numFmtId="3" fontId="69" fillId="0" borderId="23" xfId="0" applyNumberFormat="1" applyFont="1" applyFill="1" applyBorder="1" applyAlignment="1">
      <alignment horizontal="center" vertical="center"/>
    </xf>
    <xf numFmtId="0" fontId="86" fillId="74" borderId="0" xfId="57847" applyFont="1" applyFill="1"/>
    <xf numFmtId="0" fontId="71" fillId="74" borderId="23" xfId="57847" applyFont="1" applyFill="1" applyBorder="1" applyAlignment="1" applyProtection="1">
      <alignment horizontal="center" vertical="center" textRotation="90" wrapText="1"/>
      <protection locked="0"/>
    </xf>
    <xf numFmtId="0" fontId="62" fillId="74" borderId="0" xfId="0" applyFont="1" applyFill="1"/>
    <xf numFmtId="3" fontId="62" fillId="74" borderId="0" xfId="0" applyNumberFormat="1" applyFont="1" applyFill="1" applyAlignment="1">
      <alignment vertical="center"/>
    </xf>
    <xf numFmtId="3" fontId="62" fillId="74" borderId="0" xfId="0" applyNumberFormat="1" applyFont="1" applyFill="1"/>
    <xf numFmtId="3" fontId="65" fillId="74" borderId="0" xfId="0" applyNumberFormat="1" applyFont="1" applyFill="1"/>
    <xf numFmtId="0" fontId="62" fillId="74" borderId="23" xfId="0" applyFont="1" applyFill="1" applyBorder="1" applyAlignment="1">
      <alignment horizontal="center" vertical="center" wrapText="1"/>
    </xf>
    <xf numFmtId="3" fontId="62" fillId="74" borderId="23" xfId="0" applyNumberFormat="1" applyFont="1" applyFill="1" applyBorder="1" applyAlignment="1">
      <alignment horizontal="center" vertical="center" wrapText="1"/>
    </xf>
    <xf numFmtId="3" fontId="65" fillId="74" borderId="0" xfId="0" applyNumberFormat="1" applyFont="1" applyFill="1" applyAlignment="1">
      <alignment vertical="center"/>
    </xf>
    <xf numFmtId="3" fontId="62" fillId="74" borderId="23" xfId="0" applyNumberFormat="1" applyFont="1" applyFill="1" applyBorder="1" applyAlignment="1">
      <alignment horizontal="center"/>
    </xf>
    <xf numFmtId="3" fontId="62" fillId="74" borderId="23" xfId="0" applyNumberFormat="1" applyFont="1" applyFill="1" applyBorder="1" applyAlignment="1">
      <alignment vertical="center"/>
    </xf>
    <xf numFmtId="4" fontId="87" fillId="74" borderId="23" xfId="59250" applyNumberFormat="1" applyFont="1" applyFill="1" applyBorder="1" applyAlignment="1">
      <alignment horizontal="left" vertical="center" wrapText="1"/>
    </xf>
    <xf numFmtId="3" fontId="87" fillId="74" borderId="23" xfId="0" applyNumberFormat="1" applyFont="1" applyFill="1" applyBorder="1" applyAlignment="1">
      <alignment horizontal="center" vertical="center" wrapText="1"/>
    </xf>
    <xf numFmtId="3" fontId="87" fillId="74" borderId="0" xfId="0" applyNumberFormat="1" applyFont="1" applyFill="1"/>
    <xf numFmtId="4" fontId="62" fillId="74" borderId="23" xfId="59248" applyNumberFormat="1" applyFont="1" applyFill="1" applyBorder="1" applyAlignment="1">
      <alignment vertical="center" wrapText="1"/>
    </xf>
    <xf numFmtId="4" fontId="87" fillId="74" borderId="23" xfId="0" applyNumberFormat="1" applyFont="1" applyFill="1" applyBorder="1" applyAlignment="1">
      <alignment wrapText="1"/>
    </xf>
    <xf numFmtId="3" fontId="62" fillId="74" borderId="23" xfId="0" applyNumberFormat="1" applyFont="1" applyFill="1" applyBorder="1" applyAlignment="1">
      <alignment vertical="center" wrapText="1"/>
    </xf>
    <xf numFmtId="0" fontId="66" fillId="74" borderId="23" xfId="0" applyFont="1" applyFill="1" applyBorder="1" applyAlignment="1">
      <alignment vertical="center" wrapText="1"/>
    </xf>
    <xf numFmtId="3" fontId="62" fillId="74" borderId="23" xfId="0" applyNumberFormat="1" applyFont="1" applyFill="1" applyBorder="1" applyAlignment="1">
      <alignment horizontal="center" vertical="center"/>
    </xf>
    <xf numFmtId="0" fontId="62" fillId="74" borderId="23" xfId="0" applyFont="1" applyFill="1" applyBorder="1" applyAlignment="1">
      <alignment horizontal="center"/>
    </xf>
    <xf numFmtId="0" fontId="62" fillId="74" borderId="23" xfId="0" applyFont="1" applyFill="1" applyBorder="1"/>
    <xf numFmtId="3" fontId="64" fillId="74" borderId="23" xfId="0" applyNumberFormat="1" applyFont="1" applyFill="1" applyBorder="1" applyAlignment="1">
      <alignment horizontal="center" vertical="center" wrapText="1"/>
    </xf>
    <xf numFmtId="3" fontId="64" fillId="74" borderId="23" xfId="0" applyNumberFormat="1" applyFont="1" applyFill="1" applyBorder="1" applyAlignment="1">
      <alignment vertical="center"/>
    </xf>
    <xf numFmtId="3" fontId="64" fillId="74" borderId="23" xfId="0" applyNumberFormat="1" applyFont="1" applyFill="1" applyBorder="1" applyAlignment="1">
      <alignment horizontal="center" vertical="center"/>
    </xf>
    <xf numFmtId="3" fontId="64" fillId="74" borderId="0" xfId="0" applyNumberFormat="1" applyFont="1" applyFill="1"/>
    <xf numFmtId="0" fontId="62" fillId="74" borderId="23" xfId="0" applyFont="1" applyFill="1" applyBorder="1" applyAlignment="1">
      <alignment horizontal="left" vertical="center" wrapText="1"/>
    </xf>
    <xf numFmtId="3" fontId="87" fillId="74" borderId="23" xfId="0" applyNumberFormat="1" applyFont="1" applyFill="1" applyBorder="1" applyAlignment="1">
      <alignment horizontal="center" vertical="center"/>
    </xf>
    <xf numFmtId="3" fontId="64" fillId="74" borderId="23" xfId="0" applyNumberFormat="1" applyFont="1" applyFill="1" applyBorder="1" applyAlignment="1">
      <alignment horizontal="center"/>
    </xf>
    <xf numFmtId="3" fontId="64" fillId="74" borderId="23" xfId="0" applyNumberFormat="1" applyFont="1" applyFill="1" applyBorder="1" applyAlignment="1">
      <alignment vertical="center" wrapText="1"/>
    </xf>
    <xf numFmtId="3" fontId="62" fillId="74" borderId="23" xfId="0" applyNumberFormat="1" applyFont="1" applyFill="1" applyBorder="1"/>
    <xf numFmtId="49" fontId="62" fillId="74" borderId="23" xfId="0" applyNumberFormat="1" applyFont="1" applyFill="1" applyBorder="1" applyAlignment="1">
      <alignment vertical="center" wrapText="1"/>
    </xf>
    <xf numFmtId="3" fontId="64" fillId="74" borderId="23" xfId="0" applyNumberFormat="1" applyFont="1" applyFill="1" applyBorder="1" applyAlignment="1">
      <alignment horizontal="left" vertical="center"/>
    </xf>
    <xf numFmtId="3" fontId="62" fillId="74" borderId="0" xfId="0" applyNumberFormat="1" applyFont="1" applyFill="1" applyAlignment="1">
      <alignment horizontal="center"/>
    </xf>
    <xf numFmtId="0" fontId="62" fillId="74" borderId="0" xfId="0" applyFont="1" applyFill="1" applyAlignment="1">
      <alignment horizontal="center"/>
    </xf>
    <xf numFmtId="3" fontId="64" fillId="74" borderId="0" xfId="0" applyNumberFormat="1" applyFont="1" applyFill="1" applyAlignment="1">
      <alignment horizontal="center"/>
    </xf>
    <xf numFmtId="0" fontId="62" fillId="74" borderId="0" xfId="0" applyFont="1" applyFill="1" applyAlignment="1">
      <alignment vertical="center"/>
    </xf>
    <xf numFmtId="3" fontId="62" fillId="74" borderId="23" xfId="0" applyNumberFormat="1" applyFont="1" applyFill="1" applyBorder="1" applyAlignment="1">
      <alignment horizontal="center" vertical="center" wrapText="1" shrinkToFit="1"/>
    </xf>
    <xf numFmtId="3" fontId="62" fillId="74" borderId="23" xfId="57742" applyNumberFormat="1" applyFont="1" applyFill="1" applyBorder="1" applyAlignment="1">
      <alignment horizontal="center" vertical="center" wrapText="1"/>
    </xf>
    <xf numFmtId="3" fontId="62" fillId="74" borderId="23" xfId="59252" applyNumberFormat="1" applyFont="1" applyFill="1" applyBorder="1" applyAlignment="1">
      <alignment horizontal="left" vertical="center" wrapText="1"/>
    </xf>
    <xf numFmtId="3" fontId="62" fillId="74" borderId="23" xfId="58106" applyNumberFormat="1" applyFont="1" applyFill="1" applyBorder="1" applyAlignment="1">
      <alignment horizontal="center" vertical="center" wrapText="1"/>
    </xf>
    <xf numFmtId="1" fontId="62" fillId="74" borderId="23" xfId="59252" applyNumberFormat="1" applyFont="1" applyFill="1" applyBorder="1" applyAlignment="1">
      <alignment horizontal="left" vertical="center" wrapText="1"/>
    </xf>
    <xf numFmtId="4" fontId="62" fillId="74" borderId="23" xfId="59250" applyNumberFormat="1" applyFont="1" applyFill="1" applyBorder="1" applyAlignment="1">
      <alignment horizontal="left" vertical="center" wrapText="1"/>
    </xf>
    <xf numFmtId="0" fontId="62" fillId="74" borderId="23" xfId="0" applyFont="1" applyFill="1" applyBorder="1" applyAlignment="1">
      <alignment horizontal="center" vertical="center"/>
    </xf>
    <xf numFmtId="3" fontId="62" fillId="74" borderId="23" xfId="59249" applyNumberFormat="1" applyFont="1" applyFill="1" applyBorder="1" applyAlignment="1">
      <alignment horizontal="left" vertical="center" wrapText="1"/>
    </xf>
    <xf numFmtId="4" fontId="62" fillId="74" borderId="23" xfId="59252" applyNumberFormat="1" applyFont="1" applyFill="1" applyBorder="1" applyAlignment="1">
      <alignment horizontal="left" vertical="center" wrapText="1"/>
    </xf>
    <xf numFmtId="3" fontId="68" fillId="74" borderId="27" xfId="0" applyNumberFormat="1" applyFont="1" applyFill="1" applyBorder="1" applyAlignment="1">
      <alignment horizontal="center" vertical="center"/>
    </xf>
    <xf numFmtId="4" fontId="62" fillId="74" borderId="23" xfId="0" applyNumberFormat="1" applyFont="1" applyFill="1" applyBorder="1" applyAlignment="1">
      <alignment vertical="center" wrapText="1"/>
    </xf>
    <xf numFmtId="0" fontId="64" fillId="74" borderId="23" xfId="0" applyFont="1" applyFill="1" applyBorder="1"/>
    <xf numFmtId="3" fontId="68" fillId="74" borderId="23" xfId="58106" applyNumberFormat="1" applyFont="1" applyFill="1" applyBorder="1" applyAlignment="1">
      <alignment horizontal="center" vertical="center" wrapText="1"/>
    </xf>
    <xf numFmtId="0" fontId="81" fillId="0" borderId="0" xfId="0" applyFont="1"/>
    <xf numFmtId="0" fontId="89" fillId="0" borderId="0" xfId="0" applyFont="1" applyFill="1" applyAlignment="1">
      <alignment horizontal="center" vertical="center"/>
    </xf>
    <xf numFmtId="0" fontId="81" fillId="0" borderId="0" xfId="0" applyFont="1" applyFill="1"/>
    <xf numFmtId="3" fontId="81" fillId="0" borderId="0" xfId="0" applyNumberFormat="1" applyFont="1" applyFill="1" applyAlignment="1">
      <alignment horizontal="center"/>
    </xf>
    <xf numFmtId="3" fontId="90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/>
    </xf>
    <xf numFmtId="3" fontId="71" fillId="0" borderId="23" xfId="0" applyNumberFormat="1" applyFont="1" applyFill="1" applyBorder="1" applyAlignment="1">
      <alignment horizontal="center" vertical="center" wrapText="1"/>
    </xf>
    <xf numFmtId="0" fontId="90" fillId="0" borderId="23" xfId="0" applyFont="1" applyFill="1" applyBorder="1" applyAlignment="1">
      <alignment horizontal="center" vertical="center" wrapText="1"/>
    </xf>
    <xf numFmtId="3" fontId="90" fillId="0" borderId="23" xfId="0" applyNumberFormat="1" applyFont="1" applyFill="1" applyBorder="1" applyAlignment="1">
      <alignment vertical="center"/>
    </xf>
    <xf numFmtId="3" fontId="90" fillId="0" borderId="23" xfId="0" applyNumberFormat="1" applyFont="1" applyFill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3" fontId="90" fillId="0" borderId="23" xfId="0" applyNumberFormat="1" applyFont="1" applyFill="1" applyBorder="1" applyAlignment="1">
      <alignment vertical="center" wrapText="1"/>
    </xf>
    <xf numFmtId="0" fontId="91" fillId="0" borderId="23" xfId="0" applyFont="1" applyFill="1" applyBorder="1" applyAlignment="1">
      <alignment horizontal="center" vertical="center" wrapText="1"/>
    </xf>
    <xf numFmtId="3" fontId="91" fillId="0" borderId="23" xfId="0" applyNumberFormat="1" applyFont="1" applyFill="1" applyBorder="1" applyAlignment="1">
      <alignment vertical="center" wrapText="1"/>
    </xf>
    <xf numFmtId="3" fontId="91" fillId="0" borderId="23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vertical="center" wrapText="1"/>
    </xf>
    <xf numFmtId="0" fontId="92" fillId="0" borderId="0" xfId="0" applyFont="1"/>
    <xf numFmtId="3" fontId="81" fillId="0" borderId="23" xfId="0" applyNumberFormat="1" applyFont="1" applyFill="1" applyBorder="1" applyAlignment="1">
      <alignment horizontal="center"/>
    </xf>
    <xf numFmtId="0" fontId="90" fillId="0" borderId="0" xfId="0" applyFont="1" applyAlignment="1">
      <alignment wrapText="1"/>
    </xf>
    <xf numFmtId="0" fontId="89" fillId="0" borderId="23" xfId="0" applyFont="1" applyFill="1" applyBorder="1"/>
    <xf numFmtId="3" fontId="93" fillId="0" borderId="23" xfId="0" applyNumberFormat="1" applyFont="1" applyFill="1" applyBorder="1" applyAlignment="1">
      <alignment vertical="center"/>
    </xf>
    <xf numFmtId="3" fontId="93" fillId="0" borderId="23" xfId="0" applyNumberFormat="1" applyFont="1" applyFill="1" applyBorder="1" applyAlignment="1">
      <alignment horizontal="center" vertical="center"/>
    </xf>
    <xf numFmtId="0" fontId="89" fillId="0" borderId="0" xfId="0" applyFont="1"/>
    <xf numFmtId="3" fontId="81" fillId="0" borderId="0" xfId="0" applyNumberFormat="1" applyFont="1"/>
    <xf numFmtId="3" fontId="81" fillId="0" borderId="0" xfId="0" applyNumberFormat="1" applyFont="1" applyAlignment="1">
      <alignment horizontal="center"/>
    </xf>
    <xf numFmtId="3" fontId="81" fillId="74" borderId="0" xfId="0" applyNumberFormat="1" applyFont="1" applyFill="1" applyAlignment="1">
      <alignment horizontal="center"/>
    </xf>
    <xf numFmtId="0" fontId="60" fillId="74" borderId="24" xfId="0" applyFont="1" applyFill="1" applyBorder="1" applyAlignment="1">
      <alignment horizontal="center" vertical="center"/>
    </xf>
    <xf numFmtId="0" fontId="60" fillId="74" borderId="30" xfId="0" applyFont="1" applyFill="1" applyBorder="1" applyAlignment="1">
      <alignment horizontal="center" vertical="center"/>
    </xf>
    <xf numFmtId="0" fontId="60" fillId="74" borderId="23" xfId="0" applyFont="1" applyFill="1" applyBorder="1" applyAlignment="1">
      <alignment horizontal="center" vertical="center" wrapText="1"/>
    </xf>
    <xf numFmtId="0" fontId="60" fillId="74" borderId="24" xfId="0" applyFont="1" applyFill="1" applyBorder="1" applyAlignment="1">
      <alignment horizontal="center" vertical="center" wrapText="1"/>
    </xf>
    <xf numFmtId="0" fontId="68" fillId="74" borderId="32" xfId="0" applyFont="1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 wrapText="1"/>
    </xf>
    <xf numFmtId="0" fontId="68" fillId="74" borderId="30" xfId="0" applyFont="1" applyFill="1" applyBorder="1" applyAlignment="1">
      <alignment horizontal="center" vertical="center" wrapText="1"/>
    </xf>
    <xf numFmtId="0" fontId="38" fillId="74" borderId="30" xfId="0" applyFont="1" applyFill="1" applyBorder="1" applyAlignment="1">
      <alignment horizontal="center" vertical="center"/>
    </xf>
    <xf numFmtId="2" fontId="74" fillId="74" borderId="0" xfId="0" applyNumberFormat="1" applyFont="1" applyFill="1" applyAlignment="1">
      <alignment horizontal="center" vertical="center" wrapText="1"/>
    </xf>
    <xf numFmtId="0" fontId="75" fillId="74" borderId="0" xfId="0" applyFont="1" applyFill="1" applyAlignment="1">
      <alignment horizontal="center" vertical="center" wrapText="1"/>
    </xf>
    <xf numFmtId="3" fontId="60" fillId="74" borderId="0" xfId="0" applyNumberFormat="1" applyFont="1" applyFill="1" applyBorder="1" applyAlignment="1">
      <alignment horizontal="right" vertical="center"/>
    </xf>
    <xf numFmtId="3" fontId="60" fillId="74" borderId="24" xfId="0" applyNumberFormat="1" applyFont="1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/>
    </xf>
    <xf numFmtId="3" fontId="61" fillId="74" borderId="23" xfId="0" applyNumberFormat="1" applyFont="1" applyFill="1" applyBorder="1" applyAlignment="1">
      <alignment horizontal="center" vertical="center" wrapText="1"/>
    </xf>
    <xf numFmtId="0" fontId="0" fillId="74" borderId="23" xfId="0" applyFill="1" applyBorder="1" applyAlignment="1">
      <alignment horizontal="center" vertical="center" wrapText="1"/>
    </xf>
    <xf numFmtId="3" fontId="60" fillId="74" borderId="25" xfId="0" applyNumberFormat="1" applyFont="1" applyFill="1" applyBorder="1" applyAlignment="1">
      <alignment horizontal="center" vertical="center" wrapText="1"/>
    </xf>
    <xf numFmtId="0" fontId="0" fillId="74" borderId="27" xfId="0" applyFill="1" applyBorder="1" applyAlignment="1">
      <alignment horizontal="center" vertical="center" wrapText="1"/>
    </xf>
    <xf numFmtId="0" fontId="86" fillId="74" borderId="31" xfId="57847" applyFont="1" applyFill="1" applyBorder="1" applyAlignment="1">
      <alignment horizontal="center" vertical="center" wrapText="1"/>
    </xf>
    <xf numFmtId="0" fontId="63" fillId="74" borderId="0" xfId="0" applyFont="1" applyFill="1" applyAlignment="1">
      <alignment horizontal="center" vertical="center" wrapText="1"/>
    </xf>
    <xf numFmtId="3" fontId="62" fillId="74" borderId="31" xfId="0" applyNumberFormat="1" applyFont="1" applyFill="1" applyBorder="1" applyAlignment="1">
      <alignment horizontal="right"/>
    </xf>
    <xf numFmtId="3" fontId="62" fillId="74" borderId="23" xfId="0" applyNumberFormat="1" applyFont="1" applyFill="1" applyBorder="1" applyAlignment="1">
      <alignment horizontal="center" vertical="center" wrapText="1"/>
    </xf>
    <xf numFmtId="0" fontId="62" fillId="74" borderId="23" xfId="0" applyFont="1" applyFill="1" applyBorder="1" applyAlignment="1">
      <alignment horizontal="center" vertical="center" wrapText="1"/>
    </xf>
    <xf numFmtId="3" fontId="62" fillId="74" borderId="25" xfId="0" applyNumberFormat="1" applyFont="1" applyFill="1" applyBorder="1" applyAlignment="1">
      <alignment horizontal="center" vertical="center" wrapText="1"/>
    </xf>
    <xf numFmtId="0" fontId="67" fillId="74" borderId="26" xfId="0" applyFont="1" applyFill="1" applyBorder="1" applyAlignment="1">
      <alignment horizontal="center" vertical="center" wrapText="1"/>
    </xf>
    <xf numFmtId="0" fontId="67" fillId="74" borderId="27" xfId="0" applyFont="1" applyFill="1" applyBorder="1" applyAlignment="1">
      <alignment horizontal="center" vertical="center" wrapText="1"/>
    </xf>
    <xf numFmtId="3" fontId="65" fillId="74" borderId="23" xfId="0" applyNumberFormat="1" applyFont="1" applyFill="1" applyBorder="1" applyAlignment="1">
      <alignment horizontal="center" vertical="center" wrapText="1"/>
    </xf>
    <xf numFmtId="0" fontId="65" fillId="74" borderId="23" xfId="0" applyFont="1" applyFill="1" applyBorder="1" applyAlignment="1">
      <alignment horizontal="center" vertical="center" wrapText="1"/>
    </xf>
    <xf numFmtId="0" fontId="62" fillId="74" borderId="23" xfId="0" applyFont="1" applyFill="1" applyBorder="1" applyAlignment="1"/>
    <xf numFmtId="3" fontId="62" fillId="74" borderId="24" xfId="0" applyNumberFormat="1" applyFont="1" applyFill="1" applyBorder="1" applyAlignment="1">
      <alignment horizontal="center" vertical="center" wrapText="1"/>
    </xf>
    <xf numFmtId="0" fontId="62" fillId="74" borderId="32" xfId="0" applyFont="1" applyFill="1" applyBorder="1" applyAlignment="1">
      <alignment horizontal="center" vertical="center" wrapText="1"/>
    </xf>
    <xf numFmtId="0" fontId="0" fillId="74" borderId="30" xfId="0" applyFont="1" applyFill="1" applyBorder="1" applyAlignment="1">
      <alignment horizontal="center" vertical="center" wrapText="1"/>
    </xf>
    <xf numFmtId="0" fontId="62" fillId="74" borderId="24" xfId="0" applyFont="1" applyFill="1" applyBorder="1" applyAlignment="1">
      <alignment horizontal="center" vertical="center" wrapText="1"/>
    </xf>
    <xf numFmtId="0" fontId="62" fillId="74" borderId="30" xfId="0" applyFont="1" applyFill="1" applyBorder="1" applyAlignment="1">
      <alignment horizontal="center" vertical="center" wrapText="1"/>
    </xf>
    <xf numFmtId="3" fontId="62" fillId="74" borderId="26" xfId="0" applyNumberFormat="1" applyFont="1" applyFill="1" applyBorder="1" applyAlignment="1">
      <alignment horizontal="center" vertical="center" wrapText="1"/>
    </xf>
    <xf numFmtId="3" fontId="62" fillId="74" borderId="27" xfId="0" applyNumberFormat="1" applyFont="1" applyFill="1" applyBorder="1" applyAlignment="1">
      <alignment horizontal="center" vertical="center" wrapText="1"/>
    </xf>
    <xf numFmtId="3" fontId="62" fillId="74" borderId="30" xfId="0" applyNumberFormat="1" applyFont="1" applyFill="1" applyBorder="1" applyAlignment="1">
      <alignment horizontal="center" vertical="center"/>
    </xf>
    <xf numFmtId="0" fontId="62" fillId="74" borderId="28" xfId="57742" applyFont="1" applyFill="1" applyBorder="1" applyAlignment="1">
      <alignment horizontal="center" vertical="center" wrapText="1"/>
    </xf>
    <xf numFmtId="0" fontId="62" fillId="74" borderId="34" xfId="57742" applyFont="1" applyFill="1" applyBorder="1" applyAlignment="1">
      <alignment horizontal="center" vertical="center" wrapText="1"/>
    </xf>
    <xf numFmtId="0" fontId="62" fillId="74" borderId="29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3" fontId="80" fillId="0" borderId="24" xfId="57896" applyNumberFormat="1" applyFont="1" applyFill="1" applyBorder="1" applyAlignment="1">
      <alignment horizontal="center" vertical="center" wrapText="1"/>
    </xf>
    <xf numFmtId="3" fontId="80" fillId="0" borderId="32" xfId="57896" applyNumberFormat="1" applyFont="1" applyFill="1" applyBorder="1" applyAlignment="1">
      <alignment horizontal="center" vertical="center" wrapText="1"/>
    </xf>
    <xf numFmtId="3" fontId="80" fillId="0" borderId="30" xfId="57896" applyNumberFormat="1" applyFont="1" applyFill="1" applyBorder="1" applyAlignment="1">
      <alignment horizontal="center" vertical="center" wrapText="1"/>
    </xf>
    <xf numFmtId="3" fontId="80" fillId="0" borderId="23" xfId="57896" applyNumberFormat="1" applyFont="1" applyFill="1" applyBorder="1" applyAlignment="1">
      <alignment horizontal="center" vertical="center" wrapText="1"/>
    </xf>
    <xf numFmtId="3" fontId="83" fillId="0" borderId="24" xfId="0" applyNumberFormat="1" applyFont="1" applyFill="1" applyBorder="1" applyAlignment="1">
      <alignment horizontal="center" vertical="center" wrapText="1"/>
    </xf>
    <xf numFmtId="3" fontId="65" fillId="0" borderId="30" xfId="0" applyNumberFormat="1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32" xfId="0" applyFont="1" applyFill="1" applyBorder="1" applyAlignment="1">
      <alignment horizontal="center" vertical="center" wrapText="1"/>
    </xf>
    <xf numFmtId="0" fontId="82" fillId="0" borderId="30" xfId="0" applyFont="1" applyFill="1" applyBorder="1" applyAlignment="1">
      <alignment horizontal="center" vertical="center" wrapText="1"/>
    </xf>
    <xf numFmtId="3" fontId="65" fillId="0" borderId="32" xfId="0" applyNumberFormat="1" applyFont="1" applyFill="1" applyBorder="1" applyAlignment="1">
      <alignment horizontal="center" vertical="center" wrapText="1"/>
    </xf>
    <xf numFmtId="3" fontId="83" fillId="0" borderId="28" xfId="0" applyNumberFormat="1" applyFont="1" applyFill="1" applyBorder="1" applyAlignment="1">
      <alignment horizontal="center" vertical="center" wrapText="1"/>
    </xf>
    <xf numFmtId="3" fontId="65" fillId="0" borderId="29" xfId="0" applyNumberFormat="1" applyFont="1" applyFill="1" applyBorder="1" applyAlignment="1">
      <alignment horizontal="center" vertical="center" wrapText="1"/>
    </xf>
    <xf numFmtId="3" fontId="65" fillId="0" borderId="33" xfId="0" applyNumberFormat="1" applyFont="1" applyFill="1" applyBorder="1" applyAlignment="1">
      <alignment horizontal="center" vertical="center" wrapText="1"/>
    </xf>
    <xf numFmtId="3" fontId="65" fillId="0" borderId="35" xfId="0" applyNumberFormat="1" applyFont="1" applyFill="1" applyBorder="1" applyAlignment="1">
      <alignment horizontal="center" vertical="center" wrapText="1"/>
    </xf>
    <xf numFmtId="3" fontId="80" fillId="0" borderId="25" xfId="57896" applyNumberFormat="1" applyFont="1" applyFill="1" applyBorder="1" applyAlignment="1">
      <alignment horizontal="center" vertical="center" wrapText="1"/>
    </xf>
    <xf numFmtId="3" fontId="80" fillId="0" borderId="26" xfId="57896" applyNumberFormat="1" applyFont="1" applyFill="1" applyBorder="1" applyAlignment="1">
      <alignment horizontal="center" vertical="center" wrapText="1"/>
    </xf>
    <xf numFmtId="3" fontId="80" fillId="0" borderId="27" xfId="57896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71" fillId="0" borderId="23" xfId="0" applyFont="1" applyFill="1" applyBorder="1" applyAlignment="1">
      <alignment horizontal="center" vertical="center" wrapText="1"/>
    </xf>
    <xf numFmtId="3" fontId="71" fillId="0" borderId="23" xfId="0" applyNumberFormat="1" applyFont="1" applyFill="1" applyBorder="1" applyAlignment="1">
      <alignment horizontal="center" vertical="center" wrapText="1"/>
    </xf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8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49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2"/>
    <cellStyle name="Обычный_Ежемесячный отчет 2004 г." xfId="59250"/>
    <cellStyle name="Обычный_Лист1" xfId="59251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foms-rb.ru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&#1099;/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/&#1046;&#1077;&#1088;&#1085;&#1086;&#1074;&#1082;&#1086;&#1074;&#1072;%20&#1045;&#1042;/&#1054;&#1073;&#1098;&#1077;&#1084;&#1099;%20&#1084;&#1077;&#1076;&#1080;&#1094;&#1080;&#1085;&#1089;&#1082;&#1086;&#1081;%20&#1087;&#1086;&#1084;&#1086;&#1097;&#1080;%20&#1085;&#1072;%202019%20&#1075;/&#1040;&#1055;&#1059;%202019/&#1053;&#1077;&#1086;&#1090;&#1083;&#1086;&#1078;&#1082;&#1072;/&#1040;&#1055;&#1059;%20&#1086;&#1073;&#1088;&#1072;&#1097;&#1077;&#1085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&#1076;&#1083;&#1103;%20&#1089;&#1072;&#1081;&#1090;&#1072;/2019/&#1055;&#1088;&#1086;&#1090;&#1086;&#1082;&#1086;&#1083;%2095/4807_V_po_&#1052;&#1054;_na_2019_pr.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П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90" zoomScaleNormal="90" workbookViewId="0">
      <pane xSplit="2" ySplit="5" topLeftCell="C87" activePane="bottomRight" state="frozen"/>
      <selection pane="topRight" activeCell="C1" sqref="C1"/>
      <selection pane="bottomLeft" activeCell="A7" sqref="A7"/>
      <selection pane="bottomRight" activeCell="F117" sqref="F117"/>
    </sheetView>
  </sheetViews>
  <sheetFormatPr defaultRowHeight="12.75" x14ac:dyDescent="0.2"/>
  <cols>
    <col min="1" max="1" width="4.42578125" style="6" customWidth="1"/>
    <col min="2" max="2" width="52.42578125" style="4" customWidth="1"/>
    <col min="3" max="3" width="10.5703125" style="4" customWidth="1"/>
    <col min="4" max="4" width="10" style="5" customWidth="1"/>
    <col min="5" max="5" width="11.85546875" style="5" customWidth="1"/>
    <col min="6" max="6" width="11.140625" style="5" customWidth="1"/>
    <col min="7" max="7" width="12.85546875" style="5" customWidth="1"/>
    <col min="8" max="8" width="12.42578125" style="5" customWidth="1"/>
    <col min="9" max="9" width="12.7109375" style="5" customWidth="1"/>
    <col min="10" max="16384" width="9.140625" style="4"/>
  </cols>
  <sheetData>
    <row r="1" spans="1:9" ht="23.25" customHeight="1" x14ac:dyDescent="0.2">
      <c r="A1" s="188" t="s">
        <v>187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7"/>
      <c r="F2" s="190" t="s">
        <v>188</v>
      </c>
      <c r="G2" s="190"/>
      <c r="H2" s="190"/>
      <c r="I2" s="190"/>
    </row>
    <row r="3" spans="1:9" ht="17.25" customHeight="1" x14ac:dyDescent="0.2">
      <c r="A3" s="182" t="s">
        <v>7</v>
      </c>
      <c r="B3" s="182" t="s">
        <v>0</v>
      </c>
      <c r="C3" s="182" t="s">
        <v>151</v>
      </c>
      <c r="D3" s="191" t="s">
        <v>189</v>
      </c>
      <c r="E3" s="73" t="s">
        <v>190</v>
      </c>
      <c r="F3" s="193" t="s">
        <v>191</v>
      </c>
      <c r="G3" s="195" t="s">
        <v>190</v>
      </c>
      <c r="H3" s="196"/>
      <c r="I3" s="191" t="s">
        <v>192</v>
      </c>
    </row>
    <row r="4" spans="1:9" s="9" customFormat="1" ht="50.25" customHeight="1" x14ac:dyDescent="0.25">
      <c r="A4" s="182"/>
      <c r="B4" s="182"/>
      <c r="C4" s="182"/>
      <c r="D4" s="192"/>
      <c r="E4" s="8" t="s">
        <v>193</v>
      </c>
      <c r="F4" s="194"/>
      <c r="G4" s="8" t="s">
        <v>194</v>
      </c>
      <c r="H4" s="8" t="s">
        <v>193</v>
      </c>
      <c r="I4" s="185"/>
    </row>
    <row r="5" spans="1:9" x14ac:dyDescent="0.2">
      <c r="A5" s="72">
        <v>1</v>
      </c>
      <c r="B5" s="72">
        <v>2</v>
      </c>
      <c r="C5" s="72">
        <v>3</v>
      </c>
      <c r="D5" s="8">
        <v>4</v>
      </c>
      <c r="E5" s="72">
        <v>5</v>
      </c>
      <c r="F5" s="8">
        <v>6</v>
      </c>
      <c r="G5" s="72">
        <v>7</v>
      </c>
      <c r="H5" s="8">
        <v>8</v>
      </c>
      <c r="I5" s="72">
        <v>9</v>
      </c>
    </row>
    <row r="6" spans="1:9" x14ac:dyDescent="0.2">
      <c r="A6" s="10">
        <v>1</v>
      </c>
      <c r="B6" s="11" t="s">
        <v>12</v>
      </c>
      <c r="C6" s="12">
        <f>D6+F6+I6</f>
        <v>9169</v>
      </c>
      <c r="D6" s="12"/>
      <c r="E6" s="12"/>
      <c r="F6" s="12">
        <f>9269-1-99</f>
        <v>9169</v>
      </c>
      <c r="G6" s="12"/>
      <c r="H6" s="12">
        <f>42-41</f>
        <v>1</v>
      </c>
      <c r="I6" s="12"/>
    </row>
    <row r="7" spans="1:9" x14ac:dyDescent="0.2">
      <c r="A7" s="10">
        <f>A6+1</f>
        <v>2</v>
      </c>
      <c r="B7" s="11" t="s">
        <v>13</v>
      </c>
      <c r="C7" s="12">
        <f t="shared" ref="C7:C71" si="0">D7+F7+I7</f>
        <v>8055</v>
      </c>
      <c r="D7" s="12"/>
      <c r="E7" s="12"/>
      <c r="F7" s="12">
        <f>8206-133-18</f>
        <v>8055</v>
      </c>
      <c r="G7" s="12"/>
      <c r="H7" s="12">
        <f>43-18</f>
        <v>25</v>
      </c>
      <c r="I7" s="12"/>
    </row>
    <row r="8" spans="1:9" x14ac:dyDescent="0.2">
      <c r="A8" s="180">
        <f>A7+1</f>
        <v>3</v>
      </c>
      <c r="B8" s="11" t="s">
        <v>40</v>
      </c>
      <c r="C8" s="12">
        <f t="shared" si="0"/>
        <v>23327</v>
      </c>
      <c r="D8" s="12">
        <f>133-20</f>
        <v>113</v>
      </c>
      <c r="E8" s="12"/>
      <c r="F8" s="12">
        <f>23384+155-113+20-28-270+54+2+10</f>
        <v>23214</v>
      </c>
      <c r="G8" s="12">
        <f>627-113+2</f>
        <v>516</v>
      </c>
      <c r="H8" s="12">
        <f>1966-270+10</f>
        <v>1706</v>
      </c>
      <c r="I8" s="12"/>
    </row>
    <row r="9" spans="1:9" ht="25.5" x14ac:dyDescent="0.2">
      <c r="A9" s="181"/>
      <c r="B9" s="13" t="s">
        <v>41</v>
      </c>
      <c r="C9" s="12">
        <f t="shared" si="0"/>
        <v>1497</v>
      </c>
      <c r="D9" s="12"/>
      <c r="E9" s="12"/>
      <c r="F9" s="14">
        <f>1493+4</f>
        <v>1497</v>
      </c>
      <c r="G9" s="12"/>
      <c r="H9" s="12"/>
      <c r="I9" s="12"/>
    </row>
    <row r="10" spans="1:9" x14ac:dyDescent="0.2">
      <c r="A10" s="10">
        <f>A8+1</f>
        <v>4</v>
      </c>
      <c r="B10" s="11" t="s">
        <v>42</v>
      </c>
      <c r="C10" s="12">
        <f t="shared" si="0"/>
        <v>5451</v>
      </c>
      <c r="D10" s="12"/>
      <c r="E10" s="12"/>
      <c r="F10" s="12">
        <f>5483-32</f>
        <v>5451</v>
      </c>
      <c r="G10" s="12"/>
      <c r="H10" s="12">
        <v>5</v>
      </c>
      <c r="I10" s="12"/>
    </row>
    <row r="11" spans="1:9" ht="12.75" customHeight="1" x14ac:dyDescent="0.2">
      <c r="A11" s="10">
        <f t="shared" ref="A11:A31" si="1">A10+1</f>
        <v>5</v>
      </c>
      <c r="B11" s="11" t="s">
        <v>43</v>
      </c>
      <c r="C11" s="12">
        <f t="shared" si="0"/>
        <v>2416</v>
      </c>
      <c r="D11" s="12"/>
      <c r="E11" s="12"/>
      <c r="F11" s="12">
        <f>2417-1</f>
        <v>2416</v>
      </c>
      <c r="G11" s="12"/>
      <c r="H11" s="12"/>
      <c r="I11" s="12"/>
    </row>
    <row r="12" spans="1:9" x14ac:dyDescent="0.2">
      <c r="A12" s="10">
        <f t="shared" si="1"/>
        <v>6</v>
      </c>
      <c r="B12" s="11" t="s">
        <v>44</v>
      </c>
      <c r="C12" s="12">
        <f t="shared" si="0"/>
        <v>1950</v>
      </c>
      <c r="D12" s="12"/>
      <c r="E12" s="12"/>
      <c r="F12" s="12">
        <f>1946+4</f>
        <v>1950</v>
      </c>
      <c r="G12" s="12"/>
      <c r="H12" s="12">
        <f>17-3</f>
        <v>14</v>
      </c>
      <c r="I12" s="12"/>
    </row>
    <row r="13" spans="1:9" x14ac:dyDescent="0.2">
      <c r="A13" s="10">
        <f t="shared" si="1"/>
        <v>7</v>
      </c>
      <c r="B13" s="11" t="s">
        <v>45</v>
      </c>
      <c r="C13" s="12">
        <f t="shared" si="0"/>
        <v>2147</v>
      </c>
      <c r="D13" s="12"/>
      <c r="E13" s="12"/>
      <c r="F13" s="12">
        <f>2146+3-2</f>
        <v>2147</v>
      </c>
      <c r="G13" s="12"/>
      <c r="H13" s="12">
        <f>8+1-2</f>
        <v>7</v>
      </c>
      <c r="I13" s="12"/>
    </row>
    <row r="14" spans="1:9" x14ac:dyDescent="0.2">
      <c r="A14" s="10">
        <f t="shared" si="1"/>
        <v>8</v>
      </c>
      <c r="B14" s="11" t="s">
        <v>46</v>
      </c>
      <c r="C14" s="12">
        <f t="shared" si="0"/>
        <v>2588</v>
      </c>
      <c r="D14" s="12"/>
      <c r="E14" s="12"/>
      <c r="F14" s="12">
        <f>2583+5</f>
        <v>2588</v>
      </c>
      <c r="G14" s="12"/>
      <c r="H14" s="12">
        <v>0</v>
      </c>
      <c r="I14" s="12"/>
    </row>
    <row r="15" spans="1:9" x14ac:dyDescent="0.2">
      <c r="A15" s="10">
        <f t="shared" si="1"/>
        <v>9</v>
      </c>
      <c r="B15" s="11" t="s">
        <v>47</v>
      </c>
      <c r="C15" s="12">
        <f t="shared" si="0"/>
        <v>2119</v>
      </c>
      <c r="D15" s="12"/>
      <c r="E15" s="12"/>
      <c r="F15" s="12">
        <f>2109+6+4</f>
        <v>2119</v>
      </c>
      <c r="G15" s="12"/>
      <c r="H15" s="12">
        <f>0+4</f>
        <v>4</v>
      </c>
      <c r="I15" s="12"/>
    </row>
    <row r="16" spans="1:9" x14ac:dyDescent="0.2">
      <c r="A16" s="10">
        <f t="shared" si="1"/>
        <v>10</v>
      </c>
      <c r="B16" s="11" t="s">
        <v>48</v>
      </c>
      <c r="C16" s="12">
        <f t="shared" si="0"/>
        <v>3115</v>
      </c>
      <c r="D16" s="12"/>
      <c r="E16" s="12"/>
      <c r="F16" s="12">
        <f>3113+1+1</f>
        <v>3115</v>
      </c>
      <c r="G16" s="12"/>
      <c r="H16" s="12">
        <f>1+1</f>
        <v>2</v>
      </c>
      <c r="I16" s="12"/>
    </row>
    <row r="17" spans="1:9" x14ac:dyDescent="0.2">
      <c r="A17" s="10">
        <f t="shared" si="1"/>
        <v>11</v>
      </c>
      <c r="B17" s="11" t="s">
        <v>49</v>
      </c>
      <c r="C17" s="12">
        <f t="shared" si="0"/>
        <v>2238</v>
      </c>
      <c r="D17" s="12"/>
      <c r="E17" s="12"/>
      <c r="F17" s="12">
        <f>2241-3</f>
        <v>2238</v>
      </c>
      <c r="G17" s="12"/>
      <c r="H17" s="12"/>
      <c r="I17" s="12"/>
    </row>
    <row r="18" spans="1:9" x14ac:dyDescent="0.2">
      <c r="A18" s="10">
        <f t="shared" si="1"/>
        <v>12</v>
      </c>
      <c r="B18" s="11" t="s">
        <v>50</v>
      </c>
      <c r="C18" s="12">
        <f t="shared" si="0"/>
        <v>2823</v>
      </c>
      <c r="D18" s="12"/>
      <c r="E18" s="12"/>
      <c r="F18" s="12">
        <f>2824-2+1</f>
        <v>2823</v>
      </c>
      <c r="G18" s="12"/>
      <c r="H18" s="12">
        <f>14+1</f>
        <v>15</v>
      </c>
      <c r="I18" s="12"/>
    </row>
    <row r="19" spans="1:9" x14ac:dyDescent="0.2">
      <c r="A19" s="10">
        <f t="shared" si="1"/>
        <v>13</v>
      </c>
      <c r="B19" s="11" t="s">
        <v>53</v>
      </c>
      <c r="C19" s="12">
        <f t="shared" si="0"/>
        <v>10088</v>
      </c>
      <c r="D19" s="12"/>
      <c r="E19" s="12"/>
      <c r="F19" s="12">
        <f>9866+195+27+1-1</f>
        <v>10088</v>
      </c>
      <c r="G19" s="12">
        <f>193+1</f>
        <v>194</v>
      </c>
      <c r="H19" s="12">
        <f>169+19-1</f>
        <v>187</v>
      </c>
      <c r="I19" s="12"/>
    </row>
    <row r="20" spans="1:9" x14ac:dyDescent="0.2">
      <c r="A20" s="10">
        <f t="shared" si="1"/>
        <v>14</v>
      </c>
      <c r="B20" s="11" t="s">
        <v>16</v>
      </c>
      <c r="C20" s="12">
        <f t="shared" si="0"/>
        <v>6636</v>
      </c>
      <c r="D20" s="12"/>
      <c r="E20" s="12"/>
      <c r="F20" s="12">
        <f>6660-24</f>
        <v>6636</v>
      </c>
      <c r="G20" s="12"/>
      <c r="H20" s="12"/>
      <c r="I20" s="12"/>
    </row>
    <row r="21" spans="1:9" x14ac:dyDescent="0.2">
      <c r="A21" s="10">
        <f t="shared" si="1"/>
        <v>15</v>
      </c>
      <c r="B21" s="11" t="s">
        <v>10</v>
      </c>
      <c r="C21" s="12">
        <f t="shared" si="0"/>
        <v>19181</v>
      </c>
      <c r="D21" s="12"/>
      <c r="E21" s="12"/>
      <c r="F21" s="12">
        <f>19174-40+3+1+43</f>
        <v>19181</v>
      </c>
      <c r="G21" s="12">
        <f>312+1</f>
        <v>313</v>
      </c>
      <c r="H21" s="12">
        <f>619-100+3</f>
        <v>522</v>
      </c>
      <c r="I21" s="12"/>
    </row>
    <row r="22" spans="1:9" x14ac:dyDescent="0.2">
      <c r="A22" s="10">
        <f t="shared" si="1"/>
        <v>16</v>
      </c>
      <c r="B22" s="11" t="s">
        <v>11</v>
      </c>
      <c r="C22" s="12">
        <f t="shared" si="0"/>
        <v>9533</v>
      </c>
      <c r="D22" s="12"/>
      <c r="E22" s="12"/>
      <c r="F22" s="12">
        <f>9552-10-9</f>
        <v>9533</v>
      </c>
      <c r="G22" s="12"/>
      <c r="H22" s="12">
        <f>112+1-9</f>
        <v>104</v>
      </c>
      <c r="I22" s="12"/>
    </row>
    <row r="23" spans="1:9" x14ac:dyDescent="0.2">
      <c r="A23" s="10">
        <f t="shared" si="1"/>
        <v>17</v>
      </c>
      <c r="B23" s="11" t="s">
        <v>54</v>
      </c>
      <c r="C23" s="12">
        <f t="shared" si="0"/>
        <v>2416</v>
      </c>
      <c r="D23" s="12"/>
      <c r="E23" s="12"/>
      <c r="F23" s="12">
        <f>2409+7</f>
        <v>2416</v>
      </c>
      <c r="G23" s="12"/>
      <c r="H23" s="12"/>
      <c r="I23" s="12"/>
    </row>
    <row r="24" spans="1:9" x14ac:dyDescent="0.2">
      <c r="A24" s="10">
        <f t="shared" si="1"/>
        <v>18</v>
      </c>
      <c r="B24" s="11" t="s">
        <v>55</v>
      </c>
      <c r="C24" s="12">
        <f t="shared" si="0"/>
        <v>3278</v>
      </c>
      <c r="D24" s="12"/>
      <c r="E24" s="12"/>
      <c r="F24" s="12">
        <f>3272+6</f>
        <v>3278</v>
      </c>
      <c r="G24" s="12"/>
      <c r="H24" s="12"/>
      <c r="I24" s="12"/>
    </row>
    <row r="25" spans="1:9" x14ac:dyDescent="0.2">
      <c r="A25" s="10">
        <f t="shared" si="1"/>
        <v>19</v>
      </c>
      <c r="B25" s="11" t="s">
        <v>56</v>
      </c>
      <c r="C25" s="12">
        <f t="shared" si="0"/>
        <v>4335</v>
      </c>
      <c r="D25" s="12"/>
      <c r="E25" s="12"/>
      <c r="F25" s="12">
        <f>4328+7</f>
        <v>4335</v>
      </c>
      <c r="G25" s="12"/>
      <c r="H25" s="12">
        <v>1</v>
      </c>
      <c r="I25" s="12"/>
    </row>
    <row r="26" spans="1:9" x14ac:dyDescent="0.2">
      <c r="A26" s="10">
        <f t="shared" si="1"/>
        <v>20</v>
      </c>
      <c r="B26" s="11" t="s">
        <v>57</v>
      </c>
      <c r="C26" s="12">
        <f>D26+F26+I26</f>
        <v>1833</v>
      </c>
      <c r="D26" s="12"/>
      <c r="E26" s="12"/>
      <c r="F26" s="12">
        <f>1785+50+2-4</f>
        <v>1833</v>
      </c>
      <c r="G26" s="12"/>
      <c r="H26" s="12">
        <f>4-4</f>
        <v>0</v>
      </c>
      <c r="I26" s="12"/>
    </row>
    <row r="27" spans="1:9" x14ac:dyDescent="0.2">
      <c r="A27" s="10">
        <f t="shared" si="1"/>
        <v>21</v>
      </c>
      <c r="B27" s="11" t="s">
        <v>58</v>
      </c>
      <c r="C27" s="12">
        <f t="shared" si="0"/>
        <v>1731</v>
      </c>
      <c r="D27" s="12"/>
      <c r="E27" s="12"/>
      <c r="F27" s="12">
        <f>1728+3</f>
        <v>1731</v>
      </c>
      <c r="G27" s="12"/>
      <c r="H27" s="12"/>
      <c r="I27" s="12"/>
    </row>
    <row r="28" spans="1:9" x14ac:dyDescent="0.2">
      <c r="A28" s="10">
        <f t="shared" si="1"/>
        <v>22</v>
      </c>
      <c r="B28" s="11" t="s">
        <v>37</v>
      </c>
      <c r="C28" s="12">
        <f t="shared" si="0"/>
        <v>27029</v>
      </c>
      <c r="D28" s="12">
        <f>900-39-17-11-1+1</f>
        <v>833</v>
      </c>
      <c r="E28" s="12">
        <v>52</v>
      </c>
      <c r="F28" s="12">
        <f>26936-4-28+257-36-777+11-182+1+59-41</f>
        <v>26196</v>
      </c>
      <c r="G28" s="12"/>
      <c r="H28" s="12">
        <f>3603-182-41</f>
        <v>3380</v>
      </c>
      <c r="I28" s="12"/>
    </row>
    <row r="29" spans="1:9" x14ac:dyDescent="0.2">
      <c r="A29" s="10">
        <f t="shared" si="1"/>
        <v>23</v>
      </c>
      <c r="B29" s="11" t="s">
        <v>59</v>
      </c>
      <c r="C29" s="12">
        <f t="shared" si="0"/>
        <v>3333</v>
      </c>
      <c r="D29" s="12"/>
      <c r="E29" s="12"/>
      <c r="F29" s="12">
        <f>3330+3</f>
        <v>3333</v>
      </c>
      <c r="G29" s="12">
        <v>627</v>
      </c>
      <c r="H29" s="12"/>
      <c r="I29" s="12"/>
    </row>
    <row r="30" spans="1:9" x14ac:dyDescent="0.2">
      <c r="A30" s="10">
        <f t="shared" si="1"/>
        <v>24</v>
      </c>
      <c r="B30" s="11" t="s">
        <v>60</v>
      </c>
      <c r="C30" s="12">
        <f t="shared" si="0"/>
        <v>12278</v>
      </c>
      <c r="D30" s="12"/>
      <c r="E30" s="12"/>
      <c r="F30" s="12">
        <f>12253+10+15</f>
        <v>12278</v>
      </c>
      <c r="G30" s="12"/>
      <c r="H30" s="12">
        <f>34+1</f>
        <v>35</v>
      </c>
      <c r="I30" s="12"/>
    </row>
    <row r="31" spans="1:9" x14ac:dyDescent="0.2">
      <c r="A31" s="182">
        <f t="shared" si="1"/>
        <v>25</v>
      </c>
      <c r="B31" s="11" t="s">
        <v>61</v>
      </c>
      <c r="C31" s="12">
        <f t="shared" si="0"/>
        <v>2780</v>
      </c>
      <c r="D31" s="12"/>
      <c r="E31" s="12"/>
      <c r="F31" s="12">
        <f>2769+11</f>
        <v>2780</v>
      </c>
      <c r="G31" s="12"/>
      <c r="H31" s="12"/>
      <c r="I31" s="12"/>
    </row>
    <row r="32" spans="1:9" s="16" customFormat="1" ht="37.5" customHeight="1" x14ac:dyDescent="0.2">
      <c r="A32" s="182"/>
      <c r="B32" s="15" t="s">
        <v>62</v>
      </c>
      <c r="C32" s="12">
        <f t="shared" si="0"/>
        <v>793</v>
      </c>
      <c r="D32" s="14"/>
      <c r="E32" s="14"/>
      <c r="F32" s="14">
        <f>791+2</f>
        <v>793</v>
      </c>
      <c r="G32" s="14"/>
      <c r="H32" s="14"/>
      <c r="I32" s="14"/>
    </row>
    <row r="33" spans="1:9" ht="26.25" customHeight="1" x14ac:dyDescent="0.2">
      <c r="A33" s="10">
        <f>A31+1</f>
        <v>26</v>
      </c>
      <c r="B33" s="17" t="s">
        <v>195</v>
      </c>
      <c r="C33" s="12">
        <f t="shared" si="0"/>
        <v>3843</v>
      </c>
      <c r="D33" s="12"/>
      <c r="E33" s="12"/>
      <c r="F33" s="12">
        <f>3868-25</f>
        <v>3843</v>
      </c>
      <c r="G33" s="12"/>
      <c r="H33" s="12"/>
      <c r="I33" s="12"/>
    </row>
    <row r="34" spans="1:9" x14ac:dyDescent="0.2">
      <c r="A34" s="10">
        <f>A33+1</f>
        <v>27</v>
      </c>
      <c r="B34" s="11" t="s">
        <v>64</v>
      </c>
      <c r="C34" s="12">
        <f t="shared" si="0"/>
        <v>5534</v>
      </c>
      <c r="D34" s="12"/>
      <c r="E34" s="12"/>
      <c r="F34" s="12">
        <f>5763-229</f>
        <v>5534</v>
      </c>
      <c r="G34" s="12"/>
      <c r="H34" s="12"/>
      <c r="I34" s="12"/>
    </row>
    <row r="35" spans="1:9" x14ac:dyDescent="0.2">
      <c r="A35" s="10">
        <f>A34+1</f>
        <v>28</v>
      </c>
      <c r="B35" s="11" t="s">
        <v>66</v>
      </c>
      <c r="C35" s="12">
        <f t="shared" si="0"/>
        <v>729</v>
      </c>
      <c r="D35" s="12"/>
      <c r="E35" s="12"/>
      <c r="F35" s="12">
        <v>729</v>
      </c>
      <c r="G35" s="12"/>
      <c r="H35" s="12"/>
      <c r="I35" s="12"/>
    </row>
    <row r="36" spans="1:9" x14ac:dyDescent="0.2">
      <c r="A36" s="183">
        <f>A35+1</f>
        <v>29</v>
      </c>
      <c r="B36" s="11" t="s">
        <v>67</v>
      </c>
      <c r="C36" s="12">
        <f t="shared" si="0"/>
        <v>12265</v>
      </c>
      <c r="D36" s="12">
        <f>15+5</f>
        <v>20</v>
      </c>
      <c r="E36" s="12"/>
      <c r="F36" s="12">
        <f>11035-5+227+3150-3150+280+400+391+10-40+12-65</f>
        <v>12245</v>
      </c>
      <c r="G36" s="12"/>
      <c r="H36" s="12">
        <f>1061-143-65</f>
        <v>853</v>
      </c>
      <c r="I36" s="12"/>
    </row>
    <row r="37" spans="1:9" s="16" customFormat="1" ht="25.5" x14ac:dyDescent="0.2">
      <c r="A37" s="184"/>
      <c r="B37" s="15" t="s">
        <v>68</v>
      </c>
      <c r="C37" s="12">
        <f t="shared" si="0"/>
        <v>3224</v>
      </c>
      <c r="D37" s="14"/>
      <c r="E37" s="14"/>
      <c r="F37" s="14">
        <f>3226-2</f>
        <v>3224</v>
      </c>
      <c r="G37" s="14"/>
      <c r="H37" s="14"/>
      <c r="I37" s="14"/>
    </row>
    <row r="38" spans="1:9" s="16" customFormat="1" ht="25.5" x14ac:dyDescent="0.2">
      <c r="A38" s="185"/>
      <c r="B38" s="18" t="s">
        <v>196</v>
      </c>
      <c r="C38" s="12">
        <f t="shared" si="0"/>
        <v>2496</v>
      </c>
      <c r="D38" s="14"/>
      <c r="E38" s="14"/>
      <c r="F38" s="14">
        <f>0+3150-400+391-391-254</f>
        <v>2496</v>
      </c>
      <c r="G38" s="14"/>
      <c r="H38" s="14"/>
      <c r="I38" s="14"/>
    </row>
    <row r="39" spans="1:9" x14ac:dyDescent="0.2">
      <c r="A39" s="10">
        <f>A36+1</f>
        <v>30</v>
      </c>
      <c r="B39" s="11" t="s">
        <v>70</v>
      </c>
      <c r="C39" s="12">
        <f t="shared" si="0"/>
        <v>752</v>
      </c>
      <c r="D39" s="12"/>
      <c r="E39" s="12"/>
      <c r="F39" s="12">
        <f>755-3</f>
        <v>752</v>
      </c>
      <c r="G39" s="12"/>
      <c r="H39" s="12"/>
      <c r="I39" s="12"/>
    </row>
    <row r="40" spans="1:9" x14ac:dyDescent="0.2">
      <c r="A40" s="183">
        <f>A39+1</f>
        <v>31</v>
      </c>
      <c r="B40" s="11" t="s">
        <v>71</v>
      </c>
      <c r="C40" s="12">
        <f t="shared" si="0"/>
        <v>11439</v>
      </c>
      <c r="D40" s="12">
        <v>32</v>
      </c>
      <c r="E40" s="12">
        <v>0</v>
      </c>
      <c r="F40" s="12">
        <f>11316+77+62-79+31+12-12</f>
        <v>11407</v>
      </c>
      <c r="G40" s="12">
        <f>312-79+12</f>
        <v>245</v>
      </c>
      <c r="H40" s="12">
        <f>846+2-12</f>
        <v>836</v>
      </c>
      <c r="I40" s="12"/>
    </row>
    <row r="41" spans="1:9" s="16" customFormat="1" ht="25.5" x14ac:dyDescent="0.2">
      <c r="A41" s="186"/>
      <c r="B41" s="15" t="s">
        <v>197</v>
      </c>
      <c r="C41" s="12">
        <f t="shared" si="0"/>
        <v>1209</v>
      </c>
      <c r="D41" s="14"/>
      <c r="E41" s="14"/>
      <c r="F41" s="14">
        <v>1209</v>
      </c>
      <c r="G41" s="14"/>
      <c r="H41" s="14"/>
      <c r="I41" s="14"/>
    </row>
    <row r="42" spans="1:9" x14ac:dyDescent="0.2">
      <c r="A42" s="10">
        <f>A40+1</f>
        <v>32</v>
      </c>
      <c r="B42" s="11" t="s">
        <v>18</v>
      </c>
      <c r="C42" s="12">
        <f t="shared" si="0"/>
        <v>11152</v>
      </c>
      <c r="D42" s="12"/>
      <c r="E42" s="12"/>
      <c r="F42" s="12">
        <f>11145-10+29-12</f>
        <v>11152</v>
      </c>
      <c r="G42" s="12"/>
      <c r="H42" s="12">
        <f>44+8-12</f>
        <v>40</v>
      </c>
      <c r="I42" s="12"/>
    </row>
    <row r="43" spans="1:9" x14ac:dyDescent="0.2">
      <c r="A43" s="10">
        <f t="shared" ref="A43:A106" si="2">A42+1</f>
        <v>33</v>
      </c>
      <c r="B43" s="11" t="s">
        <v>19</v>
      </c>
      <c r="C43" s="12">
        <f t="shared" si="0"/>
        <v>10960</v>
      </c>
      <c r="D43" s="12"/>
      <c r="E43" s="12"/>
      <c r="F43" s="12">
        <f>10898+98-62+59-33</f>
        <v>10960</v>
      </c>
      <c r="G43" s="12"/>
      <c r="H43" s="12">
        <f>437+1-33</f>
        <v>405</v>
      </c>
      <c r="I43" s="12"/>
    </row>
    <row r="44" spans="1:9" x14ac:dyDescent="0.2">
      <c r="A44" s="10">
        <f t="shared" si="2"/>
        <v>34</v>
      </c>
      <c r="B44" s="11" t="s">
        <v>73</v>
      </c>
      <c r="C44" s="12">
        <f t="shared" si="0"/>
        <v>3097</v>
      </c>
      <c r="D44" s="12"/>
      <c r="E44" s="12"/>
      <c r="F44" s="12">
        <f>3088+9</f>
        <v>3097</v>
      </c>
      <c r="G44" s="12"/>
      <c r="H44" s="12">
        <f>1-1</f>
        <v>0</v>
      </c>
      <c r="I44" s="12"/>
    </row>
    <row r="45" spans="1:9" x14ac:dyDescent="0.2">
      <c r="A45" s="10">
        <f t="shared" si="2"/>
        <v>35</v>
      </c>
      <c r="B45" s="11" t="s">
        <v>74</v>
      </c>
      <c r="C45" s="12">
        <f t="shared" si="0"/>
        <v>3442</v>
      </c>
      <c r="D45" s="12"/>
      <c r="E45" s="12"/>
      <c r="F45" s="12">
        <f>3436+6</f>
        <v>3442</v>
      </c>
      <c r="G45" s="12"/>
      <c r="H45" s="12"/>
      <c r="I45" s="12"/>
    </row>
    <row r="46" spans="1:9" x14ac:dyDescent="0.2">
      <c r="A46" s="10">
        <f t="shared" si="2"/>
        <v>36</v>
      </c>
      <c r="B46" s="11" t="s">
        <v>75</v>
      </c>
      <c r="C46" s="12">
        <f t="shared" si="0"/>
        <v>3400</v>
      </c>
      <c r="D46" s="12"/>
      <c r="E46" s="12"/>
      <c r="F46" s="12">
        <f>3529-132+3</f>
        <v>3400</v>
      </c>
      <c r="G46" s="12"/>
      <c r="H46" s="12">
        <f>0+3</f>
        <v>3</v>
      </c>
      <c r="I46" s="12"/>
    </row>
    <row r="47" spans="1:9" x14ac:dyDescent="0.2">
      <c r="A47" s="10">
        <f t="shared" si="2"/>
        <v>37</v>
      </c>
      <c r="B47" s="11" t="s">
        <v>76</v>
      </c>
      <c r="C47" s="12">
        <f t="shared" si="0"/>
        <v>2167</v>
      </c>
      <c r="D47" s="12"/>
      <c r="E47" s="12"/>
      <c r="F47" s="12">
        <f>2164+3</f>
        <v>2167</v>
      </c>
      <c r="G47" s="12"/>
      <c r="H47" s="12"/>
      <c r="I47" s="12"/>
    </row>
    <row r="48" spans="1:9" x14ac:dyDescent="0.2">
      <c r="A48" s="10">
        <f t="shared" si="2"/>
        <v>38</v>
      </c>
      <c r="B48" s="11" t="s">
        <v>77</v>
      </c>
      <c r="C48" s="12">
        <f t="shared" si="0"/>
        <v>2955</v>
      </c>
      <c r="D48" s="12"/>
      <c r="E48" s="12"/>
      <c r="F48" s="12">
        <f>2949+3+3</f>
        <v>2955</v>
      </c>
      <c r="G48" s="12"/>
      <c r="H48" s="12">
        <f>5-5+3</f>
        <v>3</v>
      </c>
      <c r="I48" s="12"/>
    </row>
    <row r="49" spans="1:9" x14ac:dyDescent="0.2">
      <c r="A49" s="10">
        <f t="shared" si="2"/>
        <v>39</v>
      </c>
      <c r="B49" s="11" t="s">
        <v>78</v>
      </c>
      <c r="C49" s="12">
        <f t="shared" si="0"/>
        <v>1679</v>
      </c>
      <c r="D49" s="12"/>
      <c r="E49" s="12"/>
      <c r="F49" s="12">
        <f>1687-12+4</f>
        <v>1679</v>
      </c>
      <c r="G49" s="12"/>
      <c r="H49" s="12">
        <f>0+4</f>
        <v>4</v>
      </c>
      <c r="I49" s="12"/>
    </row>
    <row r="50" spans="1:9" x14ac:dyDescent="0.2">
      <c r="A50" s="10">
        <f t="shared" si="2"/>
        <v>40</v>
      </c>
      <c r="B50" s="11" t="s">
        <v>79</v>
      </c>
      <c r="C50" s="12">
        <f t="shared" si="0"/>
        <v>2759</v>
      </c>
      <c r="D50" s="12"/>
      <c r="E50" s="12"/>
      <c r="F50" s="12">
        <f>6300-3150-391</f>
        <v>2759</v>
      </c>
      <c r="G50" s="12"/>
      <c r="H50" s="12"/>
      <c r="I50" s="12"/>
    </row>
    <row r="51" spans="1:9" x14ac:dyDescent="0.2">
      <c r="A51" s="10">
        <f t="shared" si="2"/>
        <v>41</v>
      </c>
      <c r="B51" s="11" t="s">
        <v>198</v>
      </c>
      <c r="C51" s="12">
        <f t="shared" si="0"/>
        <v>986</v>
      </c>
      <c r="D51" s="12">
        <f>208+39+17+13-1</f>
        <v>276</v>
      </c>
      <c r="E51" s="12">
        <f>10-2</f>
        <v>8</v>
      </c>
      <c r="F51" s="12">
        <f>657+4+28-13+36+5-7</f>
        <v>710</v>
      </c>
      <c r="G51" s="12"/>
      <c r="H51" s="12">
        <f>62+6-7</f>
        <v>61</v>
      </c>
      <c r="I51" s="12"/>
    </row>
    <row r="52" spans="1:9" x14ac:dyDescent="0.2">
      <c r="A52" s="10">
        <f t="shared" si="2"/>
        <v>42</v>
      </c>
      <c r="B52" s="11" t="s">
        <v>20</v>
      </c>
      <c r="C52" s="12">
        <f t="shared" si="0"/>
        <v>16043</v>
      </c>
      <c r="D52" s="12"/>
      <c r="E52" s="12"/>
      <c r="F52" s="12">
        <f>16051+40+47-95</f>
        <v>16043</v>
      </c>
      <c r="G52" s="12"/>
      <c r="H52" s="12">
        <f>411+1-95</f>
        <v>317</v>
      </c>
      <c r="I52" s="12"/>
    </row>
    <row r="53" spans="1:9" x14ac:dyDescent="0.2">
      <c r="A53" s="10">
        <f t="shared" si="2"/>
        <v>43</v>
      </c>
      <c r="B53" s="19" t="s">
        <v>9</v>
      </c>
      <c r="C53" s="12">
        <f t="shared" si="0"/>
        <v>14252</v>
      </c>
      <c r="D53" s="12"/>
      <c r="E53" s="12"/>
      <c r="F53" s="12">
        <f>14282+20-40-7-3</f>
        <v>14252</v>
      </c>
      <c r="G53" s="12"/>
      <c r="H53" s="12">
        <f>509-160-3</f>
        <v>346</v>
      </c>
      <c r="I53" s="12"/>
    </row>
    <row r="54" spans="1:9" x14ac:dyDescent="0.2">
      <c r="A54" s="10">
        <f t="shared" si="2"/>
        <v>44</v>
      </c>
      <c r="B54" s="11" t="s">
        <v>82</v>
      </c>
      <c r="C54" s="12">
        <f t="shared" si="0"/>
        <v>17661</v>
      </c>
      <c r="D54" s="12"/>
      <c r="E54" s="12"/>
      <c r="F54" s="12">
        <f>17963+80-73-144-1-164</f>
        <v>17661</v>
      </c>
      <c r="G54" s="12">
        <f>627-1</f>
        <v>626</v>
      </c>
      <c r="H54" s="12">
        <f>1469-278-164</f>
        <v>1027</v>
      </c>
      <c r="I54" s="12"/>
    </row>
    <row r="55" spans="1:9" x14ac:dyDescent="0.2">
      <c r="A55" s="10">
        <f t="shared" si="2"/>
        <v>45</v>
      </c>
      <c r="B55" s="11" t="s">
        <v>83</v>
      </c>
      <c r="C55" s="12">
        <f t="shared" si="0"/>
        <v>4516</v>
      </c>
      <c r="D55" s="12"/>
      <c r="E55" s="12"/>
      <c r="F55" s="12">
        <f>4505+11</f>
        <v>4516</v>
      </c>
      <c r="G55" s="12"/>
      <c r="H55" s="12"/>
      <c r="I55" s="12"/>
    </row>
    <row r="56" spans="1:9" x14ac:dyDescent="0.2">
      <c r="A56" s="10">
        <f t="shared" si="2"/>
        <v>46</v>
      </c>
      <c r="B56" s="11" t="s">
        <v>84</v>
      </c>
      <c r="C56" s="12">
        <f t="shared" si="0"/>
        <v>3167</v>
      </c>
      <c r="D56" s="12"/>
      <c r="E56" s="12"/>
      <c r="F56" s="12">
        <f>3159+8</f>
        <v>3167</v>
      </c>
      <c r="G56" s="12"/>
      <c r="H56" s="12">
        <v>2</v>
      </c>
      <c r="I56" s="12"/>
    </row>
    <row r="57" spans="1:9" x14ac:dyDescent="0.2">
      <c r="A57" s="10">
        <f t="shared" si="2"/>
        <v>47</v>
      </c>
      <c r="B57" s="11" t="s">
        <v>85</v>
      </c>
      <c r="C57" s="12">
        <f t="shared" si="0"/>
        <v>2456</v>
      </c>
      <c r="D57" s="12"/>
      <c r="E57" s="12"/>
      <c r="F57" s="12">
        <v>2456</v>
      </c>
      <c r="G57" s="12"/>
      <c r="H57" s="12"/>
      <c r="I57" s="12"/>
    </row>
    <row r="58" spans="1:9" x14ac:dyDescent="0.2">
      <c r="A58" s="10">
        <f t="shared" si="2"/>
        <v>48</v>
      </c>
      <c r="B58" s="11" t="s">
        <v>86</v>
      </c>
      <c r="C58" s="12">
        <f t="shared" si="0"/>
        <v>3665</v>
      </c>
      <c r="D58" s="12"/>
      <c r="E58" s="12"/>
      <c r="F58" s="12">
        <f>3699-38+4</f>
        <v>3665</v>
      </c>
      <c r="G58" s="12"/>
      <c r="H58" s="12">
        <f>0+4</f>
        <v>4</v>
      </c>
      <c r="I58" s="12"/>
    </row>
    <row r="59" spans="1:9" x14ac:dyDescent="0.2">
      <c r="A59" s="10">
        <f t="shared" si="2"/>
        <v>49</v>
      </c>
      <c r="B59" s="11" t="s">
        <v>87</v>
      </c>
      <c r="C59" s="12">
        <f t="shared" si="0"/>
        <v>1706</v>
      </c>
      <c r="D59" s="12"/>
      <c r="E59" s="12"/>
      <c r="F59" s="12">
        <f>1706-2+2</f>
        <v>1706</v>
      </c>
      <c r="G59" s="12"/>
      <c r="H59" s="12">
        <f>0+2</f>
        <v>2</v>
      </c>
      <c r="I59" s="12"/>
    </row>
    <row r="60" spans="1:9" x14ac:dyDescent="0.2">
      <c r="A60" s="10">
        <f t="shared" si="2"/>
        <v>50</v>
      </c>
      <c r="B60" s="11" t="s">
        <v>88</v>
      </c>
      <c r="C60" s="12">
        <f t="shared" si="0"/>
        <v>3217</v>
      </c>
      <c r="D60" s="12"/>
      <c r="E60" s="12"/>
      <c r="F60" s="12">
        <f>3252-39+4</f>
        <v>3217</v>
      </c>
      <c r="G60" s="12"/>
      <c r="H60" s="12">
        <f>3+4</f>
        <v>7</v>
      </c>
      <c r="I60" s="12"/>
    </row>
    <row r="61" spans="1:9" x14ac:dyDescent="0.2">
      <c r="A61" s="10">
        <f t="shared" si="2"/>
        <v>51</v>
      </c>
      <c r="B61" s="11" t="s">
        <v>89</v>
      </c>
      <c r="C61" s="12">
        <f t="shared" si="0"/>
        <v>4502</v>
      </c>
      <c r="D61" s="12"/>
      <c r="E61" s="12"/>
      <c r="F61" s="12">
        <f>4512-9-1</f>
        <v>4502</v>
      </c>
      <c r="G61" s="12"/>
      <c r="H61" s="12">
        <f>9-1</f>
        <v>8</v>
      </c>
      <c r="I61" s="12"/>
    </row>
    <row r="62" spans="1:9" x14ac:dyDescent="0.2">
      <c r="A62" s="10">
        <f t="shared" si="2"/>
        <v>52</v>
      </c>
      <c r="B62" s="11" t="s">
        <v>90</v>
      </c>
      <c r="C62" s="12">
        <f t="shared" si="0"/>
        <v>2717</v>
      </c>
      <c r="D62" s="12"/>
      <c r="E62" s="12"/>
      <c r="F62" s="12">
        <f>2711+7-1</f>
        <v>2717</v>
      </c>
      <c r="G62" s="12"/>
      <c r="H62" s="12">
        <f>58-1</f>
        <v>57</v>
      </c>
      <c r="I62" s="12"/>
    </row>
    <row r="63" spans="1:9" x14ac:dyDescent="0.2">
      <c r="A63" s="10">
        <f t="shared" si="2"/>
        <v>53</v>
      </c>
      <c r="B63" s="11" t="s">
        <v>107</v>
      </c>
      <c r="C63" s="12">
        <f t="shared" si="0"/>
        <v>9672</v>
      </c>
      <c r="D63" s="12"/>
      <c r="E63" s="12"/>
      <c r="F63" s="12">
        <f>9669+2+1</f>
        <v>9672</v>
      </c>
      <c r="G63" s="12"/>
      <c r="H63" s="12">
        <f>90-34+1</f>
        <v>57</v>
      </c>
      <c r="I63" s="12"/>
    </row>
    <row r="64" spans="1:9" x14ac:dyDescent="0.2">
      <c r="A64" s="10">
        <f t="shared" si="2"/>
        <v>54</v>
      </c>
      <c r="B64" s="11" t="s">
        <v>108</v>
      </c>
      <c r="C64" s="12">
        <f t="shared" si="0"/>
        <v>3617</v>
      </c>
      <c r="D64" s="12"/>
      <c r="E64" s="12"/>
      <c r="F64" s="12">
        <f>3592+23+2</f>
        <v>3617</v>
      </c>
      <c r="G64" s="12">
        <f>623+2</f>
        <v>625</v>
      </c>
      <c r="H64" s="12"/>
      <c r="I64" s="12"/>
    </row>
    <row r="65" spans="1:9" x14ac:dyDescent="0.2">
      <c r="A65" s="10">
        <f t="shared" si="2"/>
        <v>55</v>
      </c>
      <c r="B65" s="11" t="s">
        <v>109</v>
      </c>
      <c r="C65" s="12">
        <f t="shared" si="0"/>
        <v>17628</v>
      </c>
      <c r="D65" s="12"/>
      <c r="E65" s="12"/>
      <c r="F65" s="12">
        <f>17555+73</f>
        <v>17628</v>
      </c>
      <c r="G65" s="12"/>
      <c r="H65" s="12">
        <f>16+1</f>
        <v>17</v>
      </c>
      <c r="I65" s="12"/>
    </row>
    <row r="66" spans="1:9" x14ac:dyDescent="0.2">
      <c r="A66" s="10">
        <f t="shared" si="2"/>
        <v>56</v>
      </c>
      <c r="B66" s="11" t="s">
        <v>110</v>
      </c>
      <c r="C66" s="12">
        <f t="shared" si="0"/>
        <v>930</v>
      </c>
      <c r="D66" s="12"/>
      <c r="E66" s="12"/>
      <c r="F66" s="12">
        <f>927+3</f>
        <v>930</v>
      </c>
      <c r="G66" s="12"/>
      <c r="H66" s="12"/>
      <c r="I66" s="12"/>
    </row>
    <row r="67" spans="1:9" x14ac:dyDescent="0.2">
      <c r="A67" s="10">
        <f t="shared" si="2"/>
        <v>57</v>
      </c>
      <c r="B67" s="11" t="s">
        <v>111</v>
      </c>
      <c r="C67" s="12">
        <f t="shared" si="0"/>
        <v>6731</v>
      </c>
      <c r="D67" s="12">
        <v>200</v>
      </c>
      <c r="E67" s="12"/>
      <c r="F67" s="12">
        <f>6534-3</f>
        <v>6531</v>
      </c>
      <c r="G67" s="12">
        <v>623</v>
      </c>
      <c r="H67" s="12"/>
      <c r="I67" s="12"/>
    </row>
    <row r="68" spans="1:9" x14ac:dyDescent="0.2">
      <c r="A68" s="10">
        <f t="shared" si="2"/>
        <v>58</v>
      </c>
      <c r="B68" s="11" t="s">
        <v>112</v>
      </c>
      <c r="C68" s="12">
        <f t="shared" si="0"/>
        <v>930</v>
      </c>
      <c r="D68" s="12"/>
      <c r="E68" s="12"/>
      <c r="F68" s="12">
        <f>927+3</f>
        <v>930</v>
      </c>
      <c r="G68" s="12"/>
      <c r="H68" s="12"/>
      <c r="I68" s="12"/>
    </row>
    <row r="69" spans="1:9" x14ac:dyDescent="0.2">
      <c r="A69" s="10">
        <f t="shared" si="2"/>
        <v>59</v>
      </c>
      <c r="B69" s="11" t="s">
        <v>113</v>
      </c>
      <c r="C69" s="12">
        <f t="shared" si="0"/>
        <v>12152</v>
      </c>
      <c r="D69" s="12">
        <f>277+4</f>
        <v>281</v>
      </c>
      <c r="E69" s="12"/>
      <c r="F69" s="12">
        <f>11863+4+28+1-25</f>
        <v>11871</v>
      </c>
      <c r="G69" s="12">
        <f>627+1</f>
        <v>628</v>
      </c>
      <c r="H69" s="12">
        <f>68-1-25</f>
        <v>42</v>
      </c>
      <c r="I69" s="12"/>
    </row>
    <row r="70" spans="1:9" x14ac:dyDescent="0.2">
      <c r="A70" s="10">
        <f t="shared" si="2"/>
        <v>60</v>
      </c>
      <c r="B70" s="11" t="s">
        <v>114</v>
      </c>
      <c r="C70" s="12">
        <f t="shared" si="0"/>
        <v>14189</v>
      </c>
      <c r="D70" s="12">
        <v>442</v>
      </c>
      <c r="E70" s="12"/>
      <c r="F70" s="12">
        <f>13693+141-90+3</f>
        <v>13747</v>
      </c>
      <c r="G70" s="12">
        <f>652+3</f>
        <v>655</v>
      </c>
      <c r="H70" s="12"/>
      <c r="I70" s="12"/>
    </row>
    <row r="71" spans="1:9" x14ac:dyDescent="0.2">
      <c r="A71" s="10">
        <f t="shared" si="2"/>
        <v>61</v>
      </c>
      <c r="B71" s="11" t="s">
        <v>36</v>
      </c>
      <c r="C71" s="12">
        <f t="shared" si="0"/>
        <v>13702</v>
      </c>
      <c r="D71" s="12">
        <f>490+175+4+74</f>
        <v>743</v>
      </c>
      <c r="E71" s="12"/>
      <c r="F71" s="12">
        <f>13021-4-74+21+1-6</f>
        <v>12959</v>
      </c>
      <c r="G71" s="12">
        <f>1300+1</f>
        <v>1301</v>
      </c>
      <c r="H71" s="12">
        <f>335+6-6</f>
        <v>335</v>
      </c>
      <c r="I71" s="12"/>
    </row>
    <row r="72" spans="1:9" ht="14.25" customHeight="1" x14ac:dyDescent="0.2">
      <c r="A72" s="10">
        <f t="shared" si="2"/>
        <v>62</v>
      </c>
      <c r="B72" s="11" t="s">
        <v>115</v>
      </c>
      <c r="C72" s="12">
        <f t="shared" ref="C72:C111" si="3">D72+F72+I72</f>
        <v>9322</v>
      </c>
      <c r="D72" s="12">
        <v>20</v>
      </c>
      <c r="E72" s="12"/>
      <c r="F72" s="12">
        <f>9282+20</f>
        <v>9302</v>
      </c>
      <c r="G72" s="12"/>
      <c r="H72" s="12"/>
      <c r="I72" s="12"/>
    </row>
    <row r="73" spans="1:9" x14ac:dyDescent="0.2">
      <c r="A73" s="10">
        <f t="shared" si="2"/>
        <v>63</v>
      </c>
      <c r="B73" s="11" t="s">
        <v>22</v>
      </c>
      <c r="C73" s="12">
        <f t="shared" si="3"/>
        <v>21117</v>
      </c>
      <c r="D73" s="12">
        <f>1593-24</f>
        <v>1569</v>
      </c>
      <c r="E73" s="12">
        <f>150-5</f>
        <v>145</v>
      </c>
      <c r="F73" s="12">
        <f>19927+24-300-88+2-17</f>
        <v>19548</v>
      </c>
      <c r="G73" s="12">
        <f>623+2</f>
        <v>625</v>
      </c>
      <c r="H73" s="12">
        <f>3422-400-17</f>
        <v>3005</v>
      </c>
      <c r="I73" s="12"/>
    </row>
    <row r="74" spans="1:9" x14ac:dyDescent="0.2">
      <c r="A74" s="10">
        <f t="shared" si="2"/>
        <v>64</v>
      </c>
      <c r="B74" s="20" t="s">
        <v>199</v>
      </c>
      <c r="C74" s="12">
        <f t="shared" si="3"/>
        <v>2637</v>
      </c>
      <c r="D74" s="12"/>
      <c r="E74" s="12"/>
      <c r="F74" s="12">
        <f>2800-163</f>
        <v>2637</v>
      </c>
      <c r="G74" s="12"/>
      <c r="H74" s="12"/>
      <c r="I74" s="12"/>
    </row>
    <row r="75" spans="1:9" x14ac:dyDescent="0.2">
      <c r="A75" s="10">
        <f t="shared" si="2"/>
        <v>65</v>
      </c>
      <c r="B75" s="11" t="s">
        <v>117</v>
      </c>
      <c r="C75" s="12">
        <f t="shared" si="3"/>
        <v>1995</v>
      </c>
      <c r="D75" s="12"/>
      <c r="E75" s="12"/>
      <c r="F75" s="12">
        <f>2001-6</f>
        <v>1995</v>
      </c>
      <c r="G75" s="12"/>
      <c r="H75" s="12"/>
      <c r="I75" s="12"/>
    </row>
    <row r="76" spans="1:9" x14ac:dyDescent="0.2">
      <c r="A76" s="10">
        <f t="shared" si="2"/>
        <v>66</v>
      </c>
      <c r="B76" s="11" t="s">
        <v>118</v>
      </c>
      <c r="C76" s="12">
        <f t="shared" si="3"/>
        <v>2182</v>
      </c>
      <c r="D76" s="12"/>
      <c r="E76" s="12"/>
      <c r="F76" s="12">
        <f>2278-96</f>
        <v>2182</v>
      </c>
      <c r="G76" s="12"/>
      <c r="H76" s="12"/>
      <c r="I76" s="12"/>
    </row>
    <row r="77" spans="1:9" x14ac:dyDescent="0.2">
      <c r="A77" s="10">
        <f t="shared" si="2"/>
        <v>67</v>
      </c>
      <c r="B77" s="11" t="s">
        <v>30</v>
      </c>
      <c r="C77" s="12">
        <f t="shared" si="3"/>
        <v>5417</v>
      </c>
      <c r="D77" s="12"/>
      <c r="E77" s="12"/>
      <c r="F77" s="12">
        <f>5425-4-4</f>
        <v>5417</v>
      </c>
      <c r="G77" s="12"/>
      <c r="H77" s="12">
        <f>28+2-4</f>
        <v>26</v>
      </c>
      <c r="I77" s="12"/>
    </row>
    <row r="78" spans="1:9" x14ac:dyDescent="0.2">
      <c r="A78" s="10">
        <f t="shared" si="2"/>
        <v>68</v>
      </c>
      <c r="B78" s="11" t="s">
        <v>119</v>
      </c>
      <c r="C78" s="12">
        <f t="shared" si="3"/>
        <v>2766</v>
      </c>
      <c r="D78" s="12"/>
      <c r="E78" s="12"/>
      <c r="F78" s="12">
        <f>2766-2+2</f>
        <v>2766</v>
      </c>
      <c r="G78" s="12"/>
      <c r="H78" s="12">
        <f>3-3+2</f>
        <v>2</v>
      </c>
      <c r="I78" s="12"/>
    </row>
    <row r="79" spans="1:9" x14ac:dyDescent="0.2">
      <c r="A79" s="10">
        <f t="shared" si="2"/>
        <v>69</v>
      </c>
      <c r="B79" s="11" t="s">
        <v>120</v>
      </c>
      <c r="C79" s="12">
        <f t="shared" si="3"/>
        <v>3750</v>
      </c>
      <c r="D79" s="12"/>
      <c r="E79" s="12"/>
      <c r="F79" s="12">
        <f>3741+8+1</f>
        <v>3750</v>
      </c>
      <c r="G79" s="12"/>
      <c r="H79" s="12">
        <f>36+1</f>
        <v>37</v>
      </c>
      <c r="I79" s="12"/>
    </row>
    <row r="80" spans="1:9" x14ac:dyDescent="0.2">
      <c r="A80" s="10">
        <f t="shared" si="2"/>
        <v>70</v>
      </c>
      <c r="B80" s="11" t="s">
        <v>121</v>
      </c>
      <c r="C80" s="12">
        <f t="shared" si="3"/>
        <v>3609</v>
      </c>
      <c r="D80" s="12"/>
      <c r="E80" s="12"/>
      <c r="F80" s="12">
        <f>3599+8+2</f>
        <v>3609</v>
      </c>
      <c r="G80" s="12"/>
      <c r="H80" s="12">
        <f>0+2</f>
        <v>2</v>
      </c>
      <c r="I80" s="12"/>
    </row>
    <row r="81" spans="1:9" x14ac:dyDescent="0.2">
      <c r="A81" s="10">
        <f t="shared" si="2"/>
        <v>71</v>
      </c>
      <c r="B81" s="11" t="s">
        <v>122</v>
      </c>
      <c r="C81" s="12">
        <f t="shared" si="3"/>
        <v>4768</v>
      </c>
      <c r="D81" s="12"/>
      <c r="E81" s="12"/>
      <c r="F81" s="12">
        <f>4766+11-9</f>
        <v>4768</v>
      </c>
      <c r="G81" s="12"/>
      <c r="H81" s="12">
        <f>31+3-9</f>
        <v>25</v>
      </c>
      <c r="I81" s="12"/>
    </row>
    <row r="82" spans="1:9" x14ac:dyDescent="0.2">
      <c r="A82" s="10">
        <f t="shared" si="2"/>
        <v>72</v>
      </c>
      <c r="B82" s="11" t="s">
        <v>123</v>
      </c>
      <c r="C82" s="12">
        <f t="shared" si="3"/>
        <v>1794</v>
      </c>
      <c r="D82" s="12"/>
      <c r="E82" s="12"/>
      <c r="F82" s="12">
        <f>1789+5</f>
        <v>1794</v>
      </c>
      <c r="G82" s="12"/>
      <c r="H82" s="12"/>
      <c r="I82" s="12"/>
    </row>
    <row r="83" spans="1:9" x14ac:dyDescent="0.2">
      <c r="A83" s="10">
        <f t="shared" si="2"/>
        <v>73</v>
      </c>
      <c r="B83" s="11" t="s">
        <v>124</v>
      </c>
      <c r="C83" s="12">
        <f t="shared" si="3"/>
        <v>2589</v>
      </c>
      <c r="D83" s="12"/>
      <c r="E83" s="12"/>
      <c r="F83" s="12">
        <f>2584+6-1</f>
        <v>2589</v>
      </c>
      <c r="G83" s="12"/>
      <c r="H83" s="12">
        <f>19-1</f>
        <v>18</v>
      </c>
      <c r="I83" s="12"/>
    </row>
    <row r="84" spans="1:9" x14ac:dyDescent="0.2">
      <c r="A84" s="10">
        <f t="shared" si="2"/>
        <v>74</v>
      </c>
      <c r="B84" s="11" t="s">
        <v>125</v>
      </c>
      <c r="C84" s="12">
        <f t="shared" si="3"/>
        <v>3673</v>
      </c>
      <c r="D84" s="12"/>
      <c r="E84" s="12"/>
      <c r="F84" s="12">
        <f>3635+78-40</f>
        <v>3673</v>
      </c>
      <c r="G84" s="12"/>
      <c r="H84" s="12">
        <f>145+53-40</f>
        <v>158</v>
      </c>
      <c r="I84" s="12"/>
    </row>
    <row r="85" spans="1:9" x14ac:dyDescent="0.2">
      <c r="A85" s="10">
        <f t="shared" si="2"/>
        <v>75</v>
      </c>
      <c r="B85" s="11" t="s">
        <v>15</v>
      </c>
      <c r="C85" s="12">
        <f t="shared" si="3"/>
        <v>5301</v>
      </c>
      <c r="D85" s="12">
        <f>238+2+2</f>
        <v>242</v>
      </c>
      <c r="E85" s="12"/>
      <c r="F85" s="12">
        <f>4971-2+90-2+2+2-2</f>
        <v>5059</v>
      </c>
      <c r="G85" s="12">
        <f>312+2</f>
        <v>314</v>
      </c>
      <c r="H85" s="12">
        <f>385+9-2</f>
        <v>392</v>
      </c>
      <c r="I85" s="12"/>
    </row>
    <row r="86" spans="1:9" x14ac:dyDescent="0.2">
      <c r="A86" s="10">
        <f t="shared" si="2"/>
        <v>76</v>
      </c>
      <c r="B86" s="11" t="s">
        <v>126</v>
      </c>
      <c r="C86" s="12">
        <f t="shared" si="3"/>
        <v>2084</v>
      </c>
      <c r="D86" s="12"/>
      <c r="E86" s="12"/>
      <c r="F86" s="12">
        <f>2103-15-4</f>
        <v>2084</v>
      </c>
      <c r="G86" s="12"/>
      <c r="H86" s="12">
        <f>8-4</f>
        <v>4</v>
      </c>
      <c r="I86" s="12"/>
    </row>
    <row r="87" spans="1:9" x14ac:dyDescent="0.2">
      <c r="A87" s="10">
        <f t="shared" si="2"/>
        <v>77</v>
      </c>
      <c r="B87" s="11" t="s">
        <v>127</v>
      </c>
      <c r="C87" s="12">
        <f t="shared" si="3"/>
        <v>2980</v>
      </c>
      <c r="D87" s="12"/>
      <c r="E87" s="12"/>
      <c r="F87" s="12">
        <f>3033-53</f>
        <v>2980</v>
      </c>
      <c r="G87" s="12"/>
      <c r="H87" s="12"/>
      <c r="I87" s="12"/>
    </row>
    <row r="88" spans="1:9" x14ac:dyDescent="0.2">
      <c r="A88" s="10">
        <f t="shared" si="2"/>
        <v>78</v>
      </c>
      <c r="B88" s="11" t="s">
        <v>128</v>
      </c>
      <c r="C88" s="12">
        <f t="shared" si="3"/>
        <v>4422</v>
      </c>
      <c r="D88" s="12"/>
      <c r="E88" s="12"/>
      <c r="F88" s="12">
        <f>4426-8+4</f>
        <v>4422</v>
      </c>
      <c r="G88" s="12"/>
      <c r="H88" s="12">
        <f>6-3+4</f>
        <v>7</v>
      </c>
      <c r="I88" s="12"/>
    </row>
    <row r="89" spans="1:9" x14ac:dyDescent="0.2">
      <c r="A89" s="10">
        <f t="shared" si="2"/>
        <v>79</v>
      </c>
      <c r="B89" s="11" t="s">
        <v>129</v>
      </c>
      <c r="C89" s="12">
        <f t="shared" si="3"/>
        <v>2248</v>
      </c>
      <c r="D89" s="12"/>
      <c r="E89" s="12"/>
      <c r="F89" s="12">
        <f>2244+4</f>
        <v>2248</v>
      </c>
      <c r="G89" s="12"/>
      <c r="H89" s="12"/>
      <c r="I89" s="12"/>
    </row>
    <row r="90" spans="1:9" ht="16.5" customHeight="1" x14ac:dyDescent="0.2">
      <c r="A90" s="10">
        <f t="shared" si="2"/>
        <v>80</v>
      </c>
      <c r="B90" s="17" t="s">
        <v>200</v>
      </c>
      <c r="C90" s="12">
        <f t="shared" si="3"/>
        <v>7642</v>
      </c>
      <c r="D90" s="12"/>
      <c r="E90" s="12"/>
      <c r="F90" s="12">
        <f>7611+30-1+2</f>
        <v>7642</v>
      </c>
      <c r="G90" s="12">
        <f>522+2</f>
        <v>524</v>
      </c>
      <c r="H90" s="12">
        <f>0+1</f>
        <v>1</v>
      </c>
      <c r="I90" s="12"/>
    </row>
    <row r="91" spans="1:9" x14ac:dyDescent="0.2">
      <c r="A91" s="10">
        <f t="shared" si="2"/>
        <v>81</v>
      </c>
      <c r="B91" s="11" t="s">
        <v>201</v>
      </c>
      <c r="C91" s="12">
        <f t="shared" si="3"/>
        <v>329</v>
      </c>
      <c r="D91" s="12">
        <f>240</f>
        <v>240</v>
      </c>
      <c r="E91" s="12"/>
      <c r="F91" s="12">
        <f>59+30</f>
        <v>89</v>
      </c>
      <c r="G91" s="12"/>
      <c r="H91" s="12"/>
      <c r="I91" s="12"/>
    </row>
    <row r="92" spans="1:9" x14ac:dyDescent="0.2">
      <c r="A92" s="10">
        <f t="shared" si="2"/>
        <v>82</v>
      </c>
      <c r="B92" s="11" t="s">
        <v>202</v>
      </c>
      <c r="C92" s="12">
        <f t="shared" si="3"/>
        <v>17</v>
      </c>
      <c r="D92" s="12"/>
      <c r="E92" s="12"/>
      <c r="F92" s="12">
        <v>17</v>
      </c>
      <c r="G92" s="12"/>
      <c r="H92" s="12"/>
      <c r="I92" s="12"/>
    </row>
    <row r="93" spans="1:9" x14ac:dyDescent="0.2">
      <c r="A93" s="10">
        <f t="shared" si="2"/>
        <v>83</v>
      </c>
      <c r="B93" s="21" t="s">
        <v>132</v>
      </c>
      <c r="C93" s="12">
        <f t="shared" si="3"/>
        <v>17</v>
      </c>
      <c r="D93" s="12"/>
      <c r="E93" s="12"/>
      <c r="F93" s="12">
        <v>17</v>
      </c>
      <c r="G93" s="12"/>
      <c r="H93" s="12"/>
      <c r="I93" s="12"/>
    </row>
    <row r="94" spans="1:9" ht="15" customHeight="1" x14ac:dyDescent="0.2">
      <c r="A94" s="10">
        <f t="shared" si="2"/>
        <v>84</v>
      </c>
      <c r="B94" s="22" t="s">
        <v>203</v>
      </c>
      <c r="C94" s="12">
        <f t="shared" si="3"/>
        <v>3693</v>
      </c>
      <c r="D94" s="12"/>
      <c r="E94" s="12"/>
      <c r="F94" s="12"/>
      <c r="G94" s="12"/>
      <c r="H94" s="12"/>
      <c r="I94" s="12">
        <f>4135-150-292</f>
        <v>3693</v>
      </c>
    </row>
    <row r="95" spans="1:9" x14ac:dyDescent="0.2">
      <c r="A95" s="10">
        <f t="shared" si="2"/>
        <v>85</v>
      </c>
      <c r="B95" s="20" t="s">
        <v>204</v>
      </c>
      <c r="C95" s="12">
        <f t="shared" si="3"/>
        <v>1942</v>
      </c>
      <c r="D95" s="12"/>
      <c r="E95" s="12"/>
      <c r="F95" s="12"/>
      <c r="G95" s="12"/>
      <c r="H95" s="12"/>
      <c r="I95" s="12">
        <f>1500+150+292</f>
        <v>1942</v>
      </c>
    </row>
    <row r="96" spans="1:9" x14ac:dyDescent="0.2">
      <c r="A96" s="10">
        <f t="shared" si="2"/>
        <v>86</v>
      </c>
      <c r="B96" s="11" t="s">
        <v>205</v>
      </c>
      <c r="C96" s="12">
        <f t="shared" si="3"/>
        <v>17</v>
      </c>
      <c r="D96" s="12"/>
      <c r="E96" s="12"/>
      <c r="F96" s="12">
        <v>17</v>
      </c>
      <c r="G96" s="12"/>
      <c r="H96" s="12"/>
      <c r="I96" s="12"/>
    </row>
    <row r="97" spans="1:9" x14ac:dyDescent="0.2">
      <c r="A97" s="10">
        <f t="shared" si="2"/>
        <v>87</v>
      </c>
      <c r="B97" s="28" t="s">
        <v>206</v>
      </c>
      <c r="C97" s="12">
        <f t="shared" si="3"/>
        <v>27357</v>
      </c>
      <c r="D97" s="12">
        <f>2434-45+10+7+14+5+1</f>
        <v>2426</v>
      </c>
      <c r="E97" s="12">
        <v>97</v>
      </c>
      <c r="F97" s="12">
        <f>24889+45-10+20-7-14-5-1+96-80-3+1</f>
        <v>24931</v>
      </c>
      <c r="G97" s="12">
        <f>831+96-3</f>
        <v>924</v>
      </c>
      <c r="H97" s="12">
        <f>603+29+1</f>
        <v>633</v>
      </c>
      <c r="I97" s="12"/>
    </row>
    <row r="98" spans="1:9" x14ac:dyDescent="0.2">
      <c r="A98" s="10">
        <f t="shared" si="2"/>
        <v>88</v>
      </c>
      <c r="B98" s="28" t="s">
        <v>183</v>
      </c>
      <c r="C98" s="12">
        <f t="shared" si="3"/>
        <v>21442</v>
      </c>
      <c r="D98" s="12">
        <f>1224+1</f>
        <v>1225</v>
      </c>
      <c r="E98" s="12">
        <f>1224+1</f>
        <v>1225</v>
      </c>
      <c r="F98" s="12">
        <f>18426+777+182-1+763+73-3</f>
        <v>20217</v>
      </c>
      <c r="G98" s="12"/>
      <c r="H98" s="12">
        <f>16955+182+787-3</f>
        <v>17921</v>
      </c>
      <c r="I98" s="12"/>
    </row>
    <row r="99" spans="1:9" x14ac:dyDescent="0.2">
      <c r="A99" s="10">
        <f t="shared" si="2"/>
        <v>89</v>
      </c>
      <c r="B99" s="22" t="s">
        <v>24</v>
      </c>
      <c r="C99" s="12">
        <f t="shared" si="3"/>
        <v>12347</v>
      </c>
      <c r="D99" s="12">
        <f>3088+230+9</f>
        <v>3327</v>
      </c>
      <c r="E99" s="12"/>
      <c r="F99" s="12">
        <f>8498+500+20+2</f>
        <v>9020</v>
      </c>
      <c r="G99" s="12">
        <f>624+2</f>
        <v>626</v>
      </c>
      <c r="H99" s="12"/>
      <c r="I99" s="12"/>
    </row>
    <row r="100" spans="1:9" x14ac:dyDescent="0.2">
      <c r="A100" s="10">
        <f t="shared" si="2"/>
        <v>90</v>
      </c>
      <c r="B100" s="22" t="s">
        <v>207</v>
      </c>
      <c r="C100" s="12">
        <f t="shared" si="3"/>
        <v>15860</v>
      </c>
      <c r="D100" s="12">
        <f>927+18-6+4-35</f>
        <v>908</v>
      </c>
      <c r="E100" s="12">
        <f>105+1</f>
        <v>106</v>
      </c>
      <c r="F100" s="12">
        <f>17517-535-1450-141-18+6-4-322-6-95</f>
        <v>14952</v>
      </c>
      <c r="G100" s="12">
        <f>296+4-60-6</f>
        <v>234</v>
      </c>
      <c r="H100" s="12">
        <f>434+88-95</f>
        <v>427</v>
      </c>
      <c r="I100" s="12"/>
    </row>
    <row r="101" spans="1:9" x14ac:dyDescent="0.2">
      <c r="A101" s="10">
        <f t="shared" si="2"/>
        <v>91</v>
      </c>
      <c r="B101" s="22" t="s">
        <v>137</v>
      </c>
      <c r="C101" s="12">
        <f t="shared" si="3"/>
        <v>12074</v>
      </c>
      <c r="D101" s="12">
        <f>2424-1</f>
        <v>2423</v>
      </c>
      <c r="E101" s="12"/>
      <c r="F101" s="12">
        <f>9822-195+24</f>
        <v>9651</v>
      </c>
      <c r="G101" s="12"/>
      <c r="H101" s="12"/>
      <c r="I101" s="12"/>
    </row>
    <row r="102" spans="1:9" x14ac:dyDescent="0.2">
      <c r="A102" s="10">
        <f t="shared" si="2"/>
        <v>92</v>
      </c>
      <c r="B102" s="22" t="s">
        <v>138</v>
      </c>
      <c r="C102" s="12">
        <f t="shared" si="3"/>
        <v>5369</v>
      </c>
      <c r="D102" s="12">
        <v>52</v>
      </c>
      <c r="E102" s="12"/>
      <c r="F102" s="12">
        <f>5314+3</f>
        <v>5317</v>
      </c>
      <c r="G102" s="12"/>
      <c r="H102" s="12"/>
      <c r="I102" s="12"/>
    </row>
    <row r="103" spans="1:9" x14ac:dyDescent="0.2">
      <c r="A103" s="10">
        <f t="shared" si="2"/>
        <v>93</v>
      </c>
      <c r="B103" s="22" t="s">
        <v>26</v>
      </c>
      <c r="C103" s="12">
        <f t="shared" si="3"/>
        <v>22794</v>
      </c>
      <c r="D103" s="12">
        <f>660-13-25+1</f>
        <v>623</v>
      </c>
      <c r="E103" s="12"/>
      <c r="F103" s="12">
        <f>22254+13+25-121</f>
        <v>22171</v>
      </c>
      <c r="G103" s="12"/>
      <c r="H103" s="12"/>
      <c r="I103" s="12"/>
    </row>
    <row r="104" spans="1:9" x14ac:dyDescent="0.2">
      <c r="A104" s="10">
        <f t="shared" si="2"/>
        <v>94</v>
      </c>
      <c r="B104" s="23" t="s">
        <v>27</v>
      </c>
      <c r="C104" s="12">
        <f t="shared" si="3"/>
        <v>5425</v>
      </c>
      <c r="D104" s="12">
        <v>216</v>
      </c>
      <c r="E104" s="12"/>
      <c r="F104" s="12">
        <f>5208-4+5</f>
        <v>5209</v>
      </c>
      <c r="G104" s="12">
        <f>1350+5</f>
        <v>1355</v>
      </c>
      <c r="H104" s="12"/>
      <c r="I104" s="12"/>
    </row>
    <row r="105" spans="1:9" x14ac:dyDescent="0.2">
      <c r="A105" s="10">
        <f t="shared" si="2"/>
        <v>95</v>
      </c>
      <c r="B105" s="23" t="s">
        <v>28</v>
      </c>
      <c r="C105" s="12">
        <f t="shared" si="3"/>
        <v>24956</v>
      </c>
      <c r="D105" s="12">
        <f>1101-2-5+2</f>
        <v>1096</v>
      </c>
      <c r="E105" s="12">
        <v>0</v>
      </c>
      <c r="F105" s="12">
        <f>23505+10+2+500-17+65-105-99+2-3</f>
        <v>23860</v>
      </c>
      <c r="G105" s="12">
        <f>1246+65+2</f>
        <v>1313</v>
      </c>
      <c r="H105" s="12">
        <f>329-105-3</f>
        <v>221</v>
      </c>
      <c r="I105" s="12"/>
    </row>
    <row r="106" spans="1:9" x14ac:dyDescent="0.2">
      <c r="A106" s="180">
        <f t="shared" si="2"/>
        <v>96</v>
      </c>
      <c r="B106" s="23" t="s">
        <v>29</v>
      </c>
      <c r="C106" s="12">
        <f>D106+F106+I106</f>
        <v>22389</v>
      </c>
      <c r="D106" s="12">
        <f>1254-29-8-4+1</f>
        <v>1214</v>
      </c>
      <c r="E106" s="12"/>
      <c r="F106" s="12">
        <f>21126-4+29+8+4+95-1+48-1-53+1-77</f>
        <v>21175</v>
      </c>
      <c r="G106" s="12">
        <f>800+1</f>
        <v>801</v>
      </c>
      <c r="H106" s="12">
        <f>1198+22-77</f>
        <v>1143</v>
      </c>
      <c r="I106" s="12"/>
    </row>
    <row r="107" spans="1:9" s="16" customFormat="1" ht="25.5" x14ac:dyDescent="0.2">
      <c r="A107" s="187"/>
      <c r="B107" s="15" t="s">
        <v>208</v>
      </c>
      <c r="C107" s="12">
        <f t="shared" si="3"/>
        <v>2163</v>
      </c>
      <c r="D107" s="14"/>
      <c r="E107" s="14"/>
      <c r="F107" s="14">
        <f>2258-95</f>
        <v>2163</v>
      </c>
      <c r="G107" s="14"/>
      <c r="H107" s="14"/>
      <c r="I107" s="14"/>
    </row>
    <row r="108" spans="1:9" x14ac:dyDescent="0.2">
      <c r="A108" s="10">
        <f>A106+1</f>
        <v>97</v>
      </c>
      <c r="B108" s="23" t="s">
        <v>209</v>
      </c>
      <c r="C108" s="12">
        <f t="shared" si="3"/>
        <v>15872</v>
      </c>
      <c r="D108" s="12"/>
      <c r="E108" s="12"/>
      <c r="F108" s="12">
        <f>15841+31</f>
        <v>15872</v>
      </c>
      <c r="G108" s="12"/>
      <c r="H108" s="12"/>
      <c r="I108" s="12"/>
    </row>
    <row r="109" spans="1:9" ht="14.25" customHeight="1" x14ac:dyDescent="0.2">
      <c r="A109" s="10">
        <v>98</v>
      </c>
      <c r="B109" s="24" t="s">
        <v>210</v>
      </c>
      <c r="C109" s="12">
        <f t="shared" si="3"/>
        <v>792</v>
      </c>
      <c r="D109" s="12"/>
      <c r="E109" s="12"/>
      <c r="F109" s="12">
        <v>792</v>
      </c>
      <c r="G109" s="12"/>
      <c r="H109" s="12"/>
      <c r="I109" s="12"/>
    </row>
    <row r="110" spans="1:9" x14ac:dyDescent="0.2">
      <c r="A110" s="10">
        <v>99</v>
      </c>
      <c r="B110" s="22" t="s">
        <v>211</v>
      </c>
      <c r="C110" s="12">
        <f t="shared" si="3"/>
        <v>1011</v>
      </c>
      <c r="D110" s="12">
        <v>300</v>
      </c>
      <c r="E110" s="12"/>
      <c r="F110" s="12">
        <f>710+1</f>
        <v>711</v>
      </c>
      <c r="G110" s="12"/>
      <c r="H110" s="12">
        <f>0+1</f>
        <v>1</v>
      </c>
      <c r="I110" s="12"/>
    </row>
    <row r="111" spans="1:9" x14ac:dyDescent="0.2">
      <c r="A111" s="10"/>
      <c r="B111" s="29" t="s">
        <v>212</v>
      </c>
      <c r="C111" s="12">
        <f t="shared" si="3"/>
        <v>17604</v>
      </c>
      <c r="D111" s="12">
        <f>133-133</f>
        <v>0</v>
      </c>
      <c r="E111" s="12"/>
      <c r="F111" s="30">
        <f>15947-230-459+113-31+120+2144</f>
        <v>17604</v>
      </c>
      <c r="G111" s="12">
        <f>113-82</f>
        <v>31</v>
      </c>
      <c r="H111" s="12">
        <f>1080+120</f>
        <v>1200</v>
      </c>
      <c r="I111" s="12"/>
    </row>
    <row r="112" spans="1:9" x14ac:dyDescent="0.2">
      <c r="A112" s="25"/>
      <c r="B112" s="26" t="s">
        <v>149</v>
      </c>
      <c r="C112" s="27">
        <f t="shared" ref="C112:I112" si="4">SUM(C6:C111)</f>
        <v>713446</v>
      </c>
      <c r="D112" s="27">
        <f t="shared" si="4"/>
        <v>18821</v>
      </c>
      <c r="E112" s="27">
        <f t="shared" si="4"/>
        <v>1633</v>
      </c>
      <c r="F112" s="27">
        <f t="shared" si="4"/>
        <v>688990</v>
      </c>
      <c r="G112" s="27">
        <f t="shared" si="4"/>
        <v>13100</v>
      </c>
      <c r="H112" s="27">
        <f t="shared" si="4"/>
        <v>35657</v>
      </c>
      <c r="I112" s="27">
        <f t="shared" si="4"/>
        <v>5635</v>
      </c>
    </row>
  </sheetData>
  <mergeCells count="14">
    <mergeCell ref="A1:I1"/>
    <mergeCell ref="F2:I2"/>
    <mergeCell ref="A3:A4"/>
    <mergeCell ref="B3:B4"/>
    <mergeCell ref="C3:C4"/>
    <mergeCell ref="D3:D4"/>
    <mergeCell ref="F3:F4"/>
    <mergeCell ref="G3:H3"/>
    <mergeCell ref="I3:I4"/>
    <mergeCell ref="A8:A9"/>
    <mergeCell ref="A31:A32"/>
    <mergeCell ref="A36:A38"/>
    <mergeCell ref="A40:A41"/>
    <mergeCell ref="A106:A107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zoomScaleSheetLayoutView="70" workbookViewId="0">
      <pane xSplit="1" ySplit="2" topLeftCell="D66" activePane="bottomRight" state="frozen"/>
      <selection activeCell="AT82" sqref="AT82"/>
      <selection pane="topRight" activeCell="AT82" sqref="AT82"/>
      <selection pane="bottomLeft" activeCell="AT82" sqref="AT82"/>
      <selection pane="bottomRight" activeCell="P85" sqref="P85"/>
    </sheetView>
  </sheetViews>
  <sheetFormatPr defaultRowHeight="12.75" x14ac:dyDescent="0.2"/>
  <cols>
    <col min="1" max="1" width="32.42578125" style="3" customWidth="1"/>
    <col min="2" max="6" width="5.5703125" style="2" customWidth="1"/>
    <col min="7" max="7" width="5.5703125" style="3" customWidth="1"/>
    <col min="8" max="10" width="5.5703125" style="2" customWidth="1"/>
    <col min="11" max="14" width="5.5703125" style="3" customWidth="1"/>
    <col min="15" max="16" width="5.5703125" style="2" customWidth="1"/>
    <col min="17" max="17" width="5.5703125" style="3" customWidth="1"/>
    <col min="18" max="18" width="5.5703125" style="2" customWidth="1"/>
    <col min="19" max="21" width="5.5703125" style="3" customWidth="1"/>
    <col min="22" max="25" width="5.5703125" style="2" customWidth="1"/>
    <col min="26" max="27" width="5.5703125" style="3" customWidth="1"/>
    <col min="28" max="28" width="5.5703125" style="2" customWidth="1"/>
    <col min="29" max="16384" width="9.140625" style="3"/>
  </cols>
  <sheetData>
    <row r="1" spans="1:28" s="104" customFormat="1" ht="17.25" customHeight="1" x14ac:dyDescent="0.25">
      <c r="A1" s="197" t="s">
        <v>213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8" s="31" customFormat="1" ht="122.25" customHeight="1" x14ac:dyDescent="0.2">
      <c r="A2" s="55" t="s">
        <v>214</v>
      </c>
      <c r="B2" s="105" t="s">
        <v>206</v>
      </c>
      <c r="C2" s="105" t="s">
        <v>23</v>
      </c>
      <c r="D2" s="105" t="s">
        <v>24</v>
      </c>
      <c r="E2" s="105" t="s">
        <v>25</v>
      </c>
      <c r="F2" s="105" t="s">
        <v>215</v>
      </c>
      <c r="G2" s="105" t="s">
        <v>216</v>
      </c>
      <c r="H2" s="105" t="s">
        <v>27</v>
      </c>
      <c r="I2" s="105" t="s">
        <v>28</v>
      </c>
      <c r="J2" s="105" t="s">
        <v>217</v>
      </c>
      <c r="K2" s="105" t="s">
        <v>218</v>
      </c>
      <c r="L2" s="105" t="s">
        <v>219</v>
      </c>
      <c r="M2" s="105" t="s">
        <v>220</v>
      </c>
      <c r="N2" s="105" t="s">
        <v>221</v>
      </c>
      <c r="O2" s="105" t="s">
        <v>222</v>
      </c>
      <c r="P2" s="105" t="s">
        <v>223</v>
      </c>
      <c r="Q2" s="105" t="s">
        <v>224</v>
      </c>
      <c r="R2" s="105" t="s">
        <v>15</v>
      </c>
      <c r="S2" s="105" t="s">
        <v>225</v>
      </c>
      <c r="T2" s="105" t="s">
        <v>166</v>
      </c>
      <c r="U2" s="105" t="s">
        <v>167</v>
      </c>
      <c r="V2" s="105" t="s">
        <v>226</v>
      </c>
      <c r="W2" s="105" t="s">
        <v>227</v>
      </c>
      <c r="X2" s="105" t="s">
        <v>228</v>
      </c>
      <c r="Y2" s="105" t="s">
        <v>22</v>
      </c>
      <c r="Z2" s="105" t="s">
        <v>229</v>
      </c>
      <c r="AA2" s="105" t="s">
        <v>230</v>
      </c>
      <c r="AB2" s="105" t="s">
        <v>231</v>
      </c>
    </row>
    <row r="3" spans="1:28" s="31" customFormat="1" ht="11.25" customHeight="1" x14ac:dyDescent="0.2">
      <c r="A3" s="32">
        <v>1</v>
      </c>
      <c r="B3" s="32">
        <v>2</v>
      </c>
      <c r="C3" s="32">
        <v>3</v>
      </c>
      <c r="D3" s="32">
        <v>4</v>
      </c>
      <c r="E3" s="32">
        <v>5</v>
      </c>
      <c r="F3" s="32">
        <v>6</v>
      </c>
      <c r="G3" s="32">
        <v>7</v>
      </c>
      <c r="H3" s="32">
        <v>8</v>
      </c>
      <c r="I3" s="32">
        <v>9</v>
      </c>
      <c r="J3" s="32">
        <v>10</v>
      </c>
      <c r="K3" s="32">
        <v>11</v>
      </c>
      <c r="L3" s="32">
        <v>12</v>
      </c>
      <c r="M3" s="32">
        <v>13</v>
      </c>
      <c r="N3" s="32">
        <v>14</v>
      </c>
      <c r="O3" s="32">
        <v>15</v>
      </c>
      <c r="P3" s="32">
        <v>16</v>
      </c>
      <c r="Q3" s="32">
        <v>17</v>
      </c>
      <c r="R3" s="32">
        <v>18</v>
      </c>
      <c r="S3" s="32">
        <v>19</v>
      </c>
      <c r="T3" s="32">
        <v>20</v>
      </c>
      <c r="U3" s="32">
        <v>21</v>
      </c>
      <c r="V3" s="32">
        <v>22</v>
      </c>
      <c r="W3" s="32">
        <v>23</v>
      </c>
      <c r="X3" s="32">
        <v>24</v>
      </c>
      <c r="Y3" s="32">
        <v>25</v>
      </c>
      <c r="Z3" s="32">
        <v>26</v>
      </c>
      <c r="AA3" s="32">
        <v>27</v>
      </c>
      <c r="AB3" s="32">
        <v>28</v>
      </c>
    </row>
    <row r="4" spans="1:28" s="53" customFormat="1" ht="16.5" customHeight="1" x14ac:dyDescent="0.2">
      <c r="A4" s="51" t="s">
        <v>232</v>
      </c>
      <c r="B4" s="52">
        <f t="shared" ref="B4:AB4" si="0">B5+B6</f>
        <v>132</v>
      </c>
      <c r="C4" s="52">
        <f t="shared" si="0"/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  <c r="I4" s="52">
        <f t="shared" si="0"/>
        <v>0</v>
      </c>
      <c r="J4" s="52">
        <f t="shared" si="0"/>
        <v>57</v>
      </c>
      <c r="K4" s="52">
        <f t="shared" si="0"/>
        <v>0</v>
      </c>
      <c r="L4" s="52">
        <f t="shared" si="0"/>
        <v>0</v>
      </c>
      <c r="M4" s="52">
        <f t="shared" si="0"/>
        <v>0</v>
      </c>
      <c r="N4" s="52">
        <f t="shared" si="0"/>
        <v>0</v>
      </c>
      <c r="O4" s="52">
        <f t="shared" si="0"/>
        <v>0</v>
      </c>
      <c r="P4" s="52">
        <f t="shared" si="0"/>
        <v>0</v>
      </c>
      <c r="Q4" s="52">
        <f t="shared" si="0"/>
        <v>0</v>
      </c>
      <c r="R4" s="52">
        <f t="shared" si="0"/>
        <v>0</v>
      </c>
      <c r="S4" s="52">
        <f t="shared" si="0"/>
        <v>0</v>
      </c>
      <c r="T4" s="52">
        <f t="shared" si="0"/>
        <v>0</v>
      </c>
      <c r="U4" s="52">
        <f t="shared" si="0"/>
        <v>0</v>
      </c>
      <c r="V4" s="52">
        <f t="shared" si="0"/>
        <v>0</v>
      </c>
      <c r="W4" s="52">
        <f t="shared" si="0"/>
        <v>0</v>
      </c>
      <c r="X4" s="52">
        <f t="shared" si="0"/>
        <v>20</v>
      </c>
      <c r="Y4" s="52">
        <f t="shared" si="0"/>
        <v>40</v>
      </c>
      <c r="Z4" s="52">
        <f t="shared" si="0"/>
        <v>249</v>
      </c>
      <c r="AA4" s="52">
        <f t="shared" si="0"/>
        <v>0</v>
      </c>
      <c r="AB4" s="52">
        <f t="shared" si="0"/>
        <v>249</v>
      </c>
    </row>
    <row r="5" spans="1:28" s="31" customFormat="1" ht="16.5" customHeight="1" x14ac:dyDescent="0.2">
      <c r="A5" s="33">
        <v>1</v>
      </c>
      <c r="B5" s="34">
        <f>120-5+12</f>
        <v>127</v>
      </c>
      <c r="C5" s="34"/>
      <c r="D5" s="34"/>
      <c r="E5" s="34"/>
      <c r="F5" s="35"/>
      <c r="G5" s="34"/>
      <c r="H5" s="34"/>
      <c r="I5" s="34"/>
      <c r="J5" s="34">
        <f>60-4+1</f>
        <v>57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34"/>
      <c r="W5" s="34"/>
      <c r="X5" s="34">
        <f>15+5</f>
        <v>20</v>
      </c>
      <c r="Y5" s="34">
        <v>30</v>
      </c>
      <c r="Z5" s="34">
        <f>I5+K5+U5+Q5+M5+N5+O5+P5+J5+V5+R5+T5+W5+L5+X5+G5+B5+H5+C5+D5+F5+E5+Y5+S5</f>
        <v>234</v>
      </c>
      <c r="AA5" s="50"/>
      <c r="AB5" s="54">
        <f>Z5+AA5</f>
        <v>234</v>
      </c>
    </row>
    <row r="6" spans="1:28" s="31" customFormat="1" ht="16.5" customHeight="1" x14ac:dyDescent="0.2">
      <c r="A6" s="36">
        <v>2</v>
      </c>
      <c r="B6" s="37">
        <f>0+5</f>
        <v>5</v>
      </c>
      <c r="C6" s="37"/>
      <c r="D6" s="37"/>
      <c r="E6" s="37"/>
      <c r="F6" s="38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4"/>
      <c r="T6" s="34"/>
      <c r="U6" s="35"/>
      <c r="V6" s="37"/>
      <c r="W6" s="37"/>
      <c r="X6" s="34">
        <f>5-5</f>
        <v>0</v>
      </c>
      <c r="Y6" s="37">
        <v>10</v>
      </c>
      <c r="Z6" s="34">
        <f>I6+K6+U6+Q6+M6+N6+O6+P6+J6+V6+R6+T6+W6+L6+X6+G6+B6+H6+C6+D6+F6+E6+Y6+S6</f>
        <v>15</v>
      </c>
      <c r="AA6" s="50"/>
      <c r="AB6" s="54">
        <f>Z6+AA6</f>
        <v>15</v>
      </c>
    </row>
    <row r="7" spans="1:28" s="53" customFormat="1" ht="16.5" customHeight="1" x14ac:dyDescent="0.2">
      <c r="A7" s="51" t="s">
        <v>233</v>
      </c>
      <c r="B7" s="52">
        <f t="shared" ref="B7:AB7" si="1">B8+B9</f>
        <v>357</v>
      </c>
      <c r="C7" s="52">
        <f t="shared" si="1"/>
        <v>0</v>
      </c>
      <c r="D7" s="52">
        <f t="shared" si="1"/>
        <v>0</v>
      </c>
      <c r="E7" s="52">
        <f t="shared" si="1"/>
        <v>27</v>
      </c>
      <c r="F7" s="52">
        <f t="shared" si="1"/>
        <v>207</v>
      </c>
      <c r="G7" s="52">
        <f t="shared" si="1"/>
        <v>0</v>
      </c>
      <c r="H7" s="52">
        <f t="shared" si="1"/>
        <v>0</v>
      </c>
      <c r="I7" s="52">
        <f t="shared" si="1"/>
        <v>0</v>
      </c>
      <c r="J7" s="52">
        <f t="shared" si="1"/>
        <v>47</v>
      </c>
      <c r="K7" s="52">
        <f t="shared" si="1"/>
        <v>0</v>
      </c>
      <c r="L7" s="52">
        <f t="shared" si="1"/>
        <v>0</v>
      </c>
      <c r="M7" s="52">
        <f t="shared" si="1"/>
        <v>0</v>
      </c>
      <c r="N7" s="52">
        <f t="shared" si="1"/>
        <v>0</v>
      </c>
      <c r="O7" s="52">
        <f t="shared" si="1"/>
        <v>0</v>
      </c>
      <c r="P7" s="52">
        <f t="shared" si="1"/>
        <v>180</v>
      </c>
      <c r="Q7" s="52">
        <f t="shared" si="1"/>
        <v>20</v>
      </c>
      <c r="R7" s="52">
        <f t="shared" si="1"/>
        <v>0</v>
      </c>
      <c r="S7" s="52">
        <f t="shared" si="1"/>
        <v>0</v>
      </c>
      <c r="T7" s="52">
        <f t="shared" si="1"/>
        <v>0</v>
      </c>
      <c r="U7" s="52">
        <f t="shared" si="1"/>
        <v>0</v>
      </c>
      <c r="V7" s="52">
        <f t="shared" si="1"/>
        <v>0</v>
      </c>
      <c r="W7" s="52">
        <f t="shared" si="1"/>
        <v>0</v>
      </c>
      <c r="X7" s="52">
        <f t="shared" si="1"/>
        <v>180</v>
      </c>
      <c r="Y7" s="52">
        <f t="shared" si="1"/>
        <v>253</v>
      </c>
      <c r="Z7" s="52">
        <f t="shared" si="1"/>
        <v>1271</v>
      </c>
      <c r="AA7" s="52">
        <f t="shared" si="1"/>
        <v>0</v>
      </c>
      <c r="AB7" s="52">
        <f t="shared" si="1"/>
        <v>1271</v>
      </c>
    </row>
    <row r="8" spans="1:28" s="31" customFormat="1" ht="16.5" customHeight="1" x14ac:dyDescent="0.2">
      <c r="A8" s="36">
        <v>3</v>
      </c>
      <c r="B8" s="34">
        <f>280-25-53+2</f>
        <v>204</v>
      </c>
      <c r="C8" s="34"/>
      <c r="D8" s="34"/>
      <c r="E8" s="34"/>
      <c r="F8" s="37">
        <f>200-22-45</f>
        <v>133</v>
      </c>
      <c r="G8" s="34"/>
      <c r="H8" s="34"/>
      <c r="I8" s="34"/>
      <c r="J8" s="37">
        <f>25-2-12+4</f>
        <v>15</v>
      </c>
      <c r="K8" s="34"/>
      <c r="L8" s="34"/>
      <c r="M8" s="34"/>
      <c r="N8" s="37">
        <v>0</v>
      </c>
      <c r="O8" s="34"/>
      <c r="P8" s="34">
        <v>105</v>
      </c>
      <c r="Q8" s="34">
        <v>20</v>
      </c>
      <c r="R8" s="34"/>
      <c r="S8" s="34"/>
      <c r="T8" s="34"/>
      <c r="U8" s="34"/>
      <c r="V8" s="34"/>
      <c r="W8" s="34"/>
      <c r="X8" s="34">
        <v>150</v>
      </c>
      <c r="Y8" s="34">
        <f>300-47</f>
        <v>253</v>
      </c>
      <c r="Z8" s="34">
        <f>I8+K8+U8+Q8+M8+N8+O8+P8+J8+V8+R8+T8+W8+L8+X8+G8+B8+H8+C8+D8+F8+E8+Y8+S8</f>
        <v>880</v>
      </c>
      <c r="AA8" s="50"/>
      <c r="AB8" s="54">
        <f>Z8+AA8</f>
        <v>880</v>
      </c>
    </row>
    <row r="9" spans="1:28" s="31" customFormat="1" ht="16.5" customHeight="1" x14ac:dyDescent="0.2">
      <c r="A9" s="36">
        <v>4</v>
      </c>
      <c r="B9" s="37">
        <f>120+33</f>
        <v>153</v>
      </c>
      <c r="C9" s="37"/>
      <c r="D9" s="37"/>
      <c r="E9" s="37">
        <f>10+2+7+3+5</f>
        <v>27</v>
      </c>
      <c r="F9" s="37">
        <f>100-11-14-1</f>
        <v>74</v>
      </c>
      <c r="G9" s="39"/>
      <c r="H9" s="37"/>
      <c r="I9" s="37"/>
      <c r="J9" s="37">
        <f>25-2+8+1</f>
        <v>32</v>
      </c>
      <c r="K9" s="34"/>
      <c r="L9" s="39"/>
      <c r="M9" s="39"/>
      <c r="N9" s="37">
        <v>0</v>
      </c>
      <c r="O9" s="37"/>
      <c r="P9" s="37">
        <v>75</v>
      </c>
      <c r="Q9" s="39"/>
      <c r="R9" s="37"/>
      <c r="S9" s="34"/>
      <c r="T9" s="34"/>
      <c r="U9" s="40"/>
      <c r="V9" s="37"/>
      <c r="W9" s="37"/>
      <c r="X9" s="37">
        <v>30</v>
      </c>
      <c r="Y9" s="37"/>
      <c r="Z9" s="34">
        <f>I9+K9+U9+Q9+M9+N9+O9+P9+J9+V9+R9+T9+W9+L9+X9+G9+B9+H9+C9+D9+F9+E9+Y9+S9</f>
        <v>391</v>
      </c>
      <c r="AA9" s="50"/>
      <c r="AB9" s="54">
        <f>Z9+AA9</f>
        <v>391</v>
      </c>
    </row>
    <row r="10" spans="1:28" s="53" customFormat="1" ht="16.5" customHeight="1" x14ac:dyDescent="0.2">
      <c r="A10" s="51" t="s">
        <v>234</v>
      </c>
      <c r="B10" s="52">
        <f t="shared" ref="B10:AB10" si="2">B11</f>
        <v>50</v>
      </c>
      <c r="C10" s="52">
        <f t="shared" si="2"/>
        <v>0</v>
      </c>
      <c r="D10" s="52">
        <f t="shared" si="2"/>
        <v>0</v>
      </c>
      <c r="E10" s="52">
        <f t="shared" si="2"/>
        <v>34</v>
      </c>
      <c r="F10" s="52">
        <f t="shared" si="2"/>
        <v>0</v>
      </c>
      <c r="G10" s="52">
        <f t="shared" si="2"/>
        <v>0</v>
      </c>
      <c r="H10" s="52">
        <f t="shared" si="2"/>
        <v>0</v>
      </c>
      <c r="I10" s="52">
        <f t="shared" si="2"/>
        <v>0</v>
      </c>
      <c r="J10" s="52">
        <f t="shared" si="2"/>
        <v>60</v>
      </c>
      <c r="K10" s="52">
        <f t="shared" si="2"/>
        <v>0</v>
      </c>
      <c r="L10" s="52">
        <f t="shared" si="2"/>
        <v>0</v>
      </c>
      <c r="M10" s="52">
        <f t="shared" si="2"/>
        <v>0</v>
      </c>
      <c r="N10" s="52">
        <f t="shared" si="2"/>
        <v>0</v>
      </c>
      <c r="O10" s="52">
        <f t="shared" si="2"/>
        <v>0</v>
      </c>
      <c r="P10" s="52">
        <f t="shared" si="2"/>
        <v>0</v>
      </c>
      <c r="Q10" s="52">
        <f t="shared" si="2"/>
        <v>0</v>
      </c>
      <c r="R10" s="52">
        <f t="shared" si="2"/>
        <v>0</v>
      </c>
      <c r="S10" s="52">
        <f t="shared" si="2"/>
        <v>0</v>
      </c>
      <c r="T10" s="52">
        <f t="shared" si="2"/>
        <v>0</v>
      </c>
      <c r="U10" s="52">
        <f t="shared" si="2"/>
        <v>0</v>
      </c>
      <c r="V10" s="52">
        <f t="shared" si="2"/>
        <v>0</v>
      </c>
      <c r="W10" s="52">
        <f t="shared" si="2"/>
        <v>0</v>
      </c>
      <c r="X10" s="52">
        <f t="shared" si="2"/>
        <v>0</v>
      </c>
      <c r="Y10" s="52">
        <f t="shared" si="2"/>
        <v>40</v>
      </c>
      <c r="Z10" s="52">
        <f t="shared" si="2"/>
        <v>184</v>
      </c>
      <c r="AA10" s="52">
        <f t="shared" si="2"/>
        <v>0</v>
      </c>
      <c r="AB10" s="52">
        <f t="shared" si="2"/>
        <v>184</v>
      </c>
    </row>
    <row r="11" spans="1:28" s="31" customFormat="1" ht="16.5" customHeight="1" x14ac:dyDescent="0.2">
      <c r="A11" s="36">
        <v>5</v>
      </c>
      <c r="B11" s="37">
        <v>50</v>
      </c>
      <c r="C11" s="37"/>
      <c r="D11" s="37"/>
      <c r="E11" s="34">
        <f>30+2+2</f>
        <v>34</v>
      </c>
      <c r="F11" s="38"/>
      <c r="G11" s="37"/>
      <c r="H11" s="37"/>
      <c r="I11" s="37"/>
      <c r="J11" s="37">
        <v>60</v>
      </c>
      <c r="K11" s="37"/>
      <c r="L11" s="37"/>
      <c r="M11" s="37"/>
      <c r="N11" s="37"/>
      <c r="O11" s="37"/>
      <c r="P11" s="37"/>
      <c r="Q11" s="37"/>
      <c r="R11" s="37"/>
      <c r="S11" s="34"/>
      <c r="T11" s="34"/>
      <c r="U11" s="35"/>
      <c r="V11" s="37"/>
      <c r="W11" s="37"/>
      <c r="X11" s="37"/>
      <c r="Y11" s="37">
        <v>40</v>
      </c>
      <c r="Z11" s="34">
        <f>I11+K11+U11+Q11+M11+N11+O11+P11+J11+V11+R11+T11+W11+L11+X11+G11+B11+H11+C11+D11+F11+E11+Y11+S11</f>
        <v>184</v>
      </c>
      <c r="AA11" s="50"/>
      <c r="AB11" s="54">
        <f>Z11+AA11</f>
        <v>184</v>
      </c>
    </row>
    <row r="12" spans="1:28" s="53" customFormat="1" ht="16.5" customHeight="1" x14ac:dyDescent="0.2">
      <c r="A12" s="51" t="s">
        <v>235</v>
      </c>
      <c r="B12" s="52">
        <f t="shared" ref="B12:AB12" si="3">B13+B14</f>
        <v>20</v>
      </c>
      <c r="C12" s="52">
        <f t="shared" si="3"/>
        <v>0</v>
      </c>
      <c r="D12" s="52">
        <f t="shared" si="3"/>
        <v>0</v>
      </c>
      <c r="E12" s="52">
        <f t="shared" si="3"/>
        <v>18</v>
      </c>
      <c r="F12" s="52">
        <f t="shared" si="3"/>
        <v>0</v>
      </c>
      <c r="G12" s="52">
        <f t="shared" si="3"/>
        <v>0</v>
      </c>
      <c r="H12" s="52">
        <f t="shared" si="3"/>
        <v>0</v>
      </c>
      <c r="I12" s="52">
        <f t="shared" si="3"/>
        <v>0</v>
      </c>
      <c r="J12" s="52">
        <f t="shared" si="3"/>
        <v>0</v>
      </c>
      <c r="K12" s="52">
        <f t="shared" si="3"/>
        <v>0</v>
      </c>
      <c r="L12" s="52">
        <f t="shared" si="3"/>
        <v>0</v>
      </c>
      <c r="M12" s="52">
        <f t="shared" si="3"/>
        <v>0</v>
      </c>
      <c r="N12" s="52">
        <f t="shared" si="3"/>
        <v>16</v>
      </c>
      <c r="O12" s="52">
        <f t="shared" si="3"/>
        <v>0</v>
      </c>
      <c r="P12" s="52">
        <f t="shared" si="3"/>
        <v>0</v>
      </c>
      <c r="Q12" s="52">
        <f t="shared" si="3"/>
        <v>0</v>
      </c>
      <c r="R12" s="52">
        <f t="shared" si="3"/>
        <v>0</v>
      </c>
      <c r="S12" s="52">
        <f t="shared" si="3"/>
        <v>0</v>
      </c>
      <c r="T12" s="52">
        <f t="shared" si="3"/>
        <v>0</v>
      </c>
      <c r="U12" s="52">
        <f t="shared" si="3"/>
        <v>0</v>
      </c>
      <c r="V12" s="52">
        <f t="shared" si="3"/>
        <v>0</v>
      </c>
      <c r="W12" s="52">
        <f t="shared" si="3"/>
        <v>0</v>
      </c>
      <c r="X12" s="52">
        <f t="shared" si="3"/>
        <v>0</v>
      </c>
      <c r="Y12" s="52">
        <f t="shared" si="3"/>
        <v>60</v>
      </c>
      <c r="Z12" s="52">
        <f t="shared" si="3"/>
        <v>114</v>
      </c>
      <c r="AA12" s="52">
        <f t="shared" si="3"/>
        <v>0</v>
      </c>
      <c r="AB12" s="52">
        <f t="shared" si="3"/>
        <v>114</v>
      </c>
    </row>
    <row r="13" spans="1:28" s="31" customFormat="1" ht="16.5" customHeight="1" x14ac:dyDescent="0.2">
      <c r="A13" s="36">
        <v>6</v>
      </c>
      <c r="B13" s="34">
        <f>40-10-10</f>
        <v>20</v>
      </c>
      <c r="C13" s="37"/>
      <c r="D13" s="37"/>
      <c r="E13" s="37">
        <f>25-1-6</f>
        <v>18</v>
      </c>
      <c r="F13" s="38"/>
      <c r="G13" s="37"/>
      <c r="H13" s="37"/>
      <c r="I13" s="37"/>
      <c r="J13" s="37"/>
      <c r="K13" s="37"/>
      <c r="L13" s="37"/>
      <c r="M13" s="37"/>
      <c r="N13" s="37">
        <f>12+4</f>
        <v>16</v>
      </c>
      <c r="O13" s="37"/>
      <c r="P13" s="37"/>
      <c r="Q13" s="37"/>
      <c r="R13" s="37"/>
      <c r="S13" s="34"/>
      <c r="T13" s="34"/>
      <c r="U13" s="35"/>
      <c r="V13" s="37"/>
      <c r="W13" s="37"/>
      <c r="X13" s="37"/>
      <c r="Y13" s="37">
        <v>60</v>
      </c>
      <c r="Z13" s="34">
        <f>I13+K13+U13+Q13+M13+N13+O13+P13+J13+V13+R13+T13+W13+L13+X13+G13+B13+H13+C13+D13+F13+E13+Y13+S13</f>
        <v>114</v>
      </c>
      <c r="AA13" s="50"/>
      <c r="AB13" s="54">
        <f>Z13+AA13</f>
        <v>114</v>
      </c>
    </row>
    <row r="14" spans="1:28" s="31" customFormat="1" ht="16.5" customHeight="1" x14ac:dyDescent="0.2">
      <c r="A14" s="36">
        <v>7</v>
      </c>
      <c r="B14" s="37"/>
      <c r="C14" s="37"/>
      <c r="D14" s="37"/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4"/>
      <c r="T14" s="34"/>
      <c r="U14" s="37"/>
      <c r="V14" s="37"/>
      <c r="W14" s="37"/>
      <c r="X14" s="37"/>
      <c r="Y14" s="37"/>
      <c r="Z14" s="34">
        <f>I14+K14+U14+Q14+M14+N14+O14+P14+J14+V14+R14+T14+W14+L14+X14+G14+B14+H14+C14+D14+F14+E14+Y14+S14</f>
        <v>0</v>
      </c>
      <c r="AA14" s="50"/>
      <c r="AB14" s="54">
        <f>Z14+AA14</f>
        <v>0</v>
      </c>
    </row>
    <row r="15" spans="1:28" s="53" customFormat="1" ht="23.25" customHeight="1" x14ac:dyDescent="0.2">
      <c r="A15" s="51" t="s">
        <v>236</v>
      </c>
      <c r="B15" s="52">
        <f t="shared" ref="B15:AB15" si="4">B16</f>
        <v>0</v>
      </c>
      <c r="C15" s="52">
        <f t="shared" si="4"/>
        <v>0</v>
      </c>
      <c r="D15" s="52">
        <f t="shared" si="4"/>
        <v>0</v>
      </c>
      <c r="E15" s="52">
        <f t="shared" si="4"/>
        <v>4</v>
      </c>
      <c r="F15" s="52">
        <f t="shared" si="4"/>
        <v>0</v>
      </c>
      <c r="G15" s="52">
        <f t="shared" si="4"/>
        <v>0</v>
      </c>
      <c r="H15" s="52">
        <f t="shared" si="4"/>
        <v>0</v>
      </c>
      <c r="I15" s="52">
        <f t="shared" si="4"/>
        <v>0</v>
      </c>
      <c r="J15" s="52">
        <f t="shared" si="4"/>
        <v>0</v>
      </c>
      <c r="K15" s="52">
        <f t="shared" si="4"/>
        <v>0</v>
      </c>
      <c r="L15" s="52">
        <f t="shared" si="4"/>
        <v>0</v>
      </c>
      <c r="M15" s="52">
        <f t="shared" si="4"/>
        <v>0</v>
      </c>
      <c r="N15" s="52">
        <f t="shared" si="4"/>
        <v>0</v>
      </c>
      <c r="O15" s="52">
        <f t="shared" si="4"/>
        <v>0</v>
      </c>
      <c r="P15" s="52">
        <f t="shared" si="4"/>
        <v>0</v>
      </c>
      <c r="Q15" s="52">
        <f t="shared" si="4"/>
        <v>0</v>
      </c>
      <c r="R15" s="52">
        <f t="shared" si="4"/>
        <v>0</v>
      </c>
      <c r="S15" s="52">
        <f t="shared" si="4"/>
        <v>0</v>
      </c>
      <c r="T15" s="52">
        <f t="shared" si="4"/>
        <v>0</v>
      </c>
      <c r="U15" s="52">
        <f t="shared" si="4"/>
        <v>0</v>
      </c>
      <c r="V15" s="52">
        <f t="shared" si="4"/>
        <v>0</v>
      </c>
      <c r="W15" s="52">
        <f t="shared" si="4"/>
        <v>0</v>
      </c>
      <c r="X15" s="52">
        <f t="shared" si="4"/>
        <v>0</v>
      </c>
      <c r="Y15" s="52">
        <f t="shared" si="4"/>
        <v>0</v>
      </c>
      <c r="Z15" s="52">
        <f t="shared" si="4"/>
        <v>4</v>
      </c>
      <c r="AA15" s="52">
        <f t="shared" si="4"/>
        <v>0</v>
      </c>
      <c r="AB15" s="52">
        <f t="shared" si="4"/>
        <v>4</v>
      </c>
    </row>
    <row r="16" spans="1:28" s="31" customFormat="1" ht="16.5" customHeight="1" x14ac:dyDescent="0.2">
      <c r="A16" s="36">
        <v>8</v>
      </c>
      <c r="B16" s="37"/>
      <c r="C16" s="37"/>
      <c r="D16" s="37"/>
      <c r="E16" s="37">
        <f>10-5-1+1-1</f>
        <v>4</v>
      </c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4"/>
      <c r="T16" s="34"/>
      <c r="U16" s="38"/>
      <c r="V16" s="37"/>
      <c r="W16" s="37"/>
      <c r="X16" s="37"/>
      <c r="Y16" s="37"/>
      <c r="Z16" s="34">
        <f>I16+K16+U16+Q16+M16+N16+O16+P16+J16+V16+R16+T16+W16+L16+X16+G16+B16+H16+C16+D16+F16+E16+Y16+S16</f>
        <v>4</v>
      </c>
      <c r="AA16" s="50"/>
      <c r="AB16" s="54">
        <f>Z16+AA16</f>
        <v>4</v>
      </c>
    </row>
    <row r="17" spans="1:28" s="53" customFormat="1" ht="16.5" customHeight="1" x14ac:dyDescent="0.2">
      <c r="A17" s="51" t="s">
        <v>237</v>
      </c>
      <c r="B17" s="52">
        <f t="shared" ref="B17:AB17" si="5">B18</f>
        <v>0</v>
      </c>
      <c r="C17" s="52">
        <f t="shared" si="5"/>
        <v>0</v>
      </c>
      <c r="D17" s="52">
        <f t="shared" si="5"/>
        <v>0</v>
      </c>
      <c r="E17" s="52">
        <f t="shared" si="5"/>
        <v>0</v>
      </c>
      <c r="F17" s="52">
        <f t="shared" si="5"/>
        <v>0</v>
      </c>
      <c r="G17" s="52">
        <f t="shared" si="5"/>
        <v>52</v>
      </c>
      <c r="H17" s="52">
        <f t="shared" si="5"/>
        <v>0</v>
      </c>
      <c r="I17" s="52">
        <f t="shared" si="5"/>
        <v>0</v>
      </c>
      <c r="J17" s="52">
        <f t="shared" si="5"/>
        <v>0</v>
      </c>
      <c r="K17" s="52">
        <f t="shared" si="5"/>
        <v>0</v>
      </c>
      <c r="L17" s="52">
        <f t="shared" si="5"/>
        <v>0</v>
      </c>
      <c r="M17" s="52">
        <f t="shared" si="5"/>
        <v>0</v>
      </c>
      <c r="N17" s="52">
        <f t="shared" si="5"/>
        <v>0</v>
      </c>
      <c r="O17" s="52">
        <f t="shared" si="5"/>
        <v>0</v>
      </c>
      <c r="P17" s="52">
        <f t="shared" si="5"/>
        <v>0</v>
      </c>
      <c r="Q17" s="52">
        <f t="shared" si="5"/>
        <v>0</v>
      </c>
      <c r="R17" s="52">
        <f t="shared" si="5"/>
        <v>0</v>
      </c>
      <c r="S17" s="52">
        <f t="shared" si="5"/>
        <v>0</v>
      </c>
      <c r="T17" s="52">
        <f t="shared" si="5"/>
        <v>0</v>
      </c>
      <c r="U17" s="52">
        <f t="shared" si="5"/>
        <v>0</v>
      </c>
      <c r="V17" s="52">
        <f t="shared" si="5"/>
        <v>0</v>
      </c>
      <c r="W17" s="52">
        <f t="shared" si="5"/>
        <v>0</v>
      </c>
      <c r="X17" s="52">
        <f t="shared" si="5"/>
        <v>0</v>
      </c>
      <c r="Y17" s="52">
        <f t="shared" si="5"/>
        <v>0</v>
      </c>
      <c r="Z17" s="52">
        <f t="shared" si="5"/>
        <v>52</v>
      </c>
      <c r="AA17" s="52">
        <f t="shared" si="5"/>
        <v>0</v>
      </c>
      <c r="AB17" s="52">
        <f t="shared" si="5"/>
        <v>52</v>
      </c>
    </row>
    <row r="18" spans="1:28" s="31" customFormat="1" ht="16.5" customHeight="1" x14ac:dyDescent="0.2">
      <c r="A18" s="36">
        <v>9</v>
      </c>
      <c r="B18" s="37"/>
      <c r="C18" s="37"/>
      <c r="D18" s="37"/>
      <c r="E18" s="37"/>
      <c r="F18" s="38"/>
      <c r="G18" s="37">
        <v>52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4"/>
      <c r="T18" s="34"/>
      <c r="U18" s="35"/>
      <c r="V18" s="37"/>
      <c r="W18" s="37"/>
      <c r="X18" s="37"/>
      <c r="Y18" s="37"/>
      <c r="Z18" s="34">
        <f>I18+K18+U18+Q18+M18+N18+O18+P18+J18+V18+R18+T18+W18+L18+X18+G18+B18+H18+C18+D18+F18+E18+Y18+S18</f>
        <v>52</v>
      </c>
      <c r="AA18" s="50"/>
      <c r="AB18" s="54">
        <f>Z18+AA18</f>
        <v>52</v>
      </c>
    </row>
    <row r="19" spans="1:28" s="53" customFormat="1" ht="16.5" customHeight="1" x14ac:dyDescent="0.2">
      <c r="A19" s="51" t="s">
        <v>238</v>
      </c>
      <c r="B19" s="52">
        <f t="shared" ref="B19:AB19" si="6">B20+B21</f>
        <v>0</v>
      </c>
      <c r="C19" s="52">
        <f t="shared" si="6"/>
        <v>0</v>
      </c>
      <c r="D19" s="52">
        <f t="shared" si="6"/>
        <v>0</v>
      </c>
      <c r="E19" s="52">
        <f t="shared" si="6"/>
        <v>0</v>
      </c>
      <c r="F19" s="52">
        <f t="shared" si="6"/>
        <v>0</v>
      </c>
      <c r="G19" s="52">
        <f t="shared" si="6"/>
        <v>0</v>
      </c>
      <c r="H19" s="52">
        <f t="shared" si="6"/>
        <v>0</v>
      </c>
      <c r="I19" s="52">
        <f t="shared" si="6"/>
        <v>0</v>
      </c>
      <c r="J19" s="52">
        <f t="shared" si="6"/>
        <v>0</v>
      </c>
      <c r="K19" s="52">
        <f t="shared" si="6"/>
        <v>0</v>
      </c>
      <c r="L19" s="52">
        <f t="shared" si="6"/>
        <v>0</v>
      </c>
      <c r="M19" s="52">
        <f t="shared" si="6"/>
        <v>0</v>
      </c>
      <c r="N19" s="52">
        <f t="shared" si="6"/>
        <v>0</v>
      </c>
      <c r="O19" s="52">
        <f t="shared" si="6"/>
        <v>0</v>
      </c>
      <c r="P19" s="52">
        <f t="shared" si="6"/>
        <v>98</v>
      </c>
      <c r="Q19" s="52">
        <f t="shared" si="6"/>
        <v>0</v>
      </c>
      <c r="R19" s="52">
        <f t="shared" si="6"/>
        <v>0</v>
      </c>
      <c r="S19" s="52">
        <f t="shared" si="6"/>
        <v>0</v>
      </c>
      <c r="T19" s="52">
        <f t="shared" si="6"/>
        <v>0</v>
      </c>
      <c r="U19" s="52">
        <f t="shared" si="6"/>
        <v>0</v>
      </c>
      <c r="V19" s="52">
        <f t="shared" si="6"/>
        <v>21</v>
      </c>
      <c r="W19" s="52">
        <f t="shared" si="6"/>
        <v>0</v>
      </c>
      <c r="X19" s="52">
        <f t="shared" si="6"/>
        <v>0</v>
      </c>
      <c r="Y19" s="52">
        <f t="shared" si="6"/>
        <v>0</v>
      </c>
      <c r="Z19" s="52">
        <f t="shared" si="6"/>
        <v>119</v>
      </c>
      <c r="AA19" s="52">
        <f t="shared" si="6"/>
        <v>0</v>
      </c>
      <c r="AB19" s="52">
        <f t="shared" si="6"/>
        <v>119</v>
      </c>
    </row>
    <row r="20" spans="1:28" s="31" customFormat="1" ht="16.5" customHeight="1" x14ac:dyDescent="0.2">
      <c r="A20" s="36">
        <v>10</v>
      </c>
      <c r="B20" s="37"/>
      <c r="C20" s="37"/>
      <c r="D20" s="37"/>
      <c r="E20" s="37"/>
      <c r="F20" s="38"/>
      <c r="G20" s="39"/>
      <c r="H20" s="37"/>
      <c r="I20" s="37"/>
      <c r="J20" s="37"/>
      <c r="K20" s="39"/>
      <c r="L20" s="39"/>
      <c r="M20" s="39"/>
      <c r="N20" s="39"/>
      <c r="O20" s="37"/>
      <c r="P20" s="37">
        <f>90-2</f>
        <v>88</v>
      </c>
      <c r="Q20" s="39"/>
      <c r="R20" s="37"/>
      <c r="S20" s="34"/>
      <c r="T20" s="34"/>
      <c r="U20" s="40"/>
      <c r="V20" s="34">
        <f>15+6</f>
        <v>21</v>
      </c>
      <c r="W20" s="37"/>
      <c r="X20" s="37"/>
      <c r="Y20" s="37"/>
      <c r="Z20" s="34">
        <f>I20+K20+U20+Q20+M20+N20+O20+P20+J20+V20+R20+T20+W20+L20+X20+G20+B20+H20+C20+D20+F20+E20+Y20+S20</f>
        <v>109</v>
      </c>
      <c r="AA20" s="50"/>
      <c r="AB20" s="54">
        <f>Z20+AA20</f>
        <v>109</v>
      </c>
    </row>
    <row r="21" spans="1:28" s="31" customFormat="1" ht="16.5" customHeight="1" x14ac:dyDescent="0.2">
      <c r="A21" s="36">
        <v>11</v>
      </c>
      <c r="B21" s="41"/>
      <c r="C21" s="41"/>
      <c r="D21" s="41"/>
      <c r="E21" s="41"/>
      <c r="F21" s="42"/>
      <c r="G21" s="43"/>
      <c r="H21" s="41"/>
      <c r="I21" s="41"/>
      <c r="J21" s="41"/>
      <c r="K21" s="43"/>
      <c r="L21" s="43"/>
      <c r="M21" s="43"/>
      <c r="N21" s="43"/>
      <c r="O21" s="41"/>
      <c r="P21" s="41">
        <v>10</v>
      </c>
      <c r="Q21" s="43"/>
      <c r="R21" s="41"/>
      <c r="S21" s="34"/>
      <c r="T21" s="37"/>
      <c r="U21" s="44"/>
      <c r="V21" s="34"/>
      <c r="W21" s="41"/>
      <c r="X21" s="41"/>
      <c r="Y21" s="41"/>
      <c r="Z21" s="34">
        <f>I21+K21+U21+Q21+M21+N21+O21+P21+J21+V21+R21+T21+W21+L21+X21+G21+B21+H21+C21+D21+F21+E21+Y21+S21</f>
        <v>10</v>
      </c>
      <c r="AA21" s="50"/>
      <c r="AB21" s="54">
        <f>Z21+AA21</f>
        <v>10</v>
      </c>
    </row>
    <row r="22" spans="1:28" s="53" customFormat="1" ht="16.5" customHeight="1" x14ac:dyDescent="0.2">
      <c r="A22" s="51" t="s">
        <v>239</v>
      </c>
      <c r="B22" s="52">
        <f t="shared" ref="B22:AB22" si="7">SUM(B23:B28)</f>
        <v>392</v>
      </c>
      <c r="C22" s="52">
        <f t="shared" si="7"/>
        <v>0</v>
      </c>
      <c r="D22" s="52">
        <f t="shared" si="7"/>
        <v>0</v>
      </c>
      <c r="E22" s="52">
        <f t="shared" si="7"/>
        <v>137</v>
      </c>
      <c r="F22" s="52">
        <f t="shared" si="7"/>
        <v>0</v>
      </c>
      <c r="G22" s="52">
        <f t="shared" si="7"/>
        <v>0</v>
      </c>
      <c r="H22" s="52">
        <f t="shared" si="7"/>
        <v>0</v>
      </c>
      <c r="I22" s="52">
        <f t="shared" si="7"/>
        <v>78</v>
      </c>
      <c r="J22" s="52">
        <f t="shared" si="7"/>
        <v>115</v>
      </c>
      <c r="K22" s="52">
        <f t="shared" si="7"/>
        <v>0</v>
      </c>
      <c r="L22" s="52">
        <f t="shared" si="7"/>
        <v>0</v>
      </c>
      <c r="M22" s="52">
        <f t="shared" si="7"/>
        <v>0</v>
      </c>
      <c r="N22" s="52">
        <f t="shared" si="7"/>
        <v>0</v>
      </c>
      <c r="O22" s="52">
        <f t="shared" si="7"/>
        <v>27</v>
      </c>
      <c r="P22" s="52">
        <f t="shared" si="7"/>
        <v>0</v>
      </c>
      <c r="Q22" s="52">
        <f t="shared" si="7"/>
        <v>0</v>
      </c>
      <c r="R22" s="52">
        <f t="shared" si="7"/>
        <v>2</v>
      </c>
      <c r="S22" s="52">
        <f t="shared" si="7"/>
        <v>0</v>
      </c>
      <c r="T22" s="52">
        <f t="shared" si="7"/>
        <v>7</v>
      </c>
      <c r="U22" s="52">
        <f t="shared" si="7"/>
        <v>0</v>
      </c>
      <c r="V22" s="52">
        <f t="shared" si="7"/>
        <v>171</v>
      </c>
      <c r="W22" s="52">
        <f t="shared" si="7"/>
        <v>0</v>
      </c>
      <c r="X22" s="52">
        <f t="shared" si="7"/>
        <v>0</v>
      </c>
      <c r="Y22" s="52">
        <f t="shared" si="7"/>
        <v>60</v>
      </c>
      <c r="Z22" s="52">
        <f t="shared" si="7"/>
        <v>989</v>
      </c>
      <c r="AA22" s="52">
        <f t="shared" si="7"/>
        <v>0</v>
      </c>
      <c r="AB22" s="52">
        <f t="shared" si="7"/>
        <v>989</v>
      </c>
    </row>
    <row r="23" spans="1:28" s="31" customFormat="1" ht="16.5" customHeight="1" x14ac:dyDescent="0.2">
      <c r="A23" s="36">
        <v>12</v>
      </c>
      <c r="B23" s="34">
        <f>320+10+4+27</f>
        <v>361</v>
      </c>
      <c r="C23" s="34"/>
      <c r="D23" s="34"/>
      <c r="E23" s="37">
        <f>65+5+5+8+5-5</f>
        <v>83</v>
      </c>
      <c r="F23" s="35"/>
      <c r="G23" s="34"/>
      <c r="H23" s="34"/>
      <c r="I23" s="37">
        <f>80-20</f>
        <v>60</v>
      </c>
      <c r="J23" s="34">
        <f>136-29-1</f>
        <v>106</v>
      </c>
      <c r="K23" s="34"/>
      <c r="L23" s="34"/>
      <c r="M23" s="34"/>
      <c r="N23" s="34"/>
      <c r="O23" s="34">
        <f>5+1+1+1+2</f>
        <v>10</v>
      </c>
      <c r="P23" s="34"/>
      <c r="Q23" s="35"/>
      <c r="R23" s="34"/>
      <c r="S23" s="34"/>
      <c r="T23" s="34">
        <v>5</v>
      </c>
      <c r="U23" s="35"/>
      <c r="V23" s="34">
        <f>178-16-7+1</f>
        <v>156</v>
      </c>
      <c r="W23" s="34"/>
      <c r="X23" s="34"/>
      <c r="Y23" s="34">
        <v>60</v>
      </c>
      <c r="Z23" s="34">
        <f t="shared" ref="Z23:Z28" si="8">I23+K23+U23+Q23+M23+N23+O23+P23+J23+V23+R23+T23+W23+L23+X23+G23+B23+H23+C23+D23+F23+E23+Y23+S23</f>
        <v>841</v>
      </c>
      <c r="AA23" s="50"/>
      <c r="AB23" s="54">
        <f t="shared" ref="AB23:AB28" si="9">Z23+AA23</f>
        <v>841</v>
      </c>
    </row>
    <row r="24" spans="1:28" s="31" customFormat="1" ht="16.5" customHeight="1" x14ac:dyDescent="0.2">
      <c r="A24" s="36">
        <v>13</v>
      </c>
      <c r="B24" s="34">
        <f>5-5</f>
        <v>0</v>
      </c>
      <c r="C24" s="34"/>
      <c r="D24" s="34"/>
      <c r="E24" s="37"/>
      <c r="F24" s="34"/>
      <c r="G24" s="45"/>
      <c r="H24" s="34"/>
      <c r="I24" s="34"/>
      <c r="J24" s="34"/>
      <c r="K24" s="45"/>
      <c r="L24" s="45"/>
      <c r="M24" s="45"/>
      <c r="N24" s="45"/>
      <c r="O24" s="34"/>
      <c r="P24" s="34"/>
      <c r="Q24" s="45"/>
      <c r="R24" s="34">
        <f>0+2</f>
        <v>2</v>
      </c>
      <c r="S24" s="34"/>
      <c r="T24" s="34"/>
      <c r="U24" s="45"/>
      <c r="V24" s="34">
        <f>4-4</f>
        <v>0</v>
      </c>
      <c r="W24" s="34"/>
      <c r="X24" s="34"/>
      <c r="Y24" s="34"/>
      <c r="Z24" s="34">
        <f t="shared" si="8"/>
        <v>2</v>
      </c>
      <c r="AA24" s="50"/>
      <c r="AB24" s="54">
        <f t="shared" si="9"/>
        <v>2</v>
      </c>
    </row>
    <row r="25" spans="1:28" s="31" customFormat="1" ht="16.5" customHeight="1" x14ac:dyDescent="0.2">
      <c r="A25" s="36">
        <v>14</v>
      </c>
      <c r="B25" s="37">
        <f>15-5</f>
        <v>10</v>
      </c>
      <c r="C25" s="37"/>
      <c r="D25" s="37"/>
      <c r="E25" s="37"/>
      <c r="F25" s="38"/>
      <c r="G25" s="39"/>
      <c r="H25" s="37"/>
      <c r="I25" s="37">
        <v>3</v>
      </c>
      <c r="J25" s="37">
        <f>10-3</f>
        <v>7</v>
      </c>
      <c r="K25" s="39"/>
      <c r="L25" s="39"/>
      <c r="M25" s="39"/>
      <c r="N25" s="39"/>
      <c r="O25" s="37">
        <f>15-15</f>
        <v>0</v>
      </c>
      <c r="P25" s="37"/>
      <c r="Q25" s="39"/>
      <c r="R25" s="37"/>
      <c r="S25" s="34"/>
      <c r="T25" s="37"/>
      <c r="U25" s="40"/>
      <c r="V25" s="37">
        <f>12+2+1</f>
        <v>15</v>
      </c>
      <c r="W25" s="37"/>
      <c r="X25" s="37"/>
      <c r="Y25" s="37"/>
      <c r="Z25" s="34">
        <f t="shared" si="8"/>
        <v>35</v>
      </c>
      <c r="AA25" s="50"/>
      <c r="AB25" s="54">
        <f t="shared" si="9"/>
        <v>35</v>
      </c>
    </row>
    <row r="26" spans="1:28" s="31" customFormat="1" ht="16.5" customHeight="1" x14ac:dyDescent="0.2">
      <c r="A26" s="36">
        <v>15</v>
      </c>
      <c r="B26" s="41"/>
      <c r="C26" s="41"/>
      <c r="D26" s="41"/>
      <c r="E26" s="37">
        <f>60+11-6-6-5</f>
        <v>54</v>
      </c>
      <c r="F26" s="42"/>
      <c r="G26" s="43"/>
      <c r="H26" s="41"/>
      <c r="I26" s="41"/>
      <c r="J26" s="41"/>
      <c r="K26" s="43"/>
      <c r="L26" s="43"/>
      <c r="M26" s="43"/>
      <c r="N26" s="43"/>
      <c r="O26" s="37">
        <f>0+15+2</f>
        <v>17</v>
      </c>
      <c r="P26" s="41"/>
      <c r="Q26" s="43"/>
      <c r="R26" s="41"/>
      <c r="S26" s="34"/>
      <c r="T26" s="37"/>
      <c r="U26" s="44"/>
      <c r="V26" s="41"/>
      <c r="W26" s="41"/>
      <c r="X26" s="41"/>
      <c r="Y26" s="41"/>
      <c r="Z26" s="34">
        <f t="shared" si="8"/>
        <v>71</v>
      </c>
      <c r="AA26" s="50"/>
      <c r="AB26" s="54">
        <f t="shared" si="9"/>
        <v>71</v>
      </c>
    </row>
    <row r="27" spans="1:28" s="31" customFormat="1" ht="16.5" customHeight="1" x14ac:dyDescent="0.2">
      <c r="A27" s="36">
        <v>16</v>
      </c>
      <c r="B27" s="37">
        <f>15-9</f>
        <v>6</v>
      </c>
      <c r="C27" s="37"/>
      <c r="D27" s="37"/>
      <c r="E27" s="37"/>
      <c r="F27" s="38"/>
      <c r="G27" s="39"/>
      <c r="H27" s="37"/>
      <c r="I27" s="37"/>
      <c r="J27" s="37"/>
      <c r="K27" s="39"/>
      <c r="L27" s="39"/>
      <c r="M27" s="39"/>
      <c r="N27" s="39"/>
      <c r="O27" s="37"/>
      <c r="P27" s="37"/>
      <c r="Q27" s="39"/>
      <c r="R27" s="37"/>
      <c r="S27" s="34"/>
      <c r="T27" s="37">
        <v>2</v>
      </c>
      <c r="U27" s="40"/>
      <c r="V27" s="37"/>
      <c r="W27" s="37"/>
      <c r="X27" s="37"/>
      <c r="Y27" s="37"/>
      <c r="Z27" s="34">
        <f t="shared" si="8"/>
        <v>8</v>
      </c>
      <c r="AA27" s="50"/>
      <c r="AB27" s="54">
        <f t="shared" si="9"/>
        <v>8</v>
      </c>
    </row>
    <row r="28" spans="1:28" s="31" customFormat="1" ht="16.5" customHeight="1" x14ac:dyDescent="0.2">
      <c r="A28" s="36">
        <v>17</v>
      </c>
      <c r="B28" s="41">
        <v>15</v>
      </c>
      <c r="C28" s="41"/>
      <c r="D28" s="41"/>
      <c r="E28" s="41"/>
      <c r="F28" s="42"/>
      <c r="G28" s="43"/>
      <c r="H28" s="41"/>
      <c r="I28" s="41">
        <v>15</v>
      </c>
      <c r="J28" s="41">
        <f>10-3-5</f>
        <v>2</v>
      </c>
      <c r="K28" s="43"/>
      <c r="L28" s="43"/>
      <c r="M28" s="43"/>
      <c r="N28" s="43"/>
      <c r="O28" s="41"/>
      <c r="P28" s="41"/>
      <c r="Q28" s="43"/>
      <c r="R28" s="41"/>
      <c r="S28" s="34"/>
      <c r="T28" s="37"/>
      <c r="U28" s="44"/>
      <c r="V28" s="41"/>
      <c r="W28" s="41"/>
      <c r="X28" s="41"/>
      <c r="Y28" s="41"/>
      <c r="Z28" s="34">
        <f t="shared" si="8"/>
        <v>32</v>
      </c>
      <c r="AA28" s="50"/>
      <c r="AB28" s="54">
        <f t="shared" si="9"/>
        <v>32</v>
      </c>
    </row>
    <row r="29" spans="1:28" s="53" customFormat="1" ht="16.5" customHeight="1" x14ac:dyDescent="0.2">
      <c r="A29" s="51" t="s">
        <v>240</v>
      </c>
      <c r="B29" s="52">
        <f t="shared" ref="B29:AB29" si="10">B30+B31</f>
        <v>169</v>
      </c>
      <c r="C29" s="52">
        <f t="shared" si="10"/>
        <v>0</v>
      </c>
      <c r="D29" s="52">
        <f t="shared" si="10"/>
        <v>0</v>
      </c>
      <c r="E29" s="52">
        <f t="shared" si="10"/>
        <v>162</v>
      </c>
      <c r="F29" s="52">
        <f t="shared" si="10"/>
        <v>416</v>
      </c>
      <c r="G29" s="52">
        <f t="shared" si="10"/>
        <v>0</v>
      </c>
      <c r="H29" s="52">
        <f t="shared" si="10"/>
        <v>0</v>
      </c>
      <c r="I29" s="52">
        <f t="shared" si="10"/>
        <v>0</v>
      </c>
      <c r="J29" s="52">
        <f t="shared" si="10"/>
        <v>0</v>
      </c>
      <c r="K29" s="52">
        <f t="shared" si="10"/>
        <v>0</v>
      </c>
      <c r="L29" s="52">
        <f t="shared" si="10"/>
        <v>0</v>
      </c>
      <c r="M29" s="52">
        <f t="shared" si="10"/>
        <v>0</v>
      </c>
      <c r="N29" s="52">
        <f t="shared" si="10"/>
        <v>0</v>
      </c>
      <c r="O29" s="52">
        <f t="shared" si="10"/>
        <v>119</v>
      </c>
      <c r="P29" s="52">
        <f t="shared" si="10"/>
        <v>0</v>
      </c>
      <c r="Q29" s="52">
        <f t="shared" si="10"/>
        <v>0</v>
      </c>
      <c r="R29" s="52">
        <f t="shared" si="10"/>
        <v>0</v>
      </c>
      <c r="S29" s="52">
        <f t="shared" si="10"/>
        <v>0</v>
      </c>
      <c r="T29" s="52">
        <f t="shared" si="10"/>
        <v>0</v>
      </c>
      <c r="U29" s="52">
        <f t="shared" si="10"/>
        <v>0</v>
      </c>
      <c r="V29" s="52">
        <f t="shared" si="10"/>
        <v>0</v>
      </c>
      <c r="W29" s="52">
        <f t="shared" si="10"/>
        <v>0</v>
      </c>
      <c r="X29" s="52">
        <f t="shared" si="10"/>
        <v>0</v>
      </c>
      <c r="Y29" s="52">
        <f t="shared" si="10"/>
        <v>65</v>
      </c>
      <c r="Z29" s="52">
        <f t="shared" si="10"/>
        <v>931</v>
      </c>
      <c r="AA29" s="52">
        <f t="shared" si="10"/>
        <v>0</v>
      </c>
      <c r="AB29" s="52">
        <f t="shared" si="10"/>
        <v>931</v>
      </c>
    </row>
    <row r="30" spans="1:28" s="31" customFormat="1" ht="16.5" customHeight="1" x14ac:dyDescent="0.2">
      <c r="A30" s="36">
        <v>18</v>
      </c>
      <c r="B30" s="34">
        <f>75+30+30+8-1</f>
        <v>142</v>
      </c>
      <c r="C30" s="34"/>
      <c r="D30" s="34"/>
      <c r="E30" s="37">
        <f>154-20-3-3-2-4</f>
        <v>122</v>
      </c>
      <c r="F30" s="37">
        <f>180+20+34+1</f>
        <v>235</v>
      </c>
      <c r="G30" s="34"/>
      <c r="H30" s="34"/>
      <c r="I30" s="34"/>
      <c r="J30" s="34"/>
      <c r="K30" s="34"/>
      <c r="L30" s="34"/>
      <c r="M30" s="34"/>
      <c r="N30" s="34"/>
      <c r="O30" s="34">
        <f>120-1-27-1</f>
        <v>91</v>
      </c>
      <c r="P30" s="34"/>
      <c r="Q30" s="34"/>
      <c r="R30" s="34"/>
      <c r="S30" s="34"/>
      <c r="T30" s="34"/>
      <c r="U30" s="34"/>
      <c r="V30" s="34"/>
      <c r="W30" s="34"/>
      <c r="X30" s="34"/>
      <c r="Y30" s="34">
        <f>100-36-11</f>
        <v>53</v>
      </c>
      <c r="Z30" s="34">
        <f>I30+K30+U30+Q30+M30+N30+O30+P30+J30+V30+R30+T30+W30+L30+X30+G30+B30+H30+C30+D30+F30+E30+Y30+S30</f>
        <v>643</v>
      </c>
      <c r="AA30" s="50"/>
      <c r="AB30" s="54">
        <f>Z30+AA30</f>
        <v>643</v>
      </c>
    </row>
    <row r="31" spans="1:28" s="31" customFormat="1" ht="16.5" customHeight="1" x14ac:dyDescent="0.2">
      <c r="A31" s="36">
        <v>19</v>
      </c>
      <c r="B31" s="34">
        <f>75-20-20-6-2</f>
        <v>27</v>
      </c>
      <c r="C31" s="34"/>
      <c r="D31" s="34"/>
      <c r="E31" s="37">
        <f>56-10-6+5-7+2</f>
        <v>40</v>
      </c>
      <c r="F31" s="37">
        <f>180+1</f>
        <v>181</v>
      </c>
      <c r="G31" s="34"/>
      <c r="H31" s="34"/>
      <c r="I31" s="34"/>
      <c r="J31" s="34"/>
      <c r="K31" s="34"/>
      <c r="L31" s="34"/>
      <c r="M31" s="34"/>
      <c r="N31" s="34"/>
      <c r="O31" s="34">
        <f>40-2-3-6-1</f>
        <v>28</v>
      </c>
      <c r="P31" s="34"/>
      <c r="Q31" s="34"/>
      <c r="R31" s="34"/>
      <c r="S31" s="34"/>
      <c r="T31" s="34"/>
      <c r="U31" s="34"/>
      <c r="V31" s="34"/>
      <c r="W31" s="34"/>
      <c r="X31" s="34"/>
      <c r="Y31" s="34">
        <f>20-6-2</f>
        <v>12</v>
      </c>
      <c r="Z31" s="34">
        <f>I31+K31+U31+Q31+M31+N31+O31+P31+J31+V31+R31+T31+W31+L31+X31+G31+B31+H31+C31+D31+F31+E31+Y31+S31</f>
        <v>288</v>
      </c>
      <c r="AA31" s="50"/>
      <c r="AB31" s="54">
        <f>Z31+AA31</f>
        <v>288</v>
      </c>
    </row>
    <row r="32" spans="1:28" s="53" customFormat="1" ht="16.5" customHeight="1" x14ac:dyDescent="0.2">
      <c r="A32" s="51" t="s">
        <v>241</v>
      </c>
      <c r="B32" s="52">
        <f t="shared" ref="B32:AB32" si="11">B33+B34+B35</f>
        <v>97</v>
      </c>
      <c r="C32" s="52">
        <f t="shared" si="11"/>
        <v>1225</v>
      </c>
      <c r="D32" s="52">
        <f t="shared" si="11"/>
        <v>0</v>
      </c>
      <c r="E32" s="52">
        <f t="shared" si="11"/>
        <v>101</v>
      </c>
      <c r="F32" s="52">
        <f t="shared" si="11"/>
        <v>0</v>
      </c>
      <c r="G32" s="52">
        <f t="shared" si="11"/>
        <v>0</v>
      </c>
      <c r="H32" s="52">
        <f t="shared" si="11"/>
        <v>0</v>
      </c>
      <c r="I32" s="52">
        <f t="shared" si="11"/>
        <v>0</v>
      </c>
      <c r="J32" s="52">
        <f t="shared" si="11"/>
        <v>0</v>
      </c>
      <c r="K32" s="52">
        <f t="shared" si="11"/>
        <v>0</v>
      </c>
      <c r="L32" s="52">
        <f t="shared" si="11"/>
        <v>0</v>
      </c>
      <c r="M32" s="52">
        <f t="shared" si="11"/>
        <v>0</v>
      </c>
      <c r="N32" s="52">
        <f t="shared" si="11"/>
        <v>0</v>
      </c>
      <c r="O32" s="52">
        <f t="shared" si="11"/>
        <v>0</v>
      </c>
      <c r="P32" s="52">
        <f t="shared" si="11"/>
        <v>0</v>
      </c>
      <c r="Q32" s="52">
        <f t="shared" si="11"/>
        <v>0</v>
      </c>
      <c r="R32" s="52">
        <f t="shared" si="11"/>
        <v>0</v>
      </c>
      <c r="S32" s="52">
        <f t="shared" si="11"/>
        <v>0</v>
      </c>
      <c r="T32" s="52">
        <f t="shared" si="11"/>
        <v>0</v>
      </c>
      <c r="U32" s="52">
        <f t="shared" si="11"/>
        <v>0</v>
      </c>
      <c r="V32" s="52">
        <f t="shared" si="11"/>
        <v>52</v>
      </c>
      <c r="W32" s="52">
        <f t="shared" si="11"/>
        <v>8</v>
      </c>
      <c r="X32" s="52">
        <f t="shared" si="11"/>
        <v>0</v>
      </c>
      <c r="Y32" s="52">
        <f t="shared" si="11"/>
        <v>145</v>
      </c>
      <c r="Z32" s="52">
        <f t="shared" si="11"/>
        <v>1628</v>
      </c>
      <c r="AA32" s="52">
        <f t="shared" si="11"/>
        <v>0</v>
      </c>
      <c r="AB32" s="52">
        <f t="shared" si="11"/>
        <v>1628</v>
      </c>
    </row>
    <row r="33" spans="1:28" s="31" customFormat="1" ht="16.5" customHeight="1" x14ac:dyDescent="0.2">
      <c r="A33" s="36">
        <v>20</v>
      </c>
      <c r="B33" s="34">
        <v>41</v>
      </c>
      <c r="C33" s="34">
        <f>940+35+1</f>
        <v>976</v>
      </c>
      <c r="D33" s="34"/>
      <c r="E33" s="37">
        <f>0+1+2+2</f>
        <v>5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>
        <f>62-10</f>
        <v>52</v>
      </c>
      <c r="W33" s="34">
        <f>20-10-2</f>
        <v>8</v>
      </c>
      <c r="X33" s="34"/>
      <c r="Y33" s="34">
        <f>100+1</f>
        <v>101</v>
      </c>
      <c r="Z33" s="34">
        <f>I33+K33+U33+Q33+M33+N33+O33+P33+J33+V33+R33+T33+W33+L33+X33+G33+B33+H33+C33+D33+F33+E33+Y33+S33</f>
        <v>1183</v>
      </c>
      <c r="AA33" s="50"/>
      <c r="AB33" s="54">
        <f>Z33+AA33</f>
        <v>1183</v>
      </c>
    </row>
    <row r="34" spans="1:28" s="31" customFormat="1" ht="16.5" customHeight="1" x14ac:dyDescent="0.2">
      <c r="A34" s="36">
        <v>21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4"/>
      <c r="T34" s="34"/>
      <c r="U34" s="37"/>
      <c r="V34" s="34"/>
      <c r="W34" s="37"/>
      <c r="X34" s="37"/>
      <c r="Y34" s="37"/>
      <c r="Z34" s="34">
        <f>I34+K34+U34+Q34+M34+N34+O34+P34+J34+V34+R34+T34+W34+L34+X34+G34+B34+H34+C34+D34+F34+E34+Y34+S34</f>
        <v>0</v>
      </c>
      <c r="AA34" s="50"/>
      <c r="AB34" s="54">
        <f>Z34+AA34</f>
        <v>0</v>
      </c>
    </row>
    <row r="35" spans="1:28" s="31" customFormat="1" ht="16.5" customHeight="1" x14ac:dyDescent="0.2">
      <c r="A35" s="36">
        <v>22</v>
      </c>
      <c r="B35" s="34">
        <f>60-15+11</f>
        <v>56</v>
      </c>
      <c r="C35" s="41">
        <f>284-34-1</f>
        <v>249</v>
      </c>
      <c r="D35" s="41"/>
      <c r="E35" s="41">
        <f>100+1-5</f>
        <v>96</v>
      </c>
      <c r="F35" s="41"/>
      <c r="G35" s="43"/>
      <c r="H35" s="41"/>
      <c r="I35" s="41"/>
      <c r="J35" s="41"/>
      <c r="K35" s="41"/>
      <c r="L35" s="43"/>
      <c r="M35" s="43"/>
      <c r="N35" s="43"/>
      <c r="O35" s="41"/>
      <c r="P35" s="41"/>
      <c r="Q35" s="43"/>
      <c r="R35" s="41"/>
      <c r="S35" s="34"/>
      <c r="T35" s="34"/>
      <c r="U35" s="43"/>
      <c r="V35" s="41"/>
      <c r="W35" s="41"/>
      <c r="X35" s="41"/>
      <c r="Y35" s="41">
        <f>50-5-1</f>
        <v>44</v>
      </c>
      <c r="Z35" s="34">
        <f>I35+K35+U35+Q35+M35+N35+O35+P35+J35+V35+R35+T35+W35+L35+X35+G35+B35+H35+C35+D35+F35+E35+Y35+S35</f>
        <v>445</v>
      </c>
      <c r="AA35" s="50"/>
      <c r="AB35" s="54">
        <f>Z35+AA35</f>
        <v>445</v>
      </c>
    </row>
    <row r="36" spans="1:28" s="53" customFormat="1" ht="16.5" customHeight="1" x14ac:dyDescent="0.2">
      <c r="A36" s="51" t="s">
        <v>242</v>
      </c>
      <c r="B36" s="52">
        <f t="shared" ref="B36:AB36" si="12">B37+B38</f>
        <v>159</v>
      </c>
      <c r="C36" s="52">
        <f t="shared" si="12"/>
        <v>0</v>
      </c>
      <c r="D36" s="52">
        <f t="shared" si="12"/>
        <v>0</v>
      </c>
      <c r="E36" s="52">
        <f t="shared" si="12"/>
        <v>56</v>
      </c>
      <c r="F36" s="52">
        <f t="shared" si="12"/>
        <v>0</v>
      </c>
      <c r="G36" s="52">
        <f t="shared" si="12"/>
        <v>0</v>
      </c>
      <c r="H36" s="52">
        <f t="shared" si="12"/>
        <v>0</v>
      </c>
      <c r="I36" s="52">
        <f t="shared" si="12"/>
        <v>2</v>
      </c>
      <c r="J36" s="52">
        <f t="shared" si="12"/>
        <v>70</v>
      </c>
      <c r="K36" s="52">
        <f t="shared" si="12"/>
        <v>0</v>
      </c>
      <c r="L36" s="52">
        <f t="shared" si="12"/>
        <v>0</v>
      </c>
      <c r="M36" s="52">
        <f t="shared" si="12"/>
        <v>0</v>
      </c>
      <c r="N36" s="52">
        <f t="shared" si="12"/>
        <v>103</v>
      </c>
      <c r="O36" s="52">
        <f t="shared" si="12"/>
        <v>0</v>
      </c>
      <c r="P36" s="52">
        <f t="shared" si="12"/>
        <v>0</v>
      </c>
      <c r="Q36" s="52">
        <f t="shared" si="12"/>
        <v>0</v>
      </c>
      <c r="R36" s="52">
        <f t="shared" si="12"/>
        <v>0</v>
      </c>
      <c r="S36" s="52">
        <f t="shared" si="12"/>
        <v>0</v>
      </c>
      <c r="T36" s="52">
        <f t="shared" si="12"/>
        <v>0</v>
      </c>
      <c r="U36" s="52">
        <f t="shared" si="12"/>
        <v>0</v>
      </c>
      <c r="V36" s="52">
        <f t="shared" si="12"/>
        <v>0</v>
      </c>
      <c r="W36" s="52">
        <f t="shared" si="12"/>
        <v>0</v>
      </c>
      <c r="X36" s="52">
        <f t="shared" si="12"/>
        <v>0</v>
      </c>
      <c r="Y36" s="52">
        <f t="shared" si="12"/>
        <v>0</v>
      </c>
      <c r="Z36" s="52">
        <f t="shared" si="12"/>
        <v>390</v>
      </c>
      <c r="AA36" s="52">
        <f t="shared" si="12"/>
        <v>0</v>
      </c>
      <c r="AB36" s="52">
        <f t="shared" si="12"/>
        <v>390</v>
      </c>
    </row>
    <row r="37" spans="1:28" s="31" customFormat="1" ht="16.5" customHeight="1" x14ac:dyDescent="0.2">
      <c r="A37" s="36">
        <v>23</v>
      </c>
      <c r="B37" s="34">
        <f>95+21+11</f>
        <v>127</v>
      </c>
      <c r="C37" s="37"/>
      <c r="D37" s="37"/>
      <c r="E37" s="37">
        <f>20+7+13+6-1</f>
        <v>45</v>
      </c>
      <c r="F37" s="37"/>
      <c r="G37" s="37"/>
      <c r="H37" s="37"/>
      <c r="I37" s="37">
        <f>10-10</f>
        <v>0</v>
      </c>
      <c r="J37" s="37">
        <f>20+3</f>
        <v>23</v>
      </c>
      <c r="K37" s="37"/>
      <c r="L37" s="37"/>
      <c r="M37" s="37"/>
      <c r="N37" s="37">
        <f>52+10</f>
        <v>62</v>
      </c>
      <c r="O37" s="37"/>
      <c r="P37" s="37"/>
      <c r="Q37" s="37"/>
      <c r="R37" s="37"/>
      <c r="S37" s="34"/>
      <c r="T37" s="34"/>
      <c r="U37" s="37"/>
      <c r="V37" s="37"/>
      <c r="W37" s="37"/>
      <c r="X37" s="37"/>
      <c r="Y37" s="37"/>
      <c r="Z37" s="34">
        <f>I37+K37+U37+Q37+M37+N37+O37+P37+J37+V37+R37+T37+W37+L37+X37+G37+B37+H37+C37+D37+F37+E37+Y37+S37</f>
        <v>257</v>
      </c>
      <c r="AA37" s="50"/>
      <c r="AB37" s="54">
        <f>Z37+AA37</f>
        <v>257</v>
      </c>
    </row>
    <row r="38" spans="1:28" s="31" customFormat="1" ht="16.5" customHeight="1" x14ac:dyDescent="0.2">
      <c r="A38" s="36">
        <v>24</v>
      </c>
      <c r="B38" s="34">
        <f>25+5+2</f>
        <v>32</v>
      </c>
      <c r="C38" s="34"/>
      <c r="D38" s="37"/>
      <c r="E38" s="37">
        <f>30-7-13+2-1</f>
        <v>11</v>
      </c>
      <c r="F38" s="34"/>
      <c r="G38" s="37"/>
      <c r="H38" s="37"/>
      <c r="I38" s="37">
        <f>5-3</f>
        <v>2</v>
      </c>
      <c r="J38" s="37">
        <f>45+2</f>
        <v>47</v>
      </c>
      <c r="K38" s="34"/>
      <c r="L38" s="37"/>
      <c r="M38" s="37"/>
      <c r="N38" s="34">
        <f>40+1</f>
        <v>41</v>
      </c>
      <c r="O38" s="37"/>
      <c r="P38" s="34"/>
      <c r="Q38" s="34"/>
      <c r="R38" s="37"/>
      <c r="S38" s="34"/>
      <c r="T38" s="34"/>
      <c r="U38" s="37"/>
      <c r="V38" s="34"/>
      <c r="W38" s="34"/>
      <c r="X38" s="34"/>
      <c r="Y38" s="34"/>
      <c r="Z38" s="34">
        <f>I38+K38+U38+Q38+M38+N38+O38+P38+J38+V38+R38+T38+W38+L38+X38+G38+B38+H38+C38+D38+F38+E38+Y38+S38</f>
        <v>133</v>
      </c>
      <c r="AA38" s="50"/>
      <c r="AB38" s="54">
        <f>Z38+AA38</f>
        <v>133</v>
      </c>
    </row>
    <row r="39" spans="1:28" s="53" customFormat="1" ht="16.5" customHeight="1" x14ac:dyDescent="0.2">
      <c r="A39" s="51" t="s">
        <v>243</v>
      </c>
      <c r="B39" s="52">
        <f t="shared" ref="B39:AB39" si="13">B40+B41</f>
        <v>0</v>
      </c>
      <c r="C39" s="52">
        <f t="shared" si="13"/>
        <v>0</v>
      </c>
      <c r="D39" s="52">
        <f t="shared" si="13"/>
        <v>0</v>
      </c>
      <c r="E39" s="52">
        <f t="shared" si="13"/>
        <v>53</v>
      </c>
      <c r="F39" s="52">
        <f t="shared" si="13"/>
        <v>0</v>
      </c>
      <c r="G39" s="52">
        <f t="shared" si="13"/>
        <v>0</v>
      </c>
      <c r="H39" s="52">
        <f t="shared" si="13"/>
        <v>0</v>
      </c>
      <c r="I39" s="52">
        <f t="shared" si="13"/>
        <v>0</v>
      </c>
      <c r="J39" s="52">
        <f t="shared" si="13"/>
        <v>0</v>
      </c>
      <c r="K39" s="52">
        <f t="shared" si="13"/>
        <v>300</v>
      </c>
      <c r="L39" s="52">
        <f t="shared" si="13"/>
        <v>2423</v>
      </c>
      <c r="M39" s="52">
        <f t="shared" si="13"/>
        <v>200</v>
      </c>
      <c r="N39" s="52">
        <f t="shared" si="13"/>
        <v>0</v>
      </c>
      <c r="O39" s="52">
        <f t="shared" si="13"/>
        <v>0</v>
      </c>
      <c r="P39" s="52">
        <f t="shared" si="13"/>
        <v>0</v>
      </c>
      <c r="Q39" s="52">
        <f t="shared" si="13"/>
        <v>0</v>
      </c>
      <c r="R39" s="52">
        <f t="shared" si="13"/>
        <v>0</v>
      </c>
      <c r="S39" s="52">
        <f t="shared" si="13"/>
        <v>0</v>
      </c>
      <c r="T39" s="52">
        <f t="shared" si="13"/>
        <v>0</v>
      </c>
      <c r="U39" s="52">
        <f t="shared" si="13"/>
        <v>0</v>
      </c>
      <c r="V39" s="52">
        <f t="shared" si="13"/>
        <v>0</v>
      </c>
      <c r="W39" s="52">
        <f t="shared" si="13"/>
        <v>0</v>
      </c>
      <c r="X39" s="52">
        <f t="shared" si="13"/>
        <v>0</v>
      </c>
      <c r="Y39" s="52">
        <f t="shared" si="13"/>
        <v>0</v>
      </c>
      <c r="Z39" s="52">
        <f t="shared" si="13"/>
        <v>2976</v>
      </c>
      <c r="AA39" s="52">
        <f t="shared" si="13"/>
        <v>0</v>
      </c>
      <c r="AB39" s="52">
        <f t="shared" si="13"/>
        <v>2976</v>
      </c>
    </row>
    <row r="40" spans="1:28" s="31" customFormat="1" ht="16.5" customHeight="1" x14ac:dyDescent="0.2">
      <c r="A40" s="36">
        <v>25</v>
      </c>
      <c r="B40" s="37"/>
      <c r="C40" s="37"/>
      <c r="D40" s="37"/>
      <c r="E40" s="37">
        <f>60+5-13+3-2</f>
        <v>53</v>
      </c>
      <c r="F40" s="37"/>
      <c r="G40" s="34"/>
      <c r="H40" s="37"/>
      <c r="I40" s="37"/>
      <c r="J40" s="37"/>
      <c r="K40" s="37">
        <f>290+3</f>
        <v>293</v>
      </c>
      <c r="L40" s="37">
        <f>2400-1</f>
        <v>2399</v>
      </c>
      <c r="M40" s="37">
        <v>200</v>
      </c>
      <c r="N40" s="37"/>
      <c r="O40" s="37"/>
      <c r="P40" s="37"/>
      <c r="Q40" s="37"/>
      <c r="R40" s="37"/>
      <c r="S40" s="34"/>
      <c r="T40" s="34"/>
      <c r="U40" s="37"/>
      <c r="V40" s="37"/>
      <c r="W40" s="37"/>
      <c r="X40" s="37"/>
      <c r="Y40" s="37"/>
      <c r="Z40" s="34">
        <f>I40+K40+U40+Q40+M40+N40+O40+P40+J40+V40+R40+T40+W40+L40+X40+G40+B40+H40+C40+D40+F40+E40+Y40+S40</f>
        <v>2945</v>
      </c>
      <c r="AA40" s="50"/>
      <c r="AB40" s="54">
        <f>Z40+AA40</f>
        <v>2945</v>
      </c>
    </row>
    <row r="41" spans="1:28" s="31" customFormat="1" ht="16.5" customHeight="1" x14ac:dyDescent="0.2">
      <c r="A41" s="36">
        <v>26</v>
      </c>
      <c r="B41" s="37"/>
      <c r="C41" s="37"/>
      <c r="D41" s="37"/>
      <c r="E41" s="37"/>
      <c r="F41" s="37"/>
      <c r="G41" s="41"/>
      <c r="H41" s="37"/>
      <c r="I41" s="37"/>
      <c r="J41" s="37"/>
      <c r="K41" s="37">
        <f>10-3</f>
        <v>7</v>
      </c>
      <c r="L41" s="37">
        <v>24</v>
      </c>
      <c r="M41" s="37"/>
      <c r="N41" s="37"/>
      <c r="O41" s="37"/>
      <c r="P41" s="37"/>
      <c r="Q41" s="37"/>
      <c r="R41" s="37"/>
      <c r="S41" s="34"/>
      <c r="T41" s="34"/>
      <c r="U41" s="37"/>
      <c r="V41" s="37"/>
      <c r="W41" s="37"/>
      <c r="X41" s="37"/>
      <c r="Y41" s="37"/>
      <c r="Z41" s="34">
        <f>I41+K41+U41+Q41+M41+N41+O41+P41+J41+V41+R41+T41+W41+L41+X41+G41+B41+H41+C41+D41+F41+E41+Y41+S41</f>
        <v>31</v>
      </c>
      <c r="AA41" s="50"/>
      <c r="AB41" s="54">
        <f>Z41+AA41</f>
        <v>31</v>
      </c>
    </row>
    <row r="42" spans="1:28" s="53" customFormat="1" ht="16.5" customHeight="1" x14ac:dyDescent="0.2">
      <c r="A42" s="51" t="s">
        <v>244</v>
      </c>
      <c r="B42" s="52">
        <f t="shared" ref="B42:AB42" si="14">B43+B44+B45</f>
        <v>0</v>
      </c>
      <c r="C42" s="52">
        <f t="shared" si="14"/>
        <v>0</v>
      </c>
      <c r="D42" s="52">
        <f t="shared" si="14"/>
        <v>0</v>
      </c>
      <c r="E42" s="52">
        <f t="shared" si="14"/>
        <v>40</v>
      </c>
      <c r="F42" s="52">
        <f t="shared" si="14"/>
        <v>0</v>
      </c>
      <c r="G42" s="52">
        <f t="shared" si="14"/>
        <v>0</v>
      </c>
      <c r="H42" s="52">
        <f t="shared" si="14"/>
        <v>0</v>
      </c>
      <c r="I42" s="52">
        <f t="shared" si="14"/>
        <v>0</v>
      </c>
      <c r="J42" s="52">
        <f t="shared" si="14"/>
        <v>0</v>
      </c>
      <c r="K42" s="52">
        <f t="shared" si="14"/>
        <v>0</v>
      </c>
      <c r="L42" s="52">
        <f t="shared" si="14"/>
        <v>0</v>
      </c>
      <c r="M42" s="52">
        <f t="shared" si="14"/>
        <v>0</v>
      </c>
      <c r="N42" s="52">
        <f t="shared" si="14"/>
        <v>0</v>
      </c>
      <c r="O42" s="52">
        <f t="shared" si="14"/>
        <v>0</v>
      </c>
      <c r="P42" s="52">
        <f t="shared" si="14"/>
        <v>0</v>
      </c>
      <c r="Q42" s="52">
        <f t="shared" si="14"/>
        <v>0</v>
      </c>
      <c r="R42" s="52">
        <f t="shared" si="14"/>
        <v>0</v>
      </c>
      <c r="S42" s="52">
        <f t="shared" si="14"/>
        <v>0</v>
      </c>
      <c r="T42" s="52">
        <f t="shared" si="14"/>
        <v>0</v>
      </c>
      <c r="U42" s="52">
        <f t="shared" si="14"/>
        <v>0</v>
      </c>
      <c r="V42" s="52">
        <f t="shared" si="14"/>
        <v>0</v>
      </c>
      <c r="W42" s="52">
        <f t="shared" si="14"/>
        <v>0</v>
      </c>
      <c r="X42" s="52">
        <f t="shared" si="14"/>
        <v>0</v>
      </c>
      <c r="Y42" s="52">
        <f t="shared" si="14"/>
        <v>0</v>
      </c>
      <c r="Z42" s="52">
        <f t="shared" si="14"/>
        <v>40</v>
      </c>
      <c r="AA42" s="52">
        <f t="shared" si="14"/>
        <v>0</v>
      </c>
      <c r="AB42" s="52">
        <f t="shared" si="14"/>
        <v>40</v>
      </c>
    </row>
    <row r="43" spans="1:28" s="31" customFormat="1" ht="16.5" customHeight="1" x14ac:dyDescent="0.2">
      <c r="A43" s="36">
        <v>27</v>
      </c>
      <c r="B43" s="34"/>
      <c r="C43" s="34"/>
      <c r="D43" s="34"/>
      <c r="E43" s="37">
        <f>5-2</f>
        <v>3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>
        <f>I43+K43+U43+Q43+M43+N43+O43+P43+J43+V43+R43+T43+W43+L43+X43+G43+B43+H43+C43+D43+F43+E43+Y43+S43</f>
        <v>3</v>
      </c>
      <c r="AA43" s="50"/>
      <c r="AB43" s="54">
        <f>Z43+AA43</f>
        <v>3</v>
      </c>
    </row>
    <row r="44" spans="1:28" s="31" customFormat="1" ht="16.5" customHeight="1" x14ac:dyDescent="0.2">
      <c r="A44" s="36">
        <v>28</v>
      </c>
      <c r="B44" s="37"/>
      <c r="C44" s="37"/>
      <c r="D44" s="37"/>
      <c r="E44" s="37">
        <v>37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4"/>
      <c r="T44" s="34"/>
      <c r="U44" s="37"/>
      <c r="V44" s="37"/>
      <c r="W44" s="37"/>
      <c r="X44" s="37"/>
      <c r="Y44" s="37"/>
      <c r="Z44" s="34">
        <f>I44+K44+U44+Q44+M44+N44+O44+P44+J44+V44+R44+T44+W44+L44+X44+G44+B44+H44+C44+D44+F44+E44+Y44+S44</f>
        <v>37</v>
      </c>
      <c r="AA44" s="50"/>
      <c r="AB44" s="54">
        <f>Z44+AA44</f>
        <v>37</v>
      </c>
    </row>
    <row r="45" spans="1:28" s="31" customFormat="1" ht="16.5" customHeight="1" x14ac:dyDescent="0.2">
      <c r="A45" s="33">
        <v>29</v>
      </c>
      <c r="B45" s="41"/>
      <c r="C45" s="41"/>
      <c r="D45" s="41"/>
      <c r="E45" s="41"/>
      <c r="F45" s="41"/>
      <c r="G45" s="43"/>
      <c r="H45" s="41"/>
      <c r="I45" s="41"/>
      <c r="J45" s="41"/>
      <c r="K45" s="43"/>
      <c r="L45" s="43"/>
      <c r="M45" s="43"/>
      <c r="N45" s="43"/>
      <c r="O45" s="41"/>
      <c r="P45" s="41"/>
      <c r="Q45" s="43"/>
      <c r="R45" s="41"/>
      <c r="S45" s="34"/>
      <c r="T45" s="34"/>
      <c r="U45" s="43"/>
      <c r="V45" s="41"/>
      <c r="W45" s="41"/>
      <c r="X45" s="41"/>
      <c r="Y45" s="41"/>
      <c r="Z45" s="34">
        <f>I45+K45+U45+Q45+M45+N45+O45+P45+J45+V45+R45+T45+W45+L45+X45+G45+B45+H45+C45+D45+F45+E45+Y45+S45</f>
        <v>0</v>
      </c>
      <c r="AA45" s="50"/>
      <c r="AB45" s="54">
        <f>Z45+AA45</f>
        <v>0</v>
      </c>
    </row>
    <row r="46" spans="1:28" s="53" customFormat="1" ht="16.5" customHeight="1" x14ac:dyDescent="0.2">
      <c r="A46" s="51" t="s">
        <v>245</v>
      </c>
      <c r="B46" s="52">
        <f t="shared" ref="B46:AB46" si="15">B47</f>
        <v>200</v>
      </c>
      <c r="C46" s="52">
        <f t="shared" si="15"/>
        <v>0</v>
      </c>
      <c r="D46" s="52">
        <f t="shared" si="15"/>
        <v>0</v>
      </c>
      <c r="E46" s="52">
        <f t="shared" si="15"/>
        <v>0</v>
      </c>
      <c r="F46" s="52">
        <f t="shared" si="15"/>
        <v>0</v>
      </c>
      <c r="G46" s="52">
        <f t="shared" si="15"/>
        <v>0</v>
      </c>
      <c r="H46" s="52">
        <f t="shared" si="15"/>
        <v>0</v>
      </c>
      <c r="I46" s="52">
        <f t="shared" si="15"/>
        <v>0</v>
      </c>
      <c r="J46" s="52">
        <f t="shared" si="15"/>
        <v>0</v>
      </c>
      <c r="K46" s="52">
        <f t="shared" si="15"/>
        <v>0</v>
      </c>
      <c r="L46" s="52">
        <f t="shared" si="15"/>
        <v>0</v>
      </c>
      <c r="M46" s="52">
        <f t="shared" si="15"/>
        <v>0</v>
      </c>
      <c r="N46" s="52">
        <f t="shared" si="15"/>
        <v>100</v>
      </c>
      <c r="O46" s="52">
        <f t="shared" si="15"/>
        <v>0</v>
      </c>
      <c r="P46" s="52">
        <f t="shared" si="15"/>
        <v>0</v>
      </c>
      <c r="Q46" s="52">
        <f t="shared" si="15"/>
        <v>0</v>
      </c>
      <c r="R46" s="52">
        <f t="shared" si="15"/>
        <v>0</v>
      </c>
      <c r="S46" s="52">
        <f t="shared" si="15"/>
        <v>0</v>
      </c>
      <c r="T46" s="52">
        <f t="shared" si="15"/>
        <v>0</v>
      </c>
      <c r="U46" s="52">
        <f t="shared" si="15"/>
        <v>0</v>
      </c>
      <c r="V46" s="52">
        <f t="shared" si="15"/>
        <v>63</v>
      </c>
      <c r="W46" s="52">
        <f t="shared" si="15"/>
        <v>0</v>
      </c>
      <c r="X46" s="52">
        <f t="shared" si="15"/>
        <v>0</v>
      </c>
      <c r="Y46" s="52">
        <f t="shared" si="15"/>
        <v>40</v>
      </c>
      <c r="Z46" s="52">
        <f t="shared" si="15"/>
        <v>403</v>
      </c>
      <c r="AA46" s="52">
        <f t="shared" si="15"/>
        <v>0</v>
      </c>
      <c r="AB46" s="52">
        <f t="shared" si="15"/>
        <v>403</v>
      </c>
    </row>
    <row r="47" spans="1:28" s="31" customFormat="1" ht="16.5" customHeight="1" x14ac:dyDescent="0.2">
      <c r="A47" s="46">
        <v>30</v>
      </c>
      <c r="B47" s="34">
        <v>200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>
        <v>100</v>
      </c>
      <c r="O47" s="34"/>
      <c r="P47" s="34"/>
      <c r="Q47" s="34"/>
      <c r="R47" s="34"/>
      <c r="S47" s="34"/>
      <c r="T47" s="34"/>
      <c r="U47" s="34"/>
      <c r="V47" s="41">
        <f>60+5-2</f>
        <v>63</v>
      </c>
      <c r="W47" s="34"/>
      <c r="X47" s="34"/>
      <c r="Y47" s="34">
        <v>40</v>
      </c>
      <c r="Z47" s="34">
        <f>I47+K47+U47+Q47+M47+N47+O47+P47+J47+V47+R47+T47+W47+L47+X47+G47+B47+H47+C47+D47+F47+E47+Y47</f>
        <v>403</v>
      </c>
      <c r="AA47" s="50"/>
      <c r="AB47" s="54">
        <f>Z47+AA47</f>
        <v>403</v>
      </c>
    </row>
    <row r="48" spans="1:28" s="53" customFormat="1" ht="16.5" customHeight="1" x14ac:dyDescent="0.2">
      <c r="A48" s="51" t="s">
        <v>246</v>
      </c>
      <c r="B48" s="52">
        <f t="shared" ref="B48:Q48" si="16">SUM(B49:B59)</f>
        <v>323</v>
      </c>
      <c r="C48" s="52">
        <f t="shared" si="16"/>
        <v>0</v>
      </c>
      <c r="D48" s="52">
        <f t="shared" si="16"/>
        <v>3327</v>
      </c>
      <c r="E48" s="52">
        <f t="shared" si="16"/>
        <v>0</v>
      </c>
      <c r="F48" s="52">
        <f t="shared" si="16"/>
        <v>0</v>
      </c>
      <c r="G48" s="52">
        <f t="shared" si="16"/>
        <v>0</v>
      </c>
      <c r="H48" s="52">
        <f t="shared" si="16"/>
        <v>0</v>
      </c>
      <c r="I48" s="52">
        <f t="shared" si="16"/>
        <v>791</v>
      </c>
      <c r="J48" s="52">
        <f t="shared" si="16"/>
        <v>571</v>
      </c>
      <c r="K48" s="52">
        <f t="shared" si="16"/>
        <v>0</v>
      </c>
      <c r="L48" s="52">
        <f t="shared" si="16"/>
        <v>0</v>
      </c>
      <c r="M48" s="52">
        <f t="shared" si="16"/>
        <v>0</v>
      </c>
      <c r="N48" s="52">
        <f t="shared" si="16"/>
        <v>0</v>
      </c>
      <c r="O48" s="52">
        <f t="shared" si="16"/>
        <v>0</v>
      </c>
      <c r="P48" s="52">
        <f t="shared" si="16"/>
        <v>255</v>
      </c>
      <c r="Q48" s="52">
        <f t="shared" si="16"/>
        <v>0</v>
      </c>
      <c r="R48" s="52">
        <f t="shared" ref="R48:AB48" si="17">SUM(R49:R59)</f>
        <v>206</v>
      </c>
      <c r="S48" s="52">
        <f t="shared" si="17"/>
        <v>113</v>
      </c>
      <c r="T48" s="52">
        <f t="shared" si="17"/>
        <v>0</v>
      </c>
      <c r="U48" s="52">
        <f t="shared" si="17"/>
        <v>0</v>
      </c>
      <c r="V48" s="52">
        <f t="shared" si="17"/>
        <v>374</v>
      </c>
      <c r="W48" s="52">
        <f t="shared" si="17"/>
        <v>242</v>
      </c>
      <c r="X48" s="52">
        <f t="shared" si="17"/>
        <v>0</v>
      </c>
      <c r="Y48" s="52">
        <f t="shared" si="17"/>
        <v>599</v>
      </c>
      <c r="Z48" s="52">
        <f t="shared" si="17"/>
        <v>6801</v>
      </c>
      <c r="AA48" s="52">
        <f t="shared" si="17"/>
        <v>0</v>
      </c>
      <c r="AB48" s="52">
        <f t="shared" si="17"/>
        <v>6801</v>
      </c>
    </row>
    <row r="49" spans="1:28" s="31" customFormat="1" ht="16.5" customHeight="1" x14ac:dyDescent="0.2">
      <c r="A49" s="36">
        <v>31</v>
      </c>
      <c r="B49" s="47">
        <f>41+1+1</f>
        <v>43</v>
      </c>
      <c r="C49" s="47"/>
      <c r="D49" s="37">
        <f>323+64-6-1</f>
        <v>380</v>
      </c>
      <c r="E49" s="47"/>
      <c r="F49" s="47"/>
      <c r="G49" s="48"/>
      <c r="H49" s="47"/>
      <c r="I49" s="47">
        <f>263+15+5-1</f>
        <v>282</v>
      </c>
      <c r="J49" s="47">
        <f>160+55+29</f>
        <v>244</v>
      </c>
      <c r="K49" s="48"/>
      <c r="L49" s="48"/>
      <c r="M49" s="48"/>
      <c r="N49" s="48"/>
      <c r="O49" s="47"/>
      <c r="P49" s="37">
        <f>0+35</f>
        <v>35</v>
      </c>
      <c r="Q49" s="48"/>
      <c r="R49" s="47">
        <f>118-6+10-1-1</f>
        <v>120</v>
      </c>
      <c r="S49" s="34">
        <f>0+20+20-4-2</f>
        <v>34</v>
      </c>
      <c r="T49" s="34"/>
      <c r="U49" s="48"/>
      <c r="V49" s="47">
        <f>268-29-6+11+6</f>
        <v>250</v>
      </c>
      <c r="W49" s="37">
        <f>30+29+21+6+23+29+10</f>
        <v>148</v>
      </c>
      <c r="X49" s="47"/>
      <c r="Y49" s="47">
        <f>100+6+10</f>
        <v>116</v>
      </c>
      <c r="Z49" s="34">
        <f t="shared" ref="Z49:Z59" si="18">I49+K49+U49+Q49+M49+N49+O49+P49+J49+V49+R49+T49+W49+L49+X49+G49+B49+H49+C49+D49+F49+E49+Y49+S49</f>
        <v>1652</v>
      </c>
      <c r="AA49" s="49">
        <f>55-35-20</f>
        <v>0</v>
      </c>
      <c r="AB49" s="54">
        <f t="shared" ref="AB49:AB59" si="19">Z49+AA49</f>
        <v>1652</v>
      </c>
    </row>
    <row r="50" spans="1:28" s="31" customFormat="1" ht="16.5" customHeight="1" x14ac:dyDescent="0.2">
      <c r="A50" s="36">
        <v>32</v>
      </c>
      <c r="B50" s="37">
        <f>50-6-6</f>
        <v>38</v>
      </c>
      <c r="C50" s="37"/>
      <c r="D50" s="37">
        <f>133-3</f>
        <v>130</v>
      </c>
      <c r="E50" s="37"/>
      <c r="F50" s="37"/>
      <c r="G50" s="37"/>
      <c r="H50" s="37"/>
      <c r="I50" s="37">
        <f>90-10+5+1</f>
        <v>86</v>
      </c>
      <c r="J50" s="37">
        <f>20+44+7</f>
        <v>71</v>
      </c>
      <c r="K50" s="37"/>
      <c r="L50" s="37"/>
      <c r="M50" s="37"/>
      <c r="N50" s="37"/>
      <c r="O50" s="37"/>
      <c r="P50" s="37">
        <f>0+50-2+30</f>
        <v>78</v>
      </c>
      <c r="Q50" s="37"/>
      <c r="R50" s="37">
        <f>74-11-1+1</f>
        <v>63</v>
      </c>
      <c r="S50" s="34">
        <f>0+10+1</f>
        <v>11</v>
      </c>
      <c r="T50" s="34"/>
      <c r="U50" s="37"/>
      <c r="V50" s="37">
        <f>30-7+2+1</f>
        <v>26</v>
      </c>
      <c r="W50" s="37">
        <f>40+7-16</f>
        <v>31</v>
      </c>
      <c r="X50" s="37"/>
      <c r="Y50" s="47">
        <f>20+11+8+16</f>
        <v>55</v>
      </c>
      <c r="Z50" s="34">
        <f t="shared" si="18"/>
        <v>589</v>
      </c>
      <c r="AA50" s="49">
        <f>60-50-10</f>
        <v>0</v>
      </c>
      <c r="AB50" s="54">
        <f t="shared" si="19"/>
        <v>589</v>
      </c>
    </row>
    <row r="51" spans="1:28" s="31" customFormat="1" ht="16.5" customHeight="1" x14ac:dyDescent="0.2">
      <c r="A51" s="36">
        <v>33</v>
      </c>
      <c r="B51" s="37">
        <f>11+1</f>
        <v>12</v>
      </c>
      <c r="C51" s="37"/>
      <c r="D51" s="37">
        <f>38+9+4+3+1</f>
        <v>55</v>
      </c>
      <c r="E51" s="37"/>
      <c r="F51" s="37"/>
      <c r="G51" s="39"/>
      <c r="H51" s="37"/>
      <c r="I51" s="47">
        <f>20-2+3+1</f>
        <v>22</v>
      </c>
      <c r="J51" s="37">
        <f>5+3+5-1</f>
        <v>12</v>
      </c>
      <c r="K51" s="39"/>
      <c r="L51" s="39"/>
      <c r="M51" s="39"/>
      <c r="N51" s="39"/>
      <c r="O51" s="37"/>
      <c r="P51" s="37">
        <f>0+15</f>
        <v>15</v>
      </c>
      <c r="Q51" s="39"/>
      <c r="R51" s="37">
        <f>21+2</f>
        <v>23</v>
      </c>
      <c r="S51" s="34">
        <f>0+3+3</f>
        <v>6</v>
      </c>
      <c r="T51" s="34"/>
      <c r="U51" s="39"/>
      <c r="V51" s="37">
        <f>5-3+1</f>
        <v>3</v>
      </c>
      <c r="W51" s="37">
        <f>20+2-10-3</f>
        <v>9</v>
      </c>
      <c r="X51" s="37"/>
      <c r="Y51" s="37">
        <f>5+1+3+5</f>
        <v>14</v>
      </c>
      <c r="Z51" s="34">
        <f t="shared" si="18"/>
        <v>171</v>
      </c>
      <c r="AA51" s="49">
        <f>18-15-3</f>
        <v>0</v>
      </c>
      <c r="AB51" s="54">
        <f t="shared" si="19"/>
        <v>171</v>
      </c>
    </row>
    <row r="52" spans="1:28" s="31" customFormat="1" ht="16.5" customHeight="1" x14ac:dyDescent="0.2">
      <c r="A52" s="36">
        <v>34</v>
      </c>
      <c r="B52" s="37">
        <f>118-7-2</f>
        <v>109</v>
      </c>
      <c r="C52" s="37"/>
      <c r="D52" s="37">
        <f>680-80-13-19+3</f>
        <v>571</v>
      </c>
      <c r="E52" s="37"/>
      <c r="F52" s="37"/>
      <c r="G52" s="39"/>
      <c r="H52" s="37"/>
      <c r="I52" s="47">
        <f>290+14-15</f>
        <v>289</v>
      </c>
      <c r="J52" s="37">
        <f>363-55-67-39</f>
        <v>202</v>
      </c>
      <c r="K52" s="39"/>
      <c r="L52" s="39"/>
      <c r="M52" s="39"/>
      <c r="N52" s="39"/>
      <c r="O52" s="37"/>
      <c r="P52" s="37">
        <f>0+25</f>
        <v>25</v>
      </c>
      <c r="Q52" s="39"/>
      <c r="R52" s="37"/>
      <c r="S52" s="34">
        <f>0+70-15-9</f>
        <v>46</v>
      </c>
      <c r="T52" s="34"/>
      <c r="U52" s="39"/>
      <c r="V52" s="37">
        <f>100-9-4</f>
        <v>87</v>
      </c>
      <c r="W52" s="37">
        <f>25-5+9+13-5</f>
        <v>37</v>
      </c>
      <c r="X52" s="37"/>
      <c r="Y52" s="37">
        <v>253</v>
      </c>
      <c r="Z52" s="34">
        <f t="shared" si="18"/>
        <v>1619</v>
      </c>
      <c r="AA52" s="49">
        <f>95-25-70</f>
        <v>0</v>
      </c>
      <c r="AB52" s="54">
        <f t="shared" si="19"/>
        <v>1619</v>
      </c>
    </row>
    <row r="53" spans="1:28" s="31" customFormat="1" ht="16.5" customHeight="1" x14ac:dyDescent="0.2">
      <c r="A53" s="36">
        <v>35</v>
      </c>
      <c r="B53" s="37">
        <f>72+17+6</f>
        <v>95</v>
      </c>
      <c r="C53" s="37"/>
      <c r="D53" s="37">
        <f>228+1</f>
        <v>229</v>
      </c>
      <c r="E53" s="37"/>
      <c r="F53" s="37"/>
      <c r="G53" s="37"/>
      <c r="H53" s="37"/>
      <c r="I53" s="47">
        <f>80-8+5+1</f>
        <v>78</v>
      </c>
      <c r="J53" s="37">
        <f>20+5+7+2</f>
        <v>34</v>
      </c>
      <c r="K53" s="37"/>
      <c r="L53" s="37"/>
      <c r="M53" s="37"/>
      <c r="N53" s="37"/>
      <c r="O53" s="37"/>
      <c r="P53" s="37">
        <f>0+40+44</f>
        <v>84</v>
      </c>
      <c r="Q53" s="37"/>
      <c r="R53" s="37"/>
      <c r="S53" s="34">
        <f>0+20-9+1</f>
        <v>12</v>
      </c>
      <c r="T53" s="34"/>
      <c r="U53" s="37"/>
      <c r="V53" s="37">
        <f>15-2-4-1</f>
        <v>8</v>
      </c>
      <c r="W53" s="37">
        <f>33-10+2-10-2</f>
        <v>13</v>
      </c>
      <c r="X53" s="37"/>
      <c r="Y53" s="37">
        <f>40+8</f>
        <v>48</v>
      </c>
      <c r="Z53" s="34">
        <f t="shared" si="18"/>
        <v>601</v>
      </c>
      <c r="AA53" s="49">
        <f>60-40-20</f>
        <v>0</v>
      </c>
      <c r="AB53" s="54">
        <f t="shared" si="19"/>
        <v>601</v>
      </c>
    </row>
    <row r="54" spans="1:28" s="31" customFormat="1" ht="16.5" customHeight="1" x14ac:dyDescent="0.2">
      <c r="A54" s="36">
        <v>36</v>
      </c>
      <c r="B54" s="37">
        <f>31-6+1</f>
        <v>26</v>
      </c>
      <c r="C54" s="37"/>
      <c r="D54" s="37">
        <f>71+9-4</f>
        <v>76</v>
      </c>
      <c r="E54" s="37"/>
      <c r="F54" s="37"/>
      <c r="G54" s="37"/>
      <c r="H54" s="37"/>
      <c r="I54" s="47">
        <f>20-7+1</f>
        <v>14</v>
      </c>
      <c r="J54" s="37">
        <f>5+3</f>
        <v>8</v>
      </c>
      <c r="K54" s="37"/>
      <c r="L54" s="37"/>
      <c r="M54" s="37"/>
      <c r="N54" s="37"/>
      <c r="O54" s="37"/>
      <c r="P54" s="37">
        <f>0+10+2</f>
        <v>12</v>
      </c>
      <c r="Q54" s="37"/>
      <c r="R54" s="37"/>
      <c r="S54" s="34">
        <f>0+10-5-1</f>
        <v>4</v>
      </c>
      <c r="T54" s="34"/>
      <c r="U54" s="37"/>
      <c r="V54" s="37"/>
      <c r="W54" s="37">
        <f>15+1-6-3-3</f>
        <v>4</v>
      </c>
      <c r="X54" s="37"/>
      <c r="Y54" s="47">
        <f>5+1+1+3</f>
        <v>10</v>
      </c>
      <c r="Z54" s="34">
        <f t="shared" si="18"/>
        <v>154</v>
      </c>
      <c r="AA54" s="49">
        <f>20-10-10</f>
        <v>0</v>
      </c>
      <c r="AB54" s="54">
        <f t="shared" si="19"/>
        <v>154</v>
      </c>
    </row>
    <row r="55" spans="1:28" s="31" customFormat="1" ht="16.5" customHeight="1" x14ac:dyDescent="0.2">
      <c r="A55" s="36">
        <v>37</v>
      </c>
      <c r="B55" s="37"/>
      <c r="C55" s="37"/>
      <c r="D55" s="37">
        <f>0+230+78+35+60+2</f>
        <v>405</v>
      </c>
      <c r="E55" s="37"/>
      <c r="F55" s="37"/>
      <c r="G55" s="39"/>
      <c r="H55" s="37"/>
      <c r="I55" s="47">
        <f>0+20</f>
        <v>20</v>
      </c>
      <c r="J55" s="37"/>
      <c r="K55" s="39"/>
      <c r="L55" s="39"/>
      <c r="M55" s="39"/>
      <c r="N55" s="39"/>
      <c r="O55" s="37"/>
      <c r="P55" s="37"/>
      <c r="Q55" s="39"/>
      <c r="R55" s="37"/>
      <c r="S55" s="34"/>
      <c r="T55" s="34"/>
      <c r="U55" s="39"/>
      <c r="V55" s="37"/>
      <c r="W55" s="37"/>
      <c r="X55" s="37"/>
      <c r="Y55" s="37"/>
      <c r="Z55" s="34">
        <f t="shared" si="18"/>
        <v>425</v>
      </c>
      <c r="AA55" s="49"/>
      <c r="AB55" s="54">
        <f t="shared" si="19"/>
        <v>425</v>
      </c>
    </row>
    <row r="56" spans="1:28" s="31" customFormat="1" ht="16.5" customHeight="1" x14ac:dyDescent="0.2">
      <c r="A56" s="36">
        <v>38</v>
      </c>
      <c r="B56" s="37"/>
      <c r="C56" s="37"/>
      <c r="D56" s="37">
        <f>300+3</f>
        <v>303</v>
      </c>
      <c r="E56" s="37"/>
      <c r="F56" s="37"/>
      <c r="G56" s="39"/>
      <c r="H56" s="37"/>
      <c r="I56" s="37"/>
      <c r="J56" s="37"/>
      <c r="K56" s="39"/>
      <c r="L56" s="39"/>
      <c r="M56" s="39"/>
      <c r="N56" s="39"/>
      <c r="O56" s="37"/>
      <c r="P56" s="37">
        <f>0+4</f>
        <v>4</v>
      </c>
      <c r="Q56" s="39"/>
      <c r="R56" s="37"/>
      <c r="S56" s="34"/>
      <c r="T56" s="34"/>
      <c r="U56" s="39"/>
      <c r="V56" s="37"/>
      <c r="W56" s="37"/>
      <c r="X56" s="37"/>
      <c r="Y56" s="37">
        <v>10</v>
      </c>
      <c r="Z56" s="34">
        <f t="shared" si="18"/>
        <v>317</v>
      </c>
      <c r="AA56" s="50"/>
      <c r="AB56" s="54">
        <f t="shared" si="19"/>
        <v>317</v>
      </c>
    </row>
    <row r="57" spans="1:28" s="31" customFormat="1" ht="16.5" customHeight="1" x14ac:dyDescent="0.2">
      <c r="A57" s="36">
        <v>39</v>
      </c>
      <c r="B57" s="37"/>
      <c r="C57" s="37"/>
      <c r="D57" s="37">
        <f>5-2-1</f>
        <v>2</v>
      </c>
      <c r="E57" s="37"/>
      <c r="F57" s="37"/>
      <c r="G57" s="39"/>
      <c r="H57" s="37"/>
      <c r="I57" s="37"/>
      <c r="J57" s="37"/>
      <c r="K57" s="39"/>
      <c r="L57" s="39"/>
      <c r="M57" s="39"/>
      <c r="N57" s="39"/>
      <c r="O57" s="37"/>
      <c r="P57" s="37"/>
      <c r="Q57" s="39"/>
      <c r="R57" s="37"/>
      <c r="S57" s="34"/>
      <c r="T57" s="34"/>
      <c r="U57" s="39"/>
      <c r="V57" s="37"/>
      <c r="W57" s="37"/>
      <c r="X57" s="37"/>
      <c r="Y57" s="37"/>
      <c r="Z57" s="34">
        <f t="shared" si="18"/>
        <v>2</v>
      </c>
      <c r="AA57" s="50"/>
      <c r="AB57" s="54">
        <f t="shared" si="19"/>
        <v>2</v>
      </c>
    </row>
    <row r="58" spans="1:28" s="31" customFormat="1" ht="16.5" customHeight="1" x14ac:dyDescent="0.2">
      <c r="A58" s="36">
        <v>40</v>
      </c>
      <c r="B58" s="37"/>
      <c r="C58" s="37"/>
      <c r="D58" s="37">
        <f>810-40-8-10+3</f>
        <v>755</v>
      </c>
      <c r="E58" s="37"/>
      <c r="F58" s="37"/>
      <c r="G58" s="39"/>
      <c r="H58" s="37"/>
      <c r="I58" s="37"/>
      <c r="J58" s="37"/>
      <c r="K58" s="39"/>
      <c r="L58" s="39"/>
      <c r="M58" s="39"/>
      <c r="N58" s="39"/>
      <c r="O58" s="37"/>
      <c r="P58" s="37">
        <f>0+2</f>
        <v>2</v>
      </c>
      <c r="Q58" s="39"/>
      <c r="R58" s="37"/>
      <c r="S58" s="34"/>
      <c r="T58" s="34"/>
      <c r="U58" s="39"/>
      <c r="V58" s="37"/>
      <c r="W58" s="37"/>
      <c r="X58" s="37"/>
      <c r="Y58" s="37">
        <f>10-3</f>
        <v>7</v>
      </c>
      <c r="Z58" s="34">
        <f t="shared" si="18"/>
        <v>764</v>
      </c>
      <c r="AA58" s="50"/>
      <c r="AB58" s="54">
        <f t="shared" si="19"/>
        <v>764</v>
      </c>
    </row>
    <row r="59" spans="1:28" s="31" customFormat="1" ht="16.5" customHeight="1" x14ac:dyDescent="0.2">
      <c r="A59" s="36">
        <v>41</v>
      </c>
      <c r="B59" s="34"/>
      <c r="C59" s="34"/>
      <c r="D59" s="37">
        <f>500-40-16-23</f>
        <v>421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>
        <f>70+15+1</f>
        <v>86</v>
      </c>
      <c r="Z59" s="34">
        <f t="shared" si="18"/>
        <v>507</v>
      </c>
      <c r="AA59" s="50"/>
      <c r="AB59" s="54">
        <f t="shared" si="19"/>
        <v>507</v>
      </c>
    </row>
    <row r="60" spans="1:28" s="53" customFormat="1" ht="16.5" customHeight="1" x14ac:dyDescent="0.2">
      <c r="A60" s="51" t="s">
        <v>247</v>
      </c>
      <c r="B60" s="52">
        <f t="shared" ref="B60:AB60" si="20">B61+B62</f>
        <v>25</v>
      </c>
      <c r="C60" s="52">
        <f t="shared" si="20"/>
        <v>0</v>
      </c>
      <c r="D60" s="52">
        <f t="shared" si="20"/>
        <v>0</v>
      </c>
      <c r="E60" s="52">
        <f t="shared" si="20"/>
        <v>0</v>
      </c>
      <c r="F60" s="52">
        <f t="shared" si="20"/>
        <v>0</v>
      </c>
      <c r="G60" s="52">
        <f t="shared" si="20"/>
        <v>0</v>
      </c>
      <c r="H60" s="52">
        <f t="shared" si="20"/>
        <v>0</v>
      </c>
      <c r="I60" s="52">
        <f t="shared" si="20"/>
        <v>0</v>
      </c>
      <c r="J60" s="52">
        <f t="shared" si="20"/>
        <v>0</v>
      </c>
      <c r="K60" s="52">
        <f t="shared" si="20"/>
        <v>0</v>
      </c>
      <c r="L60" s="52">
        <f t="shared" si="20"/>
        <v>0</v>
      </c>
      <c r="M60" s="52">
        <f t="shared" si="20"/>
        <v>0</v>
      </c>
      <c r="N60" s="52">
        <f t="shared" si="20"/>
        <v>0</v>
      </c>
      <c r="O60" s="52">
        <f t="shared" si="20"/>
        <v>0</v>
      </c>
      <c r="P60" s="52">
        <f t="shared" si="20"/>
        <v>0</v>
      </c>
      <c r="Q60" s="52">
        <f t="shared" si="20"/>
        <v>0</v>
      </c>
      <c r="R60" s="52">
        <f t="shared" si="20"/>
        <v>0</v>
      </c>
      <c r="S60" s="52">
        <f t="shared" si="20"/>
        <v>0</v>
      </c>
      <c r="T60" s="52">
        <f t="shared" si="20"/>
        <v>0</v>
      </c>
      <c r="U60" s="52">
        <f t="shared" si="20"/>
        <v>0</v>
      </c>
      <c r="V60" s="52">
        <f t="shared" si="20"/>
        <v>0</v>
      </c>
      <c r="W60" s="52">
        <f t="shared" si="20"/>
        <v>0</v>
      </c>
      <c r="X60" s="52">
        <f t="shared" si="20"/>
        <v>0</v>
      </c>
      <c r="Y60" s="52">
        <f t="shared" si="20"/>
        <v>47</v>
      </c>
      <c r="Z60" s="52">
        <f t="shared" si="20"/>
        <v>72</v>
      </c>
      <c r="AA60" s="52">
        <f t="shared" si="20"/>
        <v>0</v>
      </c>
      <c r="AB60" s="52">
        <f t="shared" si="20"/>
        <v>72</v>
      </c>
    </row>
    <row r="61" spans="1:28" s="31" customFormat="1" ht="16.5" customHeight="1" x14ac:dyDescent="0.2">
      <c r="A61" s="36">
        <v>42</v>
      </c>
      <c r="B61" s="34">
        <f>20-2</f>
        <v>18</v>
      </c>
      <c r="C61" s="37"/>
      <c r="D61" s="37"/>
      <c r="E61" s="37"/>
      <c r="F61" s="37"/>
      <c r="G61" s="39"/>
      <c r="H61" s="37"/>
      <c r="I61" s="37"/>
      <c r="J61" s="37"/>
      <c r="K61" s="39"/>
      <c r="L61" s="39"/>
      <c r="M61" s="39"/>
      <c r="N61" s="39"/>
      <c r="O61" s="37"/>
      <c r="P61" s="37"/>
      <c r="Q61" s="39"/>
      <c r="R61" s="37"/>
      <c r="S61" s="34"/>
      <c r="T61" s="34"/>
      <c r="U61" s="39"/>
      <c r="V61" s="37"/>
      <c r="W61" s="37"/>
      <c r="X61" s="37"/>
      <c r="Y61" s="37">
        <f>50-3</f>
        <v>47</v>
      </c>
      <c r="Z61" s="34">
        <f>I61+K61+U61+Q61+M61+N61+O61+P61+J61+V61+R61+T61+W61+L61+X61+G61+B61+H61+C61+D61+F61+E61+Y61+S61</f>
        <v>65</v>
      </c>
      <c r="AA61" s="50"/>
      <c r="AB61" s="54">
        <f>Z61+AA61</f>
        <v>65</v>
      </c>
    </row>
    <row r="62" spans="1:28" s="31" customFormat="1" ht="16.5" customHeight="1" x14ac:dyDescent="0.2">
      <c r="A62" s="36">
        <v>43</v>
      </c>
      <c r="B62" s="34">
        <f>10-3</f>
        <v>7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>
        <f>I62+K62+U62+Q62+M62+N62+O62+P62+J62+V62+R62+T62+W62+L62+X62+G62+B62+H62+C62+D62+F62+E62+Y62+S62</f>
        <v>7</v>
      </c>
      <c r="AA62" s="50"/>
      <c r="AB62" s="54">
        <f>Z62+AA62</f>
        <v>7</v>
      </c>
    </row>
    <row r="63" spans="1:28" s="53" customFormat="1" ht="16.5" customHeight="1" x14ac:dyDescent="0.2">
      <c r="A63" s="51" t="s">
        <v>248</v>
      </c>
      <c r="B63" s="52">
        <f t="shared" ref="B63:AB63" si="21">SUM(B64:B69)</f>
        <v>357</v>
      </c>
      <c r="C63" s="52">
        <f t="shared" si="21"/>
        <v>0</v>
      </c>
      <c r="D63" s="52">
        <f t="shared" si="21"/>
        <v>0</v>
      </c>
      <c r="E63" s="52">
        <f t="shared" si="21"/>
        <v>54</v>
      </c>
      <c r="F63" s="52">
        <f t="shared" si="21"/>
        <v>0</v>
      </c>
      <c r="G63" s="52">
        <f t="shared" si="21"/>
        <v>0</v>
      </c>
      <c r="H63" s="52">
        <f t="shared" si="21"/>
        <v>216</v>
      </c>
      <c r="I63" s="52">
        <f t="shared" si="21"/>
        <v>196</v>
      </c>
      <c r="J63" s="52">
        <f t="shared" si="21"/>
        <v>202</v>
      </c>
      <c r="K63" s="52">
        <f t="shared" si="21"/>
        <v>0</v>
      </c>
      <c r="L63" s="52">
        <f t="shared" si="21"/>
        <v>0</v>
      </c>
      <c r="M63" s="52">
        <f t="shared" si="21"/>
        <v>0</v>
      </c>
      <c r="N63" s="52">
        <f t="shared" si="21"/>
        <v>62</v>
      </c>
      <c r="O63" s="52">
        <f t="shared" si="21"/>
        <v>259</v>
      </c>
      <c r="P63" s="52">
        <f t="shared" si="21"/>
        <v>210</v>
      </c>
      <c r="Q63" s="52">
        <f t="shared" si="21"/>
        <v>0</v>
      </c>
      <c r="R63" s="52">
        <f t="shared" si="21"/>
        <v>34</v>
      </c>
      <c r="S63" s="52">
        <f t="shared" si="21"/>
        <v>0</v>
      </c>
      <c r="T63" s="52">
        <f t="shared" si="21"/>
        <v>25</v>
      </c>
      <c r="U63" s="52">
        <f t="shared" si="21"/>
        <v>20</v>
      </c>
      <c r="V63" s="52">
        <f t="shared" si="21"/>
        <v>132</v>
      </c>
      <c r="W63" s="52">
        <f t="shared" si="21"/>
        <v>14</v>
      </c>
      <c r="X63" s="52">
        <f t="shared" si="21"/>
        <v>0</v>
      </c>
      <c r="Y63" s="52">
        <f t="shared" si="21"/>
        <v>50</v>
      </c>
      <c r="Z63" s="52">
        <f t="shared" si="21"/>
        <v>1831</v>
      </c>
      <c r="AA63" s="52">
        <f t="shared" si="21"/>
        <v>0</v>
      </c>
      <c r="AB63" s="52">
        <f t="shared" si="21"/>
        <v>1831</v>
      </c>
    </row>
    <row r="64" spans="1:28" s="31" customFormat="1" ht="16.5" customHeight="1" x14ac:dyDescent="0.2">
      <c r="A64" s="33">
        <v>44</v>
      </c>
      <c r="B64" s="34">
        <f>70+4+3</f>
        <v>77</v>
      </c>
      <c r="C64" s="34"/>
      <c r="D64" s="34"/>
      <c r="E64" s="34">
        <f>55+2-4</f>
        <v>53</v>
      </c>
      <c r="F64" s="34"/>
      <c r="G64" s="34"/>
      <c r="H64" s="34">
        <v>54</v>
      </c>
      <c r="I64" s="34">
        <f>60+20-15-11</f>
        <v>54</v>
      </c>
      <c r="J64" s="34">
        <v>55</v>
      </c>
      <c r="K64" s="34"/>
      <c r="L64" s="34"/>
      <c r="M64" s="34"/>
      <c r="N64" s="34">
        <f>20-9</f>
        <v>11</v>
      </c>
      <c r="O64" s="34">
        <f>217+30+1</f>
        <v>248</v>
      </c>
      <c r="P64" s="34">
        <v>10</v>
      </c>
      <c r="Q64" s="34"/>
      <c r="R64" s="34">
        <f>8-1+6+2</f>
        <v>15</v>
      </c>
      <c r="S64" s="34"/>
      <c r="T64" s="34">
        <v>15</v>
      </c>
      <c r="U64" s="34"/>
      <c r="V64" s="34">
        <f>42+18-2+1</f>
        <v>59</v>
      </c>
      <c r="W64" s="34"/>
      <c r="X64" s="34"/>
      <c r="Y64" s="34"/>
      <c r="Z64" s="34">
        <f t="shared" ref="Z64:Z69" si="22">I64+K64+U64+Q64+M64+N64+O64+P64+J64+V64+R64+T64+W64+L64+X64+G64+B64+H64+C64+D64+F64+E64+Y64+S64</f>
        <v>651</v>
      </c>
      <c r="AA64" s="50"/>
      <c r="AB64" s="54">
        <f t="shared" ref="AB64:AB69" si="23">Z64+AA64</f>
        <v>651</v>
      </c>
    </row>
    <row r="65" spans="1:28" s="31" customFormat="1" ht="16.5" customHeight="1" x14ac:dyDescent="0.2">
      <c r="A65" s="33">
        <v>45</v>
      </c>
      <c r="B65" s="34">
        <f>30-3-2</f>
        <v>25</v>
      </c>
      <c r="C65" s="34"/>
      <c r="D65" s="34"/>
      <c r="E65" s="34"/>
      <c r="F65" s="34"/>
      <c r="G65" s="34"/>
      <c r="H65" s="34"/>
      <c r="I65" s="34">
        <f>35+5+1</f>
        <v>41</v>
      </c>
      <c r="J65" s="34">
        <v>20</v>
      </c>
      <c r="K65" s="34"/>
      <c r="L65" s="34"/>
      <c r="M65" s="34"/>
      <c r="N65" s="34">
        <f>18-5+2</f>
        <v>15</v>
      </c>
      <c r="O65" s="34">
        <f>3-2</f>
        <v>1</v>
      </c>
      <c r="P65" s="34"/>
      <c r="Q65" s="34"/>
      <c r="R65" s="34">
        <f>10-1-1</f>
        <v>8</v>
      </c>
      <c r="S65" s="34"/>
      <c r="T65" s="34">
        <v>8</v>
      </c>
      <c r="U65" s="34">
        <f>15+5</f>
        <v>20</v>
      </c>
      <c r="V65" s="34">
        <v>57</v>
      </c>
      <c r="W65" s="34"/>
      <c r="X65" s="34"/>
      <c r="Y65" s="34"/>
      <c r="Z65" s="34">
        <f t="shared" si="22"/>
        <v>195</v>
      </c>
      <c r="AA65" s="50"/>
      <c r="AB65" s="54">
        <f t="shared" si="23"/>
        <v>195</v>
      </c>
    </row>
    <row r="66" spans="1:28" s="31" customFormat="1" ht="16.5" customHeight="1" x14ac:dyDescent="0.2">
      <c r="A66" s="33">
        <v>46</v>
      </c>
      <c r="B66" s="34"/>
      <c r="C66" s="34"/>
      <c r="D66" s="34"/>
      <c r="E66" s="34">
        <f>5-3-1</f>
        <v>1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>
        <f>0+1</f>
        <v>1</v>
      </c>
      <c r="S66" s="34"/>
      <c r="T66" s="34">
        <v>2</v>
      </c>
      <c r="U66" s="34"/>
      <c r="V66" s="34"/>
      <c r="W66" s="34">
        <f>15-15</f>
        <v>0</v>
      </c>
      <c r="X66" s="34"/>
      <c r="Y66" s="34"/>
      <c r="Z66" s="34">
        <f t="shared" si="22"/>
        <v>4</v>
      </c>
      <c r="AA66" s="50"/>
      <c r="AB66" s="54">
        <f t="shared" si="23"/>
        <v>4</v>
      </c>
    </row>
    <row r="67" spans="1:28" s="31" customFormat="1" ht="16.5" customHeight="1" x14ac:dyDescent="0.2">
      <c r="A67" s="36">
        <v>47</v>
      </c>
      <c r="B67" s="34">
        <f>300-150</f>
        <v>150</v>
      </c>
      <c r="C67" s="34"/>
      <c r="D67" s="34"/>
      <c r="E67" s="34"/>
      <c r="F67" s="34"/>
      <c r="G67" s="45"/>
      <c r="H67" s="34">
        <f>162-20+20</f>
        <v>162</v>
      </c>
      <c r="I67" s="34">
        <f>100-27+17+5</f>
        <v>95</v>
      </c>
      <c r="J67" s="34">
        <f>125+2</f>
        <v>127</v>
      </c>
      <c r="K67" s="45"/>
      <c r="L67" s="45"/>
      <c r="M67" s="45"/>
      <c r="N67" s="34">
        <f>35+1</f>
        <v>36</v>
      </c>
      <c r="O67" s="34"/>
      <c r="P67" s="34">
        <f>150+15</f>
        <v>165</v>
      </c>
      <c r="Q67" s="45"/>
      <c r="R67" s="34">
        <f>7+1+1+1</f>
        <v>10</v>
      </c>
      <c r="S67" s="34"/>
      <c r="T67" s="34"/>
      <c r="U67" s="45"/>
      <c r="V67" s="34">
        <f>30-10-3-1</f>
        <v>16</v>
      </c>
      <c r="W67" s="34">
        <f>0+15-1</f>
        <v>14</v>
      </c>
      <c r="X67" s="34"/>
      <c r="Y67" s="34">
        <v>50</v>
      </c>
      <c r="Z67" s="34">
        <f t="shared" si="22"/>
        <v>825</v>
      </c>
      <c r="AA67" s="50"/>
      <c r="AB67" s="54">
        <f t="shared" si="23"/>
        <v>825</v>
      </c>
    </row>
    <row r="68" spans="1:28" s="31" customFormat="1" ht="16.5" customHeight="1" x14ac:dyDescent="0.2">
      <c r="A68" s="36">
        <v>48</v>
      </c>
      <c r="B68" s="34">
        <f>0+105</f>
        <v>105</v>
      </c>
      <c r="C68" s="34"/>
      <c r="D68" s="34"/>
      <c r="E68" s="34"/>
      <c r="F68" s="34"/>
      <c r="G68" s="34"/>
      <c r="H68" s="34">
        <f>0+20-20</f>
        <v>0</v>
      </c>
      <c r="I68" s="34">
        <f>0+27-20-1</f>
        <v>6</v>
      </c>
      <c r="J68" s="34"/>
      <c r="K68" s="34"/>
      <c r="L68" s="34"/>
      <c r="M68" s="34"/>
      <c r="N68" s="34"/>
      <c r="O68" s="34"/>
      <c r="P68" s="34">
        <f>50-15</f>
        <v>35</v>
      </c>
      <c r="Q68" s="34"/>
      <c r="R68" s="34"/>
      <c r="S68" s="34"/>
      <c r="T68" s="34"/>
      <c r="U68" s="34"/>
      <c r="V68" s="34"/>
      <c r="W68" s="34"/>
      <c r="X68" s="34"/>
      <c r="Y68" s="34"/>
      <c r="Z68" s="34">
        <f t="shared" si="22"/>
        <v>146</v>
      </c>
      <c r="AA68" s="50"/>
      <c r="AB68" s="54">
        <f t="shared" si="23"/>
        <v>146</v>
      </c>
    </row>
    <row r="69" spans="1:28" s="31" customFormat="1" ht="16.5" customHeight="1" x14ac:dyDescent="0.2">
      <c r="A69" s="36">
        <v>49</v>
      </c>
      <c r="B69" s="34"/>
      <c r="C69" s="37"/>
      <c r="D69" s="37"/>
      <c r="E69" s="37"/>
      <c r="F69" s="37"/>
      <c r="G69" s="39"/>
      <c r="H69" s="34"/>
      <c r="I69" s="37"/>
      <c r="J69" s="37"/>
      <c r="K69" s="39"/>
      <c r="L69" s="39"/>
      <c r="M69" s="39"/>
      <c r="N69" s="37"/>
      <c r="O69" s="37">
        <f>7+1+2</f>
        <v>10</v>
      </c>
      <c r="P69" s="34"/>
      <c r="Q69" s="39"/>
      <c r="R69" s="37"/>
      <c r="S69" s="34"/>
      <c r="T69" s="34"/>
      <c r="U69" s="39"/>
      <c r="V69" s="37"/>
      <c r="W69" s="37"/>
      <c r="X69" s="37"/>
      <c r="Y69" s="37"/>
      <c r="Z69" s="34">
        <f t="shared" si="22"/>
        <v>10</v>
      </c>
      <c r="AA69" s="50"/>
      <c r="AB69" s="54">
        <f t="shared" si="23"/>
        <v>10</v>
      </c>
    </row>
    <row r="70" spans="1:28" s="53" customFormat="1" ht="16.5" customHeight="1" x14ac:dyDescent="0.2">
      <c r="A70" s="51" t="s">
        <v>249</v>
      </c>
      <c r="B70" s="52">
        <f t="shared" ref="B70:AB70" si="24">B71+B72</f>
        <v>135</v>
      </c>
      <c r="C70" s="52">
        <f t="shared" si="24"/>
        <v>0</v>
      </c>
      <c r="D70" s="52">
        <f t="shared" si="24"/>
        <v>0</v>
      </c>
      <c r="E70" s="52">
        <f t="shared" si="24"/>
        <v>136</v>
      </c>
      <c r="F70" s="52">
        <f t="shared" si="24"/>
        <v>0</v>
      </c>
      <c r="G70" s="52">
        <f t="shared" si="24"/>
        <v>0</v>
      </c>
      <c r="H70" s="52">
        <f t="shared" si="24"/>
        <v>0</v>
      </c>
      <c r="I70" s="52">
        <f t="shared" si="24"/>
        <v>29</v>
      </c>
      <c r="J70" s="52">
        <f t="shared" si="24"/>
        <v>10</v>
      </c>
      <c r="K70" s="52">
        <f t="shared" si="24"/>
        <v>0</v>
      </c>
      <c r="L70" s="52">
        <f t="shared" si="24"/>
        <v>0</v>
      </c>
      <c r="M70" s="52">
        <f t="shared" si="24"/>
        <v>0</v>
      </c>
      <c r="N70" s="52">
        <f t="shared" si="24"/>
        <v>0</v>
      </c>
      <c r="O70" s="52">
        <f t="shared" si="24"/>
        <v>37</v>
      </c>
      <c r="P70" s="52">
        <f t="shared" si="24"/>
        <v>0</v>
      </c>
      <c r="Q70" s="52">
        <f t="shared" si="24"/>
        <v>0</v>
      </c>
      <c r="R70" s="52">
        <f t="shared" si="24"/>
        <v>0</v>
      </c>
      <c r="S70" s="52">
        <f t="shared" si="24"/>
        <v>0</v>
      </c>
      <c r="T70" s="52">
        <f t="shared" si="24"/>
        <v>0</v>
      </c>
      <c r="U70" s="52">
        <f t="shared" si="24"/>
        <v>0</v>
      </c>
      <c r="V70" s="52">
        <f t="shared" si="24"/>
        <v>0</v>
      </c>
      <c r="W70" s="52">
        <f t="shared" si="24"/>
        <v>12</v>
      </c>
      <c r="X70" s="52">
        <f t="shared" si="24"/>
        <v>40</v>
      </c>
      <c r="Y70" s="52">
        <f t="shared" si="24"/>
        <v>130</v>
      </c>
      <c r="Z70" s="52">
        <f t="shared" si="24"/>
        <v>529</v>
      </c>
      <c r="AA70" s="52">
        <f t="shared" si="24"/>
        <v>0</v>
      </c>
      <c r="AB70" s="52">
        <f t="shared" si="24"/>
        <v>529</v>
      </c>
    </row>
    <row r="71" spans="1:28" s="31" customFormat="1" ht="16.5" customHeight="1" x14ac:dyDescent="0.2">
      <c r="A71" s="36">
        <v>50</v>
      </c>
      <c r="B71" s="34">
        <f>100+10+15</f>
        <v>125</v>
      </c>
      <c r="C71" s="34"/>
      <c r="D71" s="34"/>
      <c r="E71" s="34">
        <f>140+5-1-8</f>
        <v>136</v>
      </c>
      <c r="F71" s="34"/>
      <c r="G71" s="34"/>
      <c r="H71" s="34"/>
      <c r="I71" s="34">
        <f>30-1</f>
        <v>29</v>
      </c>
      <c r="J71" s="34">
        <v>10</v>
      </c>
      <c r="K71" s="34"/>
      <c r="L71" s="34"/>
      <c r="M71" s="34"/>
      <c r="N71" s="34"/>
      <c r="O71" s="34">
        <f>35+1+1</f>
        <v>37</v>
      </c>
      <c r="P71" s="34"/>
      <c r="Q71" s="34"/>
      <c r="R71" s="34"/>
      <c r="S71" s="34"/>
      <c r="T71" s="34"/>
      <c r="U71" s="34"/>
      <c r="V71" s="34"/>
      <c r="W71" s="34">
        <f>10+2</f>
        <v>12</v>
      </c>
      <c r="X71" s="34">
        <v>30</v>
      </c>
      <c r="Y71" s="34">
        <v>130</v>
      </c>
      <c r="Z71" s="34">
        <f>I71+K71+U71+Q71+M71+N71+O71+P71+J71+V71+R71+T71+W71+L71+X71+G71+B71+H71+C71+D71+F71+E71+Y71+S71</f>
        <v>509</v>
      </c>
      <c r="AA71" s="50"/>
      <c r="AB71" s="54">
        <f>Z71+AA71</f>
        <v>509</v>
      </c>
    </row>
    <row r="72" spans="1:28" s="31" customFormat="1" ht="16.5" customHeight="1" x14ac:dyDescent="0.2">
      <c r="A72" s="36">
        <v>51</v>
      </c>
      <c r="B72" s="34">
        <f>20-10</f>
        <v>10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>
        <f>2-2</f>
        <v>0</v>
      </c>
      <c r="W72" s="34"/>
      <c r="X72" s="34">
        <v>10</v>
      </c>
      <c r="Y72" s="34"/>
      <c r="Z72" s="34">
        <f>I72+K72+U72+Q72+M72+N72+O72+P72+J72+V72+R72+T72+W72+L72+X72+G72+B72+H72+C72+D72+F72+E72+Y72+S72</f>
        <v>20</v>
      </c>
      <c r="AA72" s="50"/>
      <c r="AB72" s="54">
        <f>Z72+AA72</f>
        <v>20</v>
      </c>
    </row>
    <row r="73" spans="1:28" s="53" customFormat="1" ht="16.5" customHeight="1" x14ac:dyDescent="0.2">
      <c r="A73" s="51" t="s">
        <v>250</v>
      </c>
      <c r="B73" s="52">
        <f t="shared" ref="B73:AB73" si="25">B74</f>
        <v>0</v>
      </c>
      <c r="C73" s="52">
        <f t="shared" si="25"/>
        <v>0</v>
      </c>
      <c r="D73" s="52">
        <f t="shared" si="25"/>
        <v>0</v>
      </c>
      <c r="E73" s="52">
        <f t="shared" si="25"/>
        <v>51</v>
      </c>
      <c r="F73" s="52">
        <f t="shared" si="25"/>
        <v>0</v>
      </c>
      <c r="G73" s="52">
        <f t="shared" si="25"/>
        <v>0</v>
      </c>
      <c r="H73" s="52">
        <f t="shared" si="25"/>
        <v>0</v>
      </c>
      <c r="I73" s="52">
        <f t="shared" si="25"/>
        <v>0</v>
      </c>
      <c r="J73" s="52">
        <f t="shared" si="25"/>
        <v>62</v>
      </c>
      <c r="K73" s="52">
        <f t="shared" si="25"/>
        <v>0</v>
      </c>
      <c r="L73" s="52">
        <f t="shared" si="25"/>
        <v>0</v>
      </c>
      <c r="M73" s="52">
        <f t="shared" si="25"/>
        <v>0</v>
      </c>
      <c r="N73" s="52">
        <f t="shared" si="25"/>
        <v>0</v>
      </c>
      <c r="O73" s="52">
        <f t="shared" si="25"/>
        <v>0</v>
      </c>
      <c r="P73" s="52">
        <f t="shared" si="25"/>
        <v>0</v>
      </c>
      <c r="Q73" s="52">
        <f t="shared" si="25"/>
        <v>0</v>
      </c>
      <c r="R73" s="52">
        <f t="shared" si="25"/>
        <v>0</v>
      </c>
      <c r="S73" s="52">
        <f t="shared" si="25"/>
        <v>0</v>
      </c>
      <c r="T73" s="52">
        <f t="shared" si="25"/>
        <v>0</v>
      </c>
      <c r="U73" s="52">
        <f t="shared" si="25"/>
        <v>0</v>
      </c>
      <c r="V73" s="52">
        <f t="shared" si="25"/>
        <v>20</v>
      </c>
      <c r="W73" s="52">
        <f t="shared" si="25"/>
        <v>0</v>
      </c>
      <c r="X73" s="52">
        <f t="shared" si="25"/>
        <v>0</v>
      </c>
      <c r="Y73" s="52">
        <f t="shared" si="25"/>
        <v>0</v>
      </c>
      <c r="Z73" s="52">
        <f t="shared" si="25"/>
        <v>133</v>
      </c>
      <c r="AA73" s="52">
        <f t="shared" si="25"/>
        <v>0</v>
      </c>
      <c r="AB73" s="52">
        <f t="shared" si="25"/>
        <v>133</v>
      </c>
    </row>
    <row r="74" spans="1:28" s="31" customFormat="1" ht="16.5" customHeight="1" x14ac:dyDescent="0.2">
      <c r="A74" s="36">
        <v>52</v>
      </c>
      <c r="B74" s="34"/>
      <c r="C74" s="34"/>
      <c r="D74" s="34"/>
      <c r="E74" s="34">
        <f>40+5+5+1</f>
        <v>51</v>
      </c>
      <c r="F74" s="34"/>
      <c r="G74" s="34"/>
      <c r="H74" s="34"/>
      <c r="I74" s="34"/>
      <c r="J74" s="34">
        <f>60+2</f>
        <v>62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>
        <v>20</v>
      </c>
      <c r="W74" s="34"/>
      <c r="X74" s="34"/>
      <c r="Y74" s="34"/>
      <c r="Z74" s="34">
        <f>I74+K74+U74+Q74+M74+N74+O74+P74+J74+V74+R74+T74+W74+L74+X74+G74+B74+H74+C74+D74+F74+E74+Y74+S74</f>
        <v>133</v>
      </c>
      <c r="AA74" s="50"/>
      <c r="AB74" s="54">
        <f>Z74+AA74</f>
        <v>133</v>
      </c>
    </row>
    <row r="75" spans="1:28" s="53" customFormat="1" ht="16.5" customHeight="1" x14ac:dyDescent="0.2">
      <c r="A75" s="51" t="s">
        <v>251</v>
      </c>
      <c r="B75" s="52">
        <f t="shared" ref="B75:AB75" si="26">B76+B77</f>
        <v>10</v>
      </c>
      <c r="C75" s="52">
        <f t="shared" si="26"/>
        <v>0</v>
      </c>
      <c r="D75" s="52">
        <f t="shared" si="26"/>
        <v>0</v>
      </c>
      <c r="E75" s="52">
        <f t="shared" si="26"/>
        <v>35</v>
      </c>
      <c r="F75" s="52">
        <f t="shared" si="26"/>
        <v>0</v>
      </c>
      <c r="G75" s="52">
        <f t="shared" si="26"/>
        <v>0</v>
      </c>
      <c r="H75" s="52">
        <f t="shared" si="26"/>
        <v>0</v>
      </c>
      <c r="I75" s="52">
        <f t="shared" si="26"/>
        <v>0</v>
      </c>
      <c r="J75" s="52">
        <f t="shared" si="26"/>
        <v>20</v>
      </c>
      <c r="K75" s="52">
        <f t="shared" si="26"/>
        <v>0</v>
      </c>
      <c r="L75" s="52">
        <f t="shared" si="26"/>
        <v>0</v>
      </c>
      <c r="M75" s="52">
        <f t="shared" si="26"/>
        <v>0</v>
      </c>
      <c r="N75" s="52">
        <f t="shared" si="26"/>
        <v>0</v>
      </c>
      <c r="O75" s="52">
        <f t="shared" si="26"/>
        <v>0</v>
      </c>
      <c r="P75" s="52">
        <f t="shared" si="26"/>
        <v>0</v>
      </c>
      <c r="Q75" s="52">
        <f t="shared" si="26"/>
        <v>0</v>
      </c>
      <c r="R75" s="52">
        <f t="shared" si="26"/>
        <v>0</v>
      </c>
      <c r="S75" s="52">
        <f t="shared" si="26"/>
        <v>0</v>
      </c>
      <c r="T75" s="52">
        <f t="shared" si="26"/>
        <v>0</v>
      </c>
      <c r="U75" s="52">
        <f t="shared" si="26"/>
        <v>0</v>
      </c>
      <c r="V75" s="52">
        <f t="shared" si="26"/>
        <v>0</v>
      </c>
      <c r="W75" s="52">
        <f t="shared" si="26"/>
        <v>0</v>
      </c>
      <c r="X75" s="52">
        <f t="shared" si="26"/>
        <v>0</v>
      </c>
      <c r="Y75" s="52">
        <f t="shared" si="26"/>
        <v>40</v>
      </c>
      <c r="Z75" s="52">
        <f t="shared" si="26"/>
        <v>105</v>
      </c>
      <c r="AA75" s="52">
        <f t="shared" si="26"/>
        <v>0</v>
      </c>
      <c r="AB75" s="52">
        <f t="shared" si="26"/>
        <v>105</v>
      </c>
    </row>
    <row r="76" spans="1:28" s="31" customFormat="1" ht="16.5" customHeight="1" x14ac:dyDescent="0.2">
      <c r="A76" s="36">
        <v>53</v>
      </c>
      <c r="B76" s="34">
        <v>10</v>
      </c>
      <c r="C76" s="34"/>
      <c r="D76" s="34"/>
      <c r="E76" s="34">
        <f>25+5+3+2</f>
        <v>35</v>
      </c>
      <c r="F76" s="34"/>
      <c r="G76" s="34"/>
      <c r="H76" s="34"/>
      <c r="I76" s="34"/>
      <c r="J76" s="34">
        <v>20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>
        <v>40</v>
      </c>
      <c r="Z76" s="34">
        <f>I76+K76+U76+Q76+M76+N76+O76+P76+J76+V76+R76+T76+W76+L76+X76+G76+B76+H76+C76+D76+F76+E76+Y76+S76</f>
        <v>105</v>
      </c>
      <c r="AA76" s="50"/>
      <c r="AB76" s="54">
        <f>Z76+AA76</f>
        <v>105</v>
      </c>
    </row>
    <row r="77" spans="1:28" s="31" customFormat="1" ht="16.5" customHeight="1" x14ac:dyDescent="0.2">
      <c r="A77" s="36">
        <v>54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>
        <f>I77+K77+U77+Q77+M77+N77+O77+P77+J77+V77+R77+T77+W77+L77+X77+G77+B77+H77+C77+D77+F77+E77+Y77+S77</f>
        <v>0</v>
      </c>
      <c r="AA77" s="50"/>
      <c r="AB77" s="54">
        <f>Z77+AA77</f>
        <v>0</v>
      </c>
    </row>
    <row r="78" spans="1:28" s="53" customFormat="1" ht="16.5" customHeight="1" x14ac:dyDescent="0.2">
      <c r="A78" s="51" t="s">
        <v>5</v>
      </c>
      <c r="B78" s="52">
        <f t="shared" ref="B78:AB78" si="27">B4+B7+B10+B12+B15+B17+B19+B22+B29+B32+B36+B39+B46+B48+B60+B63+B70+B73+B75+B42</f>
        <v>2426</v>
      </c>
      <c r="C78" s="52">
        <f t="shared" si="27"/>
        <v>1225</v>
      </c>
      <c r="D78" s="52">
        <f t="shared" si="27"/>
        <v>3327</v>
      </c>
      <c r="E78" s="52">
        <f t="shared" si="27"/>
        <v>908</v>
      </c>
      <c r="F78" s="52">
        <f t="shared" si="27"/>
        <v>623</v>
      </c>
      <c r="G78" s="52">
        <f t="shared" si="27"/>
        <v>52</v>
      </c>
      <c r="H78" s="52">
        <f t="shared" si="27"/>
        <v>216</v>
      </c>
      <c r="I78" s="52">
        <f t="shared" si="27"/>
        <v>1096</v>
      </c>
      <c r="J78" s="52">
        <f t="shared" si="27"/>
        <v>1214</v>
      </c>
      <c r="K78" s="52">
        <f t="shared" si="27"/>
        <v>300</v>
      </c>
      <c r="L78" s="52">
        <f t="shared" si="27"/>
        <v>2423</v>
      </c>
      <c r="M78" s="52">
        <f t="shared" si="27"/>
        <v>200</v>
      </c>
      <c r="N78" s="52">
        <f t="shared" si="27"/>
        <v>281</v>
      </c>
      <c r="O78" s="52">
        <f t="shared" si="27"/>
        <v>442</v>
      </c>
      <c r="P78" s="52">
        <f t="shared" si="27"/>
        <v>743</v>
      </c>
      <c r="Q78" s="52">
        <f t="shared" si="27"/>
        <v>20</v>
      </c>
      <c r="R78" s="52">
        <f t="shared" si="27"/>
        <v>242</v>
      </c>
      <c r="S78" s="52">
        <f t="shared" si="27"/>
        <v>113</v>
      </c>
      <c r="T78" s="52">
        <f t="shared" si="27"/>
        <v>32</v>
      </c>
      <c r="U78" s="52">
        <f t="shared" si="27"/>
        <v>20</v>
      </c>
      <c r="V78" s="52">
        <f t="shared" si="27"/>
        <v>833</v>
      </c>
      <c r="W78" s="52">
        <f t="shared" si="27"/>
        <v>276</v>
      </c>
      <c r="X78" s="52">
        <f t="shared" si="27"/>
        <v>240</v>
      </c>
      <c r="Y78" s="52">
        <f t="shared" si="27"/>
        <v>1569</v>
      </c>
      <c r="Z78" s="52">
        <f t="shared" si="27"/>
        <v>18821</v>
      </c>
      <c r="AA78" s="52">
        <f t="shared" si="27"/>
        <v>0</v>
      </c>
      <c r="AB78" s="52">
        <f t="shared" si="27"/>
        <v>18821</v>
      </c>
    </row>
  </sheetData>
  <mergeCells count="1">
    <mergeCell ref="A1:AB1"/>
  </mergeCells>
  <pageMargins left="0.19685039370078741" right="0.19685039370078741" top="0" bottom="0" header="0.31496062992125984" footer="0.31496062992125984"/>
  <pageSetup paperSize="9" scale="75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L142" sqref="L142"/>
    </sheetView>
  </sheetViews>
  <sheetFormatPr defaultRowHeight="12" x14ac:dyDescent="0.2"/>
  <cols>
    <col min="1" max="1" width="5.42578125" style="106" customWidth="1"/>
    <col min="2" max="2" width="47.5703125" style="106" customWidth="1"/>
    <col min="3" max="3" width="11" style="106" customWidth="1"/>
    <col min="4" max="4" width="11.28515625" style="106" customWidth="1"/>
    <col min="5" max="5" width="10" style="106" customWidth="1"/>
    <col min="6" max="6" width="9.42578125" style="106" customWidth="1"/>
    <col min="7" max="7" width="10.28515625" style="106" customWidth="1"/>
    <col min="8" max="8" width="11.140625" style="106" customWidth="1"/>
    <col min="9" max="9" width="12.42578125" style="106" customWidth="1"/>
    <col min="10" max="16384" width="9.140625" style="106"/>
  </cols>
  <sheetData>
    <row r="1" spans="1:9" ht="23.25" customHeight="1" x14ac:dyDescent="0.2">
      <c r="A1" s="198" t="s">
        <v>150</v>
      </c>
      <c r="B1" s="198"/>
      <c r="C1" s="198"/>
      <c r="D1" s="198"/>
      <c r="E1" s="198"/>
      <c r="F1" s="198"/>
      <c r="G1" s="198"/>
      <c r="H1" s="198"/>
      <c r="I1" s="198"/>
    </row>
    <row r="2" spans="1:9" s="108" customFormat="1" ht="15" customHeight="1" x14ac:dyDescent="0.2">
      <c r="A2" s="107"/>
      <c r="G2" s="199" t="s">
        <v>38</v>
      </c>
      <c r="H2" s="199"/>
      <c r="I2" s="199"/>
    </row>
    <row r="3" spans="1:9" s="109" customFormat="1" ht="15" customHeight="1" x14ac:dyDescent="0.2">
      <c r="A3" s="200" t="s">
        <v>7</v>
      </c>
      <c r="B3" s="200" t="s">
        <v>0</v>
      </c>
      <c r="C3" s="200" t="s">
        <v>151</v>
      </c>
      <c r="D3" s="200" t="s">
        <v>39</v>
      </c>
      <c r="E3" s="202" t="s">
        <v>152</v>
      </c>
      <c r="F3" s="203"/>
      <c r="G3" s="203"/>
      <c r="H3" s="204"/>
      <c r="I3" s="205" t="s">
        <v>153</v>
      </c>
    </row>
    <row r="4" spans="1:9" s="112" customFormat="1" ht="57.75" customHeight="1" x14ac:dyDescent="0.25">
      <c r="A4" s="201"/>
      <c r="B4" s="201"/>
      <c r="C4" s="201"/>
      <c r="D4" s="201"/>
      <c r="E4" s="110" t="s">
        <v>154</v>
      </c>
      <c r="F4" s="111" t="s">
        <v>155</v>
      </c>
      <c r="G4" s="111" t="s">
        <v>156</v>
      </c>
      <c r="H4" s="111" t="s">
        <v>157</v>
      </c>
      <c r="I4" s="206"/>
    </row>
    <row r="5" spans="1:9" s="109" customFormat="1" x14ac:dyDescent="0.2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  <c r="H5" s="111">
        <v>8</v>
      </c>
      <c r="I5" s="113">
        <v>9</v>
      </c>
    </row>
    <row r="6" spans="1:9" s="108" customFormat="1" x14ac:dyDescent="0.2">
      <c r="A6" s="111">
        <v>1</v>
      </c>
      <c r="B6" s="114" t="s">
        <v>12</v>
      </c>
      <c r="C6" s="111">
        <f t="shared" ref="C6:C70" si="0">D6+I6</f>
        <v>3593</v>
      </c>
      <c r="D6" s="111">
        <f>3656-2-2-5-21+24-57</f>
        <v>3593</v>
      </c>
      <c r="E6" s="111">
        <v>294</v>
      </c>
      <c r="F6" s="111"/>
      <c r="G6" s="111"/>
      <c r="H6" s="111">
        <f>815-21+24</f>
        <v>818</v>
      </c>
      <c r="I6" s="111"/>
    </row>
    <row r="7" spans="1:9" s="108" customFormat="1" x14ac:dyDescent="0.2">
      <c r="A7" s="111">
        <v>2</v>
      </c>
      <c r="B7" s="114" t="s">
        <v>13</v>
      </c>
      <c r="C7" s="111">
        <f t="shared" si="0"/>
        <v>2892</v>
      </c>
      <c r="D7" s="111">
        <f>2920-1-2-25</f>
        <v>2892</v>
      </c>
      <c r="E7" s="111">
        <v>244</v>
      </c>
      <c r="F7" s="111"/>
      <c r="G7" s="111"/>
      <c r="H7" s="111"/>
      <c r="I7" s="111"/>
    </row>
    <row r="8" spans="1:9" s="108" customFormat="1" x14ac:dyDescent="0.2">
      <c r="A8" s="200">
        <v>3</v>
      </c>
      <c r="B8" s="114" t="s">
        <v>40</v>
      </c>
      <c r="C8" s="111">
        <f t="shared" si="0"/>
        <v>7885</v>
      </c>
      <c r="D8" s="111">
        <f>7878+7</f>
        <v>7885</v>
      </c>
      <c r="E8" s="111">
        <v>1237</v>
      </c>
      <c r="F8" s="111"/>
      <c r="G8" s="111"/>
      <c r="H8" s="111">
        <f>1343+7</f>
        <v>1350</v>
      </c>
      <c r="I8" s="111"/>
    </row>
    <row r="9" spans="1:9" s="117" customFormat="1" ht="25.5" customHeight="1" x14ac:dyDescent="0.2">
      <c r="A9" s="201"/>
      <c r="B9" s="115" t="s">
        <v>41</v>
      </c>
      <c r="C9" s="116">
        <f t="shared" si="0"/>
        <v>841</v>
      </c>
      <c r="D9" s="116">
        <v>841</v>
      </c>
      <c r="E9" s="116">
        <v>129</v>
      </c>
      <c r="F9" s="116"/>
      <c r="G9" s="116"/>
      <c r="H9" s="116"/>
      <c r="I9" s="116"/>
    </row>
    <row r="10" spans="1:9" s="108" customFormat="1" x14ac:dyDescent="0.2">
      <c r="A10" s="113">
        <v>4</v>
      </c>
      <c r="B10" s="114" t="s">
        <v>42</v>
      </c>
      <c r="C10" s="111">
        <f t="shared" si="0"/>
        <v>2202</v>
      </c>
      <c r="D10" s="111">
        <v>2202</v>
      </c>
      <c r="E10" s="111">
        <v>215</v>
      </c>
      <c r="F10" s="111"/>
      <c r="G10" s="111"/>
      <c r="H10" s="111"/>
      <c r="I10" s="111"/>
    </row>
    <row r="11" spans="1:9" s="108" customFormat="1" x14ac:dyDescent="0.2">
      <c r="A11" s="111">
        <v>5</v>
      </c>
      <c r="B11" s="114" t="s">
        <v>43</v>
      </c>
      <c r="C11" s="111">
        <f t="shared" si="0"/>
        <v>963</v>
      </c>
      <c r="D11" s="111">
        <f>964-1</f>
        <v>963</v>
      </c>
      <c r="E11" s="111">
        <v>101</v>
      </c>
      <c r="F11" s="111"/>
      <c r="G11" s="111"/>
      <c r="H11" s="111"/>
      <c r="I11" s="111"/>
    </row>
    <row r="12" spans="1:9" s="108" customFormat="1" x14ac:dyDescent="0.2">
      <c r="A12" s="111">
        <v>6</v>
      </c>
      <c r="B12" s="114" t="s">
        <v>44</v>
      </c>
      <c r="C12" s="111">
        <f t="shared" si="0"/>
        <v>1020</v>
      </c>
      <c r="D12" s="111">
        <f>990+30</f>
        <v>1020</v>
      </c>
      <c r="E12" s="111">
        <v>89</v>
      </c>
      <c r="F12" s="111"/>
      <c r="G12" s="111"/>
      <c r="H12" s="111"/>
      <c r="I12" s="111"/>
    </row>
    <row r="13" spans="1:9" s="108" customFormat="1" x14ac:dyDescent="0.2">
      <c r="A13" s="111">
        <v>7</v>
      </c>
      <c r="B13" s="114" t="s">
        <v>45</v>
      </c>
      <c r="C13" s="111">
        <f t="shared" si="0"/>
        <v>1069</v>
      </c>
      <c r="D13" s="111">
        <f>1070-1</f>
        <v>1069</v>
      </c>
      <c r="E13" s="111">
        <v>91</v>
      </c>
      <c r="F13" s="111"/>
      <c r="G13" s="111"/>
      <c r="H13" s="111"/>
      <c r="I13" s="111"/>
    </row>
    <row r="14" spans="1:9" s="108" customFormat="1" x14ac:dyDescent="0.2">
      <c r="A14" s="111">
        <v>8</v>
      </c>
      <c r="B14" s="114" t="s">
        <v>46</v>
      </c>
      <c r="C14" s="111">
        <f t="shared" si="0"/>
        <v>1138</v>
      </c>
      <c r="D14" s="111">
        <v>1138</v>
      </c>
      <c r="E14" s="111">
        <v>112</v>
      </c>
      <c r="F14" s="111"/>
      <c r="G14" s="111"/>
      <c r="H14" s="111"/>
      <c r="I14" s="111"/>
    </row>
    <row r="15" spans="1:9" s="108" customFormat="1" x14ac:dyDescent="0.2">
      <c r="A15" s="111">
        <v>9</v>
      </c>
      <c r="B15" s="114" t="s">
        <v>47</v>
      </c>
      <c r="C15" s="111">
        <f t="shared" si="0"/>
        <v>1216</v>
      </c>
      <c r="D15" s="111">
        <f>1217-1</f>
        <v>1216</v>
      </c>
      <c r="E15" s="111">
        <v>128</v>
      </c>
      <c r="F15" s="111"/>
      <c r="G15" s="111"/>
      <c r="H15" s="111"/>
      <c r="I15" s="111"/>
    </row>
    <row r="16" spans="1:9" s="108" customFormat="1" x14ac:dyDescent="0.2">
      <c r="A16" s="111">
        <v>10</v>
      </c>
      <c r="B16" s="114" t="s">
        <v>48</v>
      </c>
      <c r="C16" s="111">
        <f t="shared" si="0"/>
        <v>1125</v>
      </c>
      <c r="D16" s="111">
        <f>1128-3</f>
        <v>1125</v>
      </c>
      <c r="E16" s="111">
        <v>111</v>
      </c>
      <c r="F16" s="111"/>
      <c r="G16" s="111"/>
      <c r="H16" s="111"/>
      <c r="I16" s="111"/>
    </row>
    <row r="17" spans="1:9" s="108" customFormat="1" x14ac:dyDescent="0.2">
      <c r="A17" s="111">
        <v>11</v>
      </c>
      <c r="B17" s="114" t="s">
        <v>49</v>
      </c>
      <c r="C17" s="111">
        <f t="shared" si="0"/>
        <v>1317</v>
      </c>
      <c r="D17" s="111">
        <v>1317</v>
      </c>
      <c r="E17" s="111">
        <v>122</v>
      </c>
      <c r="F17" s="111"/>
      <c r="G17" s="111"/>
      <c r="H17" s="111"/>
      <c r="I17" s="111"/>
    </row>
    <row r="18" spans="1:9" s="108" customFormat="1" x14ac:dyDescent="0.2">
      <c r="A18" s="111">
        <v>12</v>
      </c>
      <c r="B18" s="114" t="s">
        <v>50</v>
      </c>
      <c r="C18" s="111">
        <f t="shared" si="0"/>
        <v>1119</v>
      </c>
      <c r="D18" s="111">
        <v>1119</v>
      </c>
      <c r="E18" s="111">
        <v>125</v>
      </c>
      <c r="F18" s="111"/>
      <c r="G18" s="111"/>
      <c r="H18" s="111"/>
      <c r="I18" s="111"/>
    </row>
    <row r="19" spans="1:9" s="108" customFormat="1" x14ac:dyDescent="0.2">
      <c r="A19" s="111">
        <v>13</v>
      </c>
      <c r="B19" s="114" t="s">
        <v>51</v>
      </c>
      <c r="C19" s="111">
        <f t="shared" si="0"/>
        <v>0</v>
      </c>
      <c r="D19" s="111">
        <f>40-27-13</f>
        <v>0</v>
      </c>
      <c r="E19" s="111">
        <v>0</v>
      </c>
      <c r="F19" s="111"/>
      <c r="G19" s="111"/>
      <c r="H19" s="111"/>
      <c r="I19" s="111"/>
    </row>
    <row r="20" spans="1:9" s="108" customFormat="1" x14ac:dyDescent="0.2">
      <c r="A20" s="111">
        <v>14</v>
      </c>
      <c r="B20" s="118" t="s">
        <v>52</v>
      </c>
      <c r="C20" s="111">
        <f t="shared" si="0"/>
        <v>40</v>
      </c>
      <c r="D20" s="111">
        <v>40</v>
      </c>
      <c r="E20" s="111">
        <v>0</v>
      </c>
      <c r="F20" s="111"/>
      <c r="G20" s="111"/>
      <c r="H20" s="111"/>
      <c r="I20" s="111"/>
    </row>
    <row r="21" spans="1:9" s="108" customFormat="1" x14ac:dyDescent="0.2">
      <c r="A21" s="111">
        <v>15</v>
      </c>
      <c r="B21" s="114" t="s">
        <v>53</v>
      </c>
      <c r="C21" s="111">
        <f t="shared" si="0"/>
        <v>3024</v>
      </c>
      <c r="D21" s="111">
        <f>3030-8+2</f>
        <v>3024</v>
      </c>
      <c r="E21" s="111">
        <v>635</v>
      </c>
      <c r="F21" s="111">
        <f>8-8</f>
        <v>0</v>
      </c>
      <c r="G21" s="111"/>
      <c r="H21" s="111"/>
      <c r="I21" s="111"/>
    </row>
    <row r="22" spans="1:9" s="108" customFormat="1" x14ac:dyDescent="0.2">
      <c r="A22" s="111">
        <v>16</v>
      </c>
      <c r="B22" s="114" t="s">
        <v>16</v>
      </c>
      <c r="C22" s="111">
        <f t="shared" si="0"/>
        <v>2816</v>
      </c>
      <c r="D22" s="111">
        <f>2821-5</f>
        <v>2816</v>
      </c>
      <c r="E22" s="111">
        <v>311</v>
      </c>
      <c r="F22" s="111"/>
      <c r="G22" s="111"/>
      <c r="H22" s="111"/>
      <c r="I22" s="111"/>
    </row>
    <row r="23" spans="1:9" s="108" customFormat="1" x14ac:dyDescent="0.2">
      <c r="A23" s="111">
        <v>17</v>
      </c>
      <c r="B23" s="114" t="s">
        <v>10</v>
      </c>
      <c r="C23" s="111">
        <f t="shared" si="0"/>
        <v>5540</v>
      </c>
      <c r="D23" s="111">
        <f>5531-20+30-1</f>
        <v>5540</v>
      </c>
      <c r="E23" s="111">
        <v>478</v>
      </c>
      <c r="F23" s="111"/>
      <c r="G23" s="111"/>
      <c r="H23" s="111">
        <f>509-20+30</f>
        <v>519</v>
      </c>
      <c r="I23" s="111"/>
    </row>
    <row r="24" spans="1:9" s="108" customFormat="1" x14ac:dyDescent="0.2">
      <c r="A24" s="111">
        <v>18</v>
      </c>
      <c r="B24" s="114" t="s">
        <v>11</v>
      </c>
      <c r="C24" s="111">
        <f t="shared" si="0"/>
        <v>3495</v>
      </c>
      <c r="D24" s="111">
        <f>3537+15-57</f>
        <v>3495</v>
      </c>
      <c r="E24" s="111">
        <v>345</v>
      </c>
      <c r="F24" s="111"/>
      <c r="G24" s="111"/>
      <c r="H24" s="111">
        <v>15</v>
      </c>
      <c r="I24" s="111"/>
    </row>
    <row r="25" spans="1:9" s="108" customFormat="1" x14ac:dyDescent="0.2">
      <c r="A25" s="111">
        <v>19</v>
      </c>
      <c r="B25" s="114" t="s">
        <v>54</v>
      </c>
      <c r="C25" s="111">
        <f t="shared" si="0"/>
        <v>855</v>
      </c>
      <c r="D25" s="111">
        <f>856-1</f>
        <v>855</v>
      </c>
      <c r="E25" s="111"/>
      <c r="F25" s="111"/>
      <c r="G25" s="111"/>
      <c r="H25" s="111"/>
      <c r="I25" s="111"/>
    </row>
    <row r="26" spans="1:9" s="108" customFormat="1" x14ac:dyDescent="0.2">
      <c r="A26" s="111">
        <v>20</v>
      </c>
      <c r="B26" s="114" t="s">
        <v>55</v>
      </c>
      <c r="C26" s="111">
        <f t="shared" si="0"/>
        <v>1476</v>
      </c>
      <c r="D26" s="111">
        <v>1476</v>
      </c>
      <c r="E26" s="111">
        <v>168</v>
      </c>
      <c r="F26" s="111"/>
      <c r="G26" s="111"/>
      <c r="H26" s="111"/>
      <c r="I26" s="111"/>
    </row>
    <row r="27" spans="1:9" s="108" customFormat="1" x14ac:dyDescent="0.2">
      <c r="A27" s="111">
        <v>21</v>
      </c>
      <c r="B27" s="114" t="s">
        <v>56</v>
      </c>
      <c r="C27" s="111">
        <f t="shared" si="0"/>
        <v>1948</v>
      </c>
      <c r="D27" s="111">
        <f>1954-6</f>
        <v>1948</v>
      </c>
      <c r="E27" s="111">
        <v>239</v>
      </c>
      <c r="F27" s="111"/>
      <c r="G27" s="111"/>
      <c r="H27" s="111"/>
      <c r="I27" s="111"/>
    </row>
    <row r="28" spans="1:9" s="108" customFormat="1" x14ac:dyDescent="0.2">
      <c r="A28" s="111">
        <v>22</v>
      </c>
      <c r="B28" s="114" t="s">
        <v>57</v>
      </c>
      <c r="C28" s="111">
        <f t="shared" si="0"/>
        <v>942</v>
      </c>
      <c r="D28" s="111">
        <f>843+100-1</f>
        <v>942</v>
      </c>
      <c r="E28" s="111">
        <v>113</v>
      </c>
      <c r="F28" s="111"/>
      <c r="G28" s="111"/>
      <c r="H28" s="111"/>
      <c r="I28" s="111"/>
    </row>
    <row r="29" spans="1:9" s="108" customFormat="1" x14ac:dyDescent="0.2">
      <c r="A29" s="111">
        <v>23</v>
      </c>
      <c r="B29" s="114" t="s">
        <v>58</v>
      </c>
      <c r="C29" s="111">
        <f t="shared" si="0"/>
        <v>691</v>
      </c>
      <c r="D29" s="111">
        <f>695-4</f>
        <v>691</v>
      </c>
      <c r="E29" s="111">
        <v>74</v>
      </c>
      <c r="F29" s="111"/>
      <c r="G29" s="111"/>
      <c r="H29" s="111"/>
      <c r="I29" s="111"/>
    </row>
    <row r="30" spans="1:9" s="108" customFormat="1" x14ac:dyDescent="0.2">
      <c r="A30" s="111">
        <v>24</v>
      </c>
      <c r="B30" s="114" t="s">
        <v>37</v>
      </c>
      <c r="C30" s="111">
        <f t="shared" si="0"/>
        <v>5553</v>
      </c>
      <c r="D30" s="111">
        <f>5841-429+182+11-52</f>
        <v>5553</v>
      </c>
      <c r="E30" s="111"/>
      <c r="F30" s="111"/>
      <c r="G30" s="111"/>
      <c r="H30" s="111">
        <f>3377-429+182+11</f>
        <v>3141</v>
      </c>
      <c r="I30" s="111"/>
    </row>
    <row r="31" spans="1:9" s="108" customFormat="1" x14ac:dyDescent="0.2">
      <c r="A31" s="111">
        <v>25</v>
      </c>
      <c r="B31" s="114" t="s">
        <v>59</v>
      </c>
      <c r="C31" s="111">
        <f t="shared" si="0"/>
        <v>2596</v>
      </c>
      <c r="D31" s="111">
        <f>2597-1</f>
        <v>2596</v>
      </c>
      <c r="E31" s="111"/>
      <c r="F31" s="111"/>
      <c r="G31" s="111"/>
      <c r="H31" s="111"/>
      <c r="I31" s="111"/>
    </row>
    <row r="32" spans="1:9" s="108" customFormat="1" x14ac:dyDescent="0.2">
      <c r="A32" s="113">
        <v>26</v>
      </c>
      <c r="B32" s="114" t="s">
        <v>60</v>
      </c>
      <c r="C32" s="111">
        <f t="shared" si="0"/>
        <v>2808</v>
      </c>
      <c r="D32" s="111">
        <v>2808</v>
      </c>
      <c r="E32" s="111">
        <v>166</v>
      </c>
      <c r="F32" s="111"/>
      <c r="G32" s="111"/>
      <c r="H32" s="111"/>
      <c r="I32" s="111"/>
    </row>
    <row r="33" spans="1:9" s="108" customFormat="1" x14ac:dyDescent="0.2">
      <c r="A33" s="200">
        <v>27</v>
      </c>
      <c r="B33" s="114" t="s">
        <v>61</v>
      </c>
      <c r="C33" s="111">
        <f t="shared" si="0"/>
        <v>1474</v>
      </c>
      <c r="D33" s="111">
        <f>1476-2</f>
        <v>1474</v>
      </c>
      <c r="E33" s="111">
        <v>154</v>
      </c>
      <c r="F33" s="111"/>
      <c r="G33" s="111"/>
      <c r="H33" s="111"/>
      <c r="I33" s="111"/>
    </row>
    <row r="34" spans="1:9" s="117" customFormat="1" ht="36" x14ac:dyDescent="0.2">
      <c r="A34" s="207"/>
      <c r="B34" s="119" t="s">
        <v>62</v>
      </c>
      <c r="C34" s="116">
        <f t="shared" si="0"/>
        <v>1870</v>
      </c>
      <c r="D34" s="116">
        <f>1886-16</f>
        <v>1870</v>
      </c>
      <c r="E34" s="116">
        <v>185</v>
      </c>
      <c r="F34" s="116"/>
      <c r="G34" s="116"/>
      <c r="H34" s="116"/>
      <c r="I34" s="116"/>
    </row>
    <row r="35" spans="1:9" s="108" customFormat="1" x14ac:dyDescent="0.2">
      <c r="A35" s="111">
        <v>28</v>
      </c>
      <c r="B35" s="120" t="s">
        <v>63</v>
      </c>
      <c r="C35" s="111">
        <f t="shared" si="0"/>
        <v>324</v>
      </c>
      <c r="D35" s="111">
        <f>329-5</f>
        <v>324</v>
      </c>
      <c r="E35" s="111"/>
      <c r="F35" s="111"/>
      <c r="G35" s="111"/>
      <c r="H35" s="111"/>
      <c r="I35" s="111"/>
    </row>
    <row r="36" spans="1:9" s="108" customFormat="1" x14ac:dyDescent="0.2">
      <c r="A36" s="111">
        <v>29</v>
      </c>
      <c r="B36" s="114" t="s">
        <v>64</v>
      </c>
      <c r="C36" s="111">
        <f t="shared" si="0"/>
        <v>1919</v>
      </c>
      <c r="D36" s="111">
        <f>1934-15</f>
        <v>1919</v>
      </c>
      <c r="E36" s="111">
        <f>1934-15</f>
        <v>1919</v>
      </c>
      <c r="F36" s="111"/>
      <c r="G36" s="111"/>
      <c r="H36" s="111"/>
      <c r="I36" s="111"/>
    </row>
    <row r="37" spans="1:9" s="108" customFormat="1" x14ac:dyDescent="0.2">
      <c r="A37" s="111">
        <v>30</v>
      </c>
      <c r="B37" s="120" t="s">
        <v>65</v>
      </c>
      <c r="C37" s="111">
        <f t="shared" si="0"/>
        <v>432</v>
      </c>
      <c r="D37" s="111">
        <v>432</v>
      </c>
      <c r="E37" s="111"/>
      <c r="F37" s="111">
        <v>432</v>
      </c>
      <c r="G37" s="111"/>
      <c r="H37" s="111"/>
      <c r="I37" s="111"/>
    </row>
    <row r="38" spans="1:9" s="108" customFormat="1" x14ac:dyDescent="0.2">
      <c r="A38" s="111">
        <v>31</v>
      </c>
      <c r="B38" s="114" t="s">
        <v>66</v>
      </c>
      <c r="C38" s="111">
        <f t="shared" si="0"/>
        <v>294</v>
      </c>
      <c r="D38" s="111">
        <v>294</v>
      </c>
      <c r="E38" s="111"/>
      <c r="F38" s="111"/>
      <c r="G38" s="111"/>
      <c r="H38" s="111"/>
      <c r="I38" s="111"/>
    </row>
    <row r="39" spans="1:9" s="108" customFormat="1" x14ac:dyDescent="0.2">
      <c r="A39" s="208">
        <v>32</v>
      </c>
      <c r="B39" s="114" t="s">
        <v>67</v>
      </c>
      <c r="C39" s="111">
        <f t="shared" si="0"/>
        <v>4412</v>
      </c>
      <c r="D39" s="111">
        <f>4337+60+505-505+158-120-20-3</f>
        <v>4412</v>
      </c>
      <c r="E39" s="111">
        <v>0</v>
      </c>
      <c r="F39" s="111"/>
      <c r="G39" s="111"/>
      <c r="H39" s="111">
        <f>746-120-20</f>
        <v>606</v>
      </c>
      <c r="I39" s="111"/>
    </row>
    <row r="40" spans="1:9" s="117" customFormat="1" ht="24" x14ac:dyDescent="0.2">
      <c r="A40" s="209"/>
      <c r="B40" s="119" t="s">
        <v>68</v>
      </c>
      <c r="C40" s="111">
        <f t="shared" si="0"/>
        <v>1288</v>
      </c>
      <c r="D40" s="116">
        <v>1288</v>
      </c>
      <c r="E40" s="116">
        <v>1288</v>
      </c>
      <c r="F40" s="116"/>
      <c r="G40" s="116"/>
      <c r="H40" s="116"/>
      <c r="I40" s="116"/>
    </row>
    <row r="41" spans="1:9" s="117" customFormat="1" ht="25.5" x14ac:dyDescent="0.2">
      <c r="A41" s="210"/>
      <c r="B41" s="121" t="s">
        <v>69</v>
      </c>
      <c r="C41" s="111">
        <f t="shared" si="0"/>
        <v>508</v>
      </c>
      <c r="D41" s="116">
        <f>0+505+3</f>
        <v>508</v>
      </c>
      <c r="E41" s="116"/>
      <c r="F41" s="116"/>
      <c r="G41" s="116"/>
      <c r="H41" s="116"/>
      <c r="I41" s="116"/>
    </row>
    <row r="42" spans="1:9" s="108" customFormat="1" x14ac:dyDescent="0.2">
      <c r="A42" s="111">
        <v>33</v>
      </c>
      <c r="B42" s="114" t="s">
        <v>70</v>
      </c>
      <c r="C42" s="111">
        <f t="shared" si="0"/>
        <v>207</v>
      </c>
      <c r="D42" s="111">
        <v>207</v>
      </c>
      <c r="E42" s="111"/>
      <c r="F42" s="111"/>
      <c r="G42" s="111"/>
      <c r="H42" s="111"/>
      <c r="I42" s="111"/>
    </row>
    <row r="43" spans="1:9" s="108" customFormat="1" x14ac:dyDescent="0.2">
      <c r="A43" s="200">
        <v>34</v>
      </c>
      <c r="B43" s="114" t="s">
        <v>71</v>
      </c>
      <c r="C43" s="111">
        <f t="shared" si="0"/>
        <v>3642</v>
      </c>
      <c r="D43" s="111">
        <f>3817-50-68-35-22</f>
        <v>3642</v>
      </c>
      <c r="E43" s="111">
        <v>270</v>
      </c>
      <c r="F43" s="111"/>
      <c r="G43" s="111"/>
      <c r="H43" s="111">
        <f>838-50-68-35</f>
        <v>685</v>
      </c>
      <c r="I43" s="111"/>
    </row>
    <row r="44" spans="1:9" s="117" customFormat="1" ht="24" x14ac:dyDescent="0.2">
      <c r="A44" s="201"/>
      <c r="B44" s="119" t="s">
        <v>72</v>
      </c>
      <c r="C44" s="111">
        <f t="shared" si="0"/>
        <v>1171</v>
      </c>
      <c r="D44" s="116">
        <f>1174-3</f>
        <v>1171</v>
      </c>
      <c r="E44" s="116">
        <v>111</v>
      </c>
      <c r="F44" s="116"/>
      <c r="G44" s="116"/>
      <c r="H44" s="116"/>
      <c r="I44" s="116"/>
    </row>
    <row r="45" spans="1:9" s="108" customFormat="1" x14ac:dyDescent="0.2">
      <c r="A45" s="111">
        <v>35</v>
      </c>
      <c r="B45" s="114" t="s">
        <v>18</v>
      </c>
      <c r="C45" s="111">
        <f t="shared" si="0"/>
        <v>4150</v>
      </c>
      <c r="D45" s="111">
        <f>4149+1</f>
        <v>4150</v>
      </c>
      <c r="E45" s="111">
        <v>334</v>
      </c>
      <c r="F45" s="111"/>
      <c r="G45" s="111"/>
      <c r="H45" s="111"/>
      <c r="I45" s="111"/>
    </row>
    <row r="46" spans="1:9" s="108" customFormat="1" x14ac:dyDescent="0.2">
      <c r="A46" s="111">
        <v>36</v>
      </c>
      <c r="B46" s="114" t="s">
        <v>19</v>
      </c>
      <c r="C46" s="111">
        <f t="shared" si="0"/>
        <v>4099</v>
      </c>
      <c r="D46" s="111">
        <f>4077+50-32+29-25</f>
        <v>4099</v>
      </c>
      <c r="E46" s="111">
        <v>394</v>
      </c>
      <c r="F46" s="111"/>
      <c r="G46" s="111"/>
      <c r="H46" s="111">
        <f>0+50-32+29</f>
        <v>47</v>
      </c>
      <c r="I46" s="111"/>
    </row>
    <row r="47" spans="1:9" s="108" customFormat="1" x14ac:dyDescent="0.2">
      <c r="A47" s="111">
        <v>37</v>
      </c>
      <c r="B47" s="114" t="s">
        <v>73</v>
      </c>
      <c r="C47" s="111">
        <f t="shared" si="0"/>
        <v>1272</v>
      </c>
      <c r="D47" s="111">
        <f>1276-4</f>
        <v>1272</v>
      </c>
      <c r="E47" s="111">
        <v>144</v>
      </c>
      <c r="F47" s="111"/>
      <c r="G47" s="111"/>
      <c r="H47" s="111"/>
      <c r="I47" s="111"/>
    </row>
    <row r="48" spans="1:9" s="108" customFormat="1" x14ac:dyDescent="0.2">
      <c r="A48" s="111">
        <v>38</v>
      </c>
      <c r="B48" s="114" t="s">
        <v>74</v>
      </c>
      <c r="C48" s="111">
        <f t="shared" si="0"/>
        <v>1625</v>
      </c>
      <c r="D48" s="111">
        <f>1564-1+55-2+9</f>
        <v>1625</v>
      </c>
      <c r="E48" s="111">
        <v>175</v>
      </c>
      <c r="F48" s="111"/>
      <c r="G48" s="111"/>
      <c r="H48" s="111"/>
      <c r="I48" s="111"/>
    </row>
    <row r="49" spans="1:9" s="108" customFormat="1" x14ac:dyDescent="0.2">
      <c r="A49" s="111">
        <v>39</v>
      </c>
      <c r="B49" s="114" t="s">
        <v>75</v>
      </c>
      <c r="C49" s="111">
        <f t="shared" si="0"/>
        <v>1418</v>
      </c>
      <c r="D49" s="111">
        <f>1430-12</f>
        <v>1418</v>
      </c>
      <c r="E49" s="111">
        <v>156</v>
      </c>
      <c r="F49" s="111"/>
      <c r="G49" s="111"/>
      <c r="H49" s="111"/>
      <c r="I49" s="111"/>
    </row>
    <row r="50" spans="1:9" s="108" customFormat="1" x14ac:dyDescent="0.2">
      <c r="A50" s="111">
        <v>40</v>
      </c>
      <c r="B50" s="114" t="s">
        <v>76</v>
      </c>
      <c r="C50" s="111">
        <f t="shared" si="0"/>
        <v>988</v>
      </c>
      <c r="D50" s="111">
        <f>933+55</f>
        <v>988</v>
      </c>
      <c r="E50" s="111">
        <v>86</v>
      </c>
      <c r="F50" s="111"/>
      <c r="G50" s="111"/>
      <c r="H50" s="111"/>
      <c r="I50" s="111"/>
    </row>
    <row r="51" spans="1:9" s="108" customFormat="1" x14ac:dyDescent="0.2">
      <c r="A51" s="111">
        <v>41</v>
      </c>
      <c r="B51" s="114" t="s">
        <v>77</v>
      </c>
      <c r="C51" s="111">
        <f t="shared" si="0"/>
        <v>1616</v>
      </c>
      <c r="D51" s="111">
        <f>1619-3</f>
        <v>1616</v>
      </c>
      <c r="E51" s="111">
        <v>150</v>
      </c>
      <c r="F51" s="111"/>
      <c r="G51" s="111"/>
      <c r="H51" s="111"/>
      <c r="I51" s="111"/>
    </row>
    <row r="52" spans="1:9" s="108" customFormat="1" x14ac:dyDescent="0.2">
      <c r="A52" s="111">
        <v>42</v>
      </c>
      <c r="B52" s="114" t="s">
        <v>78</v>
      </c>
      <c r="C52" s="111">
        <f t="shared" si="0"/>
        <v>741</v>
      </c>
      <c r="D52" s="111">
        <f>740+1</f>
        <v>741</v>
      </c>
      <c r="E52" s="111">
        <v>67</v>
      </c>
      <c r="F52" s="111"/>
      <c r="G52" s="111"/>
      <c r="H52" s="111">
        <v>1</v>
      </c>
      <c r="I52" s="111"/>
    </row>
    <row r="53" spans="1:9" s="108" customFormat="1" x14ac:dyDescent="0.2">
      <c r="A53" s="111">
        <v>43</v>
      </c>
      <c r="B53" s="120" t="s">
        <v>161</v>
      </c>
      <c r="C53" s="111">
        <f t="shared" si="0"/>
        <v>365</v>
      </c>
      <c r="D53" s="111">
        <v>365</v>
      </c>
      <c r="E53" s="111"/>
      <c r="F53" s="111"/>
      <c r="G53" s="111"/>
      <c r="H53" s="111"/>
      <c r="I53" s="111"/>
    </row>
    <row r="54" spans="1:9" s="117" customFormat="1" x14ac:dyDescent="0.2">
      <c r="A54" s="111">
        <v>44</v>
      </c>
      <c r="B54" s="118" t="s">
        <v>79</v>
      </c>
      <c r="C54" s="111">
        <f t="shared" si="0"/>
        <v>492</v>
      </c>
      <c r="D54" s="111">
        <f>1000-505-3</f>
        <v>492</v>
      </c>
      <c r="E54" s="111"/>
      <c r="F54" s="111"/>
      <c r="G54" s="116"/>
      <c r="H54" s="116"/>
      <c r="I54" s="116"/>
    </row>
    <row r="55" spans="1:9" s="108" customFormat="1" x14ac:dyDescent="0.2">
      <c r="A55" s="111">
        <v>45</v>
      </c>
      <c r="B55" s="118" t="s">
        <v>80</v>
      </c>
      <c r="C55" s="111">
        <f t="shared" si="0"/>
        <v>0</v>
      </c>
      <c r="D55" s="111">
        <f>40-40</f>
        <v>0</v>
      </c>
      <c r="E55" s="111"/>
      <c r="F55" s="111"/>
      <c r="G55" s="111"/>
      <c r="H55" s="111">
        <f>40-40</f>
        <v>0</v>
      </c>
      <c r="I55" s="111"/>
    </row>
    <row r="56" spans="1:9" s="108" customFormat="1" x14ac:dyDescent="0.2">
      <c r="A56" s="111">
        <v>46</v>
      </c>
      <c r="B56" s="114" t="s">
        <v>81</v>
      </c>
      <c r="C56" s="111">
        <f t="shared" si="0"/>
        <v>230</v>
      </c>
      <c r="D56" s="111">
        <v>230</v>
      </c>
      <c r="E56" s="111"/>
      <c r="F56" s="111"/>
      <c r="G56" s="111"/>
      <c r="H56" s="111"/>
      <c r="I56" s="111"/>
    </row>
    <row r="57" spans="1:9" s="108" customFormat="1" x14ac:dyDescent="0.2">
      <c r="A57" s="111">
        <v>47</v>
      </c>
      <c r="B57" s="114" t="s">
        <v>20</v>
      </c>
      <c r="C57" s="111">
        <f t="shared" si="0"/>
        <v>6374</v>
      </c>
      <c r="D57" s="111">
        <f>6322+52</f>
        <v>6374</v>
      </c>
      <c r="E57" s="111">
        <v>624</v>
      </c>
      <c r="F57" s="111"/>
      <c r="G57" s="111"/>
      <c r="H57" s="111"/>
      <c r="I57" s="111"/>
    </row>
    <row r="58" spans="1:9" s="108" customFormat="1" x14ac:dyDescent="0.2">
      <c r="A58" s="111">
        <v>48</v>
      </c>
      <c r="B58" s="114" t="s">
        <v>9</v>
      </c>
      <c r="C58" s="111">
        <f t="shared" si="0"/>
        <v>4926</v>
      </c>
      <c r="D58" s="111">
        <f>4928+1-3</f>
        <v>4926</v>
      </c>
      <c r="E58" s="111">
        <v>398</v>
      </c>
      <c r="F58" s="111"/>
      <c r="G58" s="111"/>
      <c r="H58" s="111">
        <f>462-304+1</f>
        <v>159</v>
      </c>
      <c r="I58" s="111"/>
    </row>
    <row r="59" spans="1:9" s="108" customFormat="1" x14ac:dyDescent="0.2">
      <c r="A59" s="111">
        <v>49</v>
      </c>
      <c r="B59" s="114" t="s">
        <v>82</v>
      </c>
      <c r="C59" s="111">
        <f t="shared" si="0"/>
        <v>5707</v>
      </c>
      <c r="D59" s="111">
        <f>6007-200-92-13+34-29</f>
        <v>5707</v>
      </c>
      <c r="E59" s="111">
        <v>944</v>
      </c>
      <c r="F59" s="111">
        <f>30-13</f>
        <v>17</v>
      </c>
      <c r="G59" s="111"/>
      <c r="H59" s="111">
        <f>927-200-92+34</f>
        <v>669</v>
      </c>
      <c r="I59" s="111"/>
    </row>
    <row r="60" spans="1:9" s="108" customFormat="1" x14ac:dyDescent="0.2">
      <c r="A60" s="111">
        <v>50</v>
      </c>
      <c r="B60" s="114" t="s">
        <v>83</v>
      </c>
      <c r="C60" s="111">
        <f t="shared" si="0"/>
        <v>1950</v>
      </c>
      <c r="D60" s="111">
        <f>1949+1</f>
        <v>1950</v>
      </c>
      <c r="E60" s="111">
        <v>188</v>
      </c>
      <c r="F60" s="111"/>
      <c r="G60" s="111"/>
      <c r="H60" s="111"/>
      <c r="I60" s="111"/>
    </row>
    <row r="61" spans="1:9" s="108" customFormat="1" x14ac:dyDescent="0.2">
      <c r="A61" s="111">
        <v>51</v>
      </c>
      <c r="B61" s="114" t="s">
        <v>84</v>
      </c>
      <c r="C61" s="111">
        <f t="shared" si="0"/>
        <v>1304</v>
      </c>
      <c r="D61" s="111">
        <v>1304</v>
      </c>
      <c r="E61" s="111">
        <v>122</v>
      </c>
      <c r="F61" s="111"/>
      <c r="G61" s="111"/>
      <c r="H61" s="111"/>
      <c r="I61" s="111"/>
    </row>
    <row r="62" spans="1:9" s="108" customFormat="1" x14ac:dyDescent="0.2">
      <c r="A62" s="111">
        <v>52</v>
      </c>
      <c r="B62" s="114" t="s">
        <v>85</v>
      </c>
      <c r="C62" s="111">
        <f t="shared" si="0"/>
        <v>1056</v>
      </c>
      <c r="D62" s="111">
        <v>1056</v>
      </c>
      <c r="E62" s="111">
        <v>106</v>
      </c>
      <c r="F62" s="111"/>
      <c r="G62" s="111"/>
      <c r="H62" s="111"/>
      <c r="I62" s="111"/>
    </row>
    <row r="63" spans="1:9" s="108" customFormat="1" x14ac:dyDescent="0.2">
      <c r="A63" s="111">
        <v>53</v>
      </c>
      <c r="B63" s="114" t="s">
        <v>86</v>
      </c>
      <c r="C63" s="111">
        <f t="shared" si="0"/>
        <v>1524</v>
      </c>
      <c r="D63" s="111">
        <f>1536-12</f>
        <v>1524</v>
      </c>
      <c r="E63" s="111">
        <v>147</v>
      </c>
      <c r="F63" s="111"/>
      <c r="G63" s="111"/>
      <c r="H63" s="111"/>
      <c r="I63" s="111"/>
    </row>
    <row r="64" spans="1:9" s="108" customFormat="1" x14ac:dyDescent="0.2">
      <c r="A64" s="111">
        <v>54</v>
      </c>
      <c r="B64" s="114" t="s">
        <v>87</v>
      </c>
      <c r="C64" s="111">
        <f t="shared" si="0"/>
        <v>670</v>
      </c>
      <c r="D64" s="111">
        <v>670</v>
      </c>
      <c r="E64" s="111">
        <v>60</v>
      </c>
      <c r="F64" s="111"/>
      <c r="G64" s="111"/>
      <c r="H64" s="111"/>
      <c r="I64" s="111"/>
    </row>
    <row r="65" spans="1:9" s="108" customFormat="1" x14ac:dyDescent="0.2">
      <c r="A65" s="111">
        <v>55</v>
      </c>
      <c r="B65" s="114" t="s">
        <v>88</v>
      </c>
      <c r="C65" s="111">
        <f t="shared" si="0"/>
        <v>1276</v>
      </c>
      <c r="D65" s="111">
        <v>1276</v>
      </c>
      <c r="E65" s="111">
        <v>124</v>
      </c>
      <c r="F65" s="111"/>
      <c r="G65" s="111"/>
      <c r="H65" s="111"/>
      <c r="I65" s="111"/>
    </row>
    <row r="66" spans="1:9" s="108" customFormat="1" x14ac:dyDescent="0.2">
      <c r="A66" s="111">
        <v>56</v>
      </c>
      <c r="B66" s="114" t="s">
        <v>89</v>
      </c>
      <c r="C66" s="111">
        <f t="shared" si="0"/>
        <v>1906</v>
      </c>
      <c r="D66" s="111">
        <v>1906</v>
      </c>
      <c r="E66" s="111">
        <v>190</v>
      </c>
      <c r="F66" s="111"/>
      <c r="G66" s="111"/>
      <c r="H66" s="111"/>
      <c r="I66" s="111"/>
    </row>
    <row r="67" spans="1:9" s="108" customFormat="1" x14ac:dyDescent="0.2">
      <c r="A67" s="111">
        <v>57</v>
      </c>
      <c r="B67" s="114" t="s">
        <v>90</v>
      </c>
      <c r="C67" s="111">
        <f t="shared" si="0"/>
        <v>1046</v>
      </c>
      <c r="D67" s="111">
        <v>1046</v>
      </c>
      <c r="E67" s="111">
        <v>103</v>
      </c>
      <c r="F67" s="111"/>
      <c r="G67" s="111"/>
      <c r="H67" s="111"/>
      <c r="I67" s="111"/>
    </row>
    <row r="68" spans="1:9" s="108" customFormat="1" x14ac:dyDescent="0.2">
      <c r="A68" s="111">
        <v>58</v>
      </c>
      <c r="B68" s="114" t="s">
        <v>91</v>
      </c>
      <c r="C68" s="111">
        <f t="shared" si="0"/>
        <v>2187</v>
      </c>
      <c r="D68" s="111">
        <f>2083+24+82+1-3</f>
        <v>2187</v>
      </c>
      <c r="E68" s="111">
        <f>2083+24+82+1-3</f>
        <v>2187</v>
      </c>
      <c r="F68" s="111">
        <f>10+1</f>
        <v>11</v>
      </c>
      <c r="G68" s="111"/>
      <c r="H68" s="111"/>
      <c r="I68" s="111"/>
    </row>
    <row r="69" spans="1:9" s="108" customFormat="1" x14ac:dyDescent="0.2">
      <c r="A69" s="111">
        <v>59</v>
      </c>
      <c r="B69" s="114" t="s">
        <v>92</v>
      </c>
      <c r="C69" s="111">
        <f t="shared" si="0"/>
        <v>1916</v>
      </c>
      <c r="D69" s="111">
        <f>1788+21-2+40+70+2-3</f>
        <v>1916</v>
      </c>
      <c r="E69" s="111">
        <f>1788+21-2+40+70+2-3</f>
        <v>1916</v>
      </c>
      <c r="F69" s="111">
        <f>30+2</f>
        <v>32</v>
      </c>
      <c r="G69" s="111"/>
      <c r="H69" s="111"/>
      <c r="I69" s="111"/>
    </row>
    <row r="70" spans="1:9" s="108" customFormat="1" x14ac:dyDescent="0.2">
      <c r="A70" s="111">
        <v>60</v>
      </c>
      <c r="B70" s="114" t="s">
        <v>93</v>
      </c>
      <c r="C70" s="111">
        <f t="shared" si="0"/>
        <v>2476</v>
      </c>
      <c r="D70" s="111">
        <f>2396+28+94-4-38</f>
        <v>2476</v>
      </c>
      <c r="E70" s="111">
        <f>2396+28+94-4-38</f>
        <v>2476</v>
      </c>
      <c r="F70" s="111">
        <f>4-4</f>
        <v>0</v>
      </c>
      <c r="G70" s="111"/>
      <c r="H70" s="111"/>
      <c r="I70" s="111"/>
    </row>
    <row r="71" spans="1:9" s="108" customFormat="1" x14ac:dyDescent="0.2">
      <c r="A71" s="111">
        <v>61</v>
      </c>
      <c r="B71" s="114" t="s">
        <v>94</v>
      </c>
      <c r="C71" s="111">
        <f t="shared" ref="C71:C113" si="1">D71+I71</f>
        <v>3078</v>
      </c>
      <c r="D71" s="111">
        <f>2931+34+115+7-9</f>
        <v>3078</v>
      </c>
      <c r="E71" s="111">
        <f>2931+34+115+7-9</f>
        <v>3078</v>
      </c>
      <c r="F71" s="111">
        <f>100+7</f>
        <v>107</v>
      </c>
      <c r="G71" s="111"/>
      <c r="H71" s="111"/>
      <c r="I71" s="111"/>
    </row>
    <row r="72" spans="1:9" s="108" customFormat="1" x14ac:dyDescent="0.2">
      <c r="A72" s="111">
        <v>62</v>
      </c>
      <c r="B72" s="114" t="s">
        <v>95</v>
      </c>
      <c r="C72" s="111">
        <f t="shared" si="1"/>
        <v>1188</v>
      </c>
      <c r="D72" s="111">
        <f>1130+13+44+1</f>
        <v>1188</v>
      </c>
      <c r="E72" s="111">
        <f>1130+13+44+1</f>
        <v>1188</v>
      </c>
      <c r="F72" s="111">
        <v>83</v>
      </c>
      <c r="G72" s="111"/>
      <c r="H72" s="111"/>
      <c r="I72" s="111"/>
    </row>
    <row r="73" spans="1:9" s="108" customFormat="1" x14ac:dyDescent="0.2">
      <c r="A73" s="111">
        <v>63</v>
      </c>
      <c r="B73" s="114" t="s">
        <v>96</v>
      </c>
      <c r="C73" s="111">
        <f t="shared" si="1"/>
        <v>3302</v>
      </c>
      <c r="D73" s="111">
        <f>3425-120+5-8</f>
        <v>3302</v>
      </c>
      <c r="E73" s="111">
        <f>120-120</f>
        <v>0</v>
      </c>
      <c r="F73" s="111"/>
      <c r="G73" s="111"/>
      <c r="H73" s="111">
        <f>434+5</f>
        <v>439</v>
      </c>
      <c r="I73" s="111"/>
    </row>
    <row r="74" spans="1:9" s="108" customFormat="1" x14ac:dyDescent="0.2">
      <c r="A74" s="111">
        <v>64</v>
      </c>
      <c r="B74" s="114" t="s">
        <v>97</v>
      </c>
      <c r="C74" s="111">
        <f t="shared" si="1"/>
        <v>1545</v>
      </c>
      <c r="D74" s="111">
        <f>1505+55-15</f>
        <v>1545</v>
      </c>
      <c r="E74" s="111"/>
      <c r="F74" s="111"/>
      <c r="G74" s="111"/>
      <c r="H74" s="111"/>
      <c r="I74" s="111"/>
    </row>
    <row r="75" spans="1:9" s="108" customFormat="1" x14ac:dyDescent="0.2">
      <c r="A75" s="111">
        <v>65</v>
      </c>
      <c r="B75" s="114" t="s">
        <v>98</v>
      </c>
      <c r="C75" s="111">
        <f t="shared" si="1"/>
        <v>2957</v>
      </c>
      <c r="D75" s="111">
        <f>2950+52-45</f>
        <v>2957</v>
      </c>
      <c r="E75" s="111"/>
      <c r="F75" s="111"/>
      <c r="G75" s="111"/>
      <c r="H75" s="111">
        <f>1496+52</f>
        <v>1548</v>
      </c>
      <c r="I75" s="111"/>
    </row>
    <row r="76" spans="1:9" s="108" customFormat="1" x14ac:dyDescent="0.2">
      <c r="A76" s="111">
        <v>66</v>
      </c>
      <c r="B76" s="114" t="s">
        <v>99</v>
      </c>
      <c r="C76" s="111">
        <f t="shared" si="1"/>
        <v>1133</v>
      </c>
      <c r="D76" s="111">
        <f>1134-1</f>
        <v>1133</v>
      </c>
      <c r="E76" s="111"/>
      <c r="F76" s="111"/>
      <c r="G76" s="111"/>
      <c r="H76" s="111"/>
      <c r="I76" s="111"/>
    </row>
    <row r="77" spans="1:9" s="108" customFormat="1" x14ac:dyDescent="0.2">
      <c r="A77" s="111">
        <v>67</v>
      </c>
      <c r="B77" s="114" t="s">
        <v>100</v>
      </c>
      <c r="C77" s="111">
        <f t="shared" si="1"/>
        <v>3944</v>
      </c>
      <c r="D77" s="111">
        <f>3939+30-24-1</f>
        <v>3944</v>
      </c>
      <c r="E77" s="111"/>
      <c r="F77" s="111"/>
      <c r="G77" s="111"/>
      <c r="H77" s="111">
        <f>773-24</f>
        <v>749</v>
      </c>
      <c r="I77" s="111"/>
    </row>
    <row r="78" spans="1:9" s="108" customFormat="1" x14ac:dyDescent="0.2">
      <c r="A78" s="111">
        <v>68</v>
      </c>
      <c r="B78" s="114" t="s">
        <v>101</v>
      </c>
      <c r="C78" s="111">
        <f t="shared" si="1"/>
        <v>1827</v>
      </c>
      <c r="D78" s="111">
        <f>1797+30</f>
        <v>1827</v>
      </c>
      <c r="E78" s="111"/>
      <c r="F78" s="111"/>
      <c r="G78" s="111"/>
      <c r="H78" s="111"/>
      <c r="I78" s="111"/>
    </row>
    <row r="79" spans="1:9" s="108" customFormat="1" x14ac:dyDescent="0.2">
      <c r="A79" s="111">
        <v>69</v>
      </c>
      <c r="B79" s="114" t="s">
        <v>102</v>
      </c>
      <c r="C79" s="111">
        <f t="shared" si="1"/>
        <v>2136</v>
      </c>
      <c r="D79" s="111">
        <f>2192+55-140+30-6+5</f>
        <v>2136</v>
      </c>
      <c r="E79" s="111"/>
      <c r="F79" s="111">
        <f>391-140-6</f>
        <v>245</v>
      </c>
      <c r="G79" s="111"/>
      <c r="H79" s="111"/>
      <c r="I79" s="111"/>
    </row>
    <row r="80" spans="1:9" s="108" customFormat="1" x14ac:dyDescent="0.2">
      <c r="A80" s="111">
        <v>70</v>
      </c>
      <c r="B80" s="114" t="s">
        <v>103</v>
      </c>
      <c r="C80" s="111">
        <f t="shared" si="1"/>
        <v>1100</v>
      </c>
      <c r="D80" s="111">
        <v>1100</v>
      </c>
      <c r="E80" s="111"/>
      <c r="F80" s="111"/>
      <c r="G80" s="111"/>
      <c r="H80" s="111"/>
      <c r="I80" s="111"/>
    </row>
    <row r="81" spans="1:9" s="108" customFormat="1" x14ac:dyDescent="0.2">
      <c r="A81" s="111">
        <v>71</v>
      </c>
      <c r="B81" s="114" t="s">
        <v>104</v>
      </c>
      <c r="C81" s="111">
        <f t="shared" si="1"/>
        <v>4514</v>
      </c>
      <c r="D81" s="111">
        <f>4527-13</f>
        <v>4514</v>
      </c>
      <c r="E81" s="111"/>
      <c r="F81" s="111"/>
      <c r="G81" s="111"/>
      <c r="H81" s="111">
        <f>1034-13</f>
        <v>1021</v>
      </c>
      <c r="I81" s="111"/>
    </row>
    <row r="82" spans="1:9" s="108" customFormat="1" x14ac:dyDescent="0.2">
      <c r="A82" s="111">
        <v>72</v>
      </c>
      <c r="B82" s="114" t="s">
        <v>105</v>
      </c>
      <c r="C82" s="111">
        <f t="shared" si="1"/>
        <v>1429</v>
      </c>
      <c r="D82" s="111">
        <f>1379+55-5</f>
        <v>1429</v>
      </c>
      <c r="E82" s="111"/>
      <c r="F82" s="111"/>
      <c r="G82" s="111"/>
      <c r="H82" s="111"/>
      <c r="I82" s="111"/>
    </row>
    <row r="83" spans="1:9" s="108" customFormat="1" x14ac:dyDescent="0.2">
      <c r="A83" s="111">
        <v>73</v>
      </c>
      <c r="B83" s="114" t="s">
        <v>106</v>
      </c>
      <c r="C83" s="111">
        <f t="shared" si="1"/>
        <v>1392</v>
      </c>
      <c r="D83" s="111">
        <f>1338+55-1</f>
        <v>1392</v>
      </c>
      <c r="E83" s="111"/>
      <c r="F83" s="111"/>
      <c r="G83" s="111"/>
      <c r="H83" s="111"/>
      <c r="I83" s="111"/>
    </row>
    <row r="84" spans="1:9" s="108" customFormat="1" x14ac:dyDescent="0.2">
      <c r="A84" s="111">
        <v>74</v>
      </c>
      <c r="B84" s="114" t="s">
        <v>107</v>
      </c>
      <c r="C84" s="111">
        <f t="shared" si="1"/>
        <v>3038</v>
      </c>
      <c r="D84" s="111">
        <f>3043-2-3</f>
        <v>3038</v>
      </c>
      <c r="E84" s="111">
        <v>374</v>
      </c>
      <c r="F84" s="111">
        <v>30</v>
      </c>
      <c r="G84" s="111"/>
      <c r="H84" s="111"/>
      <c r="I84" s="111"/>
    </row>
    <row r="85" spans="1:9" s="108" customFormat="1" x14ac:dyDescent="0.2">
      <c r="A85" s="111">
        <v>75</v>
      </c>
      <c r="B85" s="114" t="s">
        <v>108</v>
      </c>
      <c r="C85" s="111">
        <f t="shared" si="1"/>
        <v>2381</v>
      </c>
      <c r="D85" s="111">
        <v>2381</v>
      </c>
      <c r="E85" s="111"/>
      <c r="F85" s="111">
        <v>289</v>
      </c>
      <c r="G85" s="111"/>
      <c r="H85" s="111"/>
      <c r="I85" s="111"/>
    </row>
    <row r="86" spans="1:9" s="108" customFormat="1" x14ac:dyDescent="0.2">
      <c r="A86" s="111">
        <v>76</v>
      </c>
      <c r="B86" s="114" t="s">
        <v>109</v>
      </c>
      <c r="C86" s="111">
        <f t="shared" si="1"/>
        <v>1619</v>
      </c>
      <c r="D86" s="111">
        <f>1670-51</f>
        <v>1619</v>
      </c>
      <c r="E86" s="111"/>
      <c r="F86" s="111"/>
      <c r="G86" s="111"/>
      <c r="H86" s="111"/>
      <c r="I86" s="111"/>
    </row>
    <row r="87" spans="1:9" s="108" customFormat="1" x14ac:dyDescent="0.2">
      <c r="A87" s="111">
        <v>77</v>
      </c>
      <c r="B87" s="114" t="s">
        <v>110</v>
      </c>
      <c r="C87" s="111">
        <f t="shared" si="1"/>
        <v>980</v>
      </c>
      <c r="D87" s="111">
        <v>980</v>
      </c>
      <c r="E87" s="111"/>
      <c r="F87" s="111"/>
      <c r="G87" s="111"/>
      <c r="H87" s="111"/>
      <c r="I87" s="111"/>
    </row>
    <row r="88" spans="1:9" s="108" customFormat="1" x14ac:dyDescent="0.2">
      <c r="A88" s="111">
        <v>78</v>
      </c>
      <c r="B88" s="114" t="s">
        <v>111</v>
      </c>
      <c r="C88" s="111">
        <f t="shared" si="1"/>
        <v>1986</v>
      </c>
      <c r="D88" s="111">
        <f>1987-2+2-1</f>
        <v>1986</v>
      </c>
      <c r="E88" s="111"/>
      <c r="F88" s="111">
        <f>392-2</f>
        <v>390</v>
      </c>
      <c r="G88" s="111"/>
      <c r="H88" s="111">
        <v>2</v>
      </c>
      <c r="I88" s="111"/>
    </row>
    <row r="89" spans="1:9" s="108" customFormat="1" x14ac:dyDescent="0.2">
      <c r="A89" s="111">
        <v>79</v>
      </c>
      <c r="B89" s="114" t="s">
        <v>112</v>
      </c>
      <c r="C89" s="111">
        <f t="shared" si="1"/>
        <v>772</v>
      </c>
      <c r="D89" s="111">
        <f>783-11</f>
        <v>772</v>
      </c>
      <c r="E89" s="111"/>
      <c r="F89" s="111"/>
      <c r="G89" s="111"/>
      <c r="H89" s="111"/>
      <c r="I89" s="111"/>
    </row>
    <row r="90" spans="1:9" s="108" customFormat="1" x14ac:dyDescent="0.2">
      <c r="A90" s="111">
        <v>80</v>
      </c>
      <c r="B90" s="114" t="s">
        <v>113</v>
      </c>
      <c r="C90" s="111">
        <f t="shared" si="1"/>
        <v>5909</v>
      </c>
      <c r="D90" s="111">
        <f>5859+200-53+1-43-55</f>
        <v>5909</v>
      </c>
      <c r="E90" s="111"/>
      <c r="F90" s="111">
        <f>421+1</f>
        <v>422</v>
      </c>
      <c r="G90" s="111"/>
      <c r="H90" s="111">
        <f>1003+200-53-43</f>
        <v>1107</v>
      </c>
      <c r="I90" s="111"/>
    </row>
    <row r="91" spans="1:9" s="108" customFormat="1" x14ac:dyDescent="0.2">
      <c r="A91" s="111">
        <v>81</v>
      </c>
      <c r="B91" s="114" t="s">
        <v>114</v>
      </c>
      <c r="C91" s="111">
        <f t="shared" si="1"/>
        <v>1748</v>
      </c>
      <c r="D91" s="111">
        <f>1748+1-1</f>
        <v>1748</v>
      </c>
      <c r="E91" s="111">
        <f>1748+1-1</f>
        <v>1748</v>
      </c>
      <c r="F91" s="111">
        <f>64+1</f>
        <v>65</v>
      </c>
      <c r="G91" s="111"/>
      <c r="H91" s="111"/>
      <c r="I91" s="111"/>
    </row>
    <row r="92" spans="1:9" s="108" customFormat="1" x14ac:dyDescent="0.2">
      <c r="A92" s="111">
        <v>82</v>
      </c>
      <c r="B92" s="114" t="s">
        <v>36</v>
      </c>
      <c r="C92" s="111">
        <f t="shared" si="1"/>
        <v>2392</v>
      </c>
      <c r="D92" s="111">
        <f>2384+2+96-90</f>
        <v>2392</v>
      </c>
      <c r="E92" s="111"/>
      <c r="F92" s="111">
        <f>159+2</f>
        <v>161</v>
      </c>
      <c r="G92" s="111"/>
      <c r="H92" s="111">
        <f>420+96</f>
        <v>516</v>
      </c>
      <c r="I92" s="111"/>
    </row>
    <row r="93" spans="1:9" s="108" customFormat="1" x14ac:dyDescent="0.2">
      <c r="A93" s="111">
        <v>83</v>
      </c>
      <c r="B93" s="114" t="s">
        <v>115</v>
      </c>
      <c r="C93" s="111">
        <f t="shared" si="1"/>
        <v>687</v>
      </c>
      <c r="D93" s="122">
        <v>687</v>
      </c>
      <c r="E93" s="122"/>
      <c r="F93" s="122"/>
      <c r="G93" s="122"/>
      <c r="H93" s="122"/>
      <c r="I93" s="122"/>
    </row>
    <row r="94" spans="1:9" s="108" customFormat="1" x14ac:dyDescent="0.2">
      <c r="A94" s="111">
        <v>84</v>
      </c>
      <c r="B94" s="114" t="s">
        <v>22</v>
      </c>
      <c r="C94" s="111">
        <f t="shared" si="1"/>
        <v>466</v>
      </c>
      <c r="D94" s="122">
        <f>470-7+1+2</f>
        <v>466</v>
      </c>
      <c r="E94" s="122"/>
      <c r="F94" s="122">
        <f>22+1</f>
        <v>23</v>
      </c>
      <c r="G94" s="122"/>
      <c r="H94" s="122">
        <f>300-7</f>
        <v>293</v>
      </c>
      <c r="I94" s="122"/>
    </row>
    <row r="95" spans="1:9" s="108" customFormat="1" x14ac:dyDescent="0.2">
      <c r="A95" s="111">
        <v>85</v>
      </c>
      <c r="B95" s="114" t="s">
        <v>116</v>
      </c>
      <c r="C95" s="111">
        <f t="shared" si="1"/>
        <v>262</v>
      </c>
      <c r="D95" s="122">
        <v>262</v>
      </c>
      <c r="E95" s="122"/>
      <c r="F95" s="122"/>
      <c r="G95" s="122"/>
      <c r="H95" s="122"/>
      <c r="I95" s="122"/>
    </row>
    <row r="96" spans="1:9" s="108" customFormat="1" x14ac:dyDescent="0.2">
      <c r="A96" s="111">
        <v>86</v>
      </c>
      <c r="B96" s="114" t="s">
        <v>117</v>
      </c>
      <c r="C96" s="111">
        <f t="shared" si="1"/>
        <v>859</v>
      </c>
      <c r="D96" s="122">
        <v>859</v>
      </c>
      <c r="E96" s="122">
        <v>92</v>
      </c>
      <c r="F96" s="122"/>
      <c r="G96" s="122"/>
      <c r="H96" s="122"/>
      <c r="I96" s="122"/>
    </row>
    <row r="97" spans="1:9" s="108" customFormat="1" x14ac:dyDescent="0.2">
      <c r="A97" s="111">
        <v>87</v>
      </c>
      <c r="B97" s="114" t="s">
        <v>118</v>
      </c>
      <c r="C97" s="111">
        <f t="shared" si="1"/>
        <v>855</v>
      </c>
      <c r="D97" s="111">
        <f>872-17</f>
        <v>855</v>
      </c>
      <c r="E97" s="111">
        <v>95</v>
      </c>
      <c r="F97" s="111"/>
      <c r="G97" s="111"/>
      <c r="H97" s="111"/>
      <c r="I97" s="111"/>
    </row>
    <row r="98" spans="1:9" s="108" customFormat="1" x14ac:dyDescent="0.2">
      <c r="A98" s="111">
        <v>88</v>
      </c>
      <c r="B98" s="114" t="s">
        <v>30</v>
      </c>
      <c r="C98" s="111">
        <f t="shared" si="1"/>
        <v>2474</v>
      </c>
      <c r="D98" s="122">
        <f>2470+4</f>
        <v>2474</v>
      </c>
      <c r="E98" s="122">
        <v>255</v>
      </c>
      <c r="F98" s="122"/>
      <c r="G98" s="122"/>
      <c r="H98" s="122"/>
      <c r="I98" s="122"/>
    </row>
    <row r="99" spans="1:9" s="108" customFormat="1" x14ac:dyDescent="0.2">
      <c r="A99" s="111">
        <v>89</v>
      </c>
      <c r="B99" s="114" t="s">
        <v>119</v>
      </c>
      <c r="C99" s="111">
        <f t="shared" si="1"/>
        <v>1058</v>
      </c>
      <c r="D99" s="111">
        <f>1068-10</f>
        <v>1058</v>
      </c>
      <c r="E99" s="111">
        <v>111</v>
      </c>
      <c r="F99" s="111"/>
      <c r="G99" s="111"/>
      <c r="H99" s="111"/>
      <c r="I99" s="111"/>
    </row>
    <row r="100" spans="1:9" s="108" customFormat="1" x14ac:dyDescent="0.2">
      <c r="A100" s="111">
        <v>90</v>
      </c>
      <c r="B100" s="114" t="s">
        <v>120</v>
      </c>
      <c r="C100" s="111">
        <f t="shared" si="1"/>
        <v>1300</v>
      </c>
      <c r="D100" s="122">
        <v>1300</v>
      </c>
      <c r="E100" s="122">
        <v>118</v>
      </c>
      <c r="F100" s="122"/>
      <c r="G100" s="122"/>
      <c r="H100" s="122"/>
      <c r="I100" s="122"/>
    </row>
    <row r="101" spans="1:9" s="108" customFormat="1" x14ac:dyDescent="0.2">
      <c r="A101" s="111">
        <v>91</v>
      </c>
      <c r="B101" s="114" t="s">
        <v>121</v>
      </c>
      <c r="C101" s="111">
        <f t="shared" si="1"/>
        <v>2543</v>
      </c>
      <c r="D101" s="122">
        <f>2552-2-7</f>
        <v>2543</v>
      </c>
      <c r="E101" s="122">
        <v>304</v>
      </c>
      <c r="F101" s="122"/>
      <c r="G101" s="122"/>
      <c r="H101" s="122"/>
      <c r="I101" s="122"/>
    </row>
    <row r="102" spans="1:9" s="108" customFormat="1" x14ac:dyDescent="0.2">
      <c r="A102" s="111">
        <v>92</v>
      </c>
      <c r="B102" s="114" t="s">
        <v>122</v>
      </c>
      <c r="C102" s="111">
        <f t="shared" si="1"/>
        <v>2189</v>
      </c>
      <c r="D102" s="122">
        <f>2216-27</f>
        <v>2189</v>
      </c>
      <c r="E102" s="122">
        <v>230</v>
      </c>
      <c r="F102" s="122"/>
      <c r="G102" s="122"/>
      <c r="H102" s="122"/>
      <c r="I102" s="122"/>
    </row>
    <row r="103" spans="1:9" s="108" customFormat="1" x14ac:dyDescent="0.2">
      <c r="A103" s="111">
        <v>93</v>
      </c>
      <c r="B103" s="114" t="s">
        <v>123</v>
      </c>
      <c r="C103" s="111">
        <f t="shared" si="1"/>
        <v>760</v>
      </c>
      <c r="D103" s="111">
        <f>806-46</f>
        <v>760</v>
      </c>
      <c r="E103" s="111">
        <v>90</v>
      </c>
      <c r="F103" s="111"/>
      <c r="G103" s="111"/>
      <c r="H103" s="111"/>
      <c r="I103" s="111"/>
    </row>
    <row r="104" spans="1:9" s="108" customFormat="1" x14ac:dyDescent="0.2">
      <c r="A104" s="111">
        <v>94</v>
      </c>
      <c r="B104" s="114" t="s">
        <v>124</v>
      </c>
      <c r="C104" s="111">
        <f t="shared" si="1"/>
        <v>1255</v>
      </c>
      <c r="D104" s="122">
        <f>1261-6</f>
        <v>1255</v>
      </c>
      <c r="E104" s="122">
        <v>125</v>
      </c>
      <c r="F104" s="122"/>
      <c r="G104" s="122"/>
      <c r="H104" s="122"/>
      <c r="I104" s="122"/>
    </row>
    <row r="105" spans="1:9" s="108" customFormat="1" x14ac:dyDescent="0.2">
      <c r="A105" s="111">
        <v>95</v>
      </c>
      <c r="B105" s="114" t="s">
        <v>125</v>
      </c>
      <c r="C105" s="111">
        <f t="shared" si="1"/>
        <v>1174</v>
      </c>
      <c r="D105" s="111">
        <f>1207-33</f>
        <v>1174</v>
      </c>
      <c r="E105" s="111">
        <v>134</v>
      </c>
      <c r="F105" s="111"/>
      <c r="G105" s="111"/>
      <c r="H105" s="111"/>
      <c r="I105" s="111"/>
    </row>
    <row r="106" spans="1:9" s="108" customFormat="1" x14ac:dyDescent="0.2">
      <c r="A106" s="111">
        <v>96</v>
      </c>
      <c r="B106" s="114" t="s">
        <v>15</v>
      </c>
      <c r="C106" s="111">
        <f t="shared" si="1"/>
        <v>1983</v>
      </c>
      <c r="D106" s="111">
        <f>1986-20-1+18</f>
        <v>1983</v>
      </c>
      <c r="E106" s="111">
        <v>181</v>
      </c>
      <c r="F106" s="111">
        <v>15</v>
      </c>
      <c r="G106" s="111"/>
      <c r="H106" s="111">
        <f>516-50-30-20-1</f>
        <v>415</v>
      </c>
      <c r="I106" s="111"/>
    </row>
    <row r="107" spans="1:9" s="108" customFormat="1" x14ac:dyDescent="0.2">
      <c r="A107" s="111">
        <v>97</v>
      </c>
      <c r="B107" s="114" t="s">
        <v>126</v>
      </c>
      <c r="C107" s="111">
        <f t="shared" si="1"/>
        <v>933</v>
      </c>
      <c r="D107" s="122">
        <v>933</v>
      </c>
      <c r="E107" s="122">
        <v>104</v>
      </c>
      <c r="F107" s="122"/>
      <c r="G107" s="122"/>
      <c r="H107" s="122"/>
      <c r="I107" s="122"/>
    </row>
    <row r="108" spans="1:9" s="108" customFormat="1" x14ac:dyDescent="0.2">
      <c r="A108" s="111">
        <v>98</v>
      </c>
      <c r="B108" s="114" t="s">
        <v>127</v>
      </c>
      <c r="C108" s="111">
        <f t="shared" si="1"/>
        <v>1370</v>
      </c>
      <c r="D108" s="122">
        <f>1372-2</f>
        <v>1370</v>
      </c>
      <c r="E108" s="122">
        <v>131</v>
      </c>
      <c r="F108" s="122"/>
      <c r="G108" s="122"/>
      <c r="H108" s="122"/>
      <c r="I108" s="122"/>
    </row>
    <row r="109" spans="1:9" s="108" customFormat="1" x14ac:dyDescent="0.2">
      <c r="A109" s="111">
        <v>99</v>
      </c>
      <c r="B109" s="114" t="s">
        <v>128</v>
      </c>
      <c r="C109" s="111">
        <f t="shared" si="1"/>
        <v>2290</v>
      </c>
      <c r="D109" s="122">
        <f>2297-7</f>
        <v>2290</v>
      </c>
      <c r="E109" s="122">
        <v>228</v>
      </c>
      <c r="F109" s="122"/>
      <c r="G109" s="122"/>
      <c r="H109" s="122"/>
      <c r="I109" s="122"/>
    </row>
    <row r="110" spans="1:9" s="108" customFormat="1" x14ac:dyDescent="0.2">
      <c r="A110" s="111">
        <v>100</v>
      </c>
      <c r="B110" s="114" t="s">
        <v>129</v>
      </c>
      <c r="C110" s="111">
        <f t="shared" si="1"/>
        <v>1098</v>
      </c>
      <c r="D110" s="122">
        <f>1099-1</f>
        <v>1098</v>
      </c>
      <c r="E110" s="122">
        <v>111</v>
      </c>
      <c r="F110" s="122"/>
      <c r="G110" s="122"/>
      <c r="H110" s="122"/>
      <c r="I110" s="122"/>
    </row>
    <row r="111" spans="1:9" s="108" customFormat="1" ht="14.25" customHeight="1" x14ac:dyDescent="0.2">
      <c r="A111" s="111">
        <v>101</v>
      </c>
      <c r="B111" s="120" t="s">
        <v>31</v>
      </c>
      <c r="C111" s="111">
        <f t="shared" si="1"/>
        <v>996</v>
      </c>
      <c r="D111" s="122">
        <f>996+3-3</f>
        <v>996</v>
      </c>
      <c r="E111" s="122"/>
      <c r="F111" s="122">
        <f>150+3</f>
        <v>153</v>
      </c>
      <c r="G111" s="122"/>
      <c r="H111" s="122"/>
      <c r="I111" s="122"/>
    </row>
    <row r="112" spans="1:9" s="108" customFormat="1" x14ac:dyDescent="0.2">
      <c r="A112" s="111">
        <v>102</v>
      </c>
      <c r="B112" s="114" t="s">
        <v>2</v>
      </c>
      <c r="C112" s="111">
        <f t="shared" si="1"/>
        <v>314</v>
      </c>
      <c r="D112" s="122">
        <f>315-1</f>
        <v>314</v>
      </c>
      <c r="E112" s="122"/>
      <c r="F112" s="122"/>
      <c r="G112" s="122"/>
      <c r="H112" s="122"/>
      <c r="I112" s="122"/>
    </row>
    <row r="113" spans="1:9" s="108" customFormat="1" ht="14.25" customHeight="1" x14ac:dyDescent="0.2">
      <c r="A113" s="123">
        <v>103</v>
      </c>
      <c r="B113" s="114" t="s">
        <v>158</v>
      </c>
      <c r="C113" s="111">
        <f t="shared" si="1"/>
        <v>596</v>
      </c>
      <c r="D113" s="122">
        <f>405+177+3+9+2</f>
        <v>596</v>
      </c>
      <c r="E113" s="122"/>
      <c r="F113" s="122"/>
      <c r="G113" s="122">
        <f>405+177+3+9+2</f>
        <v>596</v>
      </c>
      <c r="H113" s="122"/>
      <c r="I113" s="122"/>
    </row>
    <row r="114" spans="1:9" x14ac:dyDescent="0.2">
      <c r="A114" s="111">
        <v>104</v>
      </c>
      <c r="B114" s="124" t="s">
        <v>130</v>
      </c>
      <c r="C114" s="111">
        <f>D114+I114</f>
        <v>20</v>
      </c>
      <c r="D114" s="123">
        <v>20</v>
      </c>
      <c r="E114" s="123"/>
      <c r="F114" s="123"/>
      <c r="G114" s="124"/>
      <c r="H114" s="124"/>
      <c r="I114" s="124"/>
    </row>
    <row r="115" spans="1:9" s="128" customFormat="1" x14ac:dyDescent="0.2">
      <c r="A115" s="125">
        <v>105</v>
      </c>
      <c r="B115" s="126" t="s">
        <v>1</v>
      </c>
      <c r="C115" s="125">
        <f>C116+C117</f>
        <v>1998</v>
      </c>
      <c r="D115" s="125">
        <f>D116+D117</f>
        <v>1998</v>
      </c>
      <c r="E115" s="125"/>
      <c r="F115" s="125"/>
      <c r="G115" s="125"/>
      <c r="H115" s="125"/>
      <c r="I115" s="127"/>
    </row>
    <row r="116" spans="1:9" s="108" customFormat="1" ht="15" customHeight="1" x14ac:dyDescent="0.2">
      <c r="A116" s="111"/>
      <c r="B116" s="129" t="s">
        <v>131</v>
      </c>
      <c r="C116" s="111">
        <f t="shared" ref="C116:C148" si="2">D116+I116</f>
        <v>1880</v>
      </c>
      <c r="D116" s="122">
        <f>1896-1-2-1-2-1-1-8</f>
        <v>1880</v>
      </c>
      <c r="E116" s="122"/>
      <c r="F116" s="122"/>
      <c r="G116" s="122"/>
      <c r="H116" s="122"/>
      <c r="I116" s="122"/>
    </row>
    <row r="117" spans="1:9" s="108" customFormat="1" ht="15" customHeight="1" x14ac:dyDescent="0.2">
      <c r="A117" s="111"/>
      <c r="B117" s="129" t="s">
        <v>162</v>
      </c>
      <c r="C117" s="111">
        <f t="shared" si="2"/>
        <v>118</v>
      </c>
      <c r="D117" s="122">
        <f>70+48</f>
        <v>118</v>
      </c>
      <c r="E117" s="122"/>
      <c r="F117" s="122"/>
      <c r="G117" s="122"/>
      <c r="H117" s="122"/>
      <c r="I117" s="122"/>
    </row>
    <row r="118" spans="1:9" s="108" customFormat="1" x14ac:dyDescent="0.2">
      <c r="A118" s="111">
        <v>106</v>
      </c>
      <c r="B118" s="114" t="s">
        <v>159</v>
      </c>
      <c r="C118" s="111">
        <f t="shared" si="2"/>
        <v>494</v>
      </c>
      <c r="D118" s="122">
        <f>607-128+27-12</f>
        <v>494</v>
      </c>
      <c r="E118" s="122"/>
      <c r="F118" s="122"/>
      <c r="G118" s="122">
        <f>607-128-12</f>
        <v>467</v>
      </c>
      <c r="H118" s="122">
        <v>27</v>
      </c>
      <c r="I118" s="122"/>
    </row>
    <row r="119" spans="1:9" s="108" customFormat="1" x14ac:dyDescent="0.2">
      <c r="A119" s="111">
        <v>107</v>
      </c>
      <c r="B119" s="114" t="s">
        <v>132</v>
      </c>
      <c r="C119" s="111">
        <f t="shared" si="2"/>
        <v>32</v>
      </c>
      <c r="D119" s="122">
        <v>32</v>
      </c>
      <c r="E119" s="122"/>
      <c r="F119" s="122"/>
      <c r="G119" s="122"/>
      <c r="H119" s="122"/>
      <c r="I119" s="122"/>
    </row>
    <row r="120" spans="1:9" s="108" customFormat="1" x14ac:dyDescent="0.2">
      <c r="A120" s="111">
        <v>108</v>
      </c>
      <c r="B120" s="114" t="s">
        <v>3</v>
      </c>
      <c r="C120" s="111">
        <f t="shared" si="2"/>
        <v>409</v>
      </c>
      <c r="D120" s="122">
        <f>475-2-1-1-1-61</f>
        <v>409</v>
      </c>
      <c r="E120" s="122"/>
      <c r="F120" s="122"/>
      <c r="G120" s="122"/>
      <c r="H120" s="122"/>
      <c r="I120" s="122"/>
    </row>
    <row r="121" spans="1:9" s="108" customFormat="1" x14ac:dyDescent="0.2">
      <c r="A121" s="111">
        <v>109</v>
      </c>
      <c r="B121" s="114" t="s">
        <v>160</v>
      </c>
      <c r="C121" s="111">
        <f t="shared" si="2"/>
        <v>420</v>
      </c>
      <c r="D121" s="122">
        <f>485-60-5</f>
        <v>420</v>
      </c>
      <c r="E121" s="122"/>
      <c r="F121" s="122"/>
      <c r="G121" s="122">
        <f>405-60-5</f>
        <v>340</v>
      </c>
      <c r="H121" s="122"/>
      <c r="I121" s="122"/>
    </row>
    <row r="122" spans="1:9" s="108" customFormat="1" x14ac:dyDescent="0.2">
      <c r="A122" s="111">
        <v>110</v>
      </c>
      <c r="B122" s="114" t="s">
        <v>4</v>
      </c>
      <c r="C122" s="111">
        <f t="shared" si="2"/>
        <v>842</v>
      </c>
      <c r="D122" s="122">
        <f>846-1-1-1-1</f>
        <v>842</v>
      </c>
      <c r="E122" s="122"/>
      <c r="F122" s="122"/>
      <c r="G122" s="122"/>
      <c r="H122" s="122"/>
      <c r="I122" s="122"/>
    </row>
    <row r="123" spans="1:9" s="128" customFormat="1" x14ac:dyDescent="0.2">
      <c r="A123" s="125">
        <v>111</v>
      </c>
      <c r="B123" s="126" t="s">
        <v>133</v>
      </c>
      <c r="C123" s="125">
        <f>C124+C125+C126</f>
        <v>1478</v>
      </c>
      <c r="D123" s="125">
        <f>D124+D125+D126</f>
        <v>1478</v>
      </c>
      <c r="E123" s="125"/>
      <c r="F123" s="125"/>
      <c r="G123" s="125"/>
      <c r="H123" s="125"/>
      <c r="I123" s="125"/>
    </row>
    <row r="124" spans="1:9" s="108" customFormat="1" x14ac:dyDescent="0.2">
      <c r="A124" s="111"/>
      <c r="B124" s="114" t="s">
        <v>163</v>
      </c>
      <c r="C124" s="111">
        <f t="shared" si="2"/>
        <v>1164</v>
      </c>
      <c r="D124" s="122">
        <v>1164</v>
      </c>
      <c r="E124" s="122"/>
      <c r="F124" s="122"/>
      <c r="G124" s="122"/>
      <c r="H124" s="122"/>
      <c r="I124" s="122"/>
    </row>
    <row r="125" spans="1:9" s="108" customFormat="1" x14ac:dyDescent="0.2">
      <c r="A125" s="111"/>
      <c r="B125" s="114" t="s">
        <v>134</v>
      </c>
      <c r="C125" s="111">
        <f t="shared" si="2"/>
        <v>239</v>
      </c>
      <c r="D125" s="122">
        <v>239</v>
      </c>
      <c r="E125" s="122"/>
      <c r="F125" s="122"/>
      <c r="G125" s="122"/>
      <c r="H125" s="122"/>
      <c r="I125" s="122"/>
    </row>
    <row r="126" spans="1:9" s="108" customFormat="1" x14ac:dyDescent="0.2">
      <c r="A126" s="111"/>
      <c r="B126" s="114" t="s">
        <v>164</v>
      </c>
      <c r="C126" s="111">
        <f t="shared" si="2"/>
        <v>75</v>
      </c>
      <c r="D126" s="122">
        <f>60+15</f>
        <v>75</v>
      </c>
      <c r="E126" s="122"/>
      <c r="F126" s="122"/>
      <c r="G126" s="122"/>
      <c r="H126" s="122"/>
      <c r="I126" s="122"/>
    </row>
    <row r="127" spans="1:9" s="108" customFormat="1" x14ac:dyDescent="0.2">
      <c r="A127" s="111">
        <v>112</v>
      </c>
      <c r="B127" s="114" t="s">
        <v>23</v>
      </c>
      <c r="C127" s="111">
        <f t="shared" si="2"/>
        <v>10660</v>
      </c>
      <c r="D127" s="122">
        <f>10219+429-182-222+387+29</f>
        <v>10660</v>
      </c>
      <c r="E127" s="122"/>
      <c r="F127" s="122"/>
      <c r="G127" s="122"/>
      <c r="H127" s="122">
        <f>10219+429-182-222+387+29</f>
        <v>10660</v>
      </c>
      <c r="I127" s="122"/>
    </row>
    <row r="128" spans="1:9" s="108" customFormat="1" x14ac:dyDescent="0.2">
      <c r="A128" s="111">
        <v>113</v>
      </c>
      <c r="B128" s="114" t="s">
        <v>24</v>
      </c>
      <c r="C128" s="111">
        <f t="shared" si="2"/>
        <v>360</v>
      </c>
      <c r="D128" s="122">
        <v>360</v>
      </c>
      <c r="E128" s="122"/>
      <c r="F128" s="122"/>
      <c r="G128" s="122"/>
      <c r="H128" s="122"/>
      <c r="I128" s="122"/>
    </row>
    <row r="129" spans="1:9" s="128" customFormat="1" x14ac:dyDescent="0.2">
      <c r="A129" s="125">
        <v>114</v>
      </c>
      <c r="B129" s="126" t="s">
        <v>135</v>
      </c>
      <c r="C129" s="125">
        <f>C130+C131+C132</f>
        <v>2621</v>
      </c>
      <c r="D129" s="125">
        <f t="shared" ref="D129:H129" si="3">D130+D131+D132</f>
        <v>2621</v>
      </c>
      <c r="E129" s="125">
        <f t="shared" si="3"/>
        <v>2621</v>
      </c>
      <c r="F129" s="125">
        <f t="shared" si="3"/>
        <v>723</v>
      </c>
      <c r="G129" s="125">
        <f t="shared" si="3"/>
        <v>0</v>
      </c>
      <c r="H129" s="125">
        <f t="shared" si="3"/>
        <v>50</v>
      </c>
      <c r="I129" s="125"/>
    </row>
    <row r="130" spans="1:9" s="108" customFormat="1" x14ac:dyDescent="0.2">
      <c r="A130" s="111"/>
      <c r="B130" s="114" t="s">
        <v>135</v>
      </c>
      <c r="C130" s="111">
        <f t="shared" si="2"/>
        <v>2551</v>
      </c>
      <c r="D130" s="122">
        <f>3279-198-495+58+25-54-28-5-31</f>
        <v>2551</v>
      </c>
      <c r="E130" s="122">
        <f>3279-198-495+58+25-54-28-5-31</f>
        <v>2551</v>
      </c>
      <c r="F130" s="122">
        <f>872-67-54-28</f>
        <v>723</v>
      </c>
      <c r="G130" s="122"/>
      <c r="H130" s="122">
        <f>74+35-54-5</f>
        <v>50</v>
      </c>
      <c r="I130" s="122"/>
    </row>
    <row r="131" spans="1:9" s="108" customFormat="1" x14ac:dyDescent="0.2">
      <c r="A131" s="111"/>
      <c r="B131" s="129" t="s">
        <v>136</v>
      </c>
      <c r="C131" s="111">
        <f t="shared" si="2"/>
        <v>70</v>
      </c>
      <c r="D131" s="122">
        <f>45+81-56</f>
        <v>70</v>
      </c>
      <c r="E131" s="122">
        <f>45+81-56</f>
        <v>70</v>
      </c>
      <c r="F131" s="122"/>
      <c r="G131" s="122"/>
      <c r="H131" s="122"/>
      <c r="I131" s="122"/>
    </row>
    <row r="132" spans="1:9" s="108" customFormat="1" x14ac:dyDescent="0.2">
      <c r="A132" s="111"/>
      <c r="B132" s="129" t="s">
        <v>165</v>
      </c>
      <c r="C132" s="111">
        <f t="shared" si="2"/>
        <v>0</v>
      </c>
      <c r="D132" s="122">
        <f>2-2</f>
        <v>0</v>
      </c>
      <c r="E132" s="122">
        <f>2-2</f>
        <v>0</v>
      </c>
      <c r="F132" s="122"/>
      <c r="G132" s="122"/>
      <c r="H132" s="122"/>
      <c r="I132" s="122"/>
    </row>
    <row r="133" spans="1:9" s="108" customFormat="1" x14ac:dyDescent="0.2">
      <c r="A133" s="111">
        <v>115</v>
      </c>
      <c r="B133" s="114" t="s">
        <v>137</v>
      </c>
      <c r="C133" s="111">
        <f t="shared" si="2"/>
        <v>6980</v>
      </c>
      <c r="D133" s="122">
        <f>6980-20+20</f>
        <v>6980</v>
      </c>
      <c r="E133" s="122"/>
      <c r="F133" s="122"/>
      <c r="G133" s="122"/>
      <c r="H133" s="122"/>
      <c r="I133" s="122"/>
    </row>
    <row r="134" spans="1:9" s="108" customFormat="1" x14ac:dyDescent="0.2">
      <c r="A134" s="111">
        <v>116</v>
      </c>
      <c r="B134" s="114" t="s">
        <v>138</v>
      </c>
      <c r="C134" s="111">
        <f t="shared" si="2"/>
        <v>1726</v>
      </c>
      <c r="D134" s="122">
        <f>1724+2</f>
        <v>1726</v>
      </c>
      <c r="E134" s="122"/>
      <c r="F134" s="122"/>
      <c r="G134" s="122"/>
      <c r="H134" s="122"/>
      <c r="I134" s="122"/>
    </row>
    <row r="135" spans="1:9" s="108" customFormat="1" x14ac:dyDescent="0.2">
      <c r="A135" s="111">
        <v>117</v>
      </c>
      <c r="B135" s="114" t="s">
        <v>26</v>
      </c>
      <c r="C135" s="111">
        <f t="shared" si="2"/>
        <v>2844</v>
      </c>
      <c r="D135" s="122">
        <f>2614+300-70</f>
        <v>2844</v>
      </c>
      <c r="E135" s="122"/>
      <c r="F135" s="122"/>
      <c r="G135" s="122"/>
      <c r="H135" s="122"/>
      <c r="I135" s="122"/>
    </row>
    <row r="136" spans="1:9" s="108" customFormat="1" x14ac:dyDescent="0.2">
      <c r="A136" s="111">
        <v>118</v>
      </c>
      <c r="B136" s="118" t="s">
        <v>139</v>
      </c>
      <c r="C136" s="111">
        <f t="shared" si="2"/>
        <v>610</v>
      </c>
      <c r="D136" s="122">
        <f>608-12+14</f>
        <v>610</v>
      </c>
      <c r="E136" s="122"/>
      <c r="F136" s="122"/>
      <c r="G136" s="122">
        <f>608-12+14</f>
        <v>610</v>
      </c>
      <c r="H136" s="122"/>
      <c r="I136" s="122"/>
    </row>
    <row r="137" spans="1:9" s="108" customFormat="1" x14ac:dyDescent="0.2">
      <c r="A137" s="111">
        <v>119</v>
      </c>
      <c r="B137" s="114" t="s">
        <v>140</v>
      </c>
      <c r="C137" s="111">
        <f t="shared" si="2"/>
        <v>959</v>
      </c>
      <c r="D137" s="122">
        <f>821+140-2</f>
        <v>959</v>
      </c>
      <c r="E137" s="122"/>
      <c r="F137" s="122">
        <f>821+140-2</f>
        <v>959</v>
      </c>
      <c r="G137" s="122"/>
      <c r="H137" s="122"/>
      <c r="I137" s="122"/>
    </row>
    <row r="138" spans="1:9" s="108" customFormat="1" x14ac:dyDescent="0.2">
      <c r="A138" s="113">
        <v>120</v>
      </c>
      <c r="B138" s="114" t="s">
        <v>27</v>
      </c>
      <c r="C138" s="111">
        <f t="shared" si="2"/>
        <v>1163</v>
      </c>
      <c r="D138" s="122">
        <v>1163</v>
      </c>
      <c r="E138" s="122"/>
      <c r="F138" s="122">
        <v>563</v>
      </c>
      <c r="G138" s="122"/>
      <c r="H138" s="122"/>
      <c r="I138" s="122"/>
    </row>
    <row r="139" spans="1:9" s="108" customFormat="1" x14ac:dyDescent="0.2">
      <c r="A139" s="200">
        <v>121</v>
      </c>
      <c r="B139" s="114" t="s">
        <v>35</v>
      </c>
      <c r="C139" s="111">
        <f t="shared" si="2"/>
        <v>3528</v>
      </c>
      <c r="D139" s="122">
        <f>3542-7+26-33</f>
        <v>3528</v>
      </c>
      <c r="E139" s="122"/>
      <c r="F139" s="122">
        <f>135-11-7</f>
        <v>117</v>
      </c>
      <c r="G139" s="122"/>
      <c r="H139" s="122">
        <f>576+26</f>
        <v>602</v>
      </c>
      <c r="I139" s="122"/>
    </row>
    <row r="140" spans="1:9" s="117" customFormat="1" ht="25.5" customHeight="1" x14ac:dyDescent="0.2">
      <c r="A140" s="201"/>
      <c r="B140" s="119" t="s">
        <v>141</v>
      </c>
      <c r="C140" s="116">
        <f t="shared" si="2"/>
        <v>3467</v>
      </c>
      <c r="D140" s="130">
        <f>3470-3</f>
        <v>3467</v>
      </c>
      <c r="E140" s="130">
        <v>441</v>
      </c>
      <c r="F140" s="130"/>
      <c r="G140" s="130"/>
      <c r="H140" s="130"/>
      <c r="I140" s="130"/>
    </row>
    <row r="141" spans="1:9" s="108" customFormat="1" x14ac:dyDescent="0.2">
      <c r="A141" s="111">
        <v>122</v>
      </c>
      <c r="B141" s="114" t="s">
        <v>142</v>
      </c>
      <c r="C141" s="111">
        <f t="shared" si="2"/>
        <v>280</v>
      </c>
      <c r="D141" s="122">
        <f>259+4+4+13</f>
        <v>280</v>
      </c>
      <c r="E141" s="122"/>
      <c r="F141" s="122"/>
      <c r="G141" s="122"/>
      <c r="H141" s="122"/>
      <c r="I141" s="122"/>
    </row>
    <row r="142" spans="1:9" s="128" customFormat="1" ht="13.5" customHeight="1" x14ac:dyDescent="0.2">
      <c r="A142" s="131">
        <v>123</v>
      </c>
      <c r="B142" s="132" t="s">
        <v>143</v>
      </c>
      <c r="C142" s="125">
        <f t="shared" si="2"/>
        <v>5279</v>
      </c>
      <c r="D142" s="125">
        <f t="shared" ref="D142:I142" si="4">D144+D145+D146</f>
        <v>4842</v>
      </c>
      <c r="E142" s="125">
        <f t="shared" si="4"/>
        <v>0</v>
      </c>
      <c r="F142" s="125">
        <f t="shared" si="4"/>
        <v>0</v>
      </c>
      <c r="G142" s="125">
        <f t="shared" si="4"/>
        <v>0</v>
      </c>
      <c r="H142" s="125">
        <f t="shared" si="4"/>
        <v>4842</v>
      </c>
      <c r="I142" s="125">
        <f t="shared" si="4"/>
        <v>437</v>
      </c>
    </row>
    <row r="143" spans="1:9" s="108" customFormat="1" x14ac:dyDescent="0.2">
      <c r="A143" s="133"/>
      <c r="B143" s="120" t="s">
        <v>144</v>
      </c>
      <c r="C143" s="111">
        <f t="shared" si="2"/>
        <v>0</v>
      </c>
      <c r="D143" s="111"/>
      <c r="E143" s="111"/>
      <c r="F143" s="133"/>
      <c r="G143" s="133"/>
      <c r="H143" s="133"/>
      <c r="I143" s="133"/>
    </row>
    <row r="144" spans="1:9" s="108" customFormat="1" ht="14.25" customHeight="1" x14ac:dyDescent="0.2">
      <c r="A144" s="133"/>
      <c r="B144" s="120" t="s">
        <v>145</v>
      </c>
      <c r="C144" s="111">
        <f t="shared" si="2"/>
        <v>361</v>
      </c>
      <c r="D144" s="111"/>
      <c r="E144" s="111"/>
      <c r="F144" s="133"/>
      <c r="G144" s="133"/>
      <c r="H144" s="133"/>
      <c r="I144" s="122">
        <f>360+1</f>
        <v>361</v>
      </c>
    </row>
    <row r="145" spans="1:9" s="108" customFormat="1" ht="13.5" customHeight="1" x14ac:dyDescent="0.2">
      <c r="A145" s="133"/>
      <c r="B145" s="120" t="s">
        <v>146</v>
      </c>
      <c r="C145" s="111">
        <f t="shared" si="2"/>
        <v>76</v>
      </c>
      <c r="D145" s="111"/>
      <c r="E145" s="111"/>
      <c r="F145" s="133"/>
      <c r="G145" s="133"/>
      <c r="H145" s="133"/>
      <c r="I145" s="122">
        <f>75+1</f>
        <v>76</v>
      </c>
    </row>
    <row r="146" spans="1:9" s="108" customFormat="1" ht="13.5" customHeight="1" x14ac:dyDescent="0.2">
      <c r="A146" s="133"/>
      <c r="B146" s="134" t="s">
        <v>147</v>
      </c>
      <c r="C146" s="111">
        <f t="shared" si="2"/>
        <v>4842</v>
      </c>
      <c r="D146" s="111">
        <f>5166-1109+746+39</f>
        <v>4842</v>
      </c>
      <c r="E146" s="111"/>
      <c r="F146" s="133"/>
      <c r="G146" s="133"/>
      <c r="H146" s="113">
        <f>4057+746+39</f>
        <v>4842</v>
      </c>
      <c r="I146" s="122"/>
    </row>
    <row r="147" spans="1:9" s="108" customFormat="1" ht="13.5" customHeight="1" x14ac:dyDescent="0.2">
      <c r="A147" s="133">
        <v>124</v>
      </c>
      <c r="B147" s="120" t="s">
        <v>148</v>
      </c>
      <c r="C147" s="111">
        <f t="shared" si="2"/>
        <v>20</v>
      </c>
      <c r="D147" s="111">
        <v>20</v>
      </c>
      <c r="E147" s="111"/>
      <c r="F147" s="133"/>
      <c r="G147" s="133"/>
      <c r="H147" s="133"/>
      <c r="I147" s="122"/>
    </row>
    <row r="148" spans="1:9" s="108" customFormat="1" x14ac:dyDescent="0.2">
      <c r="A148" s="133"/>
      <c r="B148" s="114" t="s">
        <v>32</v>
      </c>
      <c r="C148" s="111">
        <f t="shared" si="2"/>
        <v>2957</v>
      </c>
      <c r="D148" s="111">
        <f>298+3157+3+4-820+40+23+3+2+3+2-63-12-9+326</f>
        <v>2957</v>
      </c>
      <c r="E148" s="111"/>
      <c r="F148" s="111"/>
      <c r="G148" s="111">
        <f>23-9</f>
        <v>14</v>
      </c>
      <c r="H148" s="111"/>
      <c r="I148" s="111"/>
    </row>
    <row r="149" spans="1:9" s="108" customFormat="1" x14ac:dyDescent="0.2">
      <c r="A149" s="127"/>
      <c r="B149" s="135" t="s">
        <v>149</v>
      </c>
      <c r="C149" s="127">
        <f>SUM(C6:C115)+SUM(C118:C123)+SUM(C127:C129)+C147+C148+SUM(C133:C142)</f>
        <v>251998</v>
      </c>
      <c r="D149" s="127">
        <f t="shared" ref="D149:I149" si="5">SUM(D6:D115)+SUM(D118:D123)+SUM(D127:D129)+D147+D148+SUM(D133:D142)</f>
        <v>251561</v>
      </c>
      <c r="E149" s="127">
        <f t="shared" si="5"/>
        <v>32304</v>
      </c>
      <c r="F149" s="127">
        <f t="shared" si="5"/>
        <v>4837</v>
      </c>
      <c r="G149" s="127">
        <f t="shared" si="5"/>
        <v>2027</v>
      </c>
      <c r="H149" s="127">
        <f t="shared" si="5"/>
        <v>30281</v>
      </c>
      <c r="I149" s="127">
        <f t="shared" si="5"/>
        <v>437</v>
      </c>
    </row>
    <row r="151" spans="1:9" x14ac:dyDescent="0.2">
      <c r="C151" s="138"/>
      <c r="D151" s="138"/>
    </row>
    <row r="153" spans="1:9" x14ac:dyDescent="0.2">
      <c r="D153" s="136"/>
    </row>
  </sheetData>
  <mergeCells count="13">
    <mergeCell ref="A8:A9"/>
    <mergeCell ref="A33:A34"/>
    <mergeCell ref="A39:A41"/>
    <mergeCell ref="A43:A44"/>
    <mergeCell ref="A139:A140"/>
    <mergeCell ref="A1:I1"/>
    <mergeCell ref="G2:I2"/>
    <mergeCell ref="A3:A4"/>
    <mergeCell ref="B3:B4"/>
    <mergeCell ref="C3:C4"/>
    <mergeCell ref="D3:D4"/>
    <mergeCell ref="E3:H3"/>
    <mergeCell ref="I3:I4"/>
  </mergeCells>
  <pageMargins left="0.39370078740157483" right="0.19685039370078741" top="0.39370078740157483" bottom="0.39370078740157483" header="0.31496062992125984" footer="0.31496062992125984"/>
  <pageSetup paperSize="9" scale="75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pane xSplit="2" ySplit="4" topLeftCell="D35" activePane="bottomRight" state="frozen"/>
      <selection pane="topRight" activeCell="C1" sqref="C1"/>
      <selection pane="bottomLeft" activeCell="A5" sqref="A5"/>
      <selection pane="bottomRight" activeCell="K60" sqref="K60"/>
    </sheetView>
  </sheetViews>
  <sheetFormatPr defaultRowHeight="12" x14ac:dyDescent="0.2"/>
  <cols>
    <col min="1" max="1" width="4.42578125" style="137" customWidth="1"/>
    <col min="2" max="2" width="30.85546875" style="106" customWidth="1"/>
    <col min="3" max="3" width="9.140625" style="136" customWidth="1"/>
    <col min="4" max="4" width="7.140625" style="136" customWidth="1"/>
    <col min="5" max="5" width="8.42578125" style="136" customWidth="1"/>
    <col min="6" max="6" width="8.85546875" style="136" customWidth="1"/>
    <col min="7" max="7" width="8.42578125" style="136" customWidth="1"/>
    <col min="8" max="8" width="6.7109375" style="136" customWidth="1"/>
    <col min="9" max="10" width="8.42578125" style="136" customWidth="1"/>
    <col min="11" max="11" width="8.140625" style="136" customWidth="1"/>
    <col min="12" max="12" width="7.28515625" style="136" customWidth="1"/>
    <col min="13" max="13" width="8.85546875" style="136" customWidth="1"/>
    <col min="14" max="14" width="8.140625" style="136" customWidth="1"/>
    <col min="15" max="15" width="10.5703125" style="136" customWidth="1"/>
    <col min="16" max="16" width="7.5703125" style="136" customWidth="1"/>
    <col min="17" max="17" width="7.28515625" style="136" customWidth="1"/>
    <col min="18" max="18" width="8.140625" style="136" customWidth="1"/>
    <col min="19" max="19" width="9.28515625" style="137" customWidth="1"/>
    <col min="20" max="20" width="9.5703125" style="106" bestFit="1" customWidth="1"/>
    <col min="21" max="21" width="11.85546875" style="106" customWidth="1"/>
    <col min="22" max="16384" width="9.140625" style="106"/>
  </cols>
  <sheetData>
    <row r="1" spans="1:20" ht="18.75" customHeight="1" x14ac:dyDescent="0.2">
      <c r="A1" s="198" t="s">
        <v>252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20" x14ac:dyDescent="0.2">
      <c r="S2" s="136" t="s">
        <v>6</v>
      </c>
    </row>
    <row r="3" spans="1:20" s="139" customFormat="1" ht="25.5" customHeight="1" x14ac:dyDescent="0.25">
      <c r="A3" s="211" t="s">
        <v>7</v>
      </c>
      <c r="B3" s="211" t="s">
        <v>0</v>
      </c>
      <c r="C3" s="202" t="s">
        <v>253</v>
      </c>
      <c r="D3" s="213"/>
      <c r="E3" s="213"/>
      <c r="F3" s="214"/>
      <c r="G3" s="202" t="s">
        <v>254</v>
      </c>
      <c r="H3" s="213"/>
      <c r="I3" s="213"/>
      <c r="J3" s="214"/>
      <c r="K3" s="202" t="s">
        <v>255</v>
      </c>
      <c r="L3" s="213"/>
      <c r="M3" s="214"/>
      <c r="N3" s="208" t="s">
        <v>256</v>
      </c>
      <c r="O3" s="208" t="s">
        <v>257</v>
      </c>
      <c r="P3" s="216" t="s">
        <v>258</v>
      </c>
      <c r="Q3" s="217"/>
      <c r="R3" s="218"/>
      <c r="S3" s="211" t="s">
        <v>8</v>
      </c>
    </row>
    <row r="4" spans="1:20" s="139" customFormat="1" ht="24" x14ac:dyDescent="0.25">
      <c r="A4" s="212"/>
      <c r="B4" s="212"/>
      <c r="C4" s="122" t="s">
        <v>259</v>
      </c>
      <c r="D4" s="122" t="s">
        <v>260</v>
      </c>
      <c r="E4" s="111" t="s">
        <v>261</v>
      </c>
      <c r="F4" s="111" t="s">
        <v>5</v>
      </c>
      <c r="G4" s="122" t="s">
        <v>259</v>
      </c>
      <c r="H4" s="122" t="s">
        <v>260</v>
      </c>
      <c r="I4" s="111" t="s">
        <v>261</v>
      </c>
      <c r="J4" s="111" t="s">
        <v>5</v>
      </c>
      <c r="K4" s="140" t="s">
        <v>262</v>
      </c>
      <c r="L4" s="111" t="s">
        <v>263</v>
      </c>
      <c r="M4" s="111" t="s">
        <v>5</v>
      </c>
      <c r="N4" s="215"/>
      <c r="O4" s="215"/>
      <c r="P4" s="141" t="s">
        <v>264</v>
      </c>
      <c r="Q4" s="141" t="s">
        <v>265</v>
      </c>
      <c r="R4" s="111" t="s">
        <v>5</v>
      </c>
      <c r="S4" s="212"/>
    </row>
    <row r="5" spans="1:20" x14ac:dyDescent="0.2">
      <c r="A5" s="123">
        <v>1</v>
      </c>
      <c r="B5" s="142" t="s">
        <v>9</v>
      </c>
      <c r="C5" s="143">
        <f>1605-285-7</f>
        <v>1313</v>
      </c>
      <c r="D5" s="143">
        <f>198-46-2</f>
        <v>150</v>
      </c>
      <c r="E5" s="143"/>
      <c r="F5" s="113">
        <f t="shared" ref="F5:F31" si="0">C5+D5+E5</f>
        <v>1463</v>
      </c>
      <c r="G5" s="113"/>
      <c r="H5" s="113"/>
      <c r="I5" s="113"/>
      <c r="J5" s="113">
        <f>G5+H5+I5</f>
        <v>0</v>
      </c>
      <c r="K5" s="113"/>
      <c r="L5" s="113"/>
      <c r="M5" s="113"/>
      <c r="N5" s="113"/>
      <c r="O5" s="113"/>
      <c r="P5" s="113"/>
      <c r="Q5" s="113"/>
      <c r="R5" s="113">
        <f>P5+Q5</f>
        <v>0</v>
      </c>
      <c r="S5" s="113">
        <f>F5+J5+M5+N5+O5+R5</f>
        <v>1463</v>
      </c>
      <c r="T5" s="108"/>
    </row>
    <row r="6" spans="1:20" x14ac:dyDescent="0.2">
      <c r="A6" s="123">
        <v>2</v>
      </c>
      <c r="B6" s="142" t="s">
        <v>10</v>
      </c>
      <c r="C6" s="143">
        <f>2625-61</f>
        <v>2564</v>
      </c>
      <c r="D6" s="143"/>
      <c r="E6" s="143">
        <f>102+1</f>
        <v>103</v>
      </c>
      <c r="F6" s="113">
        <f t="shared" si="0"/>
        <v>2667</v>
      </c>
      <c r="G6" s="113"/>
      <c r="H6" s="113"/>
      <c r="I6" s="113"/>
      <c r="J6" s="113">
        <f t="shared" ref="J6:J54" si="1">G6+H6+I6</f>
        <v>0</v>
      </c>
      <c r="K6" s="113"/>
      <c r="L6" s="113"/>
      <c r="M6" s="113"/>
      <c r="N6" s="113"/>
      <c r="O6" s="113"/>
      <c r="P6" s="113">
        <f>2200-200-19</f>
        <v>1981</v>
      </c>
      <c r="Q6" s="113">
        <f>2200-400+100-74</f>
        <v>1826</v>
      </c>
      <c r="R6" s="113">
        <f t="shared" ref="R6:R54" si="2">P6+Q6</f>
        <v>3807</v>
      </c>
      <c r="S6" s="113">
        <f t="shared" ref="S6:S54" si="3">F6+J6+M6+N6+O6+R6</f>
        <v>6474</v>
      </c>
      <c r="T6" s="108"/>
    </row>
    <row r="7" spans="1:20" x14ac:dyDescent="0.2">
      <c r="A7" s="123">
        <v>3</v>
      </c>
      <c r="B7" s="144" t="s">
        <v>11</v>
      </c>
      <c r="C7" s="143">
        <f>397-8</f>
        <v>389</v>
      </c>
      <c r="D7" s="143">
        <f>33-32</f>
        <v>1</v>
      </c>
      <c r="E7" s="143"/>
      <c r="F7" s="113">
        <f t="shared" si="0"/>
        <v>390</v>
      </c>
      <c r="G7" s="113"/>
      <c r="H7" s="113"/>
      <c r="I7" s="113"/>
      <c r="J7" s="113">
        <f t="shared" si="1"/>
        <v>0</v>
      </c>
      <c r="K7" s="113"/>
      <c r="L7" s="113"/>
      <c r="M7" s="113"/>
      <c r="N7" s="113"/>
      <c r="O7" s="113"/>
      <c r="P7" s="113"/>
      <c r="Q7" s="113"/>
      <c r="R7" s="113">
        <f t="shared" si="2"/>
        <v>0</v>
      </c>
      <c r="S7" s="113">
        <f t="shared" si="3"/>
        <v>390</v>
      </c>
      <c r="T7" s="108"/>
    </row>
    <row r="8" spans="1:20" x14ac:dyDescent="0.2">
      <c r="A8" s="123">
        <v>4</v>
      </c>
      <c r="B8" s="142" t="s">
        <v>12</v>
      </c>
      <c r="C8" s="143">
        <f>2000-10</f>
        <v>1990</v>
      </c>
      <c r="D8" s="143"/>
      <c r="E8" s="143">
        <f>157-40-14</f>
        <v>103</v>
      </c>
      <c r="F8" s="113">
        <f t="shared" si="0"/>
        <v>2093</v>
      </c>
      <c r="G8" s="113"/>
      <c r="H8" s="113"/>
      <c r="I8" s="113"/>
      <c r="J8" s="113">
        <f t="shared" si="1"/>
        <v>0</v>
      </c>
      <c r="K8" s="113"/>
      <c r="L8" s="113"/>
      <c r="M8" s="113"/>
      <c r="N8" s="113"/>
      <c r="O8" s="113"/>
      <c r="P8" s="113">
        <f>1300-250-150-30</f>
        <v>870</v>
      </c>
      <c r="Q8" s="113">
        <f>1300-300-116</f>
        <v>884</v>
      </c>
      <c r="R8" s="113">
        <f t="shared" si="2"/>
        <v>1754</v>
      </c>
      <c r="S8" s="113">
        <f t="shared" si="3"/>
        <v>3847</v>
      </c>
      <c r="T8" s="108"/>
    </row>
    <row r="9" spans="1:20" x14ac:dyDescent="0.2">
      <c r="A9" s="123">
        <v>5</v>
      </c>
      <c r="B9" s="142" t="s">
        <v>13</v>
      </c>
      <c r="C9" s="143">
        <f>1610-1</f>
        <v>1609</v>
      </c>
      <c r="D9" s="143"/>
      <c r="E9" s="143">
        <f>193-43-3</f>
        <v>147</v>
      </c>
      <c r="F9" s="113">
        <f t="shared" si="0"/>
        <v>1756</v>
      </c>
      <c r="G9" s="113"/>
      <c r="H9" s="113"/>
      <c r="I9" s="113"/>
      <c r="J9" s="113">
        <f t="shared" si="1"/>
        <v>0</v>
      </c>
      <c r="K9" s="113"/>
      <c r="L9" s="113"/>
      <c r="M9" s="113"/>
      <c r="N9" s="113"/>
      <c r="O9" s="113"/>
      <c r="P9" s="113"/>
      <c r="Q9" s="113"/>
      <c r="R9" s="113">
        <f t="shared" si="2"/>
        <v>0</v>
      </c>
      <c r="S9" s="113">
        <f t="shared" si="3"/>
        <v>1756</v>
      </c>
      <c r="T9" s="108"/>
    </row>
    <row r="10" spans="1:20" x14ac:dyDescent="0.2">
      <c r="A10" s="123">
        <v>6</v>
      </c>
      <c r="B10" s="142" t="s">
        <v>14</v>
      </c>
      <c r="C10" s="143">
        <f>2200+400-446</f>
        <v>2154</v>
      </c>
      <c r="D10" s="143"/>
      <c r="E10" s="143">
        <f>230-193</f>
        <v>37</v>
      </c>
      <c r="F10" s="113">
        <f t="shared" si="0"/>
        <v>2191</v>
      </c>
      <c r="G10" s="113"/>
      <c r="H10" s="113"/>
      <c r="I10" s="113"/>
      <c r="J10" s="113">
        <f t="shared" si="1"/>
        <v>0</v>
      </c>
      <c r="K10" s="113"/>
      <c r="L10" s="113"/>
      <c r="M10" s="113"/>
      <c r="N10" s="113"/>
      <c r="O10" s="113"/>
      <c r="P10" s="113">
        <f>2500-200+5</f>
        <v>2305</v>
      </c>
      <c r="Q10" s="113">
        <f>2500-300+6</f>
        <v>2206</v>
      </c>
      <c r="R10" s="113">
        <f t="shared" si="2"/>
        <v>4511</v>
      </c>
      <c r="S10" s="113">
        <f t="shared" si="3"/>
        <v>6702</v>
      </c>
      <c r="T10" s="108"/>
    </row>
    <row r="11" spans="1:20" x14ac:dyDescent="0.2">
      <c r="A11" s="123">
        <v>7</v>
      </c>
      <c r="B11" s="142" t="s">
        <v>15</v>
      </c>
      <c r="C11" s="143">
        <f>900+3</f>
        <v>903</v>
      </c>
      <c r="D11" s="143">
        <f>400+1</f>
        <v>401</v>
      </c>
      <c r="E11" s="143"/>
      <c r="F11" s="113">
        <f t="shared" si="0"/>
        <v>1304</v>
      </c>
      <c r="G11" s="113"/>
      <c r="H11" s="113"/>
      <c r="I11" s="113"/>
      <c r="J11" s="113">
        <f t="shared" si="1"/>
        <v>0</v>
      </c>
      <c r="K11" s="113"/>
      <c r="L11" s="113"/>
      <c r="M11" s="113"/>
      <c r="N11" s="113"/>
      <c r="O11" s="113"/>
      <c r="P11" s="113">
        <f>1100-150-55</f>
        <v>895</v>
      </c>
      <c r="Q11" s="113">
        <f>1100-150+50-60</f>
        <v>940</v>
      </c>
      <c r="R11" s="113">
        <f t="shared" si="2"/>
        <v>1835</v>
      </c>
      <c r="S11" s="113">
        <f t="shared" si="3"/>
        <v>3139</v>
      </c>
      <c r="T11" s="108"/>
    </row>
    <row r="12" spans="1:20" x14ac:dyDescent="0.2">
      <c r="A12" s="123">
        <v>8</v>
      </c>
      <c r="B12" s="142" t="s">
        <v>266</v>
      </c>
      <c r="C12" s="143">
        <f>364-1</f>
        <v>363</v>
      </c>
      <c r="D12" s="143"/>
      <c r="E12" s="143"/>
      <c r="F12" s="113">
        <f t="shared" si="0"/>
        <v>363</v>
      </c>
      <c r="G12" s="113"/>
      <c r="H12" s="113"/>
      <c r="I12" s="113"/>
      <c r="J12" s="113">
        <f t="shared" si="1"/>
        <v>0</v>
      </c>
      <c r="K12" s="113"/>
      <c r="L12" s="113"/>
      <c r="M12" s="113"/>
      <c r="N12" s="113"/>
      <c r="O12" s="113"/>
      <c r="P12" s="113"/>
      <c r="Q12" s="113"/>
      <c r="R12" s="113">
        <f t="shared" si="2"/>
        <v>0</v>
      </c>
      <c r="S12" s="113">
        <f t="shared" si="3"/>
        <v>363</v>
      </c>
      <c r="T12" s="108"/>
    </row>
    <row r="13" spans="1:20" x14ac:dyDescent="0.2">
      <c r="A13" s="123">
        <v>9</v>
      </c>
      <c r="B13" s="142" t="s">
        <v>168</v>
      </c>
      <c r="C13" s="143">
        <f>1500+3</f>
        <v>1503</v>
      </c>
      <c r="D13" s="143">
        <f>100+1</f>
        <v>101</v>
      </c>
      <c r="E13" s="143">
        <f>100+1</f>
        <v>101</v>
      </c>
      <c r="F13" s="113">
        <f t="shared" si="0"/>
        <v>1705</v>
      </c>
      <c r="G13" s="113"/>
      <c r="H13" s="113"/>
      <c r="I13" s="113"/>
      <c r="J13" s="113">
        <f t="shared" si="1"/>
        <v>0</v>
      </c>
      <c r="K13" s="113"/>
      <c r="L13" s="113"/>
      <c r="M13" s="113"/>
      <c r="N13" s="113"/>
      <c r="O13" s="113"/>
      <c r="P13" s="113">
        <f>2000-400-100-81</f>
        <v>1419</v>
      </c>
      <c r="Q13" s="113">
        <f>2000-400-99</f>
        <v>1501</v>
      </c>
      <c r="R13" s="113">
        <f t="shared" si="2"/>
        <v>2920</v>
      </c>
      <c r="S13" s="113">
        <f t="shared" si="3"/>
        <v>4625</v>
      </c>
      <c r="T13" s="108"/>
    </row>
    <row r="14" spans="1:20" x14ac:dyDescent="0.2">
      <c r="A14" s="123">
        <v>10</v>
      </c>
      <c r="B14" s="145" t="s">
        <v>267</v>
      </c>
      <c r="C14" s="143"/>
      <c r="D14" s="143"/>
      <c r="E14" s="143"/>
      <c r="F14" s="113">
        <f t="shared" si="0"/>
        <v>0</v>
      </c>
      <c r="G14" s="113">
        <f>625+100+1</f>
        <v>726</v>
      </c>
      <c r="H14" s="113"/>
      <c r="I14" s="113"/>
      <c r="J14" s="113">
        <f t="shared" si="1"/>
        <v>726</v>
      </c>
      <c r="K14" s="113"/>
      <c r="L14" s="113"/>
      <c r="M14" s="113"/>
      <c r="N14" s="113"/>
      <c r="O14" s="113"/>
      <c r="P14" s="113"/>
      <c r="Q14" s="113"/>
      <c r="R14" s="113">
        <f t="shared" si="2"/>
        <v>0</v>
      </c>
      <c r="S14" s="113">
        <f t="shared" si="3"/>
        <v>726</v>
      </c>
      <c r="T14" s="108"/>
    </row>
    <row r="15" spans="1:20" x14ac:dyDescent="0.2">
      <c r="A15" s="123">
        <v>11</v>
      </c>
      <c r="B15" s="142" t="s">
        <v>16</v>
      </c>
      <c r="C15" s="143">
        <f>1650-75</f>
        <v>1575</v>
      </c>
      <c r="D15" s="143">
        <f>125+1</f>
        <v>126</v>
      </c>
      <c r="E15" s="143">
        <f>30+1</f>
        <v>31</v>
      </c>
      <c r="F15" s="113">
        <f t="shared" si="0"/>
        <v>1732</v>
      </c>
      <c r="G15" s="113"/>
      <c r="H15" s="113"/>
      <c r="I15" s="113"/>
      <c r="J15" s="113">
        <f t="shared" si="1"/>
        <v>0</v>
      </c>
      <c r="K15" s="113"/>
      <c r="L15" s="113"/>
      <c r="M15" s="113"/>
      <c r="N15" s="113"/>
      <c r="O15" s="113"/>
      <c r="P15" s="113"/>
      <c r="Q15" s="113"/>
      <c r="R15" s="113">
        <f t="shared" si="2"/>
        <v>0</v>
      </c>
      <c r="S15" s="113">
        <f t="shared" si="3"/>
        <v>1732</v>
      </c>
      <c r="T15" s="108"/>
    </row>
    <row r="16" spans="1:20" x14ac:dyDescent="0.2">
      <c r="A16" s="123">
        <v>12</v>
      </c>
      <c r="B16" s="142" t="s">
        <v>17</v>
      </c>
      <c r="C16" s="143">
        <f>3200+180+32+10-7</f>
        <v>3415</v>
      </c>
      <c r="D16" s="143">
        <f>260-130-1</f>
        <v>129</v>
      </c>
      <c r="E16" s="143">
        <f>100-50-32-10</f>
        <v>8</v>
      </c>
      <c r="F16" s="113">
        <f t="shared" si="0"/>
        <v>3552</v>
      </c>
      <c r="G16" s="113">
        <f>1440-159-18-27</f>
        <v>1236</v>
      </c>
      <c r="H16" s="113">
        <f>100-9</f>
        <v>91</v>
      </c>
      <c r="I16" s="113"/>
      <c r="J16" s="113">
        <f t="shared" si="1"/>
        <v>1327</v>
      </c>
      <c r="K16" s="113"/>
      <c r="L16" s="113"/>
      <c r="M16" s="113"/>
      <c r="N16" s="113">
        <f>6000+3</f>
        <v>6003</v>
      </c>
      <c r="O16" s="113"/>
      <c r="P16" s="113"/>
      <c r="Q16" s="113"/>
      <c r="R16" s="113">
        <f t="shared" si="2"/>
        <v>0</v>
      </c>
      <c r="S16" s="113">
        <f t="shared" si="3"/>
        <v>10882</v>
      </c>
      <c r="T16" s="108"/>
    </row>
    <row r="17" spans="1:20" x14ac:dyDescent="0.2">
      <c r="A17" s="123">
        <v>13</v>
      </c>
      <c r="B17" s="142" t="s">
        <v>268</v>
      </c>
      <c r="C17" s="143">
        <f>2475+6</f>
        <v>2481</v>
      </c>
      <c r="D17" s="143">
        <f>260+1</f>
        <v>261</v>
      </c>
      <c r="E17" s="143"/>
      <c r="F17" s="113">
        <f t="shared" si="0"/>
        <v>2742</v>
      </c>
      <c r="G17" s="113"/>
      <c r="H17" s="113"/>
      <c r="I17" s="113"/>
      <c r="J17" s="113">
        <f t="shared" si="1"/>
        <v>0</v>
      </c>
      <c r="K17" s="113"/>
      <c r="L17" s="113"/>
      <c r="M17" s="113"/>
      <c r="N17" s="113"/>
      <c r="O17" s="113"/>
      <c r="P17" s="113">
        <f>5500-1500-6</f>
        <v>3994</v>
      </c>
      <c r="Q17" s="113">
        <f>5500-2000-100-90</f>
        <v>3310</v>
      </c>
      <c r="R17" s="113">
        <f t="shared" si="2"/>
        <v>7304</v>
      </c>
      <c r="S17" s="113">
        <f t="shared" si="3"/>
        <v>10046</v>
      </c>
      <c r="T17" s="108"/>
    </row>
    <row r="18" spans="1:20" x14ac:dyDescent="0.2">
      <c r="A18" s="123">
        <v>14</v>
      </c>
      <c r="B18" s="142" t="s">
        <v>18</v>
      </c>
      <c r="C18" s="143">
        <v>651</v>
      </c>
      <c r="D18" s="143">
        <v>185</v>
      </c>
      <c r="E18" s="143"/>
      <c r="F18" s="113">
        <f t="shared" si="0"/>
        <v>836</v>
      </c>
      <c r="G18" s="113"/>
      <c r="H18" s="113"/>
      <c r="I18" s="113"/>
      <c r="J18" s="113">
        <f t="shared" si="1"/>
        <v>0</v>
      </c>
      <c r="K18" s="113"/>
      <c r="L18" s="113"/>
      <c r="M18" s="113"/>
      <c r="N18" s="113"/>
      <c r="O18" s="113"/>
      <c r="P18" s="113"/>
      <c r="Q18" s="113"/>
      <c r="R18" s="113">
        <f t="shared" si="2"/>
        <v>0</v>
      </c>
      <c r="S18" s="113">
        <f t="shared" si="3"/>
        <v>836</v>
      </c>
      <c r="T18" s="108"/>
    </row>
    <row r="19" spans="1:20" x14ac:dyDescent="0.2">
      <c r="A19" s="123">
        <v>15</v>
      </c>
      <c r="B19" s="142" t="s">
        <v>166</v>
      </c>
      <c r="C19" s="143">
        <f>2500+1050+111</f>
        <v>3661</v>
      </c>
      <c r="D19" s="143">
        <f>248+73+13</f>
        <v>334</v>
      </c>
      <c r="E19" s="143"/>
      <c r="F19" s="113">
        <f t="shared" si="0"/>
        <v>3995</v>
      </c>
      <c r="G19" s="113"/>
      <c r="H19" s="113"/>
      <c r="I19" s="113"/>
      <c r="J19" s="113">
        <f t="shared" si="1"/>
        <v>0</v>
      </c>
      <c r="K19" s="113"/>
      <c r="L19" s="113"/>
      <c r="M19" s="113"/>
      <c r="N19" s="113"/>
      <c r="O19" s="113"/>
      <c r="P19" s="113">
        <f>1600-600+300+4</f>
        <v>1304</v>
      </c>
      <c r="Q19" s="113">
        <f>1600-250+150-110</f>
        <v>1390</v>
      </c>
      <c r="R19" s="113">
        <f t="shared" si="2"/>
        <v>2694</v>
      </c>
      <c r="S19" s="113">
        <f t="shared" si="3"/>
        <v>6689</v>
      </c>
      <c r="T19" s="108"/>
    </row>
    <row r="20" spans="1:20" x14ac:dyDescent="0.2">
      <c r="A20" s="123">
        <v>16</v>
      </c>
      <c r="B20" s="142" t="s">
        <v>19</v>
      </c>
      <c r="C20" s="143">
        <f>2600+5</f>
        <v>2605</v>
      </c>
      <c r="D20" s="143"/>
      <c r="E20" s="143">
        <f>274+1</f>
        <v>275</v>
      </c>
      <c r="F20" s="113">
        <f t="shared" si="0"/>
        <v>2880</v>
      </c>
      <c r="G20" s="113"/>
      <c r="H20" s="113"/>
      <c r="I20" s="113"/>
      <c r="J20" s="113">
        <f t="shared" si="1"/>
        <v>0</v>
      </c>
      <c r="K20" s="113"/>
      <c r="L20" s="113"/>
      <c r="M20" s="113"/>
      <c r="N20" s="113"/>
      <c r="O20" s="113"/>
      <c r="P20" s="113"/>
      <c r="Q20" s="113"/>
      <c r="R20" s="113">
        <f t="shared" si="2"/>
        <v>0</v>
      </c>
      <c r="S20" s="113">
        <f t="shared" si="3"/>
        <v>2880</v>
      </c>
      <c r="T20" s="108"/>
    </row>
    <row r="21" spans="1:20" x14ac:dyDescent="0.2">
      <c r="A21" s="123">
        <v>17</v>
      </c>
      <c r="B21" s="142" t="s">
        <v>167</v>
      </c>
      <c r="C21" s="143">
        <f>4050+10</f>
        <v>4060</v>
      </c>
      <c r="D21" s="143">
        <f>367+1</f>
        <v>368</v>
      </c>
      <c r="E21" s="143"/>
      <c r="F21" s="113">
        <f t="shared" si="0"/>
        <v>4428</v>
      </c>
      <c r="G21" s="113"/>
      <c r="H21" s="113"/>
      <c r="I21" s="113"/>
      <c r="J21" s="113">
        <f t="shared" si="1"/>
        <v>0</v>
      </c>
      <c r="K21" s="113"/>
      <c r="L21" s="113"/>
      <c r="M21" s="113"/>
      <c r="N21" s="113"/>
      <c r="O21" s="113"/>
      <c r="P21" s="113">
        <f>1043-1043</f>
        <v>0</v>
      </c>
      <c r="Q21" s="113">
        <f>1025-1025</f>
        <v>0</v>
      </c>
      <c r="R21" s="113">
        <f t="shared" si="2"/>
        <v>0</v>
      </c>
      <c r="S21" s="113">
        <f t="shared" si="3"/>
        <v>4428</v>
      </c>
      <c r="T21" s="108"/>
    </row>
    <row r="22" spans="1:20" s="139" customFormat="1" ht="24" x14ac:dyDescent="0.25">
      <c r="A22" s="146">
        <v>18</v>
      </c>
      <c r="B22" s="142" t="s">
        <v>269</v>
      </c>
      <c r="C22" s="143"/>
      <c r="D22" s="143"/>
      <c r="E22" s="143"/>
      <c r="F22" s="122">
        <f t="shared" si="0"/>
        <v>0</v>
      </c>
      <c r="G22" s="122"/>
      <c r="H22" s="122"/>
      <c r="I22" s="122"/>
      <c r="J22" s="122">
        <f t="shared" si="1"/>
        <v>0</v>
      </c>
      <c r="K22" s="122"/>
      <c r="L22" s="122"/>
      <c r="M22" s="122"/>
      <c r="N22" s="122"/>
      <c r="O22" s="122"/>
      <c r="P22" s="122">
        <f>0+1043+757-1025-35</f>
        <v>740</v>
      </c>
      <c r="Q22" s="122">
        <f>0+1025+175-505-44</f>
        <v>651</v>
      </c>
      <c r="R22" s="122">
        <f t="shared" si="2"/>
        <v>1391</v>
      </c>
      <c r="S22" s="122">
        <f t="shared" si="3"/>
        <v>1391</v>
      </c>
      <c r="T22" s="107"/>
    </row>
    <row r="23" spans="1:20" x14ac:dyDescent="0.2">
      <c r="A23" s="123">
        <v>19</v>
      </c>
      <c r="B23" s="142" t="s">
        <v>270</v>
      </c>
      <c r="C23" s="143"/>
      <c r="D23" s="143"/>
      <c r="E23" s="143"/>
      <c r="F23" s="113">
        <f t="shared" si="0"/>
        <v>0</v>
      </c>
      <c r="G23" s="113"/>
      <c r="H23" s="113"/>
      <c r="I23" s="113"/>
      <c r="J23" s="113">
        <f t="shared" si="1"/>
        <v>0</v>
      </c>
      <c r="K23" s="113"/>
      <c r="L23" s="113"/>
      <c r="M23" s="113"/>
      <c r="N23" s="113"/>
      <c r="O23" s="113"/>
      <c r="P23" s="113">
        <f>2500-400-1043-32</f>
        <v>1025</v>
      </c>
      <c r="Q23" s="113">
        <f>2500-1000-1025+30</f>
        <v>505</v>
      </c>
      <c r="R23" s="113">
        <f t="shared" si="2"/>
        <v>1530</v>
      </c>
      <c r="S23" s="113">
        <f t="shared" si="3"/>
        <v>1530</v>
      </c>
      <c r="T23" s="108"/>
    </row>
    <row r="24" spans="1:20" x14ac:dyDescent="0.2">
      <c r="A24" s="123">
        <v>20</v>
      </c>
      <c r="B24" s="144" t="s">
        <v>20</v>
      </c>
      <c r="C24" s="143">
        <f>1290+105+168-6</f>
        <v>1557</v>
      </c>
      <c r="D24" s="143"/>
      <c r="E24" s="143"/>
      <c r="F24" s="113">
        <f t="shared" si="0"/>
        <v>1557</v>
      </c>
      <c r="G24" s="113"/>
      <c r="H24" s="113"/>
      <c r="I24" s="113"/>
      <c r="J24" s="113">
        <f t="shared" si="1"/>
        <v>0</v>
      </c>
      <c r="K24" s="113"/>
      <c r="L24" s="113"/>
      <c r="M24" s="113"/>
      <c r="N24" s="113"/>
      <c r="O24" s="113"/>
      <c r="P24" s="113">
        <f>1800-700+100-18</f>
        <v>1182</v>
      </c>
      <c r="Q24" s="113">
        <f>1800-800+100-84</f>
        <v>1016</v>
      </c>
      <c r="R24" s="113">
        <f t="shared" si="2"/>
        <v>2198</v>
      </c>
      <c r="S24" s="113">
        <f t="shared" si="3"/>
        <v>3755</v>
      </c>
      <c r="T24" s="108"/>
    </row>
    <row r="25" spans="1:20" x14ac:dyDescent="0.2">
      <c r="A25" s="123">
        <v>21</v>
      </c>
      <c r="B25" s="147" t="s">
        <v>271</v>
      </c>
      <c r="C25" s="143">
        <f>1920+39+62+180+12</f>
        <v>2213</v>
      </c>
      <c r="D25" s="143">
        <f>223+10-2</f>
        <v>231</v>
      </c>
      <c r="E25" s="143"/>
      <c r="F25" s="113">
        <f t="shared" si="0"/>
        <v>2444</v>
      </c>
      <c r="G25" s="113"/>
      <c r="H25" s="113"/>
      <c r="I25" s="113"/>
      <c r="J25" s="113">
        <f t="shared" si="1"/>
        <v>0</v>
      </c>
      <c r="K25" s="113"/>
      <c r="L25" s="113"/>
      <c r="M25" s="113"/>
      <c r="N25" s="113"/>
      <c r="O25" s="113"/>
      <c r="P25" s="113">
        <f>2100-300-50+19</f>
        <v>1769</v>
      </c>
      <c r="Q25" s="113">
        <f>2100-100-100+23</f>
        <v>1923</v>
      </c>
      <c r="R25" s="113">
        <f t="shared" si="2"/>
        <v>3692</v>
      </c>
      <c r="S25" s="113">
        <f t="shared" si="3"/>
        <v>6136</v>
      </c>
      <c r="T25" s="108"/>
    </row>
    <row r="26" spans="1:20" x14ac:dyDescent="0.2">
      <c r="A26" s="123">
        <v>23</v>
      </c>
      <c r="B26" s="142" t="s">
        <v>272</v>
      </c>
      <c r="C26" s="143">
        <f>1200-385</f>
        <v>815</v>
      </c>
      <c r="D26" s="143"/>
      <c r="E26" s="143"/>
      <c r="F26" s="113">
        <f t="shared" si="0"/>
        <v>815</v>
      </c>
      <c r="G26" s="113"/>
      <c r="H26" s="113"/>
      <c r="I26" s="113"/>
      <c r="J26" s="113">
        <f t="shared" si="1"/>
        <v>0</v>
      </c>
      <c r="K26" s="113"/>
      <c r="L26" s="113"/>
      <c r="M26" s="113"/>
      <c r="N26" s="113"/>
      <c r="O26" s="113"/>
      <c r="P26" s="113"/>
      <c r="Q26" s="113"/>
      <c r="R26" s="113">
        <f t="shared" si="2"/>
        <v>0</v>
      </c>
      <c r="S26" s="113">
        <f t="shared" si="3"/>
        <v>815</v>
      </c>
      <c r="T26" s="108"/>
    </row>
    <row r="27" spans="1:20" x14ac:dyDescent="0.2">
      <c r="A27" s="123">
        <v>24</v>
      </c>
      <c r="B27" s="142" t="s">
        <v>173</v>
      </c>
      <c r="C27" s="143">
        <f>5500+52+150+3</f>
        <v>5705</v>
      </c>
      <c r="D27" s="143">
        <f>295+1</f>
        <v>296</v>
      </c>
      <c r="E27" s="143">
        <f>20+1</f>
        <v>21</v>
      </c>
      <c r="F27" s="113">
        <f t="shared" si="0"/>
        <v>6022</v>
      </c>
      <c r="G27" s="113"/>
      <c r="H27" s="113"/>
      <c r="I27" s="113"/>
      <c r="J27" s="113">
        <f t="shared" si="1"/>
        <v>0</v>
      </c>
      <c r="K27" s="113"/>
      <c r="L27" s="113"/>
      <c r="M27" s="113"/>
      <c r="N27" s="113"/>
      <c r="O27" s="113"/>
      <c r="P27" s="113"/>
      <c r="Q27" s="113"/>
      <c r="R27" s="113">
        <f t="shared" si="2"/>
        <v>0</v>
      </c>
      <c r="S27" s="113">
        <f t="shared" si="3"/>
        <v>6022</v>
      </c>
      <c r="T27" s="108"/>
    </row>
    <row r="28" spans="1:20" x14ac:dyDescent="0.2">
      <c r="A28" s="123">
        <v>25</v>
      </c>
      <c r="B28" s="142" t="s">
        <v>273</v>
      </c>
      <c r="C28" s="143"/>
      <c r="D28" s="143"/>
      <c r="E28" s="143"/>
      <c r="F28" s="113">
        <f t="shared" si="0"/>
        <v>0</v>
      </c>
      <c r="G28" s="113"/>
      <c r="H28" s="113"/>
      <c r="I28" s="113"/>
      <c r="J28" s="113">
        <f t="shared" si="1"/>
        <v>0</v>
      </c>
      <c r="K28" s="113"/>
      <c r="L28" s="113"/>
      <c r="M28" s="113"/>
      <c r="N28" s="113"/>
      <c r="O28" s="113"/>
      <c r="P28" s="113">
        <f>3000-1400-50-1</f>
        <v>1549</v>
      </c>
      <c r="Q28" s="113">
        <f>3000-1400-100-112</f>
        <v>1388</v>
      </c>
      <c r="R28" s="113">
        <f t="shared" si="2"/>
        <v>2937</v>
      </c>
      <c r="S28" s="113">
        <f t="shared" si="3"/>
        <v>2937</v>
      </c>
      <c r="T28" s="108"/>
    </row>
    <row r="29" spans="1:20" x14ac:dyDescent="0.2">
      <c r="A29" s="123">
        <v>27</v>
      </c>
      <c r="B29" s="142" t="s">
        <v>274</v>
      </c>
      <c r="C29" s="143">
        <f>3300+11</f>
        <v>3311</v>
      </c>
      <c r="D29" s="143">
        <f>393+2</f>
        <v>395</v>
      </c>
      <c r="E29" s="143"/>
      <c r="F29" s="113">
        <f t="shared" si="0"/>
        <v>3706</v>
      </c>
      <c r="G29" s="113"/>
      <c r="H29" s="113"/>
      <c r="I29" s="113"/>
      <c r="J29" s="113">
        <f t="shared" si="1"/>
        <v>0</v>
      </c>
      <c r="K29" s="113"/>
      <c r="L29" s="113"/>
      <c r="M29" s="113"/>
      <c r="N29" s="113"/>
      <c r="O29" s="113"/>
      <c r="P29" s="113"/>
      <c r="Q29" s="113"/>
      <c r="R29" s="113">
        <f t="shared" si="2"/>
        <v>0</v>
      </c>
      <c r="S29" s="113">
        <f t="shared" si="3"/>
        <v>3706</v>
      </c>
      <c r="T29" s="108"/>
    </row>
    <row r="30" spans="1:20" x14ac:dyDescent="0.2">
      <c r="A30" s="123">
        <v>28</v>
      </c>
      <c r="B30" s="142" t="s">
        <v>186</v>
      </c>
      <c r="C30" s="143">
        <f>870+4</f>
        <v>874</v>
      </c>
      <c r="D30" s="143">
        <f>150+1</f>
        <v>151</v>
      </c>
      <c r="E30" s="143"/>
      <c r="F30" s="113">
        <f t="shared" si="0"/>
        <v>1025</v>
      </c>
      <c r="G30" s="113"/>
      <c r="H30" s="113"/>
      <c r="I30" s="113"/>
      <c r="J30" s="113">
        <f t="shared" si="1"/>
        <v>0</v>
      </c>
      <c r="K30" s="113"/>
      <c r="L30" s="113"/>
      <c r="M30" s="113"/>
      <c r="N30" s="113"/>
      <c r="O30" s="113"/>
      <c r="P30" s="113"/>
      <c r="Q30" s="113"/>
      <c r="R30" s="113">
        <f t="shared" si="2"/>
        <v>0</v>
      </c>
      <c r="S30" s="113">
        <f t="shared" si="3"/>
        <v>1025</v>
      </c>
      <c r="T30" s="108"/>
    </row>
    <row r="31" spans="1:20" x14ac:dyDescent="0.2">
      <c r="A31" s="123">
        <v>29</v>
      </c>
      <c r="B31" s="142" t="s">
        <v>181</v>
      </c>
      <c r="C31" s="143">
        <f>2800+2+41+66+498+8</f>
        <v>3415</v>
      </c>
      <c r="D31" s="143">
        <f>300+13+26+1</f>
        <v>340</v>
      </c>
      <c r="E31" s="143">
        <f>123+1</f>
        <v>124</v>
      </c>
      <c r="F31" s="113">
        <f t="shared" si="0"/>
        <v>3879</v>
      </c>
      <c r="G31" s="113"/>
      <c r="H31" s="113"/>
      <c r="I31" s="113"/>
      <c r="J31" s="113">
        <f t="shared" si="1"/>
        <v>0</v>
      </c>
      <c r="K31" s="113"/>
      <c r="L31" s="113"/>
      <c r="M31" s="113"/>
      <c r="N31" s="113"/>
      <c r="O31" s="113"/>
      <c r="P31" s="113">
        <f>3300-1150-300+2</f>
        <v>1852</v>
      </c>
      <c r="Q31" s="113">
        <f>3300-1250-250</f>
        <v>1800</v>
      </c>
      <c r="R31" s="113">
        <f t="shared" si="2"/>
        <v>3652</v>
      </c>
      <c r="S31" s="113">
        <f t="shared" si="3"/>
        <v>7531</v>
      </c>
      <c r="T31" s="108"/>
    </row>
    <row r="32" spans="1:20" x14ac:dyDescent="0.2">
      <c r="A32" s="123">
        <v>30</v>
      </c>
      <c r="B32" s="142" t="s">
        <v>275</v>
      </c>
      <c r="C32" s="143">
        <f>2300+6</f>
        <v>2306</v>
      </c>
      <c r="D32" s="143">
        <v>65</v>
      </c>
      <c r="E32" s="143">
        <v>5</v>
      </c>
      <c r="F32" s="113">
        <f>C32+D32+E32</f>
        <v>2376</v>
      </c>
      <c r="G32" s="113"/>
      <c r="H32" s="113"/>
      <c r="I32" s="113"/>
      <c r="J32" s="113">
        <f t="shared" si="1"/>
        <v>0</v>
      </c>
      <c r="K32" s="113"/>
      <c r="L32" s="113"/>
      <c r="M32" s="113"/>
      <c r="N32" s="113"/>
      <c r="O32" s="113"/>
      <c r="P32" s="113"/>
      <c r="Q32" s="113"/>
      <c r="R32" s="113">
        <f t="shared" si="2"/>
        <v>0</v>
      </c>
      <c r="S32" s="113">
        <f t="shared" si="3"/>
        <v>2376</v>
      </c>
      <c r="T32" s="108"/>
    </row>
    <row r="33" spans="1:20" x14ac:dyDescent="0.2">
      <c r="A33" s="123">
        <v>31</v>
      </c>
      <c r="B33" s="142" t="s">
        <v>21</v>
      </c>
      <c r="C33" s="143">
        <f>3500+85+131+11</f>
        <v>3727</v>
      </c>
      <c r="D33" s="143">
        <f>390+8+16+2</f>
        <v>416</v>
      </c>
      <c r="E33" s="143">
        <f>200+1</f>
        <v>201</v>
      </c>
      <c r="F33" s="113">
        <f>C33+D33+E33</f>
        <v>4344</v>
      </c>
      <c r="G33" s="113">
        <f>3544+9</f>
        <v>3553</v>
      </c>
      <c r="H33" s="113"/>
      <c r="I33" s="113">
        <f>300+1</f>
        <v>301</v>
      </c>
      <c r="J33" s="113">
        <f t="shared" si="1"/>
        <v>3854</v>
      </c>
      <c r="K33" s="113"/>
      <c r="L33" s="113"/>
      <c r="M33" s="113"/>
      <c r="N33" s="113"/>
      <c r="O33" s="113"/>
      <c r="P33" s="113"/>
      <c r="Q33" s="113"/>
      <c r="R33" s="113">
        <f t="shared" si="2"/>
        <v>0</v>
      </c>
      <c r="S33" s="113">
        <f t="shared" si="3"/>
        <v>8198</v>
      </c>
      <c r="T33" s="108"/>
    </row>
    <row r="34" spans="1:20" x14ac:dyDescent="0.2">
      <c r="A34" s="123">
        <v>33</v>
      </c>
      <c r="B34" s="142" t="s">
        <v>276</v>
      </c>
      <c r="C34" s="143"/>
      <c r="D34" s="143"/>
      <c r="E34" s="143"/>
      <c r="F34" s="113">
        <f t="shared" ref="F34:F54" si="4">C34+D34+E34</f>
        <v>0</v>
      </c>
      <c r="G34" s="113"/>
      <c r="H34" s="113"/>
      <c r="I34" s="113"/>
      <c r="J34" s="113">
        <f t="shared" si="1"/>
        <v>0</v>
      </c>
      <c r="K34" s="113"/>
      <c r="L34" s="113"/>
      <c r="M34" s="113"/>
      <c r="N34" s="113"/>
      <c r="O34" s="113"/>
      <c r="P34" s="113">
        <f>2100-100-100-4</f>
        <v>1896</v>
      </c>
      <c r="Q34" s="113">
        <f>2100-100-100-4</f>
        <v>1896</v>
      </c>
      <c r="R34" s="113">
        <f t="shared" si="2"/>
        <v>3792</v>
      </c>
      <c r="S34" s="113">
        <f t="shared" si="3"/>
        <v>3792</v>
      </c>
      <c r="T34" s="108"/>
    </row>
    <row r="35" spans="1:20" x14ac:dyDescent="0.2">
      <c r="A35" s="123">
        <v>34</v>
      </c>
      <c r="B35" s="142" t="s">
        <v>22</v>
      </c>
      <c r="C35" s="143">
        <f>6500+13</f>
        <v>6513</v>
      </c>
      <c r="D35" s="143"/>
      <c r="E35" s="143">
        <f>2130+5</f>
        <v>2135</v>
      </c>
      <c r="F35" s="113">
        <f t="shared" si="4"/>
        <v>8648</v>
      </c>
      <c r="G35" s="113">
        <f>2106+6</f>
        <v>2112</v>
      </c>
      <c r="H35" s="113">
        <f>100+1</f>
        <v>101</v>
      </c>
      <c r="I35" s="113"/>
      <c r="J35" s="113">
        <f t="shared" si="1"/>
        <v>2213</v>
      </c>
      <c r="K35" s="113">
        <f>500-62</f>
        <v>438</v>
      </c>
      <c r="L35" s="113"/>
      <c r="M35" s="113">
        <f>K35+L35</f>
        <v>438</v>
      </c>
      <c r="N35" s="113"/>
      <c r="O35" s="113"/>
      <c r="P35" s="113"/>
      <c r="Q35" s="113"/>
      <c r="R35" s="113">
        <f t="shared" si="2"/>
        <v>0</v>
      </c>
      <c r="S35" s="113">
        <f t="shared" si="3"/>
        <v>11299</v>
      </c>
      <c r="T35" s="108"/>
    </row>
    <row r="36" spans="1:20" x14ac:dyDescent="0.2">
      <c r="A36" s="123">
        <v>36</v>
      </c>
      <c r="B36" s="148" t="s">
        <v>277</v>
      </c>
      <c r="C36" s="143"/>
      <c r="D36" s="143"/>
      <c r="E36" s="143"/>
      <c r="F36" s="113">
        <f t="shared" si="4"/>
        <v>0</v>
      </c>
      <c r="G36" s="113">
        <f>700+100</f>
        <v>800</v>
      </c>
      <c r="H36" s="113">
        <v>39</v>
      </c>
      <c r="I36" s="113"/>
      <c r="J36" s="113">
        <f t="shared" si="1"/>
        <v>839</v>
      </c>
      <c r="K36" s="113"/>
      <c r="L36" s="113"/>
      <c r="M36" s="113"/>
      <c r="N36" s="113"/>
      <c r="O36" s="113"/>
      <c r="P36" s="113"/>
      <c r="Q36" s="113"/>
      <c r="R36" s="113">
        <f t="shared" si="2"/>
        <v>0</v>
      </c>
      <c r="S36" s="113">
        <f t="shared" si="3"/>
        <v>839</v>
      </c>
      <c r="T36" s="108"/>
    </row>
    <row r="37" spans="1:20" x14ac:dyDescent="0.2">
      <c r="A37" s="123">
        <v>37</v>
      </c>
      <c r="B37" s="148" t="s">
        <v>278</v>
      </c>
      <c r="C37" s="143"/>
      <c r="D37" s="143"/>
      <c r="E37" s="143"/>
      <c r="F37" s="113">
        <f t="shared" si="4"/>
        <v>0</v>
      </c>
      <c r="G37" s="113">
        <f>390+113</f>
        <v>503</v>
      </c>
      <c r="H37" s="113"/>
      <c r="I37" s="113"/>
      <c r="J37" s="113">
        <f t="shared" si="1"/>
        <v>503</v>
      </c>
      <c r="K37" s="113"/>
      <c r="L37" s="113"/>
      <c r="M37" s="113"/>
      <c r="N37" s="113"/>
      <c r="O37" s="113"/>
      <c r="P37" s="113"/>
      <c r="Q37" s="113"/>
      <c r="R37" s="113">
        <f t="shared" si="2"/>
        <v>0</v>
      </c>
      <c r="S37" s="113">
        <f t="shared" si="3"/>
        <v>503</v>
      </c>
      <c r="T37" s="108"/>
    </row>
    <row r="38" spans="1:20" x14ac:dyDescent="0.2">
      <c r="A38" s="123">
        <v>38</v>
      </c>
      <c r="B38" s="148" t="s">
        <v>279</v>
      </c>
      <c r="C38" s="143">
        <f>920-10</f>
        <v>910</v>
      </c>
      <c r="D38" s="143">
        <f>90-4</f>
        <v>86</v>
      </c>
      <c r="E38" s="143"/>
      <c r="F38" s="113">
        <f t="shared" si="4"/>
        <v>996</v>
      </c>
      <c r="G38" s="113">
        <f>875-127+90+105-8</f>
        <v>935</v>
      </c>
      <c r="H38" s="113">
        <f>36+60+8+17-2</f>
        <v>119</v>
      </c>
      <c r="I38" s="113"/>
      <c r="J38" s="113">
        <f t="shared" si="1"/>
        <v>1054</v>
      </c>
      <c r="K38" s="113"/>
      <c r="L38" s="113"/>
      <c r="M38" s="113"/>
      <c r="N38" s="113"/>
      <c r="O38" s="113"/>
      <c r="P38" s="113"/>
      <c r="Q38" s="113"/>
      <c r="R38" s="113">
        <f t="shared" si="2"/>
        <v>0</v>
      </c>
      <c r="S38" s="113">
        <f t="shared" si="3"/>
        <v>2050</v>
      </c>
      <c r="T38" s="108"/>
    </row>
    <row r="39" spans="1:20" x14ac:dyDescent="0.2">
      <c r="A39" s="123">
        <v>39</v>
      </c>
      <c r="B39" s="142" t="s">
        <v>206</v>
      </c>
      <c r="C39" s="143">
        <f>9000-878+20</f>
        <v>8142</v>
      </c>
      <c r="D39" s="143"/>
      <c r="E39" s="143">
        <f>1300+400+264+300+550+8</f>
        <v>2822</v>
      </c>
      <c r="F39" s="113">
        <f t="shared" si="4"/>
        <v>10964</v>
      </c>
      <c r="G39" s="113">
        <f>5000-948-577-409+1025+11</f>
        <v>4102</v>
      </c>
      <c r="H39" s="113"/>
      <c r="I39" s="113">
        <f>700-50+200-142+215+3</f>
        <v>926</v>
      </c>
      <c r="J39" s="113">
        <f t="shared" si="1"/>
        <v>5028</v>
      </c>
      <c r="K39" s="113">
        <f>3400+100-161</f>
        <v>3339</v>
      </c>
      <c r="L39" s="113">
        <f>1440-34</f>
        <v>1406</v>
      </c>
      <c r="M39" s="113">
        <f>K39+L39</f>
        <v>4745</v>
      </c>
      <c r="N39" s="113"/>
      <c r="O39" s="113"/>
      <c r="P39" s="113"/>
      <c r="Q39" s="113"/>
      <c r="R39" s="113">
        <f t="shared" si="2"/>
        <v>0</v>
      </c>
      <c r="S39" s="113">
        <f t="shared" si="3"/>
        <v>20737</v>
      </c>
      <c r="T39" s="108"/>
    </row>
    <row r="40" spans="1:20" x14ac:dyDescent="0.2">
      <c r="A40" s="123">
        <v>40</v>
      </c>
      <c r="B40" s="142" t="s">
        <v>23</v>
      </c>
      <c r="C40" s="143">
        <f>11000+1900+23</f>
        <v>12923</v>
      </c>
      <c r="D40" s="143"/>
      <c r="E40" s="143">
        <f>4356+300+10</f>
        <v>4666</v>
      </c>
      <c r="F40" s="113">
        <f t="shared" si="4"/>
        <v>17589</v>
      </c>
      <c r="G40" s="113">
        <f>5070+1550+17</f>
        <v>6637</v>
      </c>
      <c r="H40" s="113"/>
      <c r="I40" s="113">
        <f>395+250+2</f>
        <v>647</v>
      </c>
      <c r="J40" s="113">
        <f t="shared" si="1"/>
        <v>7284</v>
      </c>
      <c r="K40" s="113">
        <f>6100+100-1015</f>
        <v>5185</v>
      </c>
      <c r="L40" s="113"/>
      <c r="M40" s="113">
        <f>K40+L40</f>
        <v>5185</v>
      </c>
      <c r="N40" s="113">
        <f>40000+76</f>
        <v>40076</v>
      </c>
      <c r="O40" s="113"/>
      <c r="P40" s="113"/>
      <c r="Q40" s="113"/>
      <c r="R40" s="113">
        <f t="shared" si="2"/>
        <v>0</v>
      </c>
      <c r="S40" s="113">
        <f t="shared" si="3"/>
        <v>70134</v>
      </c>
      <c r="T40" s="108"/>
    </row>
    <row r="41" spans="1:20" x14ac:dyDescent="0.2">
      <c r="A41" s="123">
        <v>41</v>
      </c>
      <c r="B41" s="142" t="s">
        <v>24</v>
      </c>
      <c r="C41" s="143">
        <f>700-113-117</f>
        <v>470</v>
      </c>
      <c r="D41" s="143"/>
      <c r="E41" s="143">
        <f>1700+200+200-200-312-317</f>
        <v>1271</v>
      </c>
      <c r="F41" s="113">
        <f t="shared" si="4"/>
        <v>1741</v>
      </c>
      <c r="G41" s="113"/>
      <c r="H41" s="113"/>
      <c r="I41" s="113"/>
      <c r="J41" s="113">
        <f t="shared" si="1"/>
        <v>0</v>
      </c>
      <c r="K41" s="113">
        <f>950+200+3</f>
        <v>1153</v>
      </c>
      <c r="L41" s="113"/>
      <c r="M41" s="113">
        <f>K41+L41</f>
        <v>1153</v>
      </c>
      <c r="N41" s="113"/>
      <c r="O41" s="113"/>
      <c r="P41" s="113"/>
      <c r="Q41" s="113"/>
      <c r="R41" s="113">
        <f t="shared" si="2"/>
        <v>0</v>
      </c>
      <c r="S41" s="113">
        <f t="shared" si="3"/>
        <v>2894</v>
      </c>
      <c r="T41" s="108"/>
    </row>
    <row r="42" spans="1:20" x14ac:dyDescent="0.2">
      <c r="A42" s="123">
        <v>42</v>
      </c>
      <c r="B42" s="142" t="s">
        <v>25</v>
      </c>
      <c r="C42" s="143">
        <f>2200+159</f>
        <v>2359</v>
      </c>
      <c r="D42" s="143"/>
      <c r="E42" s="143"/>
      <c r="F42" s="113">
        <f t="shared" si="4"/>
        <v>2359</v>
      </c>
      <c r="G42" s="113">
        <f>2000-19</f>
        <v>1981</v>
      </c>
      <c r="H42" s="113"/>
      <c r="I42" s="113"/>
      <c r="J42" s="113">
        <f t="shared" si="1"/>
        <v>1981</v>
      </c>
      <c r="K42" s="113"/>
      <c r="L42" s="113"/>
      <c r="M42" s="113"/>
      <c r="N42" s="113"/>
      <c r="O42" s="113"/>
      <c r="P42" s="113"/>
      <c r="Q42" s="113"/>
      <c r="R42" s="113">
        <f t="shared" si="2"/>
        <v>0</v>
      </c>
      <c r="S42" s="113">
        <f t="shared" si="3"/>
        <v>4340</v>
      </c>
      <c r="T42" s="108"/>
    </row>
    <row r="43" spans="1:20" x14ac:dyDescent="0.2">
      <c r="A43" s="123">
        <v>43</v>
      </c>
      <c r="B43" s="148" t="s">
        <v>26</v>
      </c>
      <c r="C43" s="143"/>
      <c r="D43" s="143"/>
      <c r="E43" s="143"/>
      <c r="F43" s="113">
        <f t="shared" si="4"/>
        <v>0</v>
      </c>
      <c r="G43" s="113">
        <f>2000+440-150-500-113-15</f>
        <v>1662</v>
      </c>
      <c r="H43" s="113"/>
      <c r="I43" s="113">
        <f>100+27-20-1</f>
        <v>106</v>
      </c>
      <c r="J43" s="113">
        <f t="shared" si="1"/>
        <v>1768</v>
      </c>
      <c r="K43" s="113"/>
      <c r="L43" s="113"/>
      <c r="M43" s="113"/>
      <c r="N43" s="113"/>
      <c r="O43" s="113"/>
      <c r="P43" s="113">
        <f>7000-1000-100-118</f>
        <v>5782</v>
      </c>
      <c r="Q43" s="113">
        <f>7000-1000-600-236</f>
        <v>5164</v>
      </c>
      <c r="R43" s="113">
        <f t="shared" si="2"/>
        <v>10946</v>
      </c>
      <c r="S43" s="113">
        <f t="shared" si="3"/>
        <v>12714</v>
      </c>
      <c r="T43" s="108"/>
    </row>
    <row r="44" spans="1:20" x14ac:dyDescent="0.2">
      <c r="A44" s="123">
        <v>44</v>
      </c>
      <c r="B44" s="142" t="s">
        <v>27</v>
      </c>
      <c r="C44" s="143">
        <f>1320+60+101+4</f>
        <v>1485</v>
      </c>
      <c r="D44" s="143">
        <f>150+2+4+1</f>
        <v>157</v>
      </c>
      <c r="E44" s="143">
        <f>500+2</f>
        <v>502</v>
      </c>
      <c r="F44" s="113">
        <f t="shared" si="4"/>
        <v>2144</v>
      </c>
      <c r="G44" s="113"/>
      <c r="H44" s="113"/>
      <c r="I44" s="113"/>
      <c r="J44" s="113">
        <f t="shared" si="1"/>
        <v>0</v>
      </c>
      <c r="K44" s="113"/>
      <c r="L44" s="113"/>
      <c r="M44" s="113"/>
      <c r="N44" s="113"/>
      <c r="O44" s="113"/>
      <c r="P44" s="113"/>
      <c r="Q44" s="113"/>
      <c r="R44" s="113">
        <f t="shared" si="2"/>
        <v>0</v>
      </c>
      <c r="S44" s="113">
        <f t="shared" si="3"/>
        <v>2144</v>
      </c>
      <c r="T44" s="108"/>
    </row>
    <row r="45" spans="1:20" x14ac:dyDescent="0.2">
      <c r="A45" s="123">
        <v>45</v>
      </c>
      <c r="B45" s="147" t="s">
        <v>28</v>
      </c>
      <c r="C45" s="143">
        <f>5200-382-818-611+750+1476-15</f>
        <v>5600</v>
      </c>
      <c r="D45" s="143">
        <f>700-23-177-153</f>
        <v>347</v>
      </c>
      <c r="E45" s="143">
        <f>1000-100-407+125-3</f>
        <v>615</v>
      </c>
      <c r="F45" s="113">
        <f t="shared" si="4"/>
        <v>6562</v>
      </c>
      <c r="G45" s="113">
        <f>4576-45+50-451+950-21</f>
        <v>5059</v>
      </c>
      <c r="H45" s="113">
        <f>445+45+200+1</f>
        <v>691</v>
      </c>
      <c r="I45" s="113">
        <f>100+10+1</f>
        <v>111</v>
      </c>
      <c r="J45" s="113">
        <f t="shared" si="1"/>
        <v>5861</v>
      </c>
      <c r="K45" s="113"/>
      <c r="L45" s="113"/>
      <c r="M45" s="113"/>
      <c r="N45" s="113"/>
      <c r="O45" s="113"/>
      <c r="P45" s="113"/>
      <c r="Q45" s="113"/>
      <c r="R45" s="113">
        <f t="shared" si="2"/>
        <v>0</v>
      </c>
      <c r="S45" s="113">
        <f t="shared" si="3"/>
        <v>12423</v>
      </c>
      <c r="T45" s="108"/>
    </row>
    <row r="46" spans="1:20" ht="12.75" x14ac:dyDescent="0.2">
      <c r="A46" s="123">
        <v>46</v>
      </c>
      <c r="B46" s="147" t="s">
        <v>29</v>
      </c>
      <c r="C46" s="152">
        <f>5200+500-2+226-7</f>
        <v>5917</v>
      </c>
      <c r="D46" s="143">
        <f>600+75</f>
        <v>675</v>
      </c>
      <c r="E46" s="143"/>
      <c r="F46" s="113">
        <f t="shared" si="4"/>
        <v>6592</v>
      </c>
      <c r="G46" s="113"/>
      <c r="H46" s="113"/>
      <c r="I46" s="113"/>
      <c r="J46" s="113">
        <f t="shared" si="1"/>
        <v>0</v>
      </c>
      <c r="K46" s="149">
        <f>2000-500-700-301</f>
        <v>499</v>
      </c>
      <c r="L46" s="113"/>
      <c r="M46" s="113">
        <f t="shared" ref="M46" si="5">K46+L46</f>
        <v>499</v>
      </c>
      <c r="N46" s="113"/>
      <c r="O46" s="113"/>
      <c r="P46" s="113"/>
      <c r="Q46" s="113"/>
      <c r="R46" s="113">
        <f t="shared" si="2"/>
        <v>0</v>
      </c>
      <c r="S46" s="113">
        <f t="shared" si="3"/>
        <v>7091</v>
      </c>
      <c r="T46" s="108"/>
    </row>
    <row r="47" spans="1:20" x14ac:dyDescent="0.2">
      <c r="A47" s="123">
        <v>47</v>
      </c>
      <c r="B47" s="142" t="s">
        <v>280</v>
      </c>
      <c r="C47" s="143"/>
      <c r="D47" s="143"/>
      <c r="E47" s="143"/>
      <c r="F47" s="113">
        <f t="shared" si="4"/>
        <v>0</v>
      </c>
      <c r="G47" s="113"/>
      <c r="H47" s="113"/>
      <c r="I47" s="113"/>
      <c r="J47" s="113">
        <f t="shared" si="1"/>
        <v>0</v>
      </c>
      <c r="K47" s="113"/>
      <c r="L47" s="113"/>
      <c r="M47" s="113"/>
      <c r="N47" s="113"/>
      <c r="O47" s="113">
        <f>5000-4166+1109+200+231+2</f>
        <v>2376</v>
      </c>
      <c r="P47" s="113"/>
      <c r="Q47" s="113"/>
      <c r="R47" s="113">
        <f t="shared" si="2"/>
        <v>0</v>
      </c>
      <c r="S47" s="113">
        <f t="shared" si="3"/>
        <v>2376</v>
      </c>
      <c r="T47" s="108"/>
    </row>
    <row r="48" spans="1:20" x14ac:dyDescent="0.2">
      <c r="A48" s="123">
        <v>48</v>
      </c>
      <c r="B48" s="142" t="s">
        <v>281</v>
      </c>
      <c r="C48" s="143">
        <f>1930-113</f>
        <v>1817</v>
      </c>
      <c r="D48" s="143"/>
      <c r="E48" s="143"/>
      <c r="F48" s="113">
        <f t="shared" si="4"/>
        <v>1817</v>
      </c>
      <c r="G48" s="113"/>
      <c r="H48" s="113"/>
      <c r="I48" s="113"/>
      <c r="J48" s="113">
        <f t="shared" si="1"/>
        <v>0</v>
      </c>
      <c r="K48" s="113"/>
      <c r="L48" s="113"/>
      <c r="M48" s="113"/>
      <c r="N48" s="113"/>
      <c r="O48" s="113"/>
      <c r="P48" s="113"/>
      <c r="Q48" s="113"/>
      <c r="R48" s="113">
        <f t="shared" si="2"/>
        <v>0</v>
      </c>
      <c r="S48" s="113">
        <f t="shared" si="3"/>
        <v>1817</v>
      </c>
      <c r="T48" s="108"/>
    </row>
    <row r="49" spans="1:20" x14ac:dyDescent="0.2">
      <c r="A49" s="123">
        <v>49</v>
      </c>
      <c r="B49" s="142" t="s">
        <v>30</v>
      </c>
      <c r="C49" s="143">
        <v>220</v>
      </c>
      <c r="D49" s="143"/>
      <c r="E49" s="143"/>
      <c r="F49" s="113">
        <f t="shared" si="4"/>
        <v>220</v>
      </c>
      <c r="G49" s="113"/>
      <c r="H49" s="113"/>
      <c r="I49" s="113"/>
      <c r="J49" s="113">
        <f t="shared" si="1"/>
        <v>0</v>
      </c>
      <c r="K49" s="113"/>
      <c r="L49" s="113"/>
      <c r="M49" s="113"/>
      <c r="N49" s="113"/>
      <c r="O49" s="113"/>
      <c r="P49" s="113"/>
      <c r="Q49" s="113"/>
      <c r="R49" s="113">
        <f t="shared" si="2"/>
        <v>0</v>
      </c>
      <c r="S49" s="113">
        <f t="shared" si="3"/>
        <v>220</v>
      </c>
      <c r="T49" s="108"/>
    </row>
    <row r="50" spans="1:20" x14ac:dyDescent="0.2">
      <c r="A50" s="123">
        <v>50</v>
      </c>
      <c r="B50" s="120" t="s">
        <v>31</v>
      </c>
      <c r="C50" s="143">
        <f>913</f>
        <v>913</v>
      </c>
      <c r="D50" s="143">
        <f>90</f>
        <v>90</v>
      </c>
      <c r="E50" s="143"/>
      <c r="F50" s="113">
        <f t="shared" si="4"/>
        <v>1003</v>
      </c>
      <c r="G50" s="113"/>
      <c r="H50" s="113"/>
      <c r="I50" s="113"/>
      <c r="J50" s="113">
        <f t="shared" si="1"/>
        <v>0</v>
      </c>
      <c r="K50" s="113"/>
      <c r="L50" s="113"/>
      <c r="M50" s="113"/>
      <c r="N50" s="113"/>
      <c r="O50" s="113"/>
      <c r="P50" s="113">
        <f>2500-900-100-11</f>
        <v>1489</v>
      </c>
      <c r="Q50" s="113">
        <f>2500-900-100+4</f>
        <v>1504</v>
      </c>
      <c r="R50" s="113">
        <f t="shared" si="2"/>
        <v>2993</v>
      </c>
      <c r="S50" s="113">
        <f t="shared" si="3"/>
        <v>3996</v>
      </c>
      <c r="T50" s="108"/>
    </row>
    <row r="51" spans="1:20" x14ac:dyDescent="0.2">
      <c r="A51" s="123">
        <v>51</v>
      </c>
      <c r="B51" s="142" t="s">
        <v>198</v>
      </c>
      <c r="C51" s="143">
        <v>355</v>
      </c>
      <c r="D51" s="143">
        <v>35</v>
      </c>
      <c r="E51" s="143"/>
      <c r="F51" s="113">
        <f t="shared" si="4"/>
        <v>390</v>
      </c>
      <c r="G51" s="113"/>
      <c r="H51" s="113"/>
      <c r="I51" s="113"/>
      <c r="J51" s="113">
        <f t="shared" si="1"/>
        <v>0</v>
      </c>
      <c r="K51" s="113"/>
      <c r="L51" s="113"/>
      <c r="M51" s="113"/>
      <c r="N51" s="113"/>
      <c r="O51" s="113"/>
      <c r="P51" s="113"/>
      <c r="Q51" s="113"/>
      <c r="R51" s="113">
        <f t="shared" si="2"/>
        <v>0</v>
      </c>
      <c r="S51" s="113">
        <f t="shared" si="3"/>
        <v>390</v>
      </c>
      <c r="T51" s="108"/>
    </row>
    <row r="52" spans="1:20" x14ac:dyDescent="0.2">
      <c r="A52" s="123">
        <v>52</v>
      </c>
      <c r="B52" s="142" t="s">
        <v>282</v>
      </c>
      <c r="C52" s="143"/>
      <c r="D52" s="143"/>
      <c r="E52" s="143"/>
      <c r="F52" s="113">
        <f t="shared" si="4"/>
        <v>0</v>
      </c>
      <c r="G52" s="113">
        <f>440-440</f>
        <v>0</v>
      </c>
      <c r="H52" s="113"/>
      <c r="I52" s="113"/>
      <c r="J52" s="113">
        <f t="shared" si="1"/>
        <v>0</v>
      </c>
      <c r="K52" s="113"/>
      <c r="L52" s="113"/>
      <c r="M52" s="113"/>
      <c r="N52" s="113"/>
      <c r="O52" s="113"/>
      <c r="P52" s="113"/>
      <c r="Q52" s="113"/>
      <c r="R52" s="113">
        <f t="shared" si="2"/>
        <v>0</v>
      </c>
      <c r="S52" s="113">
        <f t="shared" si="3"/>
        <v>0</v>
      </c>
      <c r="T52" s="108"/>
    </row>
    <row r="53" spans="1:20" x14ac:dyDescent="0.2">
      <c r="A53" s="123">
        <v>53</v>
      </c>
      <c r="B53" s="142" t="s">
        <v>184</v>
      </c>
      <c r="C53" s="113"/>
      <c r="D53" s="143"/>
      <c r="E53" s="143"/>
      <c r="F53" s="113">
        <f t="shared" si="4"/>
        <v>0</v>
      </c>
      <c r="G53" s="113"/>
      <c r="H53" s="113"/>
      <c r="I53" s="113"/>
      <c r="J53" s="113">
        <f t="shared" si="1"/>
        <v>0</v>
      </c>
      <c r="K53" s="113"/>
      <c r="L53" s="113"/>
      <c r="M53" s="113"/>
      <c r="N53" s="113"/>
      <c r="O53" s="113"/>
      <c r="P53" s="113">
        <f>3500+500-1000-125</f>
        <v>2875</v>
      </c>
      <c r="Q53" s="113">
        <f>3500+500+500</f>
        <v>4500</v>
      </c>
      <c r="R53" s="113">
        <f t="shared" si="2"/>
        <v>7375</v>
      </c>
      <c r="S53" s="113">
        <f t="shared" si="3"/>
        <v>7375</v>
      </c>
      <c r="T53" s="108"/>
    </row>
    <row r="54" spans="1:20" x14ac:dyDescent="0.2">
      <c r="A54" s="123"/>
      <c r="B54" s="150" t="s">
        <v>32</v>
      </c>
      <c r="C54" s="113">
        <f>3364-1900-400-1064</f>
        <v>0</v>
      </c>
      <c r="D54" s="113">
        <v>0</v>
      </c>
      <c r="E54" s="113">
        <f>1230-500-200-530</f>
        <v>0</v>
      </c>
      <c r="F54" s="113">
        <f t="shared" si="4"/>
        <v>0</v>
      </c>
      <c r="G54" s="113">
        <f>330-330+18</f>
        <v>18</v>
      </c>
      <c r="H54" s="113"/>
      <c r="I54" s="113">
        <f>1378-673-705</f>
        <v>0</v>
      </c>
      <c r="J54" s="113">
        <f t="shared" si="1"/>
        <v>18</v>
      </c>
      <c r="K54" s="113">
        <f>2600-2600</f>
        <v>0</v>
      </c>
      <c r="L54" s="113"/>
      <c r="M54" s="113">
        <f t="shared" ref="M54" si="6">K54+L54</f>
        <v>0</v>
      </c>
      <c r="N54" s="113"/>
      <c r="O54" s="113"/>
      <c r="P54" s="113"/>
      <c r="Q54" s="113">
        <v>2462</v>
      </c>
      <c r="R54" s="113">
        <f t="shared" si="2"/>
        <v>2462</v>
      </c>
      <c r="S54" s="113">
        <f t="shared" si="3"/>
        <v>2480</v>
      </c>
      <c r="T54" s="108"/>
    </row>
    <row r="55" spans="1:20" x14ac:dyDescent="0.2">
      <c r="A55" s="123"/>
      <c r="B55" s="151" t="s">
        <v>8</v>
      </c>
      <c r="C55" s="131">
        <f t="shared" ref="C55:S55" si="7">SUM(C5:C54)</f>
        <v>102783</v>
      </c>
      <c r="D55" s="131">
        <f t="shared" si="7"/>
        <v>5340</v>
      </c>
      <c r="E55" s="131">
        <f t="shared" si="7"/>
        <v>13167</v>
      </c>
      <c r="F55" s="131">
        <f t="shared" si="7"/>
        <v>121290</v>
      </c>
      <c r="G55" s="131">
        <f t="shared" si="7"/>
        <v>29324</v>
      </c>
      <c r="H55" s="131">
        <f t="shared" si="7"/>
        <v>1041</v>
      </c>
      <c r="I55" s="131">
        <f t="shared" si="7"/>
        <v>2091</v>
      </c>
      <c r="J55" s="131">
        <f t="shared" si="7"/>
        <v>32456</v>
      </c>
      <c r="K55" s="131">
        <f t="shared" si="7"/>
        <v>10614</v>
      </c>
      <c r="L55" s="131">
        <f t="shared" si="7"/>
        <v>1406</v>
      </c>
      <c r="M55" s="131">
        <f t="shared" si="7"/>
        <v>12020</v>
      </c>
      <c r="N55" s="131">
        <f t="shared" si="7"/>
        <v>46079</v>
      </c>
      <c r="O55" s="131">
        <f t="shared" si="7"/>
        <v>2376</v>
      </c>
      <c r="P55" s="131">
        <f t="shared" si="7"/>
        <v>32927</v>
      </c>
      <c r="Q55" s="131">
        <f t="shared" si="7"/>
        <v>34866</v>
      </c>
      <c r="R55" s="131">
        <f t="shared" si="7"/>
        <v>67793</v>
      </c>
      <c r="S55" s="131">
        <f t="shared" si="7"/>
        <v>282014</v>
      </c>
      <c r="T55" s="108"/>
    </row>
    <row r="57" spans="1:20" x14ac:dyDescent="0.2">
      <c r="S57" s="136"/>
    </row>
    <row r="61" spans="1:20" x14ac:dyDescent="0.2">
      <c r="S61" s="136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zoomScale="90" zoomScaleNormal="9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C193" sqref="C193:N198"/>
    </sheetView>
  </sheetViews>
  <sheetFormatPr defaultRowHeight="12.75" x14ac:dyDescent="0.2"/>
  <cols>
    <col min="1" max="1" width="3.5703125" style="58" customWidth="1"/>
    <col min="2" max="2" width="44.5703125" style="58" customWidth="1"/>
    <col min="3" max="3" width="9.5703125" style="68" customWidth="1"/>
    <col min="4" max="5" width="8.28515625" style="68" customWidth="1"/>
    <col min="6" max="6" width="10.42578125" style="59" customWidth="1"/>
    <col min="7" max="8" width="7.85546875" style="68" customWidth="1"/>
    <col min="9" max="9" width="8.85546875" style="68" customWidth="1"/>
    <col min="10" max="10" width="8" style="68" customWidth="1"/>
    <col min="11" max="11" width="8.7109375" style="68" customWidth="1"/>
    <col min="12" max="12" width="10.140625" style="68" customWidth="1"/>
    <col min="13" max="13" width="12.42578125" style="68" customWidth="1"/>
    <col min="14" max="14" width="13" style="68" customWidth="1"/>
    <col min="15" max="16384" width="9.140625" style="58"/>
  </cols>
  <sheetData>
    <row r="1" spans="1:15" ht="42.75" customHeight="1" x14ac:dyDescent="0.25">
      <c r="A1" s="228" t="s">
        <v>283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5" ht="16.5" customHeight="1" x14ac:dyDescent="0.25">
      <c r="A2" s="74"/>
      <c r="B2" s="74"/>
      <c r="C2" s="74"/>
      <c r="D2" s="74"/>
      <c r="E2" s="74"/>
      <c r="F2" s="75"/>
      <c r="G2" s="75"/>
      <c r="H2" s="75"/>
      <c r="I2" s="75"/>
      <c r="J2" s="75"/>
      <c r="K2" s="75"/>
      <c r="L2" s="75"/>
      <c r="M2" s="75"/>
      <c r="N2" s="75"/>
    </row>
    <row r="3" spans="1:15" s="1" customFormat="1" ht="18" customHeight="1" x14ac:dyDescent="0.2">
      <c r="A3" s="230" t="s">
        <v>7</v>
      </c>
      <c r="B3" s="230" t="s">
        <v>176</v>
      </c>
      <c r="C3" s="225" t="s">
        <v>284</v>
      </c>
      <c r="D3" s="234" t="s">
        <v>285</v>
      </c>
      <c r="E3" s="235"/>
      <c r="F3" s="224" t="s">
        <v>286</v>
      </c>
      <c r="G3" s="238" t="s">
        <v>287</v>
      </c>
      <c r="H3" s="239"/>
      <c r="I3" s="239"/>
      <c r="J3" s="239"/>
      <c r="K3" s="239"/>
      <c r="L3" s="239"/>
      <c r="M3" s="239"/>
      <c r="N3" s="240"/>
    </row>
    <row r="4" spans="1:15" s="1" customFormat="1" ht="20.25" customHeight="1" x14ac:dyDescent="0.2">
      <c r="A4" s="231"/>
      <c r="B4" s="231"/>
      <c r="C4" s="233"/>
      <c r="D4" s="236"/>
      <c r="E4" s="237"/>
      <c r="F4" s="224"/>
      <c r="G4" s="221" t="s">
        <v>288</v>
      </c>
      <c r="H4" s="221" t="s">
        <v>289</v>
      </c>
      <c r="I4" s="221" t="s">
        <v>290</v>
      </c>
      <c r="J4" s="221" t="s">
        <v>291</v>
      </c>
      <c r="K4" s="221" t="s">
        <v>292</v>
      </c>
      <c r="L4" s="224" t="s">
        <v>293</v>
      </c>
      <c r="M4" s="224"/>
      <c r="N4" s="224"/>
    </row>
    <row r="5" spans="1:15" s="1" customFormat="1" ht="24" customHeight="1" x14ac:dyDescent="0.2">
      <c r="A5" s="231"/>
      <c r="B5" s="231"/>
      <c r="C5" s="233"/>
      <c r="D5" s="225" t="s">
        <v>294</v>
      </c>
      <c r="E5" s="225" t="s">
        <v>295</v>
      </c>
      <c r="F5" s="224"/>
      <c r="G5" s="222"/>
      <c r="H5" s="222"/>
      <c r="I5" s="222"/>
      <c r="J5" s="222"/>
      <c r="K5" s="222"/>
      <c r="L5" s="224" t="s">
        <v>5</v>
      </c>
      <c r="M5" s="224" t="s">
        <v>177</v>
      </c>
      <c r="N5" s="224"/>
    </row>
    <row r="6" spans="1:15" s="1" customFormat="1" ht="91.5" customHeight="1" x14ac:dyDescent="0.2">
      <c r="A6" s="232"/>
      <c r="B6" s="232"/>
      <c r="C6" s="226"/>
      <c r="D6" s="226"/>
      <c r="E6" s="226"/>
      <c r="F6" s="224"/>
      <c r="G6" s="223"/>
      <c r="H6" s="223"/>
      <c r="I6" s="223"/>
      <c r="J6" s="223"/>
      <c r="K6" s="223"/>
      <c r="L6" s="224"/>
      <c r="M6" s="76" t="s">
        <v>296</v>
      </c>
      <c r="N6" s="76" t="s">
        <v>297</v>
      </c>
    </row>
    <row r="7" spans="1:15" ht="12.75" customHeight="1" x14ac:dyDescent="0.2">
      <c r="A7" s="56">
        <v>1</v>
      </c>
      <c r="B7" s="61" t="s">
        <v>12</v>
      </c>
      <c r="C7" s="62">
        <f>32260-51</f>
        <v>32209</v>
      </c>
      <c r="D7" s="62"/>
      <c r="E7" s="62"/>
      <c r="F7" s="62">
        <f>G7+I7+J7+K7+L7+H7</f>
        <v>92214</v>
      </c>
      <c r="G7" s="62">
        <v>4031</v>
      </c>
      <c r="H7" s="62"/>
      <c r="I7" s="62"/>
      <c r="J7" s="62"/>
      <c r="K7" s="62"/>
      <c r="L7" s="62">
        <f>M7+N7</f>
        <v>88183</v>
      </c>
      <c r="M7" s="62">
        <f>20998-44</f>
        <v>20954</v>
      </c>
      <c r="N7" s="62">
        <v>67229</v>
      </c>
      <c r="O7" s="59"/>
    </row>
    <row r="8" spans="1:15" ht="15.75" customHeight="1" x14ac:dyDescent="0.2">
      <c r="A8" s="56">
        <v>2</v>
      </c>
      <c r="B8" s="61" t="s">
        <v>298</v>
      </c>
      <c r="C8" s="62">
        <f>1100</f>
        <v>1100</v>
      </c>
      <c r="D8" s="62"/>
      <c r="E8" s="62"/>
      <c r="F8" s="62">
        <f t="shared" ref="F8:F72" si="0">G8+I8+J8+K8+L8+H8</f>
        <v>14751</v>
      </c>
      <c r="G8" s="62"/>
      <c r="H8" s="62"/>
      <c r="I8" s="62">
        <v>14751</v>
      </c>
      <c r="J8" s="62"/>
      <c r="K8" s="62"/>
      <c r="L8" s="62">
        <f t="shared" ref="L8:L73" si="1">M8+N8</f>
        <v>0</v>
      </c>
      <c r="M8" s="62"/>
      <c r="N8" s="62">
        <v>0</v>
      </c>
      <c r="O8" s="59"/>
    </row>
    <row r="9" spans="1:15" ht="13.5" customHeight="1" x14ac:dyDescent="0.2">
      <c r="A9" s="56">
        <v>3</v>
      </c>
      <c r="B9" s="64" t="s">
        <v>13</v>
      </c>
      <c r="C9" s="62">
        <f>32272-200-1557-88</f>
        <v>30427</v>
      </c>
      <c r="D9" s="62"/>
      <c r="E9" s="62"/>
      <c r="F9" s="62">
        <f t="shared" si="0"/>
        <v>96354</v>
      </c>
      <c r="G9" s="62"/>
      <c r="H9" s="62"/>
      <c r="I9" s="62"/>
      <c r="J9" s="62"/>
      <c r="K9" s="62"/>
      <c r="L9" s="62">
        <f t="shared" si="1"/>
        <v>96354</v>
      </c>
      <c r="M9" s="62">
        <f>22952-80</f>
        <v>22872</v>
      </c>
      <c r="N9" s="62">
        <v>73482</v>
      </c>
      <c r="O9" s="59"/>
    </row>
    <row r="10" spans="1:15" ht="12.75" customHeight="1" x14ac:dyDescent="0.2">
      <c r="A10" s="56">
        <v>4</v>
      </c>
      <c r="B10" s="64" t="s">
        <v>299</v>
      </c>
      <c r="C10" s="62">
        <f>1800-1</f>
        <v>1799</v>
      </c>
      <c r="D10" s="62"/>
      <c r="E10" s="62"/>
      <c r="F10" s="62">
        <f t="shared" si="0"/>
        <v>8935</v>
      </c>
      <c r="G10" s="62"/>
      <c r="H10" s="62"/>
      <c r="I10" s="62">
        <f>8940-5</f>
        <v>8935</v>
      </c>
      <c r="J10" s="62"/>
      <c r="K10" s="62"/>
      <c r="L10" s="62">
        <f t="shared" si="1"/>
        <v>0</v>
      </c>
      <c r="M10" s="62"/>
      <c r="N10" s="62">
        <v>0</v>
      </c>
      <c r="O10" s="59"/>
    </row>
    <row r="11" spans="1:15" ht="13.5" customHeight="1" x14ac:dyDescent="0.2">
      <c r="A11" s="219">
        <v>5</v>
      </c>
      <c r="B11" s="63" t="s">
        <v>40</v>
      </c>
      <c r="C11" s="62">
        <v>75909</v>
      </c>
      <c r="D11" s="62"/>
      <c r="E11" s="62"/>
      <c r="F11" s="62">
        <f t="shared" si="0"/>
        <v>237782</v>
      </c>
      <c r="G11" s="62">
        <f>6647-3324</f>
        <v>3323</v>
      </c>
      <c r="H11" s="62">
        <f>3324-24</f>
        <v>3300</v>
      </c>
      <c r="I11" s="62"/>
      <c r="J11" s="62"/>
      <c r="K11" s="62"/>
      <c r="L11" s="62">
        <f t="shared" si="1"/>
        <v>231159</v>
      </c>
      <c r="M11" s="62">
        <f>59601+130</f>
        <v>59731</v>
      </c>
      <c r="N11" s="62">
        <v>171428</v>
      </c>
      <c r="O11" s="59"/>
    </row>
    <row r="12" spans="1:15" s="77" customFormat="1" ht="37.5" customHeight="1" x14ac:dyDescent="0.2">
      <c r="A12" s="220"/>
      <c r="B12" s="69" t="s">
        <v>300</v>
      </c>
      <c r="C12" s="70">
        <v>9837</v>
      </c>
      <c r="D12" s="70"/>
      <c r="E12" s="70"/>
      <c r="F12" s="62">
        <f t="shared" si="0"/>
        <v>30435</v>
      </c>
      <c r="G12" s="70"/>
      <c r="H12" s="70"/>
      <c r="I12" s="70"/>
      <c r="J12" s="70"/>
      <c r="K12" s="70"/>
      <c r="L12" s="70">
        <f t="shared" si="1"/>
        <v>30435</v>
      </c>
      <c r="M12" s="70">
        <f>8266+21</f>
        <v>8287</v>
      </c>
      <c r="N12" s="70">
        <v>22148</v>
      </c>
      <c r="O12" s="59"/>
    </row>
    <row r="13" spans="1:15" ht="15" customHeight="1" x14ac:dyDescent="0.2">
      <c r="A13" s="56">
        <v>6</v>
      </c>
      <c r="B13" s="64" t="s">
        <v>42</v>
      </c>
      <c r="C13" s="62">
        <v>25538</v>
      </c>
      <c r="D13" s="62"/>
      <c r="E13" s="62"/>
      <c r="F13" s="62">
        <f t="shared" si="0"/>
        <v>79124</v>
      </c>
      <c r="G13" s="62"/>
      <c r="H13" s="62"/>
      <c r="I13" s="62"/>
      <c r="J13" s="62"/>
      <c r="K13" s="62"/>
      <c r="L13" s="62">
        <f t="shared" si="1"/>
        <v>79124</v>
      </c>
      <c r="M13" s="62">
        <f>24352+95</f>
        <v>24447</v>
      </c>
      <c r="N13" s="62">
        <v>54677</v>
      </c>
      <c r="O13" s="59"/>
    </row>
    <row r="14" spans="1:15" ht="12.75" customHeight="1" x14ac:dyDescent="0.2">
      <c r="A14" s="56">
        <v>7</v>
      </c>
      <c r="B14" s="64" t="s">
        <v>43</v>
      </c>
      <c r="C14" s="62">
        <f>11158-9</f>
        <v>11149</v>
      </c>
      <c r="D14" s="62"/>
      <c r="E14" s="62"/>
      <c r="F14" s="62">
        <f t="shared" si="0"/>
        <v>34530</v>
      </c>
      <c r="G14" s="62"/>
      <c r="H14" s="62"/>
      <c r="I14" s="62"/>
      <c r="J14" s="62"/>
      <c r="K14" s="62"/>
      <c r="L14" s="62">
        <f t="shared" si="1"/>
        <v>34530</v>
      </c>
      <c r="M14" s="62">
        <f>7539-11</f>
        <v>7528</v>
      </c>
      <c r="N14" s="62">
        <v>27002</v>
      </c>
      <c r="O14" s="59"/>
    </row>
    <row r="15" spans="1:15" ht="12.75" customHeight="1" x14ac:dyDescent="0.2">
      <c r="A15" s="56">
        <v>8</v>
      </c>
      <c r="B15" s="64" t="s">
        <v>44</v>
      </c>
      <c r="C15" s="62">
        <f>11531-11</f>
        <v>11520</v>
      </c>
      <c r="D15" s="62"/>
      <c r="E15" s="62"/>
      <c r="F15" s="62">
        <f t="shared" si="0"/>
        <v>36561</v>
      </c>
      <c r="G15" s="62"/>
      <c r="H15" s="62"/>
      <c r="I15" s="62"/>
      <c r="J15" s="62"/>
      <c r="K15" s="62"/>
      <c r="L15" s="62">
        <f t="shared" si="1"/>
        <v>36561</v>
      </c>
      <c r="M15" s="62">
        <f>7197+371+250+250+18</f>
        <v>8086</v>
      </c>
      <c r="N15" s="62">
        <v>28475</v>
      </c>
      <c r="O15" s="59"/>
    </row>
    <row r="16" spans="1:15" ht="12.75" customHeight="1" x14ac:dyDescent="0.2">
      <c r="A16" s="56">
        <v>9</v>
      </c>
      <c r="B16" s="64" t="s">
        <v>45</v>
      </c>
      <c r="C16" s="62">
        <v>12468</v>
      </c>
      <c r="D16" s="62"/>
      <c r="E16" s="62"/>
      <c r="F16" s="62">
        <f t="shared" si="0"/>
        <v>39204</v>
      </c>
      <c r="G16" s="62"/>
      <c r="H16" s="62"/>
      <c r="I16" s="62"/>
      <c r="J16" s="62"/>
      <c r="K16" s="62"/>
      <c r="L16" s="62">
        <f t="shared" si="1"/>
        <v>39204</v>
      </c>
      <c r="M16" s="62">
        <f>8233+642</f>
        <v>8875</v>
      </c>
      <c r="N16" s="62">
        <v>30329</v>
      </c>
      <c r="O16" s="59"/>
    </row>
    <row r="17" spans="1:15" ht="12.75" customHeight="1" x14ac:dyDescent="0.2">
      <c r="A17" s="56">
        <v>10</v>
      </c>
      <c r="B17" s="64" t="s">
        <v>46</v>
      </c>
      <c r="C17" s="62">
        <v>13193</v>
      </c>
      <c r="D17" s="62"/>
      <c r="E17" s="62"/>
      <c r="F17" s="62">
        <f t="shared" si="0"/>
        <v>41150</v>
      </c>
      <c r="G17" s="62"/>
      <c r="H17" s="62"/>
      <c r="I17" s="62"/>
      <c r="J17" s="62"/>
      <c r="K17" s="62"/>
      <c r="L17" s="62">
        <f t="shared" si="1"/>
        <v>41150</v>
      </c>
      <c r="M17" s="62">
        <f>9493+300+22</f>
        <v>9815</v>
      </c>
      <c r="N17" s="62">
        <v>31335</v>
      </c>
      <c r="O17" s="59"/>
    </row>
    <row r="18" spans="1:15" ht="13.5" customHeight="1" x14ac:dyDescent="0.2">
      <c r="A18" s="56">
        <v>11</v>
      </c>
      <c r="B18" s="63" t="s">
        <v>47</v>
      </c>
      <c r="C18" s="62">
        <f>14071-312</f>
        <v>13759</v>
      </c>
      <c r="D18" s="62"/>
      <c r="E18" s="62"/>
      <c r="F18" s="62">
        <f t="shared" si="0"/>
        <v>43590</v>
      </c>
      <c r="G18" s="62"/>
      <c r="H18" s="62"/>
      <c r="I18" s="62"/>
      <c r="J18" s="62"/>
      <c r="K18" s="62"/>
      <c r="L18" s="62">
        <f t="shared" si="1"/>
        <v>43590</v>
      </c>
      <c r="M18" s="62">
        <f>14403+31</f>
        <v>14434</v>
      </c>
      <c r="N18" s="62">
        <v>29156</v>
      </c>
      <c r="O18" s="59"/>
    </row>
    <row r="19" spans="1:15" ht="15" customHeight="1" x14ac:dyDescent="0.2">
      <c r="A19" s="56">
        <v>12</v>
      </c>
      <c r="B19" s="64" t="s">
        <v>48</v>
      </c>
      <c r="C19" s="62">
        <f>13080-125</f>
        <v>12955</v>
      </c>
      <c r="D19" s="62"/>
      <c r="E19" s="62"/>
      <c r="F19" s="62">
        <f t="shared" si="0"/>
        <v>40403</v>
      </c>
      <c r="G19" s="62"/>
      <c r="H19" s="62"/>
      <c r="I19" s="62"/>
      <c r="J19" s="62"/>
      <c r="K19" s="62"/>
      <c r="L19" s="62">
        <f t="shared" si="1"/>
        <v>40403</v>
      </c>
      <c r="M19" s="62">
        <f>9328-75</f>
        <v>9253</v>
      </c>
      <c r="N19" s="62">
        <v>31150</v>
      </c>
      <c r="O19" s="59"/>
    </row>
    <row r="20" spans="1:15" ht="12.75" customHeight="1" x14ac:dyDescent="0.2">
      <c r="A20" s="56">
        <v>13</v>
      </c>
      <c r="B20" s="63" t="s">
        <v>49</v>
      </c>
      <c r="C20" s="62">
        <v>15307</v>
      </c>
      <c r="D20" s="62"/>
      <c r="E20" s="62"/>
      <c r="F20" s="62">
        <f t="shared" si="0"/>
        <v>47379</v>
      </c>
      <c r="G20" s="62"/>
      <c r="H20" s="62"/>
      <c r="I20" s="62"/>
      <c r="J20" s="62"/>
      <c r="K20" s="62"/>
      <c r="L20" s="62">
        <f t="shared" si="1"/>
        <v>47379</v>
      </c>
      <c r="M20" s="62">
        <f>11129+21</f>
        <v>11150</v>
      </c>
      <c r="N20" s="62">
        <v>36229</v>
      </c>
      <c r="O20" s="59"/>
    </row>
    <row r="21" spans="1:15" ht="15" customHeight="1" x14ac:dyDescent="0.2">
      <c r="A21" s="56">
        <v>14</v>
      </c>
      <c r="B21" s="64" t="s">
        <v>50</v>
      </c>
      <c r="C21" s="62">
        <v>12907</v>
      </c>
      <c r="D21" s="62"/>
      <c r="E21" s="62"/>
      <c r="F21" s="62">
        <f t="shared" si="0"/>
        <v>39896</v>
      </c>
      <c r="G21" s="62"/>
      <c r="H21" s="62"/>
      <c r="I21" s="62"/>
      <c r="J21" s="62"/>
      <c r="K21" s="62"/>
      <c r="L21" s="62">
        <f t="shared" si="1"/>
        <v>39896</v>
      </c>
      <c r="M21" s="62">
        <f>8442-70</f>
        <v>8372</v>
      </c>
      <c r="N21" s="62">
        <v>31524</v>
      </c>
      <c r="O21" s="59"/>
    </row>
    <row r="22" spans="1:15" ht="10.5" customHeight="1" x14ac:dyDescent="0.2">
      <c r="A22" s="56">
        <v>15</v>
      </c>
      <c r="B22" s="64" t="s">
        <v>301</v>
      </c>
      <c r="C22" s="62">
        <v>0</v>
      </c>
      <c r="D22" s="62"/>
      <c r="E22" s="62"/>
      <c r="F22" s="62">
        <f t="shared" si="0"/>
        <v>0</v>
      </c>
      <c r="G22" s="62"/>
      <c r="H22" s="62"/>
      <c r="I22" s="62">
        <f>150-150</f>
        <v>0</v>
      </c>
      <c r="J22" s="62"/>
      <c r="K22" s="62"/>
      <c r="L22" s="62">
        <f t="shared" si="1"/>
        <v>0</v>
      </c>
      <c r="M22" s="62"/>
      <c r="N22" s="62">
        <v>0</v>
      </c>
      <c r="O22" s="59"/>
    </row>
    <row r="23" spans="1:15" ht="12" customHeight="1" x14ac:dyDescent="0.2">
      <c r="A23" s="56">
        <v>16</v>
      </c>
      <c r="B23" s="63" t="s">
        <v>51</v>
      </c>
      <c r="C23" s="62">
        <v>80</v>
      </c>
      <c r="D23" s="62"/>
      <c r="E23" s="62"/>
      <c r="F23" s="62">
        <f t="shared" si="0"/>
        <v>569</v>
      </c>
      <c r="G23" s="62"/>
      <c r="H23" s="62"/>
      <c r="I23" s="62">
        <f>572-3</f>
        <v>569</v>
      </c>
      <c r="J23" s="62"/>
      <c r="K23" s="62"/>
      <c r="L23" s="62">
        <f t="shared" si="1"/>
        <v>0</v>
      </c>
      <c r="M23" s="62"/>
      <c r="N23" s="62">
        <v>0</v>
      </c>
      <c r="O23" s="59"/>
    </row>
    <row r="24" spans="1:15" ht="13.5" customHeight="1" x14ac:dyDescent="0.2">
      <c r="A24" s="56">
        <v>17</v>
      </c>
      <c r="B24" s="64" t="s">
        <v>302</v>
      </c>
      <c r="C24" s="62">
        <v>80</v>
      </c>
      <c r="D24" s="62"/>
      <c r="E24" s="62"/>
      <c r="F24" s="62">
        <f t="shared" si="0"/>
        <v>570</v>
      </c>
      <c r="G24" s="62"/>
      <c r="H24" s="62"/>
      <c r="I24" s="62">
        <f>572-2</f>
        <v>570</v>
      </c>
      <c r="J24" s="62"/>
      <c r="K24" s="62"/>
      <c r="L24" s="62">
        <f t="shared" si="1"/>
        <v>0</v>
      </c>
      <c r="M24" s="62"/>
      <c r="N24" s="62">
        <v>0</v>
      </c>
      <c r="O24" s="59"/>
    </row>
    <row r="25" spans="1:15" ht="12.75" customHeight="1" x14ac:dyDescent="0.2">
      <c r="A25" s="56">
        <v>18</v>
      </c>
      <c r="B25" s="64" t="s">
        <v>394</v>
      </c>
      <c r="C25" s="62">
        <f>80-1</f>
        <v>79</v>
      </c>
      <c r="D25" s="62"/>
      <c r="E25" s="62"/>
      <c r="F25" s="62">
        <f t="shared" si="0"/>
        <v>566</v>
      </c>
      <c r="G25" s="62"/>
      <c r="H25" s="62"/>
      <c r="I25" s="62">
        <f>572-6</f>
        <v>566</v>
      </c>
      <c r="J25" s="62"/>
      <c r="K25" s="62"/>
      <c r="L25" s="62">
        <f t="shared" si="1"/>
        <v>0</v>
      </c>
      <c r="M25" s="62"/>
      <c r="N25" s="62">
        <v>0</v>
      </c>
      <c r="O25" s="59"/>
    </row>
    <row r="26" spans="1:15" ht="13.5" customHeight="1" x14ac:dyDescent="0.2">
      <c r="A26" s="56">
        <v>19</v>
      </c>
      <c r="B26" s="64" t="s">
        <v>303</v>
      </c>
      <c r="C26" s="62">
        <v>0</v>
      </c>
      <c r="D26" s="62"/>
      <c r="E26" s="62"/>
      <c r="F26" s="62">
        <f t="shared" si="0"/>
        <v>597</v>
      </c>
      <c r="G26" s="62"/>
      <c r="H26" s="62"/>
      <c r="I26" s="62">
        <v>597</v>
      </c>
      <c r="J26" s="62"/>
      <c r="K26" s="62"/>
      <c r="L26" s="62">
        <f t="shared" si="1"/>
        <v>0</v>
      </c>
      <c r="M26" s="62"/>
      <c r="N26" s="62">
        <v>0</v>
      </c>
      <c r="O26" s="59"/>
    </row>
    <row r="27" spans="1:15" ht="23.25" customHeight="1" x14ac:dyDescent="0.2">
      <c r="A27" s="56">
        <v>20</v>
      </c>
      <c r="B27" s="64" t="s">
        <v>304</v>
      </c>
      <c r="C27" s="62">
        <f>80-1</f>
        <v>79</v>
      </c>
      <c r="D27" s="62"/>
      <c r="E27" s="62"/>
      <c r="F27" s="62">
        <f t="shared" si="0"/>
        <v>568</v>
      </c>
      <c r="G27" s="62"/>
      <c r="H27" s="62"/>
      <c r="I27" s="62">
        <f>572-4</f>
        <v>568</v>
      </c>
      <c r="J27" s="62"/>
      <c r="K27" s="62"/>
      <c r="L27" s="62">
        <f t="shared" si="1"/>
        <v>0</v>
      </c>
      <c r="M27" s="62"/>
      <c r="N27" s="62">
        <v>0</v>
      </c>
      <c r="O27" s="59"/>
    </row>
    <row r="28" spans="1:15" ht="23.25" customHeight="1" x14ac:dyDescent="0.2">
      <c r="A28" s="56"/>
      <c r="B28" s="64" t="s">
        <v>305</v>
      </c>
      <c r="C28" s="62"/>
      <c r="D28" s="62"/>
      <c r="E28" s="62"/>
      <c r="F28" s="62">
        <f t="shared" si="0"/>
        <v>573</v>
      </c>
      <c r="G28" s="62"/>
      <c r="H28" s="62"/>
      <c r="I28" s="62">
        <v>573</v>
      </c>
      <c r="J28" s="62"/>
      <c r="K28" s="62"/>
      <c r="L28" s="62"/>
      <c r="M28" s="62"/>
      <c r="N28" s="62">
        <v>0</v>
      </c>
      <c r="O28" s="59"/>
    </row>
    <row r="29" spans="1:15" ht="10.5" customHeight="1" x14ac:dyDescent="0.2">
      <c r="A29" s="56">
        <v>21</v>
      </c>
      <c r="B29" s="64" t="s">
        <v>306</v>
      </c>
      <c r="C29" s="62">
        <v>0</v>
      </c>
      <c r="D29" s="62"/>
      <c r="E29" s="62"/>
      <c r="F29" s="62">
        <f t="shared" si="0"/>
        <v>570</v>
      </c>
      <c r="G29" s="62"/>
      <c r="H29" s="62"/>
      <c r="I29" s="62">
        <f>572-2</f>
        <v>570</v>
      </c>
      <c r="J29" s="62"/>
      <c r="K29" s="62"/>
      <c r="L29" s="62">
        <f t="shared" si="1"/>
        <v>0</v>
      </c>
      <c r="M29" s="62"/>
      <c r="N29" s="62">
        <v>0</v>
      </c>
      <c r="O29" s="59"/>
    </row>
    <row r="30" spans="1:15" ht="13.5" customHeight="1" x14ac:dyDescent="0.2">
      <c r="A30" s="56">
        <v>22</v>
      </c>
      <c r="B30" s="63" t="s">
        <v>307</v>
      </c>
      <c r="C30" s="62">
        <v>80</v>
      </c>
      <c r="D30" s="62"/>
      <c r="E30" s="62"/>
      <c r="F30" s="62">
        <f t="shared" si="0"/>
        <v>567</v>
      </c>
      <c r="G30" s="62"/>
      <c r="H30" s="62"/>
      <c r="I30" s="62">
        <f>572-5</f>
        <v>567</v>
      </c>
      <c r="J30" s="62"/>
      <c r="K30" s="62"/>
      <c r="L30" s="62">
        <f t="shared" si="1"/>
        <v>0</v>
      </c>
      <c r="M30" s="62"/>
      <c r="N30" s="62">
        <v>0</v>
      </c>
      <c r="O30" s="59"/>
    </row>
    <row r="31" spans="1:15" s="78" customFormat="1" ht="15" customHeight="1" x14ac:dyDescent="0.2">
      <c r="A31" s="56">
        <v>23</v>
      </c>
      <c r="B31" s="64" t="s">
        <v>308</v>
      </c>
      <c r="C31" s="62">
        <v>0</v>
      </c>
      <c r="D31" s="62"/>
      <c r="E31" s="62"/>
      <c r="F31" s="62">
        <f t="shared" si="0"/>
        <v>0</v>
      </c>
      <c r="G31" s="62"/>
      <c r="H31" s="62"/>
      <c r="I31" s="62">
        <f>25-25</f>
        <v>0</v>
      </c>
      <c r="J31" s="62"/>
      <c r="K31" s="62"/>
      <c r="L31" s="62">
        <f t="shared" si="1"/>
        <v>0</v>
      </c>
      <c r="M31" s="62"/>
      <c r="N31" s="62">
        <v>0</v>
      </c>
      <c r="O31" s="59"/>
    </row>
    <row r="32" spans="1:15" ht="12" customHeight="1" x14ac:dyDescent="0.2">
      <c r="A32" s="56">
        <v>24</v>
      </c>
      <c r="B32" s="64" t="s">
        <v>309</v>
      </c>
      <c r="C32" s="62">
        <v>0</v>
      </c>
      <c r="D32" s="62"/>
      <c r="E32" s="62"/>
      <c r="F32" s="62">
        <f t="shared" si="0"/>
        <v>298</v>
      </c>
      <c r="G32" s="62"/>
      <c r="H32" s="62"/>
      <c r="I32" s="62">
        <f>325-27</f>
        <v>298</v>
      </c>
      <c r="J32" s="62"/>
      <c r="K32" s="62"/>
      <c r="L32" s="62">
        <f t="shared" si="1"/>
        <v>0</v>
      </c>
      <c r="M32" s="62"/>
      <c r="N32" s="62">
        <v>0</v>
      </c>
      <c r="O32" s="59"/>
    </row>
    <row r="33" spans="1:15" ht="10.5" customHeight="1" x14ac:dyDescent="0.2">
      <c r="A33" s="56">
        <v>25</v>
      </c>
      <c r="B33" s="64" t="s">
        <v>310</v>
      </c>
      <c r="C33" s="62">
        <v>0</v>
      </c>
      <c r="D33" s="62"/>
      <c r="E33" s="62"/>
      <c r="F33" s="62">
        <f t="shared" si="0"/>
        <v>572</v>
      </c>
      <c r="G33" s="62"/>
      <c r="H33" s="62"/>
      <c r="I33" s="62">
        <v>572</v>
      </c>
      <c r="J33" s="62"/>
      <c r="K33" s="62"/>
      <c r="L33" s="62">
        <f t="shared" si="1"/>
        <v>0</v>
      </c>
      <c r="M33" s="62"/>
      <c r="N33" s="62">
        <v>0</v>
      </c>
      <c r="O33" s="59"/>
    </row>
    <row r="34" spans="1:15" ht="15" customHeight="1" x14ac:dyDescent="0.2">
      <c r="A34" s="56">
        <v>26</v>
      </c>
      <c r="B34" s="64" t="s">
        <v>52</v>
      </c>
      <c r="C34" s="62">
        <v>0</v>
      </c>
      <c r="D34" s="62"/>
      <c r="E34" s="62"/>
      <c r="F34" s="62">
        <f t="shared" si="0"/>
        <v>273</v>
      </c>
      <c r="G34" s="62"/>
      <c r="H34" s="62"/>
      <c r="I34" s="62">
        <f>275-2</f>
        <v>273</v>
      </c>
      <c r="J34" s="62"/>
      <c r="K34" s="62"/>
      <c r="L34" s="62">
        <f t="shared" si="1"/>
        <v>0</v>
      </c>
      <c r="M34" s="62"/>
      <c r="N34" s="62">
        <v>0</v>
      </c>
      <c r="O34" s="59"/>
    </row>
    <row r="35" spans="1:15" ht="12.75" customHeight="1" x14ac:dyDescent="0.2">
      <c r="A35" s="56">
        <v>27</v>
      </c>
      <c r="B35" s="64" t="s">
        <v>168</v>
      </c>
      <c r="C35" s="62">
        <v>33205</v>
      </c>
      <c r="D35" s="62"/>
      <c r="E35" s="62"/>
      <c r="F35" s="62">
        <f t="shared" si="0"/>
        <v>93973</v>
      </c>
      <c r="G35" s="62">
        <v>3819</v>
      </c>
      <c r="H35" s="62"/>
      <c r="I35" s="62"/>
      <c r="J35" s="62"/>
      <c r="K35" s="62"/>
      <c r="L35" s="62">
        <f t="shared" si="1"/>
        <v>90154</v>
      </c>
      <c r="M35" s="62">
        <f>20236-1231</f>
        <v>19005</v>
      </c>
      <c r="N35" s="62">
        <v>71149</v>
      </c>
      <c r="O35" s="59"/>
    </row>
    <row r="36" spans="1:15" ht="15" customHeight="1" x14ac:dyDescent="0.2">
      <c r="A36" s="56">
        <v>28</v>
      </c>
      <c r="B36" s="79" t="s">
        <v>311</v>
      </c>
      <c r="C36" s="62">
        <v>1800</v>
      </c>
      <c r="D36" s="62"/>
      <c r="E36" s="62"/>
      <c r="F36" s="62">
        <f t="shared" si="0"/>
        <v>16985</v>
      </c>
      <c r="G36" s="62"/>
      <c r="H36" s="62"/>
      <c r="I36" s="62">
        <f>16986-1</f>
        <v>16985</v>
      </c>
      <c r="J36" s="62"/>
      <c r="K36" s="62"/>
      <c r="L36" s="62">
        <f t="shared" si="1"/>
        <v>0</v>
      </c>
      <c r="M36" s="62"/>
      <c r="N36" s="62">
        <v>0</v>
      </c>
      <c r="O36" s="59"/>
    </row>
    <row r="37" spans="1:15" ht="12.75" customHeight="1" x14ac:dyDescent="0.2">
      <c r="A37" s="56">
        <v>29</v>
      </c>
      <c r="B37" s="64" t="s">
        <v>16</v>
      </c>
      <c r="C37" s="62">
        <v>32546</v>
      </c>
      <c r="D37" s="62"/>
      <c r="E37" s="62"/>
      <c r="F37" s="62">
        <f t="shared" si="0"/>
        <v>98356</v>
      </c>
      <c r="G37" s="62"/>
      <c r="H37" s="62"/>
      <c r="I37" s="62"/>
      <c r="J37" s="62"/>
      <c r="K37" s="62"/>
      <c r="L37" s="62">
        <f t="shared" si="1"/>
        <v>98356</v>
      </c>
      <c r="M37" s="62">
        <f>28124+42</f>
        <v>28166</v>
      </c>
      <c r="N37" s="62">
        <v>70190</v>
      </c>
      <c r="O37" s="59"/>
    </row>
    <row r="38" spans="1:15" ht="12.75" customHeight="1" x14ac:dyDescent="0.2">
      <c r="A38" s="56">
        <v>30</v>
      </c>
      <c r="B38" s="64" t="s">
        <v>10</v>
      </c>
      <c r="C38" s="62">
        <v>58312</v>
      </c>
      <c r="D38" s="62"/>
      <c r="E38" s="62"/>
      <c r="F38" s="62">
        <f t="shared" si="0"/>
        <v>186381</v>
      </c>
      <c r="G38" s="62">
        <f>5532+300</f>
        <v>5832</v>
      </c>
      <c r="H38" s="62"/>
      <c r="I38" s="62"/>
      <c r="J38" s="62"/>
      <c r="K38" s="62"/>
      <c r="L38" s="62">
        <f t="shared" si="1"/>
        <v>180549</v>
      </c>
      <c r="M38" s="62">
        <f>53568+119</f>
        <v>53687</v>
      </c>
      <c r="N38" s="62">
        <v>126862</v>
      </c>
      <c r="O38" s="59"/>
    </row>
    <row r="39" spans="1:15" ht="12.75" customHeight="1" x14ac:dyDescent="0.2">
      <c r="A39" s="56">
        <v>31</v>
      </c>
      <c r="B39" s="64" t="s">
        <v>11</v>
      </c>
      <c r="C39" s="62">
        <v>41028</v>
      </c>
      <c r="D39" s="62"/>
      <c r="E39" s="62"/>
      <c r="F39" s="62">
        <f t="shared" si="0"/>
        <v>129028</v>
      </c>
      <c r="G39" s="62"/>
      <c r="H39" s="62"/>
      <c r="I39" s="62"/>
      <c r="J39" s="62"/>
      <c r="K39" s="62"/>
      <c r="L39" s="62">
        <f t="shared" si="1"/>
        <v>129028</v>
      </c>
      <c r="M39" s="62">
        <f>44440+2000+67</f>
        <v>46507</v>
      </c>
      <c r="N39" s="62">
        <v>82521</v>
      </c>
      <c r="O39" s="59"/>
    </row>
    <row r="40" spans="1:15" ht="12.75" customHeight="1" x14ac:dyDescent="0.2">
      <c r="A40" s="56">
        <v>32</v>
      </c>
      <c r="B40" s="64" t="s">
        <v>312</v>
      </c>
      <c r="C40" s="62">
        <f>7734-3</f>
        <v>7731</v>
      </c>
      <c r="D40" s="62"/>
      <c r="E40" s="62"/>
      <c r="F40" s="62">
        <f t="shared" si="0"/>
        <v>24479</v>
      </c>
      <c r="G40" s="62"/>
      <c r="H40" s="62"/>
      <c r="I40" s="62"/>
      <c r="J40" s="62"/>
      <c r="K40" s="62"/>
      <c r="L40" s="62">
        <f t="shared" si="1"/>
        <v>24479</v>
      </c>
      <c r="M40" s="62">
        <f>7882-8</f>
        <v>7874</v>
      </c>
      <c r="N40" s="62">
        <v>16605</v>
      </c>
      <c r="O40" s="59"/>
    </row>
    <row r="41" spans="1:15" ht="13.5" customHeight="1" x14ac:dyDescent="0.2">
      <c r="A41" s="56">
        <v>33</v>
      </c>
      <c r="B41" s="64" t="s">
        <v>55</v>
      </c>
      <c r="C41" s="62">
        <v>17003</v>
      </c>
      <c r="D41" s="62"/>
      <c r="E41" s="62"/>
      <c r="F41" s="62">
        <f t="shared" si="0"/>
        <v>52677</v>
      </c>
      <c r="G41" s="62"/>
      <c r="H41" s="62"/>
      <c r="I41" s="62"/>
      <c r="J41" s="62"/>
      <c r="K41" s="62"/>
      <c r="L41" s="62">
        <f t="shared" si="1"/>
        <v>52677</v>
      </c>
      <c r="M41" s="62">
        <f>10345+21</f>
        <v>10366</v>
      </c>
      <c r="N41" s="62">
        <v>42311</v>
      </c>
      <c r="O41" s="59"/>
    </row>
    <row r="42" spans="1:15" ht="12.75" customHeight="1" x14ac:dyDescent="0.2">
      <c r="A42" s="56">
        <v>34</v>
      </c>
      <c r="B42" s="64" t="s">
        <v>56</v>
      </c>
      <c r="C42" s="62">
        <f>22442-2</f>
        <v>22440</v>
      </c>
      <c r="D42" s="62"/>
      <c r="E42" s="62"/>
      <c r="F42" s="62">
        <f t="shared" si="0"/>
        <v>69594</v>
      </c>
      <c r="G42" s="62"/>
      <c r="H42" s="62"/>
      <c r="I42" s="62"/>
      <c r="J42" s="62"/>
      <c r="K42" s="62"/>
      <c r="L42" s="62">
        <f t="shared" si="1"/>
        <v>69594</v>
      </c>
      <c r="M42" s="62">
        <f>8819+300-28</f>
        <v>9091</v>
      </c>
      <c r="N42" s="62">
        <v>60503</v>
      </c>
      <c r="O42" s="59"/>
    </row>
    <row r="43" spans="1:15" ht="15" customHeight="1" x14ac:dyDescent="0.2">
      <c r="A43" s="56">
        <v>35</v>
      </c>
      <c r="B43" s="64" t="s">
        <v>57</v>
      </c>
      <c r="C43" s="62">
        <v>9634</v>
      </c>
      <c r="D43" s="62"/>
      <c r="E43" s="62"/>
      <c r="F43" s="62">
        <f t="shared" si="0"/>
        <v>30999</v>
      </c>
      <c r="G43" s="62"/>
      <c r="H43" s="62"/>
      <c r="I43" s="62"/>
      <c r="J43" s="62"/>
      <c r="K43" s="62"/>
      <c r="L43" s="62">
        <f t="shared" si="1"/>
        <v>30999</v>
      </c>
      <c r="M43" s="62">
        <f>8932+258+1000-120</f>
        <v>10070</v>
      </c>
      <c r="N43" s="62">
        <v>20929</v>
      </c>
      <c r="O43" s="59"/>
    </row>
    <row r="44" spans="1:15" ht="13.5" customHeight="1" x14ac:dyDescent="0.2">
      <c r="A44" s="56">
        <v>36</v>
      </c>
      <c r="B44" s="64" t="s">
        <v>58</v>
      </c>
      <c r="C44" s="62">
        <v>8036</v>
      </c>
      <c r="D44" s="62"/>
      <c r="E44" s="62"/>
      <c r="F44" s="62">
        <f t="shared" si="0"/>
        <v>24883</v>
      </c>
      <c r="G44" s="62"/>
      <c r="H44" s="62"/>
      <c r="I44" s="62"/>
      <c r="J44" s="62"/>
      <c r="K44" s="62"/>
      <c r="L44" s="62">
        <f t="shared" si="1"/>
        <v>24883</v>
      </c>
      <c r="M44" s="62">
        <f>4630+7</f>
        <v>4637</v>
      </c>
      <c r="N44" s="62">
        <v>20246</v>
      </c>
      <c r="O44" s="59"/>
    </row>
    <row r="45" spans="1:15" ht="13.5" customHeight="1" x14ac:dyDescent="0.2">
      <c r="A45" s="56">
        <v>37</v>
      </c>
      <c r="B45" s="64" t="s">
        <v>313</v>
      </c>
      <c r="C45" s="62">
        <v>0</v>
      </c>
      <c r="D45" s="62"/>
      <c r="E45" s="62"/>
      <c r="F45" s="62">
        <f t="shared" si="0"/>
        <v>671</v>
      </c>
      <c r="G45" s="62"/>
      <c r="H45" s="62"/>
      <c r="I45" s="62">
        <f>670+1</f>
        <v>671</v>
      </c>
      <c r="J45" s="62"/>
      <c r="K45" s="62"/>
      <c r="L45" s="62">
        <f t="shared" si="1"/>
        <v>0</v>
      </c>
      <c r="M45" s="62"/>
      <c r="N45" s="62">
        <v>0</v>
      </c>
      <c r="O45" s="59"/>
    </row>
    <row r="46" spans="1:15" ht="12.75" customHeight="1" x14ac:dyDescent="0.2">
      <c r="A46" s="56">
        <v>38</v>
      </c>
      <c r="B46" s="64" t="s">
        <v>314</v>
      </c>
      <c r="C46" s="62">
        <v>0</v>
      </c>
      <c r="D46" s="62"/>
      <c r="E46" s="62"/>
      <c r="F46" s="62">
        <f t="shared" si="0"/>
        <v>1760</v>
      </c>
      <c r="G46" s="62"/>
      <c r="H46" s="62"/>
      <c r="I46" s="62">
        <f>1788-28</f>
        <v>1760</v>
      </c>
      <c r="J46" s="62"/>
      <c r="K46" s="62"/>
      <c r="L46" s="62">
        <f t="shared" si="1"/>
        <v>0</v>
      </c>
      <c r="M46" s="62"/>
      <c r="N46" s="62">
        <v>0</v>
      </c>
      <c r="O46" s="59"/>
    </row>
    <row r="47" spans="1:15" ht="12.75" customHeight="1" x14ac:dyDescent="0.2">
      <c r="A47" s="56">
        <v>39</v>
      </c>
      <c r="B47" s="64" t="s">
        <v>315</v>
      </c>
      <c r="C47" s="62">
        <v>0</v>
      </c>
      <c r="D47" s="62"/>
      <c r="E47" s="62"/>
      <c r="F47" s="62">
        <f t="shared" si="0"/>
        <v>34</v>
      </c>
      <c r="G47" s="62"/>
      <c r="H47" s="62"/>
      <c r="I47" s="62">
        <f>200-164-2</f>
        <v>34</v>
      </c>
      <c r="J47" s="62"/>
      <c r="K47" s="62"/>
      <c r="L47" s="62">
        <f t="shared" si="1"/>
        <v>0</v>
      </c>
      <c r="M47" s="62"/>
      <c r="N47" s="62">
        <v>0</v>
      </c>
      <c r="O47" s="59"/>
    </row>
    <row r="48" spans="1:15" ht="14.25" customHeight="1" x14ac:dyDescent="0.2">
      <c r="A48" s="56">
        <v>40</v>
      </c>
      <c r="B48" s="64" t="s">
        <v>178</v>
      </c>
      <c r="C48" s="62">
        <f>32781-101</f>
        <v>32680</v>
      </c>
      <c r="D48" s="62">
        <f>6211+290+13</f>
        <v>6514</v>
      </c>
      <c r="E48" s="62"/>
      <c r="F48" s="62">
        <f t="shared" si="0"/>
        <v>82552</v>
      </c>
      <c r="G48" s="62">
        <f>10096-5500+3</f>
        <v>4599</v>
      </c>
      <c r="H48" s="62"/>
      <c r="I48" s="62"/>
      <c r="J48" s="62"/>
      <c r="K48" s="62"/>
      <c r="L48" s="62">
        <f t="shared" si="1"/>
        <v>77953</v>
      </c>
      <c r="M48" s="62">
        <f>16397+43</f>
        <v>16440</v>
      </c>
      <c r="N48" s="62">
        <v>61513</v>
      </c>
      <c r="O48" s="59"/>
    </row>
    <row r="49" spans="1:15" ht="15.75" customHeight="1" x14ac:dyDescent="0.2">
      <c r="A49" s="56">
        <v>41</v>
      </c>
      <c r="B49" s="64" t="s">
        <v>169</v>
      </c>
      <c r="C49" s="62">
        <v>28004</v>
      </c>
      <c r="D49" s="62"/>
      <c r="E49" s="62"/>
      <c r="F49" s="62">
        <f t="shared" si="0"/>
        <v>80567</v>
      </c>
      <c r="G49" s="62"/>
      <c r="H49" s="62"/>
      <c r="I49" s="62"/>
      <c r="J49" s="62"/>
      <c r="K49" s="62"/>
      <c r="L49" s="62">
        <f t="shared" si="1"/>
        <v>80567</v>
      </c>
      <c r="M49" s="62">
        <f>27459-800-746</f>
        <v>25913</v>
      </c>
      <c r="N49" s="62">
        <v>54654</v>
      </c>
      <c r="O49" s="59"/>
    </row>
    <row r="50" spans="1:15" ht="15.75" customHeight="1" x14ac:dyDescent="0.2">
      <c r="A50" s="56">
        <v>42</v>
      </c>
      <c r="B50" s="64" t="s">
        <v>316</v>
      </c>
      <c r="C50" s="62">
        <f>33192-1000-2245-400</f>
        <v>29547</v>
      </c>
      <c r="D50" s="62"/>
      <c r="E50" s="62"/>
      <c r="F50" s="62">
        <f t="shared" si="0"/>
        <v>86354</v>
      </c>
      <c r="G50" s="62">
        <f>658-18</f>
        <v>640</v>
      </c>
      <c r="H50" s="62"/>
      <c r="I50" s="62"/>
      <c r="J50" s="62"/>
      <c r="K50" s="62"/>
      <c r="L50" s="62">
        <f t="shared" si="1"/>
        <v>85714</v>
      </c>
      <c r="M50" s="62">
        <f>29578-658-300-1687</f>
        <v>26933</v>
      </c>
      <c r="N50" s="62">
        <v>58781</v>
      </c>
      <c r="O50" s="59"/>
    </row>
    <row r="51" spans="1:15" ht="14.25" customHeight="1" x14ac:dyDescent="0.2">
      <c r="A51" s="219">
        <v>43</v>
      </c>
      <c r="B51" s="64" t="s">
        <v>317</v>
      </c>
      <c r="C51" s="62">
        <v>15621</v>
      </c>
      <c r="D51" s="62"/>
      <c r="E51" s="62"/>
      <c r="F51" s="62">
        <f t="shared" si="0"/>
        <v>46989</v>
      </c>
      <c r="G51" s="62"/>
      <c r="H51" s="62"/>
      <c r="I51" s="62"/>
      <c r="J51" s="62"/>
      <c r="K51" s="62"/>
      <c r="L51" s="62">
        <f t="shared" si="1"/>
        <v>46989</v>
      </c>
      <c r="M51" s="62">
        <f>9670+26</f>
        <v>9696</v>
      </c>
      <c r="N51" s="62">
        <v>37293</v>
      </c>
      <c r="O51" s="59"/>
    </row>
    <row r="52" spans="1:15" s="77" customFormat="1" ht="36.75" customHeight="1" x14ac:dyDescent="0.2">
      <c r="A52" s="220"/>
      <c r="B52" s="69" t="s">
        <v>318</v>
      </c>
      <c r="C52" s="70">
        <v>21844</v>
      </c>
      <c r="D52" s="70"/>
      <c r="E52" s="70"/>
      <c r="F52" s="62">
        <f t="shared" si="0"/>
        <v>69996</v>
      </c>
      <c r="G52" s="70"/>
      <c r="H52" s="70"/>
      <c r="I52" s="70"/>
      <c r="J52" s="70"/>
      <c r="K52" s="70"/>
      <c r="L52" s="70">
        <f t="shared" si="1"/>
        <v>69996</v>
      </c>
      <c r="M52" s="70">
        <f>14732+29</f>
        <v>14761</v>
      </c>
      <c r="N52" s="70">
        <v>55235</v>
      </c>
      <c r="O52" s="59"/>
    </row>
    <row r="53" spans="1:15" ht="16.5" customHeight="1" x14ac:dyDescent="0.2">
      <c r="A53" s="56">
        <v>44</v>
      </c>
      <c r="B53" s="64" t="s">
        <v>319</v>
      </c>
      <c r="C53" s="62">
        <v>22759</v>
      </c>
      <c r="D53" s="62"/>
      <c r="E53" s="62"/>
      <c r="F53" s="62">
        <f t="shared" si="0"/>
        <v>72459</v>
      </c>
      <c r="G53" s="62"/>
      <c r="H53" s="62"/>
      <c r="I53" s="62"/>
      <c r="J53" s="62"/>
      <c r="K53" s="62"/>
      <c r="L53" s="62">
        <f t="shared" si="1"/>
        <v>72459</v>
      </c>
      <c r="M53" s="62">
        <f>13575+28</f>
        <v>13603</v>
      </c>
      <c r="N53" s="62">
        <v>58856</v>
      </c>
      <c r="O53" s="59"/>
    </row>
    <row r="54" spans="1:15" ht="27" customHeight="1" x14ac:dyDescent="0.2">
      <c r="A54" s="56">
        <v>45</v>
      </c>
      <c r="B54" s="64" t="s">
        <v>320</v>
      </c>
      <c r="C54" s="62">
        <v>11000</v>
      </c>
      <c r="D54" s="62"/>
      <c r="E54" s="62"/>
      <c r="F54" s="62">
        <f t="shared" si="0"/>
        <v>63518</v>
      </c>
      <c r="G54" s="62"/>
      <c r="H54" s="62"/>
      <c r="I54" s="62">
        <f>63474+44</f>
        <v>63518</v>
      </c>
      <c r="J54" s="62"/>
      <c r="K54" s="62"/>
      <c r="L54" s="62">
        <f t="shared" si="1"/>
        <v>0</v>
      </c>
      <c r="M54" s="62"/>
      <c r="N54" s="62">
        <v>0</v>
      </c>
      <c r="O54" s="59"/>
    </row>
    <row r="55" spans="1:15" ht="12" customHeight="1" x14ac:dyDescent="0.2">
      <c r="A55" s="56">
        <v>46</v>
      </c>
      <c r="B55" s="64" t="s">
        <v>321</v>
      </c>
      <c r="C55" s="62"/>
      <c r="D55" s="62"/>
      <c r="E55" s="62"/>
      <c r="F55" s="62">
        <f t="shared" si="0"/>
        <v>10583</v>
      </c>
      <c r="G55" s="62"/>
      <c r="H55" s="62"/>
      <c r="I55" s="62">
        <f>10558+25</f>
        <v>10583</v>
      </c>
      <c r="J55" s="62"/>
      <c r="K55" s="62"/>
      <c r="L55" s="62">
        <f t="shared" si="1"/>
        <v>0</v>
      </c>
      <c r="M55" s="62"/>
      <c r="N55" s="62">
        <v>0</v>
      </c>
      <c r="O55" s="59"/>
    </row>
    <row r="56" spans="1:15" ht="13.5" customHeight="1" x14ac:dyDescent="0.2">
      <c r="A56" s="219">
        <v>47</v>
      </c>
      <c r="B56" s="64" t="s">
        <v>167</v>
      </c>
      <c r="C56" s="62">
        <f>51089-1350+585-585</f>
        <v>49739</v>
      </c>
      <c r="D56" s="62"/>
      <c r="E56" s="62"/>
      <c r="F56" s="62">
        <f t="shared" si="0"/>
        <v>137795</v>
      </c>
      <c r="G56" s="62">
        <f>3686+600+100+7</f>
        <v>4393</v>
      </c>
      <c r="H56" s="62"/>
      <c r="I56" s="62"/>
      <c r="J56" s="62"/>
      <c r="K56" s="62"/>
      <c r="L56" s="62">
        <f t="shared" si="1"/>
        <v>133402</v>
      </c>
      <c r="M56" s="62">
        <f>27267+9500-9500+4305-100+39</f>
        <v>31511</v>
      </c>
      <c r="N56" s="62">
        <v>101891</v>
      </c>
      <c r="O56" s="59"/>
    </row>
    <row r="57" spans="1:15" s="77" customFormat="1" ht="38.25" customHeight="1" x14ac:dyDescent="0.2">
      <c r="A57" s="227"/>
      <c r="B57" s="69" t="s">
        <v>322</v>
      </c>
      <c r="C57" s="70">
        <f>13984+1350</f>
        <v>15334</v>
      </c>
      <c r="D57" s="70"/>
      <c r="E57" s="70"/>
      <c r="F57" s="62">
        <f t="shared" si="0"/>
        <v>42616</v>
      </c>
      <c r="G57" s="70"/>
      <c r="H57" s="70"/>
      <c r="I57" s="70"/>
      <c r="J57" s="70"/>
      <c r="K57" s="70"/>
      <c r="L57" s="70">
        <f t="shared" si="1"/>
        <v>42616</v>
      </c>
      <c r="M57" s="70">
        <f>5104+4</f>
        <v>5108</v>
      </c>
      <c r="N57" s="70">
        <v>37508</v>
      </c>
      <c r="O57" s="59"/>
    </row>
    <row r="58" spans="1:15" s="77" customFormat="1" ht="31.5" customHeight="1" x14ac:dyDescent="0.2">
      <c r="A58" s="220"/>
      <c r="B58" s="80" t="s">
        <v>69</v>
      </c>
      <c r="C58" s="70">
        <f>585+133</f>
        <v>718</v>
      </c>
      <c r="D58" s="70"/>
      <c r="E58" s="70"/>
      <c r="F58" s="62">
        <f t="shared" si="0"/>
        <v>7016</v>
      </c>
      <c r="G58" s="70"/>
      <c r="H58" s="70"/>
      <c r="I58" s="70"/>
      <c r="J58" s="70"/>
      <c r="K58" s="70"/>
      <c r="L58" s="70">
        <f t="shared" si="1"/>
        <v>7016</v>
      </c>
      <c r="M58" s="70">
        <f>9500+4305-4305-2500+16</f>
        <v>7016</v>
      </c>
      <c r="N58" s="70">
        <v>0</v>
      </c>
      <c r="O58" s="59"/>
    </row>
    <row r="59" spans="1:15" ht="15.75" customHeight="1" x14ac:dyDescent="0.2">
      <c r="A59" s="56">
        <v>48</v>
      </c>
      <c r="B59" s="64" t="s">
        <v>323</v>
      </c>
      <c r="C59" s="62">
        <v>5710</v>
      </c>
      <c r="D59" s="62"/>
      <c r="E59" s="62"/>
      <c r="F59" s="62">
        <f t="shared" si="0"/>
        <v>26845</v>
      </c>
      <c r="G59" s="62"/>
      <c r="H59" s="62"/>
      <c r="I59" s="62">
        <f>26820+25</f>
        <v>26845</v>
      </c>
      <c r="J59" s="62"/>
      <c r="K59" s="62"/>
      <c r="L59" s="62">
        <f t="shared" si="1"/>
        <v>0</v>
      </c>
      <c r="M59" s="62"/>
      <c r="N59" s="62">
        <v>0</v>
      </c>
      <c r="O59" s="59"/>
    </row>
    <row r="60" spans="1:15" ht="13.5" customHeight="1" x14ac:dyDescent="0.2">
      <c r="A60" s="56">
        <v>49</v>
      </c>
      <c r="B60" s="64" t="s">
        <v>324</v>
      </c>
      <c r="C60" s="62">
        <v>0</v>
      </c>
      <c r="D60" s="62"/>
      <c r="E60" s="62"/>
      <c r="F60" s="62">
        <f t="shared" si="0"/>
        <v>8492</v>
      </c>
      <c r="G60" s="62"/>
      <c r="H60" s="62"/>
      <c r="I60" s="62">
        <f>8493-1</f>
        <v>8492</v>
      </c>
      <c r="J60" s="62"/>
      <c r="K60" s="62"/>
      <c r="L60" s="62">
        <f t="shared" si="1"/>
        <v>0</v>
      </c>
      <c r="M60" s="62"/>
      <c r="N60" s="62">
        <v>0</v>
      </c>
      <c r="O60" s="59"/>
    </row>
    <row r="61" spans="1:15" ht="14.25" customHeight="1" x14ac:dyDescent="0.2">
      <c r="A61" s="219">
        <v>50</v>
      </c>
      <c r="B61" s="64" t="s">
        <v>166</v>
      </c>
      <c r="C61" s="62">
        <v>34650</v>
      </c>
      <c r="D61" s="62"/>
      <c r="E61" s="62"/>
      <c r="F61" s="62">
        <f t="shared" si="0"/>
        <v>112971</v>
      </c>
      <c r="G61" s="62">
        <f>5807-2904+4</f>
        <v>2907</v>
      </c>
      <c r="H61" s="62">
        <f>2904-131</f>
        <v>2773</v>
      </c>
      <c r="I61" s="62"/>
      <c r="J61" s="62"/>
      <c r="K61" s="62"/>
      <c r="L61" s="62">
        <f t="shared" si="1"/>
        <v>107291</v>
      </c>
      <c r="M61" s="62">
        <f>35242+96</f>
        <v>35338</v>
      </c>
      <c r="N61" s="62">
        <v>71953</v>
      </c>
      <c r="O61" s="59"/>
    </row>
    <row r="62" spans="1:15" s="77" customFormat="1" ht="37.5" customHeight="1" x14ac:dyDescent="0.2">
      <c r="A62" s="220"/>
      <c r="B62" s="69" t="s">
        <v>325</v>
      </c>
      <c r="C62" s="70">
        <f>13626-264</f>
        <v>13362</v>
      </c>
      <c r="D62" s="70"/>
      <c r="E62" s="70"/>
      <c r="F62" s="62">
        <f t="shared" si="0"/>
        <v>41459</v>
      </c>
      <c r="G62" s="70"/>
      <c r="H62" s="70"/>
      <c r="I62" s="70"/>
      <c r="J62" s="70"/>
      <c r="K62" s="70"/>
      <c r="L62" s="70">
        <f t="shared" si="1"/>
        <v>41459</v>
      </c>
      <c r="M62" s="70">
        <f>14659-703</f>
        <v>13956</v>
      </c>
      <c r="N62" s="70">
        <v>27503</v>
      </c>
      <c r="O62" s="59"/>
    </row>
    <row r="63" spans="1:15" ht="13.5" customHeight="1" x14ac:dyDescent="0.2">
      <c r="A63" s="56">
        <v>51</v>
      </c>
      <c r="B63" s="64" t="s">
        <v>18</v>
      </c>
      <c r="C63" s="62">
        <f>48474-9</f>
        <v>48465</v>
      </c>
      <c r="D63" s="62"/>
      <c r="E63" s="62"/>
      <c r="F63" s="62">
        <f t="shared" si="0"/>
        <v>149430</v>
      </c>
      <c r="G63" s="62"/>
      <c r="H63" s="62"/>
      <c r="I63" s="62"/>
      <c r="J63" s="62"/>
      <c r="K63" s="62"/>
      <c r="L63" s="62">
        <f t="shared" si="1"/>
        <v>149430</v>
      </c>
      <c r="M63" s="62">
        <f>45352-462</f>
        <v>44890</v>
      </c>
      <c r="N63" s="62">
        <v>104540</v>
      </c>
      <c r="O63" s="59"/>
    </row>
    <row r="64" spans="1:15" s="78" customFormat="1" ht="12.75" customHeight="1" x14ac:dyDescent="0.2">
      <c r="A64" s="56">
        <v>52</v>
      </c>
      <c r="B64" s="64" t="s">
        <v>19</v>
      </c>
      <c r="C64" s="62">
        <f>47372-400</f>
        <v>46972</v>
      </c>
      <c r="D64" s="62"/>
      <c r="E64" s="62"/>
      <c r="F64" s="62">
        <f t="shared" si="0"/>
        <v>146517</v>
      </c>
      <c r="G64" s="62"/>
      <c r="H64" s="62"/>
      <c r="I64" s="62"/>
      <c r="J64" s="62"/>
      <c r="K64" s="62"/>
      <c r="L64" s="62">
        <f t="shared" si="1"/>
        <v>146517</v>
      </c>
      <c r="M64" s="62">
        <f>31957-70</f>
        <v>31887</v>
      </c>
      <c r="N64" s="62">
        <v>114630</v>
      </c>
      <c r="O64" s="59"/>
    </row>
    <row r="65" spans="1:15" ht="10.5" customHeight="1" x14ac:dyDescent="0.2">
      <c r="A65" s="56">
        <v>53</v>
      </c>
      <c r="B65" s="64" t="s">
        <v>73</v>
      </c>
      <c r="C65" s="62">
        <f>14707-18</f>
        <v>14689</v>
      </c>
      <c r="D65" s="62"/>
      <c r="E65" s="62"/>
      <c r="F65" s="62">
        <f t="shared" si="0"/>
        <v>45534</v>
      </c>
      <c r="G65" s="62"/>
      <c r="H65" s="62"/>
      <c r="I65" s="62"/>
      <c r="J65" s="62"/>
      <c r="K65" s="62"/>
      <c r="L65" s="62">
        <f t="shared" si="1"/>
        <v>45534</v>
      </c>
      <c r="M65" s="62">
        <f>12564-8</f>
        <v>12556</v>
      </c>
      <c r="N65" s="62">
        <v>32978</v>
      </c>
      <c r="O65" s="59"/>
    </row>
    <row r="66" spans="1:15" ht="10.5" customHeight="1" x14ac:dyDescent="0.2">
      <c r="A66" s="56">
        <v>54</v>
      </c>
      <c r="B66" s="64" t="s">
        <v>74</v>
      </c>
      <c r="C66" s="62">
        <f>18046-134</f>
        <v>17912</v>
      </c>
      <c r="D66" s="62"/>
      <c r="E66" s="62"/>
      <c r="F66" s="62">
        <f t="shared" si="0"/>
        <v>55904</v>
      </c>
      <c r="G66" s="62"/>
      <c r="H66" s="62"/>
      <c r="I66" s="62"/>
      <c r="J66" s="62"/>
      <c r="K66" s="62"/>
      <c r="L66" s="62">
        <f t="shared" si="1"/>
        <v>55904</v>
      </c>
      <c r="M66" s="62">
        <f>20154+24</f>
        <v>20178</v>
      </c>
      <c r="N66" s="62">
        <v>35726</v>
      </c>
      <c r="O66" s="59"/>
    </row>
    <row r="67" spans="1:15" ht="10.5" customHeight="1" x14ac:dyDescent="0.2">
      <c r="A67" s="56">
        <v>55</v>
      </c>
      <c r="B67" s="64" t="s">
        <v>75</v>
      </c>
      <c r="C67" s="62">
        <f>16520-676</f>
        <v>15844</v>
      </c>
      <c r="D67" s="62"/>
      <c r="E67" s="62"/>
      <c r="F67" s="62">
        <f t="shared" si="0"/>
        <v>51165</v>
      </c>
      <c r="G67" s="62"/>
      <c r="H67" s="62"/>
      <c r="I67" s="62"/>
      <c r="J67" s="62"/>
      <c r="K67" s="62"/>
      <c r="L67" s="62">
        <f t="shared" si="1"/>
        <v>51165</v>
      </c>
      <c r="M67" s="62">
        <f>15317+16</f>
        <v>15333</v>
      </c>
      <c r="N67" s="62">
        <v>35832</v>
      </c>
      <c r="O67" s="59"/>
    </row>
    <row r="68" spans="1:15" ht="11.25" customHeight="1" x14ac:dyDescent="0.2">
      <c r="A68" s="56">
        <v>56</v>
      </c>
      <c r="B68" s="64" t="s">
        <v>76</v>
      </c>
      <c r="C68" s="62">
        <v>10847</v>
      </c>
      <c r="D68" s="62"/>
      <c r="E68" s="62"/>
      <c r="F68" s="62">
        <f t="shared" si="0"/>
        <v>33566</v>
      </c>
      <c r="G68" s="62"/>
      <c r="H68" s="62"/>
      <c r="I68" s="62"/>
      <c r="J68" s="62"/>
      <c r="K68" s="62"/>
      <c r="L68" s="62">
        <f t="shared" si="1"/>
        <v>33566</v>
      </c>
      <c r="M68" s="62">
        <f>10049+9</f>
        <v>10058</v>
      </c>
      <c r="N68" s="62">
        <v>23508</v>
      </c>
      <c r="O68" s="59"/>
    </row>
    <row r="69" spans="1:15" ht="10.5" customHeight="1" x14ac:dyDescent="0.2">
      <c r="A69" s="56">
        <v>57</v>
      </c>
      <c r="B69" s="64" t="s">
        <v>77</v>
      </c>
      <c r="C69" s="62">
        <f>18810-121</f>
        <v>18689</v>
      </c>
      <c r="D69" s="62"/>
      <c r="E69" s="62"/>
      <c r="F69" s="62">
        <f t="shared" si="0"/>
        <v>58065</v>
      </c>
      <c r="G69" s="62"/>
      <c r="H69" s="62"/>
      <c r="I69" s="62"/>
      <c r="J69" s="62"/>
      <c r="K69" s="62"/>
      <c r="L69" s="62">
        <f t="shared" si="1"/>
        <v>58065</v>
      </c>
      <c r="M69" s="62">
        <f>15070-132</f>
        <v>14938</v>
      </c>
      <c r="N69" s="62">
        <v>43127</v>
      </c>
      <c r="O69" s="59"/>
    </row>
    <row r="70" spans="1:15" ht="10.5" customHeight="1" x14ac:dyDescent="0.2">
      <c r="A70" s="56">
        <v>58</v>
      </c>
      <c r="B70" s="64" t="s">
        <v>78</v>
      </c>
      <c r="C70" s="62">
        <f>8603-20</f>
        <v>8583</v>
      </c>
      <c r="D70" s="62"/>
      <c r="E70" s="62"/>
      <c r="F70" s="62">
        <f t="shared" si="0"/>
        <v>26633</v>
      </c>
      <c r="G70" s="62"/>
      <c r="H70" s="62"/>
      <c r="I70" s="62"/>
      <c r="J70" s="62"/>
      <c r="K70" s="62"/>
      <c r="L70" s="62">
        <f t="shared" si="1"/>
        <v>26633</v>
      </c>
      <c r="M70" s="62">
        <f>7269+17</f>
        <v>7286</v>
      </c>
      <c r="N70" s="62">
        <v>19347</v>
      </c>
      <c r="O70" s="59"/>
    </row>
    <row r="71" spans="1:15" s="78" customFormat="1" ht="11.25" customHeight="1" x14ac:dyDescent="0.2">
      <c r="A71" s="56">
        <v>59</v>
      </c>
      <c r="B71" s="81" t="s">
        <v>326</v>
      </c>
      <c r="C71" s="62">
        <f>3925-3</f>
        <v>3922</v>
      </c>
      <c r="D71" s="62"/>
      <c r="E71" s="62"/>
      <c r="F71" s="62">
        <f t="shared" si="0"/>
        <v>11504</v>
      </c>
      <c r="G71" s="62"/>
      <c r="H71" s="62"/>
      <c r="I71" s="62"/>
      <c r="J71" s="62"/>
      <c r="K71" s="62"/>
      <c r="L71" s="62">
        <f t="shared" si="1"/>
        <v>11504</v>
      </c>
      <c r="M71" s="62">
        <f>4822-2</f>
        <v>4820</v>
      </c>
      <c r="N71" s="62">
        <v>6684</v>
      </c>
      <c r="O71" s="59"/>
    </row>
    <row r="72" spans="1:15" ht="12.75" customHeight="1" x14ac:dyDescent="0.2">
      <c r="A72" s="56">
        <v>60</v>
      </c>
      <c r="B72" s="64" t="s">
        <v>79</v>
      </c>
      <c r="C72" s="62">
        <f>1170-585-133</f>
        <v>452</v>
      </c>
      <c r="D72" s="62"/>
      <c r="E72" s="62"/>
      <c r="F72" s="62">
        <f t="shared" si="0"/>
        <v>5195</v>
      </c>
      <c r="G72" s="62"/>
      <c r="H72" s="62"/>
      <c r="I72" s="62">
        <f>19000-9500-4305</f>
        <v>5195</v>
      </c>
      <c r="J72" s="62"/>
      <c r="K72" s="62"/>
      <c r="L72" s="62">
        <f t="shared" si="1"/>
        <v>0</v>
      </c>
      <c r="M72" s="62"/>
      <c r="N72" s="62">
        <v>0</v>
      </c>
      <c r="O72" s="59"/>
    </row>
    <row r="73" spans="1:15" s="78" customFormat="1" ht="15.75" customHeight="1" x14ac:dyDescent="0.2">
      <c r="A73" s="56">
        <v>61</v>
      </c>
      <c r="B73" s="64" t="s">
        <v>327</v>
      </c>
      <c r="C73" s="62">
        <f>7920-400-400-600-200</f>
        <v>6320</v>
      </c>
      <c r="D73" s="62"/>
      <c r="E73" s="62"/>
      <c r="F73" s="62">
        <f t="shared" ref="F73:F136" si="2">G73+I73+J73+K73+L73+H73</f>
        <v>18737</v>
      </c>
      <c r="G73" s="62"/>
      <c r="H73" s="62"/>
      <c r="I73" s="62"/>
      <c r="J73" s="62"/>
      <c r="K73" s="62"/>
      <c r="L73" s="62">
        <f t="shared" si="1"/>
        <v>18737</v>
      </c>
      <c r="M73" s="62">
        <f>7529-1000-800-286</f>
        <v>5443</v>
      </c>
      <c r="N73" s="62">
        <v>13294</v>
      </c>
      <c r="O73" s="59"/>
    </row>
    <row r="74" spans="1:15" ht="14.25" customHeight="1" x14ac:dyDescent="0.2">
      <c r="A74" s="56">
        <v>62</v>
      </c>
      <c r="B74" s="64" t="s">
        <v>328</v>
      </c>
      <c r="C74" s="62">
        <v>0</v>
      </c>
      <c r="D74" s="62"/>
      <c r="E74" s="62"/>
      <c r="F74" s="62">
        <f t="shared" si="2"/>
        <v>2004</v>
      </c>
      <c r="G74" s="62">
        <f>2000+4</f>
        <v>2004</v>
      </c>
      <c r="H74" s="62"/>
      <c r="I74" s="62"/>
      <c r="J74" s="62"/>
      <c r="K74" s="62"/>
      <c r="L74" s="62">
        <f t="shared" ref="L74:L137" si="3">M74+N74</f>
        <v>0</v>
      </c>
      <c r="M74" s="62"/>
      <c r="N74" s="62">
        <v>0</v>
      </c>
      <c r="O74" s="59"/>
    </row>
    <row r="75" spans="1:15" ht="13.5" customHeight="1" x14ac:dyDescent="0.2">
      <c r="A75" s="56">
        <v>63</v>
      </c>
      <c r="B75" s="64" t="s">
        <v>329</v>
      </c>
      <c r="C75" s="62">
        <v>0</v>
      </c>
      <c r="D75" s="62"/>
      <c r="E75" s="62"/>
      <c r="F75" s="62">
        <f t="shared" si="2"/>
        <v>190</v>
      </c>
      <c r="G75" s="62"/>
      <c r="H75" s="62"/>
      <c r="I75" s="62">
        <f>100+90</f>
        <v>190</v>
      </c>
      <c r="J75" s="62"/>
      <c r="K75" s="62"/>
      <c r="L75" s="62">
        <f t="shared" si="3"/>
        <v>0</v>
      </c>
      <c r="M75" s="62"/>
      <c r="N75" s="62">
        <v>0</v>
      </c>
      <c r="O75" s="59"/>
    </row>
    <row r="76" spans="1:15" ht="10.5" customHeight="1" x14ac:dyDescent="0.2">
      <c r="A76" s="56">
        <v>64</v>
      </c>
      <c r="B76" s="61" t="s">
        <v>20</v>
      </c>
      <c r="C76" s="62">
        <f>73298-815-400+1088</f>
        <v>73171</v>
      </c>
      <c r="D76" s="62"/>
      <c r="E76" s="62"/>
      <c r="F76" s="62">
        <f t="shared" si="2"/>
        <v>226852</v>
      </c>
      <c r="G76" s="62"/>
      <c r="H76" s="62"/>
      <c r="I76" s="62"/>
      <c r="J76" s="62"/>
      <c r="K76" s="62"/>
      <c r="L76" s="62">
        <f t="shared" si="3"/>
        <v>226852</v>
      </c>
      <c r="M76" s="62">
        <f>48493+17</f>
        <v>48510</v>
      </c>
      <c r="N76" s="62">
        <v>178342</v>
      </c>
      <c r="O76" s="59"/>
    </row>
    <row r="77" spans="1:15" ht="10.5" customHeight="1" x14ac:dyDescent="0.2">
      <c r="A77" s="56">
        <v>65</v>
      </c>
      <c r="B77" s="64" t="s">
        <v>9</v>
      </c>
      <c r="C77" s="62">
        <v>51984</v>
      </c>
      <c r="D77" s="62"/>
      <c r="E77" s="62"/>
      <c r="F77" s="62">
        <f t="shared" si="2"/>
        <v>162246</v>
      </c>
      <c r="G77" s="62">
        <v>2288</v>
      </c>
      <c r="H77" s="62"/>
      <c r="I77" s="62"/>
      <c r="J77" s="62"/>
      <c r="K77" s="62"/>
      <c r="L77" s="62">
        <f t="shared" si="3"/>
        <v>159958</v>
      </c>
      <c r="M77" s="62">
        <f>34228+45</f>
        <v>34273</v>
      </c>
      <c r="N77" s="62">
        <v>125685</v>
      </c>
      <c r="O77" s="59"/>
    </row>
    <row r="78" spans="1:15" ht="10.5" customHeight="1" x14ac:dyDescent="0.2">
      <c r="A78" s="56">
        <v>66</v>
      </c>
      <c r="B78" s="61" t="s">
        <v>179</v>
      </c>
      <c r="C78" s="62">
        <v>55981</v>
      </c>
      <c r="D78" s="62"/>
      <c r="E78" s="62"/>
      <c r="F78" s="62">
        <f t="shared" si="2"/>
        <v>161791</v>
      </c>
      <c r="G78" s="62">
        <f>4587-2294</f>
        <v>2293</v>
      </c>
      <c r="H78" s="62">
        <f>2294+155</f>
        <v>2449</v>
      </c>
      <c r="I78" s="62"/>
      <c r="J78" s="62"/>
      <c r="K78" s="62"/>
      <c r="L78" s="62">
        <f t="shared" si="3"/>
        <v>157049</v>
      </c>
      <c r="M78" s="62">
        <f>32513-695</f>
        <v>31818</v>
      </c>
      <c r="N78" s="62">
        <v>125231</v>
      </c>
      <c r="O78" s="59"/>
    </row>
    <row r="79" spans="1:15" ht="24" customHeight="1" x14ac:dyDescent="0.2">
      <c r="A79" s="56">
        <v>67</v>
      </c>
      <c r="B79" s="61" t="s">
        <v>330</v>
      </c>
      <c r="C79" s="62">
        <f>3000-1</f>
        <v>2999</v>
      </c>
      <c r="D79" s="62"/>
      <c r="E79" s="62"/>
      <c r="F79" s="62">
        <f t="shared" si="2"/>
        <v>24747</v>
      </c>
      <c r="G79" s="62"/>
      <c r="H79" s="62"/>
      <c r="I79" s="62">
        <f>24758-11</f>
        <v>24747</v>
      </c>
      <c r="J79" s="62"/>
      <c r="K79" s="62"/>
      <c r="L79" s="62">
        <f t="shared" si="3"/>
        <v>0</v>
      </c>
      <c r="M79" s="62"/>
      <c r="N79" s="62">
        <v>0</v>
      </c>
      <c r="O79" s="59"/>
    </row>
    <row r="80" spans="1:15" ht="10.5" customHeight="1" x14ac:dyDescent="0.2">
      <c r="A80" s="56">
        <v>68</v>
      </c>
      <c r="B80" s="64" t="s">
        <v>83</v>
      </c>
      <c r="C80" s="62">
        <v>22614</v>
      </c>
      <c r="D80" s="62"/>
      <c r="E80" s="62"/>
      <c r="F80" s="62">
        <f t="shared" si="2"/>
        <v>69993</v>
      </c>
      <c r="G80" s="62"/>
      <c r="H80" s="62"/>
      <c r="I80" s="62"/>
      <c r="J80" s="62"/>
      <c r="K80" s="62"/>
      <c r="L80" s="62">
        <f t="shared" si="3"/>
        <v>69993</v>
      </c>
      <c r="M80" s="62">
        <f>15368+15</f>
        <v>15383</v>
      </c>
      <c r="N80" s="62">
        <v>54610</v>
      </c>
      <c r="O80" s="59"/>
    </row>
    <row r="81" spans="1:15" ht="10.5" customHeight="1" x14ac:dyDescent="0.2">
      <c r="A81" s="56">
        <v>69</v>
      </c>
      <c r="B81" s="61" t="s">
        <v>84</v>
      </c>
      <c r="C81" s="62">
        <f>15153-33</f>
        <v>15120</v>
      </c>
      <c r="D81" s="62"/>
      <c r="E81" s="62"/>
      <c r="F81" s="62">
        <f t="shared" si="2"/>
        <v>46868</v>
      </c>
      <c r="G81" s="62"/>
      <c r="H81" s="62"/>
      <c r="I81" s="62"/>
      <c r="J81" s="62"/>
      <c r="K81" s="62"/>
      <c r="L81" s="62">
        <f t="shared" si="3"/>
        <v>46868</v>
      </c>
      <c r="M81" s="62">
        <f>9705-16</f>
        <v>9689</v>
      </c>
      <c r="N81" s="62">
        <v>37179</v>
      </c>
      <c r="O81" s="59"/>
    </row>
    <row r="82" spans="1:15" ht="10.5" customHeight="1" x14ac:dyDescent="0.2">
      <c r="A82" s="56">
        <v>70</v>
      </c>
      <c r="B82" s="64" t="s">
        <v>85</v>
      </c>
      <c r="C82" s="62">
        <v>11760</v>
      </c>
      <c r="D82" s="62"/>
      <c r="E82" s="62"/>
      <c r="F82" s="62">
        <f t="shared" si="2"/>
        <v>37466</v>
      </c>
      <c r="G82" s="62"/>
      <c r="H82" s="62"/>
      <c r="I82" s="62"/>
      <c r="J82" s="62"/>
      <c r="K82" s="62"/>
      <c r="L82" s="62">
        <f t="shared" si="3"/>
        <v>37466</v>
      </c>
      <c r="M82" s="62">
        <f>8428-201</f>
        <v>8227</v>
      </c>
      <c r="N82" s="62">
        <v>29239</v>
      </c>
      <c r="O82" s="59"/>
    </row>
    <row r="83" spans="1:15" ht="10.5" customHeight="1" x14ac:dyDescent="0.2">
      <c r="A83" s="56">
        <v>71</v>
      </c>
      <c r="B83" s="61" t="s">
        <v>86</v>
      </c>
      <c r="C83" s="62">
        <f>17827-32</f>
        <v>17795</v>
      </c>
      <c r="D83" s="62"/>
      <c r="E83" s="62"/>
      <c r="F83" s="62">
        <f t="shared" si="2"/>
        <v>55126</v>
      </c>
      <c r="G83" s="62"/>
      <c r="H83" s="62"/>
      <c r="I83" s="62"/>
      <c r="J83" s="62"/>
      <c r="K83" s="62"/>
      <c r="L83" s="62">
        <f t="shared" si="3"/>
        <v>55126</v>
      </c>
      <c r="M83" s="62">
        <f>12243+273-133</f>
        <v>12383</v>
      </c>
      <c r="N83" s="62">
        <v>42743</v>
      </c>
      <c r="O83" s="59"/>
    </row>
    <row r="84" spans="1:15" ht="10.5" customHeight="1" x14ac:dyDescent="0.2">
      <c r="A84" s="56">
        <v>72</v>
      </c>
      <c r="B84" s="64" t="s">
        <v>87</v>
      </c>
      <c r="C84" s="62">
        <v>7799</v>
      </c>
      <c r="D84" s="62"/>
      <c r="E84" s="62"/>
      <c r="F84" s="62">
        <f t="shared" si="2"/>
        <v>24138</v>
      </c>
      <c r="G84" s="62"/>
      <c r="H84" s="62"/>
      <c r="I84" s="62"/>
      <c r="J84" s="62"/>
      <c r="K84" s="62"/>
      <c r="L84" s="62">
        <f t="shared" si="3"/>
        <v>24138</v>
      </c>
      <c r="M84" s="62">
        <f>7306+13</f>
        <v>7319</v>
      </c>
      <c r="N84" s="62">
        <v>16819</v>
      </c>
      <c r="O84" s="59"/>
    </row>
    <row r="85" spans="1:15" ht="10.5" customHeight="1" x14ac:dyDescent="0.2">
      <c r="A85" s="56">
        <v>73</v>
      </c>
      <c r="B85" s="64" t="s">
        <v>88</v>
      </c>
      <c r="C85" s="62">
        <f>14699-15</f>
        <v>14684</v>
      </c>
      <c r="D85" s="62"/>
      <c r="E85" s="62"/>
      <c r="F85" s="62">
        <f t="shared" si="2"/>
        <v>45679</v>
      </c>
      <c r="G85" s="62"/>
      <c r="H85" s="62"/>
      <c r="I85" s="62"/>
      <c r="J85" s="62"/>
      <c r="K85" s="62"/>
      <c r="L85" s="62">
        <f t="shared" si="3"/>
        <v>45679</v>
      </c>
      <c r="M85" s="62">
        <f>11153-13</f>
        <v>11140</v>
      </c>
      <c r="N85" s="62">
        <v>34539</v>
      </c>
      <c r="O85" s="59"/>
    </row>
    <row r="86" spans="1:15" ht="11.25" customHeight="1" x14ac:dyDescent="0.2">
      <c r="A86" s="56">
        <v>74</v>
      </c>
      <c r="B86" s="64" t="s">
        <v>89</v>
      </c>
      <c r="C86" s="62">
        <v>22079</v>
      </c>
      <c r="D86" s="62"/>
      <c r="E86" s="62"/>
      <c r="F86" s="62">
        <f t="shared" si="2"/>
        <v>68362</v>
      </c>
      <c r="G86" s="62"/>
      <c r="H86" s="62"/>
      <c r="I86" s="62"/>
      <c r="J86" s="62"/>
      <c r="K86" s="62"/>
      <c r="L86" s="62">
        <f t="shared" si="3"/>
        <v>68362</v>
      </c>
      <c r="M86" s="62">
        <f>18545+30</f>
        <v>18575</v>
      </c>
      <c r="N86" s="62">
        <v>49787</v>
      </c>
      <c r="O86" s="59"/>
    </row>
    <row r="87" spans="1:15" ht="10.5" customHeight="1" x14ac:dyDescent="0.2">
      <c r="A87" s="56">
        <v>75</v>
      </c>
      <c r="B87" s="61" t="s">
        <v>90</v>
      </c>
      <c r="C87" s="62">
        <f>12123-56</f>
        <v>12067</v>
      </c>
      <c r="D87" s="62"/>
      <c r="E87" s="62"/>
      <c r="F87" s="62">
        <f t="shared" si="2"/>
        <v>37524</v>
      </c>
      <c r="G87" s="62"/>
      <c r="H87" s="62"/>
      <c r="I87" s="62"/>
      <c r="J87" s="62"/>
      <c r="K87" s="62"/>
      <c r="L87" s="62">
        <f t="shared" si="3"/>
        <v>37524</v>
      </c>
      <c r="M87" s="62">
        <f>8981+7</f>
        <v>8988</v>
      </c>
      <c r="N87" s="62">
        <v>28536</v>
      </c>
      <c r="O87" s="59"/>
    </row>
    <row r="88" spans="1:15" ht="10.5" customHeight="1" x14ac:dyDescent="0.2">
      <c r="A88" s="56">
        <v>76</v>
      </c>
      <c r="B88" s="64" t="s">
        <v>331</v>
      </c>
      <c r="C88" s="62">
        <f>225-98-19</f>
        <v>108</v>
      </c>
      <c r="D88" s="62"/>
      <c r="E88" s="62"/>
      <c r="F88" s="62">
        <f t="shared" si="2"/>
        <v>55</v>
      </c>
      <c r="G88" s="62"/>
      <c r="H88" s="62"/>
      <c r="I88" s="62">
        <f>150-90-5</f>
        <v>55</v>
      </c>
      <c r="J88" s="62"/>
      <c r="K88" s="62"/>
      <c r="L88" s="62">
        <f t="shared" si="3"/>
        <v>0</v>
      </c>
      <c r="M88" s="62"/>
      <c r="N88" s="62">
        <v>0</v>
      </c>
      <c r="O88" s="59"/>
    </row>
    <row r="89" spans="1:15" ht="10.5" customHeight="1" x14ac:dyDescent="0.2">
      <c r="A89" s="56">
        <v>77</v>
      </c>
      <c r="B89" s="64" t="s">
        <v>332</v>
      </c>
      <c r="C89" s="62">
        <f>250-90-1</f>
        <v>159</v>
      </c>
      <c r="D89" s="62"/>
      <c r="E89" s="62"/>
      <c r="F89" s="62">
        <f t="shared" si="2"/>
        <v>50</v>
      </c>
      <c r="G89" s="62"/>
      <c r="H89" s="62"/>
      <c r="I89" s="62">
        <v>50</v>
      </c>
      <c r="J89" s="62"/>
      <c r="K89" s="62"/>
      <c r="L89" s="62">
        <f t="shared" si="3"/>
        <v>0</v>
      </c>
      <c r="M89" s="62"/>
      <c r="N89" s="62">
        <v>0</v>
      </c>
      <c r="O89" s="59"/>
    </row>
    <row r="90" spans="1:15" ht="10.5" customHeight="1" x14ac:dyDescent="0.2">
      <c r="A90" s="56">
        <v>78</v>
      </c>
      <c r="B90" s="82" t="s">
        <v>333</v>
      </c>
      <c r="C90" s="62">
        <v>0</v>
      </c>
      <c r="D90" s="62"/>
      <c r="E90" s="62"/>
      <c r="F90" s="62">
        <f t="shared" si="2"/>
        <v>172</v>
      </c>
      <c r="G90" s="62"/>
      <c r="H90" s="62"/>
      <c r="I90" s="62">
        <f>175-3</f>
        <v>172</v>
      </c>
      <c r="J90" s="62"/>
      <c r="K90" s="62"/>
      <c r="L90" s="62">
        <f t="shared" si="3"/>
        <v>0</v>
      </c>
      <c r="M90" s="62"/>
      <c r="N90" s="62">
        <v>0</v>
      </c>
      <c r="O90" s="59"/>
    </row>
    <row r="91" spans="1:15" ht="10.5" customHeight="1" x14ac:dyDescent="0.2">
      <c r="A91" s="56">
        <v>79</v>
      </c>
      <c r="B91" s="64" t="s">
        <v>334</v>
      </c>
      <c r="C91" s="62">
        <f>115-20</f>
        <v>95</v>
      </c>
      <c r="D91" s="62"/>
      <c r="E91" s="62"/>
      <c r="F91" s="62">
        <f t="shared" si="2"/>
        <v>36</v>
      </c>
      <c r="G91" s="62"/>
      <c r="H91" s="62"/>
      <c r="I91" s="62">
        <f>50-14</f>
        <v>36</v>
      </c>
      <c r="J91" s="62"/>
      <c r="K91" s="62"/>
      <c r="L91" s="62">
        <f t="shared" si="3"/>
        <v>0</v>
      </c>
      <c r="M91" s="62"/>
      <c r="N91" s="62">
        <v>0</v>
      </c>
      <c r="O91" s="59"/>
    </row>
    <row r="92" spans="1:15" ht="15" customHeight="1" x14ac:dyDescent="0.2">
      <c r="A92" s="56">
        <v>80</v>
      </c>
      <c r="B92" s="64" t="s">
        <v>335</v>
      </c>
      <c r="C92" s="62">
        <v>0</v>
      </c>
      <c r="D92" s="62"/>
      <c r="E92" s="62"/>
      <c r="F92" s="62">
        <f t="shared" si="2"/>
        <v>25</v>
      </c>
      <c r="G92" s="62"/>
      <c r="H92" s="62"/>
      <c r="I92" s="62">
        <f>100-59-16</f>
        <v>25</v>
      </c>
      <c r="J92" s="62"/>
      <c r="K92" s="62"/>
      <c r="L92" s="62">
        <f t="shared" si="3"/>
        <v>0</v>
      </c>
      <c r="M92" s="62"/>
      <c r="N92" s="62">
        <v>0</v>
      </c>
      <c r="O92" s="59"/>
    </row>
    <row r="93" spans="1:15" ht="10.5" customHeight="1" x14ac:dyDescent="0.2">
      <c r="A93" s="56">
        <v>81</v>
      </c>
      <c r="B93" s="83" t="s">
        <v>336</v>
      </c>
      <c r="C93" s="62">
        <v>0</v>
      </c>
      <c r="D93" s="62"/>
      <c r="E93" s="62"/>
      <c r="F93" s="62">
        <f t="shared" si="2"/>
        <v>882</v>
      </c>
      <c r="G93" s="62"/>
      <c r="H93" s="62"/>
      <c r="I93" s="62">
        <f>894-12</f>
        <v>882</v>
      </c>
      <c r="J93" s="62"/>
      <c r="K93" s="62"/>
      <c r="L93" s="62">
        <f t="shared" si="3"/>
        <v>0</v>
      </c>
      <c r="M93" s="62"/>
      <c r="N93" s="62">
        <v>0</v>
      </c>
      <c r="O93" s="59"/>
    </row>
    <row r="94" spans="1:15" ht="10.5" customHeight="1" x14ac:dyDescent="0.2">
      <c r="A94" s="56">
        <v>82</v>
      </c>
      <c r="B94" s="65" t="s">
        <v>337</v>
      </c>
      <c r="C94" s="62">
        <f>13953-430-15</f>
        <v>13508</v>
      </c>
      <c r="D94" s="62"/>
      <c r="E94" s="62"/>
      <c r="F94" s="62">
        <f t="shared" si="2"/>
        <v>61564</v>
      </c>
      <c r="G94" s="62"/>
      <c r="H94" s="62"/>
      <c r="I94" s="62"/>
      <c r="J94" s="62"/>
      <c r="K94" s="62"/>
      <c r="L94" s="62">
        <f t="shared" si="3"/>
        <v>61564</v>
      </c>
      <c r="M94" s="62">
        <f>13361-2000-114</f>
        <v>11247</v>
      </c>
      <c r="N94" s="62">
        <v>50317</v>
      </c>
      <c r="O94" s="59"/>
    </row>
    <row r="95" spans="1:15" ht="10.5" customHeight="1" x14ac:dyDescent="0.2">
      <c r="A95" s="56">
        <v>83</v>
      </c>
      <c r="B95" s="65" t="s">
        <v>338</v>
      </c>
      <c r="C95" s="62">
        <f>11980-290+480-10</f>
        <v>12160</v>
      </c>
      <c r="D95" s="62"/>
      <c r="E95" s="62"/>
      <c r="F95" s="62">
        <f t="shared" si="2"/>
        <v>54676</v>
      </c>
      <c r="G95" s="62"/>
      <c r="H95" s="62"/>
      <c r="I95" s="62"/>
      <c r="J95" s="62"/>
      <c r="K95" s="62"/>
      <c r="L95" s="62">
        <f t="shared" si="3"/>
        <v>54676</v>
      </c>
      <c r="M95" s="62">
        <f>10628+3</f>
        <v>10631</v>
      </c>
      <c r="N95" s="62">
        <v>44045</v>
      </c>
      <c r="O95" s="59"/>
    </row>
    <row r="96" spans="1:15" ht="10.5" customHeight="1" x14ac:dyDescent="0.2">
      <c r="A96" s="56">
        <v>84</v>
      </c>
      <c r="B96" s="65" t="s">
        <v>339</v>
      </c>
      <c r="C96" s="62">
        <f>23443-60</f>
        <v>23383</v>
      </c>
      <c r="D96" s="62">
        <f>7392+20</f>
        <v>7412</v>
      </c>
      <c r="E96" s="62"/>
      <c r="F96" s="62">
        <f t="shared" si="2"/>
        <v>74365.047721097508</v>
      </c>
      <c r="G96" s="62"/>
      <c r="H96" s="62"/>
      <c r="I96" s="62"/>
      <c r="J96" s="62"/>
      <c r="K96" s="62">
        <v>1090</v>
      </c>
      <c r="L96" s="62">
        <f t="shared" si="3"/>
        <v>73275.047721097508</v>
      </c>
      <c r="M96" s="62">
        <f>16723.0477210975+23</f>
        <v>16746.0477210975</v>
      </c>
      <c r="N96" s="62">
        <v>56529</v>
      </c>
      <c r="O96" s="59"/>
    </row>
    <row r="97" spans="1:15" ht="10.5" customHeight="1" x14ac:dyDescent="0.2">
      <c r="A97" s="56">
        <v>85</v>
      </c>
      <c r="B97" s="65" t="s">
        <v>170</v>
      </c>
      <c r="C97" s="62">
        <f>26846-221</f>
        <v>26625</v>
      </c>
      <c r="D97" s="62">
        <f>7210+18</f>
        <v>7228</v>
      </c>
      <c r="E97" s="62"/>
      <c r="F97" s="62">
        <f t="shared" si="2"/>
        <v>90564</v>
      </c>
      <c r="G97" s="62"/>
      <c r="H97" s="62"/>
      <c r="I97" s="62"/>
      <c r="J97" s="62"/>
      <c r="K97" s="62">
        <f>1063+1</f>
        <v>1064</v>
      </c>
      <c r="L97" s="62">
        <f t="shared" si="3"/>
        <v>89500</v>
      </c>
      <c r="M97" s="62">
        <f>22570-514-837+43</f>
        <v>21262</v>
      </c>
      <c r="N97" s="62">
        <f>67401+837</f>
        <v>68238</v>
      </c>
      <c r="O97" s="59"/>
    </row>
    <row r="98" spans="1:15" ht="10.5" customHeight="1" x14ac:dyDescent="0.2">
      <c r="A98" s="56">
        <v>86</v>
      </c>
      <c r="B98" s="65" t="s">
        <v>340</v>
      </c>
      <c r="C98" s="62">
        <f>7572-66-1</f>
        <v>7505</v>
      </c>
      <c r="D98" s="62"/>
      <c r="E98" s="62"/>
      <c r="F98" s="62">
        <f t="shared" si="2"/>
        <v>34552</v>
      </c>
      <c r="G98" s="62"/>
      <c r="H98" s="62"/>
      <c r="I98" s="62"/>
      <c r="J98" s="62"/>
      <c r="K98" s="62"/>
      <c r="L98" s="62">
        <f t="shared" si="3"/>
        <v>34552</v>
      </c>
      <c r="M98" s="62">
        <f>8081-5</f>
        <v>8076</v>
      </c>
      <c r="N98" s="62">
        <v>26476</v>
      </c>
      <c r="O98" s="59"/>
    </row>
    <row r="99" spans="1:15" ht="22.5" customHeight="1" x14ac:dyDescent="0.2">
      <c r="A99" s="56">
        <v>87</v>
      </c>
      <c r="B99" s="65" t="s">
        <v>341</v>
      </c>
      <c r="C99" s="62">
        <v>0</v>
      </c>
      <c r="D99" s="62"/>
      <c r="E99" s="62"/>
      <c r="F99" s="62">
        <f t="shared" si="2"/>
        <v>20614</v>
      </c>
      <c r="G99" s="62"/>
      <c r="H99" s="62"/>
      <c r="I99" s="62">
        <f>20562+52</f>
        <v>20614</v>
      </c>
      <c r="J99" s="62"/>
      <c r="K99" s="62"/>
      <c r="L99" s="62">
        <f t="shared" si="3"/>
        <v>0</v>
      </c>
      <c r="M99" s="62"/>
      <c r="N99" s="62">
        <v>0</v>
      </c>
      <c r="O99" s="59"/>
    </row>
    <row r="100" spans="1:15" ht="24" customHeight="1" x14ac:dyDescent="0.2">
      <c r="A100" s="56">
        <v>88</v>
      </c>
      <c r="B100" s="65" t="s">
        <v>342</v>
      </c>
      <c r="C100" s="62">
        <v>9725</v>
      </c>
      <c r="D100" s="62"/>
      <c r="E100" s="62"/>
      <c r="F100" s="62">
        <f t="shared" si="2"/>
        <v>30309</v>
      </c>
      <c r="G100" s="62"/>
      <c r="H100" s="62"/>
      <c r="I100" s="62">
        <f>30217+92</f>
        <v>30309</v>
      </c>
      <c r="J100" s="62"/>
      <c r="K100" s="62"/>
      <c r="L100" s="62">
        <f t="shared" si="3"/>
        <v>0</v>
      </c>
      <c r="M100" s="62"/>
      <c r="N100" s="62">
        <v>0</v>
      </c>
      <c r="O100" s="59"/>
    </row>
    <row r="101" spans="1:15" ht="10.5" customHeight="1" x14ac:dyDescent="0.2">
      <c r="A101" s="56">
        <v>89</v>
      </c>
      <c r="B101" s="65" t="s">
        <v>343</v>
      </c>
      <c r="C101" s="62">
        <f>27360-18</f>
        <v>27342</v>
      </c>
      <c r="D101" s="62"/>
      <c r="E101" s="62"/>
      <c r="F101" s="62">
        <f t="shared" si="2"/>
        <v>97065</v>
      </c>
      <c r="G101" s="62"/>
      <c r="H101" s="62"/>
      <c r="I101" s="62"/>
      <c r="J101" s="62"/>
      <c r="K101" s="62"/>
      <c r="L101" s="62">
        <f t="shared" si="3"/>
        <v>97065</v>
      </c>
      <c r="M101" s="62">
        <f>23662-34</f>
        <v>23628</v>
      </c>
      <c r="N101" s="62">
        <v>73437</v>
      </c>
      <c r="O101" s="59"/>
    </row>
    <row r="102" spans="1:15" ht="10.5" customHeight="1" x14ac:dyDescent="0.2">
      <c r="A102" s="56">
        <v>90</v>
      </c>
      <c r="B102" s="65" t="s">
        <v>171</v>
      </c>
      <c r="C102" s="62">
        <f>15309-19</f>
        <v>15290</v>
      </c>
      <c r="D102" s="62"/>
      <c r="E102" s="62"/>
      <c r="F102" s="62">
        <f t="shared" si="2"/>
        <v>52516</v>
      </c>
      <c r="G102" s="62"/>
      <c r="H102" s="62"/>
      <c r="I102" s="62"/>
      <c r="J102" s="62"/>
      <c r="K102" s="62"/>
      <c r="L102" s="62">
        <f t="shared" si="3"/>
        <v>52516</v>
      </c>
      <c r="M102" s="62">
        <f>14136-325</f>
        <v>13811</v>
      </c>
      <c r="N102" s="62">
        <v>38705</v>
      </c>
      <c r="O102" s="59"/>
    </row>
    <row r="103" spans="1:15" ht="10.5" customHeight="1" x14ac:dyDescent="0.2">
      <c r="A103" s="56">
        <v>91</v>
      </c>
      <c r="B103" s="65" t="s">
        <v>344</v>
      </c>
      <c r="C103" s="62">
        <v>14721</v>
      </c>
      <c r="D103" s="62"/>
      <c r="E103" s="62"/>
      <c r="F103" s="62">
        <f t="shared" si="2"/>
        <v>64927</v>
      </c>
      <c r="G103" s="62">
        <f>4774+500</f>
        <v>5274</v>
      </c>
      <c r="H103" s="62"/>
      <c r="I103" s="62"/>
      <c r="J103" s="62"/>
      <c r="K103" s="62"/>
      <c r="L103" s="62">
        <f t="shared" si="3"/>
        <v>59653</v>
      </c>
      <c r="M103" s="62">
        <f>16945+10</f>
        <v>16955</v>
      </c>
      <c r="N103" s="62">
        <v>42698</v>
      </c>
      <c r="O103" s="59"/>
    </row>
    <row r="104" spans="1:15" ht="10.5" customHeight="1" x14ac:dyDescent="0.2">
      <c r="A104" s="56">
        <v>92</v>
      </c>
      <c r="B104" s="65" t="s">
        <v>172</v>
      </c>
      <c r="C104" s="62">
        <f>11459-4</f>
        <v>11455</v>
      </c>
      <c r="D104" s="62"/>
      <c r="E104" s="62"/>
      <c r="F104" s="62">
        <f t="shared" si="2"/>
        <v>39853</v>
      </c>
      <c r="G104" s="62"/>
      <c r="H104" s="62"/>
      <c r="I104" s="62"/>
      <c r="J104" s="62"/>
      <c r="K104" s="62"/>
      <c r="L104" s="62">
        <f t="shared" si="3"/>
        <v>39853</v>
      </c>
      <c r="M104" s="62">
        <f>10507-9</f>
        <v>10498</v>
      </c>
      <c r="N104" s="62">
        <v>29355</v>
      </c>
      <c r="O104" s="59"/>
    </row>
    <row r="105" spans="1:15" ht="10.5" customHeight="1" x14ac:dyDescent="0.2">
      <c r="A105" s="56">
        <v>93</v>
      </c>
      <c r="B105" s="65" t="s">
        <v>272</v>
      </c>
      <c r="C105" s="62">
        <f>28200-8</f>
        <v>28192</v>
      </c>
      <c r="D105" s="62"/>
      <c r="E105" s="62"/>
      <c r="F105" s="62">
        <f t="shared" si="2"/>
        <v>117818</v>
      </c>
      <c r="G105" s="62">
        <v>4675</v>
      </c>
      <c r="H105" s="62"/>
      <c r="I105" s="62"/>
      <c r="J105" s="62"/>
      <c r="K105" s="62"/>
      <c r="L105" s="62">
        <f t="shared" si="3"/>
        <v>113143</v>
      </c>
      <c r="M105" s="62">
        <f>28679-11</f>
        <v>28668</v>
      </c>
      <c r="N105" s="62">
        <v>84475</v>
      </c>
      <c r="O105" s="59"/>
    </row>
    <row r="106" spans="1:15" ht="10.5" customHeight="1" x14ac:dyDescent="0.2">
      <c r="A106" s="56">
        <v>94</v>
      </c>
      <c r="B106" s="65" t="s">
        <v>345</v>
      </c>
      <c r="C106" s="62">
        <f>15028</f>
        <v>15028</v>
      </c>
      <c r="D106" s="62"/>
      <c r="E106" s="62"/>
      <c r="F106" s="62">
        <f t="shared" si="2"/>
        <v>60316</v>
      </c>
      <c r="G106" s="62"/>
      <c r="H106" s="62"/>
      <c r="I106" s="62"/>
      <c r="J106" s="62"/>
      <c r="K106" s="62"/>
      <c r="L106" s="62">
        <f t="shared" si="3"/>
        <v>60316</v>
      </c>
      <c r="M106" s="62">
        <f>20396+300-288</f>
        <v>20408</v>
      </c>
      <c r="N106" s="62">
        <v>39908</v>
      </c>
      <c r="O106" s="59"/>
    </row>
    <row r="107" spans="1:15" ht="10.5" customHeight="1" x14ac:dyDescent="0.2">
      <c r="A107" s="56">
        <v>95</v>
      </c>
      <c r="B107" s="65" t="s">
        <v>173</v>
      </c>
      <c r="C107" s="62">
        <f>16995+33</f>
        <v>17028</v>
      </c>
      <c r="D107" s="62"/>
      <c r="E107" s="62"/>
      <c r="F107" s="62">
        <f t="shared" si="2"/>
        <v>59840</v>
      </c>
      <c r="G107" s="62"/>
      <c r="H107" s="62"/>
      <c r="I107" s="62"/>
      <c r="J107" s="62"/>
      <c r="K107" s="62"/>
      <c r="L107" s="62">
        <f t="shared" si="3"/>
        <v>59840</v>
      </c>
      <c r="M107" s="62">
        <f>17192+10</f>
        <v>17202</v>
      </c>
      <c r="N107" s="62">
        <v>42638</v>
      </c>
      <c r="O107" s="59"/>
    </row>
    <row r="108" spans="1:15" ht="10.5" customHeight="1" x14ac:dyDescent="0.2">
      <c r="A108" s="56">
        <v>96</v>
      </c>
      <c r="B108" s="65" t="s">
        <v>346</v>
      </c>
      <c r="C108" s="62">
        <v>10374</v>
      </c>
      <c r="D108" s="62"/>
      <c r="E108" s="62"/>
      <c r="F108" s="62">
        <f t="shared" si="2"/>
        <v>43004</v>
      </c>
      <c r="G108" s="62">
        <v>7016</v>
      </c>
      <c r="H108" s="62"/>
      <c r="I108" s="62"/>
      <c r="J108" s="62"/>
      <c r="K108" s="62"/>
      <c r="L108" s="62">
        <f t="shared" si="3"/>
        <v>35988</v>
      </c>
      <c r="M108" s="62">
        <f>11205+10</f>
        <v>11215</v>
      </c>
      <c r="N108" s="62">
        <v>24773</v>
      </c>
      <c r="O108" s="59"/>
    </row>
    <row r="109" spans="1:15" ht="10.5" customHeight="1" x14ac:dyDescent="0.2">
      <c r="A109" s="56">
        <v>97</v>
      </c>
      <c r="B109" s="65" t="s">
        <v>347</v>
      </c>
      <c r="C109" s="62">
        <v>28528</v>
      </c>
      <c r="D109" s="62"/>
      <c r="E109" s="62"/>
      <c r="F109" s="62">
        <f t="shared" si="2"/>
        <v>125171</v>
      </c>
      <c r="G109" s="62">
        <f>5815+1200</f>
        <v>7015</v>
      </c>
      <c r="H109" s="62"/>
      <c r="I109" s="62"/>
      <c r="J109" s="62"/>
      <c r="K109" s="62"/>
      <c r="L109" s="62">
        <f t="shared" si="3"/>
        <v>118156</v>
      </c>
      <c r="M109" s="62">
        <f>28322+300+53</f>
        <v>28675</v>
      </c>
      <c r="N109" s="62">
        <v>89481</v>
      </c>
      <c r="O109" s="59"/>
    </row>
    <row r="110" spans="1:15" ht="10.5" customHeight="1" x14ac:dyDescent="0.2">
      <c r="A110" s="56">
        <v>98</v>
      </c>
      <c r="B110" s="65" t="s">
        <v>348</v>
      </c>
      <c r="C110" s="62">
        <f>12983+24</f>
        <v>13007</v>
      </c>
      <c r="D110" s="62"/>
      <c r="E110" s="62"/>
      <c r="F110" s="62">
        <f t="shared" si="2"/>
        <v>45167</v>
      </c>
      <c r="G110" s="62"/>
      <c r="H110" s="62"/>
      <c r="I110" s="62"/>
      <c r="J110" s="62"/>
      <c r="K110" s="62"/>
      <c r="L110" s="62">
        <f t="shared" si="3"/>
        <v>45167</v>
      </c>
      <c r="M110" s="62">
        <f>12727+20</f>
        <v>12747</v>
      </c>
      <c r="N110" s="62">
        <v>32420</v>
      </c>
      <c r="O110" s="59"/>
    </row>
    <row r="111" spans="1:15" ht="10.5" customHeight="1" x14ac:dyDescent="0.2">
      <c r="A111" s="56">
        <v>99</v>
      </c>
      <c r="B111" s="65" t="s">
        <v>349</v>
      </c>
      <c r="C111" s="62">
        <f>12553</f>
        <v>12553</v>
      </c>
      <c r="D111" s="62"/>
      <c r="E111" s="62"/>
      <c r="F111" s="62">
        <f t="shared" si="2"/>
        <v>45516</v>
      </c>
      <c r="G111" s="62"/>
      <c r="H111" s="62"/>
      <c r="I111" s="62"/>
      <c r="J111" s="62"/>
      <c r="K111" s="62"/>
      <c r="L111" s="62">
        <f t="shared" si="3"/>
        <v>45516</v>
      </c>
      <c r="M111" s="62">
        <f>15481+371+1350+22</f>
        <v>17224</v>
      </c>
      <c r="N111" s="62">
        <v>28292</v>
      </c>
      <c r="O111" s="59"/>
    </row>
    <row r="112" spans="1:15" ht="12.75" customHeight="1" x14ac:dyDescent="0.2">
      <c r="A112" s="56">
        <v>100</v>
      </c>
      <c r="B112" s="65" t="s">
        <v>350</v>
      </c>
      <c r="C112" s="62">
        <v>0</v>
      </c>
      <c r="D112" s="62"/>
      <c r="E112" s="62"/>
      <c r="F112" s="62">
        <f t="shared" si="2"/>
        <v>16472</v>
      </c>
      <c r="G112" s="62"/>
      <c r="H112" s="62"/>
      <c r="I112" s="62">
        <f>16487-15</f>
        <v>16472</v>
      </c>
      <c r="J112" s="62"/>
      <c r="K112" s="62"/>
      <c r="L112" s="62">
        <f t="shared" si="3"/>
        <v>0</v>
      </c>
      <c r="M112" s="62"/>
      <c r="N112" s="62">
        <v>0</v>
      </c>
      <c r="O112" s="59"/>
    </row>
    <row r="113" spans="1:15" ht="14.25" customHeight="1" x14ac:dyDescent="0.2">
      <c r="A113" s="56">
        <v>101</v>
      </c>
      <c r="B113" s="65" t="s">
        <v>351</v>
      </c>
      <c r="C113" s="62">
        <f>23001-11</f>
        <v>22990</v>
      </c>
      <c r="D113" s="62"/>
      <c r="E113" s="62"/>
      <c r="F113" s="62">
        <f t="shared" si="2"/>
        <v>19217</v>
      </c>
      <c r="G113" s="62"/>
      <c r="H113" s="62"/>
      <c r="I113" s="62">
        <f>19227-10</f>
        <v>19217</v>
      </c>
      <c r="J113" s="62"/>
      <c r="K113" s="62"/>
      <c r="L113" s="62">
        <f t="shared" si="3"/>
        <v>0</v>
      </c>
      <c r="M113" s="62"/>
      <c r="N113" s="62">
        <v>0</v>
      </c>
      <c r="O113" s="59"/>
    </row>
    <row r="114" spans="1:15" ht="13.5" customHeight="1" x14ac:dyDescent="0.2">
      <c r="A114" s="56">
        <v>102</v>
      </c>
      <c r="B114" s="65" t="s">
        <v>352</v>
      </c>
      <c r="C114" s="62">
        <v>0</v>
      </c>
      <c r="D114" s="62"/>
      <c r="E114" s="62"/>
      <c r="F114" s="62">
        <f t="shared" si="2"/>
        <v>22809</v>
      </c>
      <c r="G114" s="62"/>
      <c r="H114" s="62"/>
      <c r="I114" s="62">
        <f>22812-3</f>
        <v>22809</v>
      </c>
      <c r="J114" s="62"/>
      <c r="K114" s="62"/>
      <c r="L114" s="62">
        <f t="shared" si="3"/>
        <v>0</v>
      </c>
      <c r="M114" s="62"/>
      <c r="N114" s="62">
        <v>0</v>
      </c>
      <c r="O114" s="59"/>
    </row>
    <row r="115" spans="1:15" ht="15" customHeight="1" x14ac:dyDescent="0.2">
      <c r="A115" s="56">
        <v>103</v>
      </c>
      <c r="B115" s="65" t="s">
        <v>353</v>
      </c>
      <c r="C115" s="62">
        <v>0</v>
      </c>
      <c r="D115" s="62"/>
      <c r="E115" s="62"/>
      <c r="F115" s="62">
        <f t="shared" si="2"/>
        <v>18547</v>
      </c>
      <c r="G115" s="62"/>
      <c r="H115" s="62"/>
      <c r="I115" s="62">
        <f>18511+36</f>
        <v>18547</v>
      </c>
      <c r="J115" s="62"/>
      <c r="K115" s="62"/>
      <c r="L115" s="62">
        <f t="shared" si="3"/>
        <v>0</v>
      </c>
      <c r="M115" s="62"/>
      <c r="N115" s="62">
        <v>0</v>
      </c>
      <c r="O115" s="59"/>
    </row>
    <row r="116" spans="1:15" ht="15.75" customHeight="1" x14ac:dyDescent="0.2">
      <c r="A116" s="56">
        <v>104</v>
      </c>
      <c r="B116" s="65" t="s">
        <v>354</v>
      </c>
      <c r="C116" s="62">
        <v>0</v>
      </c>
      <c r="D116" s="62"/>
      <c r="E116" s="62"/>
      <c r="F116" s="62">
        <f t="shared" si="2"/>
        <v>27949</v>
      </c>
      <c r="G116" s="62"/>
      <c r="H116" s="62"/>
      <c r="I116" s="62">
        <f>27899+50</f>
        <v>27949</v>
      </c>
      <c r="J116" s="62"/>
      <c r="K116" s="62"/>
      <c r="L116" s="62">
        <f t="shared" si="3"/>
        <v>0</v>
      </c>
      <c r="M116" s="62"/>
      <c r="N116" s="62">
        <v>0</v>
      </c>
      <c r="O116" s="59"/>
    </row>
    <row r="117" spans="1:15" ht="15.75" customHeight="1" x14ac:dyDescent="0.2">
      <c r="A117" s="56">
        <v>105</v>
      </c>
      <c r="B117" s="65" t="s">
        <v>355</v>
      </c>
      <c r="C117" s="62">
        <v>0</v>
      </c>
      <c r="D117" s="62"/>
      <c r="E117" s="62"/>
      <c r="F117" s="62">
        <f t="shared" si="2"/>
        <v>16867</v>
      </c>
      <c r="G117" s="62"/>
      <c r="H117" s="62"/>
      <c r="I117" s="62">
        <v>16867</v>
      </c>
      <c r="J117" s="62"/>
      <c r="K117" s="62"/>
      <c r="L117" s="62">
        <f t="shared" si="3"/>
        <v>0</v>
      </c>
      <c r="M117" s="62"/>
      <c r="N117" s="62">
        <v>0</v>
      </c>
      <c r="O117" s="59"/>
    </row>
    <row r="118" spans="1:15" ht="13.5" customHeight="1" x14ac:dyDescent="0.2">
      <c r="A118" s="56">
        <v>106</v>
      </c>
      <c r="B118" s="65" t="s">
        <v>356</v>
      </c>
      <c r="C118" s="62">
        <v>0</v>
      </c>
      <c r="D118" s="62"/>
      <c r="E118" s="62"/>
      <c r="F118" s="62">
        <f t="shared" si="2"/>
        <v>14642</v>
      </c>
      <c r="G118" s="62"/>
      <c r="H118" s="62"/>
      <c r="I118" s="62">
        <f>14605+37</f>
        <v>14642</v>
      </c>
      <c r="J118" s="62"/>
      <c r="K118" s="62"/>
      <c r="L118" s="62">
        <f t="shared" si="3"/>
        <v>0</v>
      </c>
      <c r="M118" s="62"/>
      <c r="N118" s="62">
        <v>0</v>
      </c>
      <c r="O118" s="59"/>
    </row>
    <row r="119" spans="1:15" ht="10.5" customHeight="1" x14ac:dyDescent="0.2">
      <c r="A119" s="56">
        <v>107</v>
      </c>
      <c r="B119" s="65" t="s">
        <v>180</v>
      </c>
      <c r="C119" s="62">
        <f>38543-60</f>
        <v>38483</v>
      </c>
      <c r="D119" s="62">
        <f>9233+12</f>
        <v>9245</v>
      </c>
      <c r="E119" s="62"/>
      <c r="F119" s="62">
        <f t="shared" si="2"/>
        <v>112745</v>
      </c>
      <c r="G119" s="62"/>
      <c r="H119" s="62"/>
      <c r="I119" s="62"/>
      <c r="J119" s="62"/>
      <c r="K119" s="62">
        <f>1361+4</f>
        <v>1365</v>
      </c>
      <c r="L119" s="62">
        <f t="shared" si="3"/>
        <v>111380</v>
      </c>
      <c r="M119" s="62">
        <f>25651+250+56</f>
        <v>25957</v>
      </c>
      <c r="N119" s="62">
        <v>85423</v>
      </c>
      <c r="O119" s="59"/>
    </row>
    <row r="120" spans="1:15" ht="10.5" customHeight="1" x14ac:dyDescent="0.2">
      <c r="A120" s="56">
        <v>108</v>
      </c>
      <c r="B120" s="65" t="s">
        <v>357</v>
      </c>
      <c r="C120" s="62">
        <f>41087+103</f>
        <v>41190</v>
      </c>
      <c r="D120" s="62">
        <f>24625+103+51</f>
        <v>24779</v>
      </c>
      <c r="E120" s="62"/>
      <c r="F120" s="62">
        <f t="shared" si="2"/>
        <v>73881</v>
      </c>
      <c r="G120" s="62"/>
      <c r="H120" s="62"/>
      <c r="I120" s="62"/>
      <c r="J120" s="62"/>
      <c r="K120" s="62">
        <f>3629+1498-11</f>
        <v>5116</v>
      </c>
      <c r="L120" s="62">
        <f t="shared" si="3"/>
        <v>68765</v>
      </c>
      <c r="M120" s="62">
        <f>26101-1498-844</f>
        <v>23759</v>
      </c>
      <c r="N120" s="62">
        <v>45006</v>
      </c>
      <c r="O120" s="59"/>
    </row>
    <row r="121" spans="1:15" ht="10.5" customHeight="1" x14ac:dyDescent="0.2">
      <c r="A121" s="56">
        <v>109</v>
      </c>
      <c r="B121" s="65" t="s">
        <v>186</v>
      </c>
      <c r="C121" s="62">
        <f>14481+594</f>
        <v>15075</v>
      </c>
      <c r="D121" s="62"/>
      <c r="E121" s="62"/>
      <c r="F121" s="62">
        <f t="shared" si="2"/>
        <v>64328</v>
      </c>
      <c r="G121" s="62"/>
      <c r="H121" s="62"/>
      <c r="I121" s="62"/>
      <c r="J121" s="62"/>
      <c r="K121" s="62"/>
      <c r="L121" s="62">
        <f t="shared" si="3"/>
        <v>64328</v>
      </c>
      <c r="M121" s="62">
        <f>12912+454</f>
        <v>13366</v>
      </c>
      <c r="N121" s="62">
        <v>50962</v>
      </c>
      <c r="O121" s="59"/>
    </row>
    <row r="122" spans="1:15" ht="10.5" customHeight="1" x14ac:dyDescent="0.2">
      <c r="A122" s="56">
        <v>110</v>
      </c>
      <c r="B122" s="65" t="s">
        <v>358</v>
      </c>
      <c r="C122" s="62">
        <f>8209+21</f>
        <v>8230</v>
      </c>
      <c r="D122" s="62"/>
      <c r="E122" s="62"/>
      <c r="F122" s="62">
        <f t="shared" si="2"/>
        <v>37281</v>
      </c>
      <c r="G122" s="62"/>
      <c r="H122" s="62"/>
      <c r="I122" s="62"/>
      <c r="J122" s="62"/>
      <c r="K122" s="62"/>
      <c r="L122" s="62">
        <f t="shared" si="3"/>
        <v>37281</v>
      </c>
      <c r="M122" s="62">
        <f>11096+23</f>
        <v>11119</v>
      </c>
      <c r="N122" s="62">
        <v>26162</v>
      </c>
      <c r="O122" s="59"/>
    </row>
    <row r="123" spans="1:15" ht="10.5" customHeight="1" x14ac:dyDescent="0.2">
      <c r="A123" s="56">
        <v>111</v>
      </c>
      <c r="B123" s="65" t="s">
        <v>174</v>
      </c>
      <c r="C123" s="62">
        <f>43627</f>
        <v>43627</v>
      </c>
      <c r="D123" s="62">
        <f>26209+86</f>
        <v>26295</v>
      </c>
      <c r="E123" s="62">
        <f>13682+3</f>
        <v>13685</v>
      </c>
      <c r="F123" s="62">
        <f t="shared" si="2"/>
        <v>16985</v>
      </c>
      <c r="G123" s="62"/>
      <c r="H123" s="62"/>
      <c r="I123" s="62"/>
      <c r="J123" s="62"/>
      <c r="K123" s="62">
        <f>3862+6</f>
        <v>3868</v>
      </c>
      <c r="L123" s="62">
        <f t="shared" si="3"/>
        <v>13117</v>
      </c>
      <c r="M123" s="62">
        <f>3059+1350-1350+5</f>
        <v>3064</v>
      </c>
      <c r="N123" s="62">
        <v>10053</v>
      </c>
      <c r="O123" s="59"/>
    </row>
    <row r="124" spans="1:15" ht="10.5" customHeight="1" x14ac:dyDescent="0.2">
      <c r="A124" s="56">
        <v>112</v>
      </c>
      <c r="B124" s="65" t="s">
        <v>359</v>
      </c>
      <c r="C124" s="62">
        <v>6990</v>
      </c>
      <c r="D124" s="62"/>
      <c r="E124" s="62"/>
      <c r="F124" s="62">
        <f t="shared" si="2"/>
        <v>31988</v>
      </c>
      <c r="G124" s="62"/>
      <c r="H124" s="62"/>
      <c r="I124" s="62"/>
      <c r="J124" s="62"/>
      <c r="K124" s="62"/>
      <c r="L124" s="62">
        <f t="shared" si="3"/>
        <v>31988</v>
      </c>
      <c r="M124" s="62">
        <f>9892+225+41</f>
        <v>10158</v>
      </c>
      <c r="N124" s="62">
        <v>21830</v>
      </c>
      <c r="O124" s="59"/>
    </row>
    <row r="125" spans="1:15" ht="10.5" customHeight="1" x14ac:dyDescent="0.2">
      <c r="A125" s="56">
        <v>113</v>
      </c>
      <c r="B125" s="65" t="s">
        <v>181</v>
      </c>
      <c r="C125" s="62">
        <f>42904+11+720+99</f>
        <v>43734</v>
      </c>
      <c r="D125" s="62"/>
      <c r="E125" s="62"/>
      <c r="F125" s="62">
        <f t="shared" si="2"/>
        <v>189610.9762896508</v>
      </c>
      <c r="G125" s="62">
        <f>5935-2968</f>
        <v>2967</v>
      </c>
      <c r="H125" s="62">
        <v>2968</v>
      </c>
      <c r="I125" s="62"/>
      <c r="J125" s="62"/>
      <c r="K125" s="62"/>
      <c r="L125" s="62">
        <f t="shared" si="3"/>
        <v>183675.9762896508</v>
      </c>
      <c r="M125" s="62">
        <f>58793.9762896508-183</f>
        <v>58610.976289650796</v>
      </c>
      <c r="N125" s="62">
        <v>125065</v>
      </c>
      <c r="O125" s="59"/>
    </row>
    <row r="126" spans="1:15" ht="10.5" customHeight="1" x14ac:dyDescent="0.2">
      <c r="A126" s="56">
        <v>114</v>
      </c>
      <c r="B126" s="65" t="s">
        <v>175</v>
      </c>
      <c r="C126" s="62">
        <f>28184+800+345</f>
        <v>29329</v>
      </c>
      <c r="D126" s="62"/>
      <c r="E126" s="62"/>
      <c r="F126" s="62">
        <f t="shared" si="2"/>
        <v>53479</v>
      </c>
      <c r="G126" s="62"/>
      <c r="H126" s="62"/>
      <c r="I126" s="62"/>
      <c r="J126" s="62"/>
      <c r="K126" s="62"/>
      <c r="L126" s="62">
        <f t="shared" si="3"/>
        <v>53479</v>
      </c>
      <c r="M126" s="62">
        <f>11225+28</f>
        <v>11253</v>
      </c>
      <c r="N126" s="62">
        <v>42226</v>
      </c>
      <c r="O126" s="59"/>
    </row>
    <row r="127" spans="1:15" ht="10.5" customHeight="1" x14ac:dyDescent="0.2">
      <c r="A127" s="56">
        <v>115</v>
      </c>
      <c r="B127" s="65" t="s">
        <v>21</v>
      </c>
      <c r="C127" s="62">
        <v>16114</v>
      </c>
      <c r="D127" s="62"/>
      <c r="E127" s="62"/>
      <c r="F127" s="62">
        <f t="shared" si="2"/>
        <v>72118</v>
      </c>
      <c r="G127" s="62"/>
      <c r="H127" s="62"/>
      <c r="I127" s="62"/>
      <c r="J127" s="62"/>
      <c r="K127" s="62"/>
      <c r="L127" s="62">
        <f t="shared" si="3"/>
        <v>72118</v>
      </c>
      <c r="M127" s="62">
        <f>18708+30</f>
        <v>18738</v>
      </c>
      <c r="N127" s="62">
        <v>53380</v>
      </c>
      <c r="O127" s="59"/>
    </row>
    <row r="128" spans="1:15" ht="10.5" customHeight="1" x14ac:dyDescent="0.2">
      <c r="A128" s="56">
        <v>116</v>
      </c>
      <c r="B128" s="65" t="s">
        <v>276</v>
      </c>
      <c r="C128" s="62">
        <v>0</v>
      </c>
      <c r="D128" s="62"/>
      <c r="E128" s="62"/>
      <c r="F128" s="62">
        <f t="shared" si="2"/>
        <v>34142</v>
      </c>
      <c r="G128" s="62"/>
      <c r="H128" s="62"/>
      <c r="I128" s="62">
        <f>34164-22</f>
        <v>34142</v>
      </c>
      <c r="J128" s="62"/>
      <c r="K128" s="62"/>
      <c r="L128" s="62">
        <f t="shared" si="3"/>
        <v>0</v>
      </c>
      <c r="M128" s="62"/>
      <c r="N128" s="62">
        <v>0</v>
      </c>
      <c r="O128" s="59"/>
    </row>
    <row r="129" spans="1:15" ht="10.5" customHeight="1" x14ac:dyDescent="0.2">
      <c r="A129" s="219">
        <v>117</v>
      </c>
      <c r="B129" s="65" t="s">
        <v>22</v>
      </c>
      <c r="C129" s="62">
        <v>4245</v>
      </c>
      <c r="D129" s="62"/>
      <c r="E129" s="62"/>
      <c r="F129" s="62">
        <f t="shared" si="2"/>
        <v>12593</v>
      </c>
      <c r="G129" s="62"/>
      <c r="H129" s="62"/>
      <c r="I129" s="62"/>
      <c r="J129" s="62"/>
      <c r="K129" s="62"/>
      <c r="L129" s="62">
        <f t="shared" si="3"/>
        <v>12593</v>
      </c>
      <c r="M129" s="62">
        <f>2851-850+3</f>
        <v>2004</v>
      </c>
      <c r="N129" s="62">
        <v>10589</v>
      </c>
      <c r="O129" s="59"/>
    </row>
    <row r="130" spans="1:15" ht="26.25" customHeight="1" x14ac:dyDescent="0.2">
      <c r="A130" s="220"/>
      <c r="B130" s="84" t="s">
        <v>360</v>
      </c>
      <c r="C130" s="85">
        <v>0</v>
      </c>
      <c r="D130" s="85"/>
      <c r="E130" s="85"/>
      <c r="F130" s="62">
        <f t="shared" si="2"/>
        <v>4455</v>
      </c>
      <c r="G130" s="85"/>
      <c r="H130" s="85"/>
      <c r="I130" s="85">
        <f>4470-15</f>
        <v>4455</v>
      </c>
      <c r="J130" s="85"/>
      <c r="K130" s="85"/>
      <c r="L130" s="85">
        <f t="shared" si="3"/>
        <v>0</v>
      </c>
      <c r="M130" s="85"/>
      <c r="N130" s="85">
        <v>0</v>
      </c>
      <c r="O130" s="59"/>
    </row>
    <row r="131" spans="1:15" ht="23.25" customHeight="1" x14ac:dyDescent="0.2">
      <c r="A131" s="56">
        <v>118</v>
      </c>
      <c r="B131" s="65" t="s">
        <v>361</v>
      </c>
      <c r="C131" s="62">
        <v>0</v>
      </c>
      <c r="D131" s="62"/>
      <c r="E131" s="62"/>
      <c r="F131" s="62">
        <f t="shared" si="2"/>
        <v>1341</v>
      </c>
      <c r="G131" s="62"/>
      <c r="H131" s="62"/>
      <c r="I131" s="62">
        <v>1341</v>
      </c>
      <c r="J131" s="62"/>
      <c r="K131" s="62"/>
      <c r="L131" s="62">
        <f t="shared" si="3"/>
        <v>0</v>
      </c>
      <c r="M131" s="62"/>
      <c r="N131" s="62">
        <v>0</v>
      </c>
      <c r="O131" s="59"/>
    </row>
    <row r="132" spans="1:15" ht="10.5" customHeight="1" x14ac:dyDescent="0.2">
      <c r="A132" s="56">
        <v>119</v>
      </c>
      <c r="B132" s="64" t="s">
        <v>362</v>
      </c>
      <c r="C132" s="62">
        <v>2365</v>
      </c>
      <c r="D132" s="62"/>
      <c r="E132" s="62"/>
      <c r="F132" s="62">
        <f t="shared" si="2"/>
        <v>8246</v>
      </c>
      <c r="G132" s="62"/>
      <c r="H132" s="62"/>
      <c r="I132" s="62"/>
      <c r="J132" s="62"/>
      <c r="K132" s="62"/>
      <c r="L132" s="62">
        <f t="shared" si="3"/>
        <v>8246</v>
      </c>
      <c r="M132" s="62">
        <f>1807+200+3</f>
        <v>2010</v>
      </c>
      <c r="N132" s="62">
        <v>6236</v>
      </c>
      <c r="O132" s="59"/>
    </row>
    <row r="133" spans="1:15" ht="10.5" customHeight="1" x14ac:dyDescent="0.2">
      <c r="A133" s="56">
        <v>120</v>
      </c>
      <c r="B133" s="61" t="s">
        <v>117</v>
      </c>
      <c r="C133" s="62">
        <v>9927</v>
      </c>
      <c r="D133" s="62"/>
      <c r="E133" s="62"/>
      <c r="F133" s="62">
        <f t="shared" si="2"/>
        <v>30991</v>
      </c>
      <c r="G133" s="62"/>
      <c r="H133" s="62"/>
      <c r="I133" s="62"/>
      <c r="J133" s="62"/>
      <c r="K133" s="62"/>
      <c r="L133" s="62">
        <f t="shared" si="3"/>
        <v>30991</v>
      </c>
      <c r="M133" s="62">
        <f>9323+250+9</f>
        <v>9582</v>
      </c>
      <c r="N133" s="62">
        <v>21409</v>
      </c>
      <c r="O133" s="59"/>
    </row>
    <row r="134" spans="1:15" ht="10.5" customHeight="1" x14ac:dyDescent="0.2">
      <c r="A134" s="56">
        <v>121</v>
      </c>
      <c r="B134" s="64" t="s">
        <v>118</v>
      </c>
      <c r="C134" s="62">
        <f>10074-42</f>
        <v>10032</v>
      </c>
      <c r="D134" s="62"/>
      <c r="E134" s="62"/>
      <c r="F134" s="62">
        <f t="shared" si="2"/>
        <v>31206</v>
      </c>
      <c r="G134" s="62"/>
      <c r="H134" s="62"/>
      <c r="I134" s="62"/>
      <c r="J134" s="62"/>
      <c r="K134" s="62"/>
      <c r="L134" s="62">
        <f t="shared" si="3"/>
        <v>31206</v>
      </c>
      <c r="M134" s="62">
        <f>9284+15</f>
        <v>9299</v>
      </c>
      <c r="N134" s="62">
        <v>21907</v>
      </c>
      <c r="O134" s="59"/>
    </row>
    <row r="135" spans="1:15" ht="11.25" customHeight="1" x14ac:dyDescent="0.2">
      <c r="A135" s="56">
        <v>122</v>
      </c>
      <c r="B135" s="61" t="s">
        <v>30</v>
      </c>
      <c r="C135" s="62">
        <v>28337</v>
      </c>
      <c r="D135" s="62"/>
      <c r="E135" s="62"/>
      <c r="F135" s="62">
        <f t="shared" si="2"/>
        <v>87911</v>
      </c>
      <c r="G135" s="62"/>
      <c r="H135" s="62"/>
      <c r="I135" s="62"/>
      <c r="J135" s="62"/>
      <c r="K135" s="62"/>
      <c r="L135" s="62">
        <f t="shared" si="3"/>
        <v>87911</v>
      </c>
      <c r="M135" s="62">
        <f>21432-129</f>
        <v>21303</v>
      </c>
      <c r="N135" s="62">
        <v>66608</v>
      </c>
      <c r="O135" s="59"/>
    </row>
    <row r="136" spans="1:15" ht="10.5" customHeight="1" x14ac:dyDescent="0.2">
      <c r="A136" s="56">
        <v>123</v>
      </c>
      <c r="B136" s="64" t="s">
        <v>119</v>
      </c>
      <c r="C136" s="62">
        <v>12355</v>
      </c>
      <c r="D136" s="62"/>
      <c r="E136" s="62"/>
      <c r="F136" s="62">
        <f t="shared" si="2"/>
        <v>38242</v>
      </c>
      <c r="G136" s="62"/>
      <c r="H136" s="62"/>
      <c r="I136" s="62"/>
      <c r="J136" s="62"/>
      <c r="K136" s="62"/>
      <c r="L136" s="62">
        <f t="shared" si="3"/>
        <v>38242</v>
      </c>
      <c r="M136" s="62">
        <f>9050-1</f>
        <v>9049</v>
      </c>
      <c r="N136" s="62">
        <v>29193</v>
      </c>
      <c r="O136" s="59"/>
    </row>
    <row r="137" spans="1:15" ht="10.5" customHeight="1" x14ac:dyDescent="0.2">
      <c r="A137" s="56">
        <v>124</v>
      </c>
      <c r="B137" s="64" t="s">
        <v>120</v>
      </c>
      <c r="C137" s="62">
        <v>15121</v>
      </c>
      <c r="D137" s="62"/>
      <c r="E137" s="62"/>
      <c r="F137" s="62">
        <f t="shared" ref="F137:F189" si="4">G137+I137+J137+K137+L137+H137</f>
        <v>47300</v>
      </c>
      <c r="G137" s="62"/>
      <c r="H137" s="62"/>
      <c r="I137" s="62"/>
      <c r="J137" s="62"/>
      <c r="K137" s="62"/>
      <c r="L137" s="62">
        <f t="shared" si="3"/>
        <v>47300</v>
      </c>
      <c r="M137" s="62">
        <f>11207+500+23</f>
        <v>11730</v>
      </c>
      <c r="N137" s="62">
        <v>35570</v>
      </c>
      <c r="O137" s="59"/>
    </row>
    <row r="138" spans="1:15" ht="10.5" customHeight="1" x14ac:dyDescent="0.2">
      <c r="A138" s="56">
        <v>125</v>
      </c>
      <c r="B138" s="61" t="s">
        <v>121</v>
      </c>
      <c r="C138" s="62">
        <v>29340</v>
      </c>
      <c r="D138" s="62"/>
      <c r="E138" s="62"/>
      <c r="F138" s="62">
        <f t="shared" si="4"/>
        <v>91926</v>
      </c>
      <c r="G138" s="62"/>
      <c r="H138" s="62"/>
      <c r="I138" s="62"/>
      <c r="J138" s="62"/>
      <c r="K138" s="62"/>
      <c r="L138" s="62">
        <f t="shared" ref="L138:L190" si="5">M138+N138</f>
        <v>91926</v>
      </c>
      <c r="M138" s="62">
        <f>27838+1000+47</f>
        <v>28885</v>
      </c>
      <c r="N138" s="62">
        <v>63041</v>
      </c>
      <c r="O138" s="59"/>
    </row>
    <row r="139" spans="1:15" ht="10.5" customHeight="1" x14ac:dyDescent="0.2">
      <c r="A139" s="56">
        <v>126</v>
      </c>
      <c r="B139" s="61" t="s">
        <v>122</v>
      </c>
      <c r="C139" s="62">
        <v>25635</v>
      </c>
      <c r="D139" s="62"/>
      <c r="E139" s="62"/>
      <c r="F139" s="62">
        <f t="shared" si="4"/>
        <v>79488</v>
      </c>
      <c r="G139" s="62"/>
      <c r="H139" s="62"/>
      <c r="I139" s="62"/>
      <c r="J139" s="62"/>
      <c r="K139" s="62"/>
      <c r="L139" s="62">
        <f t="shared" si="5"/>
        <v>79488</v>
      </c>
      <c r="M139" s="62">
        <f>16634+138</f>
        <v>16772</v>
      </c>
      <c r="N139" s="62">
        <v>62716</v>
      </c>
      <c r="O139" s="59"/>
    </row>
    <row r="140" spans="1:15" ht="10.5" customHeight="1" x14ac:dyDescent="0.2">
      <c r="A140" s="56">
        <v>127</v>
      </c>
      <c r="B140" s="64" t="s">
        <v>123</v>
      </c>
      <c r="C140" s="62">
        <v>9300</v>
      </c>
      <c r="D140" s="62"/>
      <c r="E140" s="62"/>
      <c r="F140" s="62">
        <f t="shared" si="4"/>
        <v>28760</v>
      </c>
      <c r="G140" s="62"/>
      <c r="H140" s="62"/>
      <c r="I140" s="62"/>
      <c r="J140" s="62"/>
      <c r="K140" s="62"/>
      <c r="L140" s="62">
        <f t="shared" si="5"/>
        <v>28760</v>
      </c>
      <c r="M140" s="62">
        <f>7743+9</f>
        <v>7752</v>
      </c>
      <c r="N140" s="62">
        <v>21008</v>
      </c>
      <c r="O140" s="59"/>
    </row>
    <row r="141" spans="1:15" ht="10.5" customHeight="1" x14ac:dyDescent="0.2">
      <c r="A141" s="56">
        <v>128</v>
      </c>
      <c r="B141" s="61" t="s">
        <v>124</v>
      </c>
      <c r="C141" s="62">
        <v>14613</v>
      </c>
      <c r="D141" s="62"/>
      <c r="E141" s="62"/>
      <c r="F141" s="62">
        <f t="shared" si="4"/>
        <v>45222</v>
      </c>
      <c r="G141" s="62"/>
      <c r="H141" s="62"/>
      <c r="I141" s="62"/>
      <c r="J141" s="62"/>
      <c r="K141" s="62"/>
      <c r="L141" s="62">
        <f t="shared" si="5"/>
        <v>45222</v>
      </c>
      <c r="M141" s="62">
        <f>8594-1</f>
        <v>8593</v>
      </c>
      <c r="N141" s="62">
        <v>36629</v>
      </c>
      <c r="O141" s="59"/>
    </row>
    <row r="142" spans="1:15" ht="10.5" customHeight="1" x14ac:dyDescent="0.2">
      <c r="A142" s="56">
        <v>129</v>
      </c>
      <c r="B142" s="64" t="s">
        <v>125</v>
      </c>
      <c r="C142" s="62">
        <f>13934-4</f>
        <v>13930</v>
      </c>
      <c r="D142" s="62"/>
      <c r="E142" s="62"/>
      <c r="F142" s="62">
        <f t="shared" si="4"/>
        <v>43168</v>
      </c>
      <c r="G142" s="62"/>
      <c r="H142" s="62"/>
      <c r="I142" s="62"/>
      <c r="J142" s="62"/>
      <c r="K142" s="62"/>
      <c r="L142" s="62">
        <f t="shared" si="5"/>
        <v>43168</v>
      </c>
      <c r="M142" s="62">
        <f>12239+24</f>
        <v>12263</v>
      </c>
      <c r="N142" s="62">
        <v>30905</v>
      </c>
      <c r="O142" s="59"/>
    </row>
    <row r="143" spans="1:15" ht="10.5" customHeight="1" x14ac:dyDescent="0.2">
      <c r="A143" s="56">
        <v>130</v>
      </c>
      <c r="B143" s="64" t="s">
        <v>15</v>
      </c>
      <c r="C143" s="62">
        <v>16861</v>
      </c>
      <c r="D143" s="62"/>
      <c r="E143" s="62"/>
      <c r="F143" s="62">
        <f t="shared" si="4"/>
        <v>54782</v>
      </c>
      <c r="G143" s="62">
        <v>2552</v>
      </c>
      <c r="H143" s="62"/>
      <c r="I143" s="62"/>
      <c r="J143" s="62"/>
      <c r="K143" s="62"/>
      <c r="L143" s="62">
        <f t="shared" si="5"/>
        <v>52230</v>
      </c>
      <c r="M143" s="62">
        <f>10249-4</f>
        <v>10245</v>
      </c>
      <c r="N143" s="62">
        <v>41985</v>
      </c>
      <c r="O143" s="59"/>
    </row>
    <row r="144" spans="1:15" ht="10.5" customHeight="1" x14ac:dyDescent="0.2">
      <c r="A144" s="56">
        <v>131</v>
      </c>
      <c r="B144" s="61" t="s">
        <v>126</v>
      </c>
      <c r="C144" s="62">
        <f>10773-298</f>
        <v>10475</v>
      </c>
      <c r="D144" s="62"/>
      <c r="E144" s="62"/>
      <c r="F144" s="62">
        <f t="shared" si="4"/>
        <v>33373</v>
      </c>
      <c r="G144" s="62"/>
      <c r="H144" s="62"/>
      <c r="I144" s="62"/>
      <c r="J144" s="62"/>
      <c r="K144" s="62"/>
      <c r="L144" s="62">
        <f t="shared" si="5"/>
        <v>33373</v>
      </c>
      <c r="M144" s="62">
        <f>8880+17</f>
        <v>8897</v>
      </c>
      <c r="N144" s="62">
        <v>24476</v>
      </c>
      <c r="O144" s="59"/>
    </row>
    <row r="145" spans="1:15" ht="10.5" customHeight="1" x14ac:dyDescent="0.2">
      <c r="A145" s="56">
        <v>132</v>
      </c>
      <c r="B145" s="64" t="s">
        <v>127</v>
      </c>
      <c r="C145" s="62">
        <v>15929</v>
      </c>
      <c r="D145" s="62"/>
      <c r="E145" s="62"/>
      <c r="F145" s="62">
        <f t="shared" si="4"/>
        <v>49292.982871125598</v>
      </c>
      <c r="G145" s="62"/>
      <c r="H145" s="62"/>
      <c r="I145" s="62"/>
      <c r="J145" s="62"/>
      <c r="K145" s="62"/>
      <c r="L145" s="62">
        <f t="shared" si="5"/>
        <v>49292.982871125598</v>
      </c>
      <c r="M145" s="62">
        <f>10295.9828711256+5</f>
        <v>10300.9828711256</v>
      </c>
      <c r="N145" s="62">
        <v>38992</v>
      </c>
      <c r="O145" s="59"/>
    </row>
    <row r="146" spans="1:15" ht="10.5" customHeight="1" x14ac:dyDescent="0.2">
      <c r="A146" s="56">
        <v>133</v>
      </c>
      <c r="B146" s="64" t="s">
        <v>128</v>
      </c>
      <c r="C146" s="62">
        <v>26621</v>
      </c>
      <c r="D146" s="62"/>
      <c r="E146" s="62"/>
      <c r="F146" s="62">
        <f t="shared" si="4"/>
        <v>82422</v>
      </c>
      <c r="G146" s="62"/>
      <c r="H146" s="62"/>
      <c r="I146" s="62"/>
      <c r="J146" s="62"/>
      <c r="K146" s="62"/>
      <c r="L146" s="62">
        <f t="shared" si="5"/>
        <v>82422</v>
      </c>
      <c r="M146" s="62">
        <f>21410+35</f>
        <v>21445</v>
      </c>
      <c r="N146" s="62">
        <v>60977</v>
      </c>
      <c r="O146" s="59"/>
    </row>
    <row r="147" spans="1:15" ht="10.5" customHeight="1" x14ac:dyDescent="0.2">
      <c r="A147" s="56">
        <v>134</v>
      </c>
      <c r="B147" s="64" t="s">
        <v>129</v>
      </c>
      <c r="C147" s="62">
        <f>12725-45</f>
        <v>12680</v>
      </c>
      <c r="D147" s="62"/>
      <c r="E147" s="62"/>
      <c r="F147" s="62">
        <f t="shared" si="4"/>
        <v>39370</v>
      </c>
      <c r="G147" s="62"/>
      <c r="H147" s="62"/>
      <c r="I147" s="62"/>
      <c r="J147" s="62"/>
      <c r="K147" s="62"/>
      <c r="L147" s="62">
        <f t="shared" si="5"/>
        <v>39370</v>
      </c>
      <c r="M147" s="62">
        <f>7856-14</f>
        <v>7842</v>
      </c>
      <c r="N147" s="62">
        <v>31528</v>
      </c>
      <c r="O147" s="59"/>
    </row>
    <row r="148" spans="1:15" ht="15" customHeight="1" x14ac:dyDescent="0.2">
      <c r="A148" s="56">
        <v>135</v>
      </c>
      <c r="B148" s="66" t="s">
        <v>363</v>
      </c>
      <c r="C148" s="62">
        <f>7086+15</f>
        <v>7101</v>
      </c>
      <c r="D148" s="62"/>
      <c r="E148" s="62"/>
      <c r="F148" s="62">
        <f t="shared" si="4"/>
        <v>32177</v>
      </c>
      <c r="G148" s="62"/>
      <c r="H148" s="62"/>
      <c r="I148" s="62"/>
      <c r="J148" s="62"/>
      <c r="K148" s="62"/>
      <c r="L148" s="62">
        <f t="shared" si="5"/>
        <v>32177</v>
      </c>
      <c r="M148" s="62">
        <f>7343+13</f>
        <v>7356</v>
      </c>
      <c r="N148" s="62">
        <v>24821</v>
      </c>
      <c r="O148" s="59"/>
    </row>
    <row r="149" spans="1:15" ht="10.5" customHeight="1" x14ac:dyDescent="0.2">
      <c r="A149" s="56">
        <v>136</v>
      </c>
      <c r="B149" s="86" t="s">
        <v>364</v>
      </c>
      <c r="C149" s="62">
        <v>0</v>
      </c>
      <c r="D149" s="62"/>
      <c r="E149" s="62"/>
      <c r="F149" s="62">
        <f t="shared" si="4"/>
        <v>1003</v>
      </c>
      <c r="G149" s="62"/>
      <c r="H149" s="62"/>
      <c r="I149" s="62"/>
      <c r="J149" s="62">
        <f>240+602+210-49</f>
        <v>1003</v>
      </c>
      <c r="K149" s="62"/>
      <c r="L149" s="62">
        <f t="shared" si="5"/>
        <v>0</v>
      </c>
      <c r="M149" s="62"/>
      <c r="N149" s="62">
        <v>0</v>
      </c>
      <c r="O149" s="59"/>
    </row>
    <row r="150" spans="1:15" ht="10.5" customHeight="1" x14ac:dyDescent="0.2">
      <c r="A150" s="56">
        <v>137</v>
      </c>
      <c r="B150" s="65" t="s">
        <v>365</v>
      </c>
      <c r="C150" s="62">
        <v>0</v>
      </c>
      <c r="D150" s="62"/>
      <c r="E150" s="62"/>
      <c r="F150" s="62">
        <f t="shared" si="4"/>
        <v>0</v>
      </c>
      <c r="G150" s="62"/>
      <c r="H150" s="62"/>
      <c r="I150" s="62">
        <f>56-56</f>
        <v>0</v>
      </c>
      <c r="J150" s="62"/>
      <c r="K150" s="62"/>
      <c r="L150" s="62">
        <f t="shared" si="5"/>
        <v>0</v>
      </c>
      <c r="M150" s="62"/>
      <c r="N150" s="62">
        <v>0</v>
      </c>
      <c r="O150" s="59"/>
    </row>
    <row r="151" spans="1:15" ht="10.5" customHeight="1" x14ac:dyDescent="0.2">
      <c r="A151" s="56">
        <v>138</v>
      </c>
      <c r="B151" s="65" t="s">
        <v>366</v>
      </c>
      <c r="C151" s="62">
        <v>0</v>
      </c>
      <c r="D151" s="62"/>
      <c r="E151" s="62"/>
      <c r="F151" s="62">
        <f t="shared" si="4"/>
        <v>0</v>
      </c>
      <c r="G151" s="62"/>
      <c r="H151" s="62"/>
      <c r="I151" s="62">
        <f>31-31</f>
        <v>0</v>
      </c>
      <c r="J151" s="62"/>
      <c r="K151" s="62"/>
      <c r="L151" s="62">
        <f t="shared" si="5"/>
        <v>0</v>
      </c>
      <c r="M151" s="62"/>
      <c r="N151" s="62">
        <v>0</v>
      </c>
      <c r="O151" s="59"/>
    </row>
    <row r="152" spans="1:15" ht="10.5" customHeight="1" x14ac:dyDescent="0.2">
      <c r="A152" s="56">
        <v>139</v>
      </c>
      <c r="B152" s="64" t="s">
        <v>367</v>
      </c>
      <c r="C152" s="62">
        <f>103-92</f>
        <v>11</v>
      </c>
      <c r="D152" s="62"/>
      <c r="E152" s="62"/>
      <c r="F152" s="62">
        <f t="shared" si="4"/>
        <v>19</v>
      </c>
      <c r="G152" s="62"/>
      <c r="H152" s="62"/>
      <c r="I152" s="62">
        <f>113-94</f>
        <v>19</v>
      </c>
      <c r="J152" s="62"/>
      <c r="K152" s="62"/>
      <c r="L152" s="62">
        <f t="shared" si="5"/>
        <v>0</v>
      </c>
      <c r="M152" s="62"/>
      <c r="N152" s="62">
        <v>0</v>
      </c>
      <c r="O152" s="59"/>
    </row>
    <row r="153" spans="1:15" ht="10.5" customHeight="1" x14ac:dyDescent="0.2">
      <c r="A153" s="56">
        <v>140</v>
      </c>
      <c r="B153" s="64" t="s">
        <v>368</v>
      </c>
      <c r="C153" s="62">
        <f>50-50</f>
        <v>0</v>
      </c>
      <c r="D153" s="62"/>
      <c r="E153" s="62"/>
      <c r="F153" s="62">
        <f t="shared" si="4"/>
        <v>0</v>
      </c>
      <c r="G153" s="62"/>
      <c r="H153" s="62"/>
      <c r="I153" s="62">
        <f>113-113</f>
        <v>0</v>
      </c>
      <c r="J153" s="62"/>
      <c r="K153" s="62"/>
      <c r="L153" s="62">
        <f t="shared" si="5"/>
        <v>0</v>
      </c>
      <c r="M153" s="62"/>
      <c r="N153" s="62">
        <v>0</v>
      </c>
      <c r="O153" s="59"/>
    </row>
    <row r="154" spans="1:15" ht="10.5" customHeight="1" x14ac:dyDescent="0.2">
      <c r="A154" s="56">
        <v>141</v>
      </c>
      <c r="B154" s="61" t="s">
        <v>369</v>
      </c>
      <c r="C154" s="62">
        <v>250</v>
      </c>
      <c r="D154" s="62"/>
      <c r="E154" s="62"/>
      <c r="F154" s="62">
        <f t="shared" si="4"/>
        <v>447</v>
      </c>
      <c r="G154" s="62"/>
      <c r="H154" s="62"/>
      <c r="I154" s="62">
        <v>447</v>
      </c>
      <c r="J154" s="62"/>
      <c r="K154" s="62"/>
      <c r="L154" s="62">
        <f t="shared" si="5"/>
        <v>0</v>
      </c>
      <c r="M154" s="62"/>
      <c r="N154" s="62">
        <v>0</v>
      </c>
      <c r="O154" s="59"/>
    </row>
    <row r="155" spans="1:15" ht="10.5" customHeight="1" x14ac:dyDescent="0.2">
      <c r="A155" s="56">
        <v>142</v>
      </c>
      <c r="B155" s="64" t="s">
        <v>370</v>
      </c>
      <c r="C155" s="62">
        <v>0</v>
      </c>
      <c r="D155" s="62"/>
      <c r="E155" s="62"/>
      <c r="F155" s="62">
        <f t="shared" si="4"/>
        <v>106</v>
      </c>
      <c r="G155" s="62"/>
      <c r="H155" s="62"/>
      <c r="I155" s="62">
        <f>113-7</f>
        <v>106</v>
      </c>
      <c r="J155" s="62"/>
      <c r="K155" s="62"/>
      <c r="L155" s="62">
        <f t="shared" si="5"/>
        <v>0</v>
      </c>
      <c r="M155" s="62"/>
      <c r="N155" s="62">
        <v>0</v>
      </c>
      <c r="O155" s="59"/>
    </row>
    <row r="156" spans="1:15" ht="10.5" customHeight="1" x14ac:dyDescent="0.2">
      <c r="A156" s="56">
        <v>143</v>
      </c>
      <c r="B156" s="64" t="s">
        <v>371</v>
      </c>
      <c r="C156" s="62">
        <v>0</v>
      </c>
      <c r="D156" s="62"/>
      <c r="E156" s="62"/>
      <c r="F156" s="62">
        <f t="shared" si="4"/>
        <v>0</v>
      </c>
      <c r="G156" s="62"/>
      <c r="H156" s="62"/>
      <c r="I156" s="62">
        <f>56-56</f>
        <v>0</v>
      </c>
      <c r="J156" s="62"/>
      <c r="K156" s="62"/>
      <c r="L156" s="62">
        <f t="shared" si="5"/>
        <v>0</v>
      </c>
      <c r="M156" s="62"/>
      <c r="N156" s="62">
        <v>0</v>
      </c>
      <c r="O156" s="59"/>
    </row>
    <row r="157" spans="1:15" ht="10.5" customHeight="1" x14ac:dyDescent="0.2">
      <c r="A157" s="56">
        <v>144</v>
      </c>
      <c r="B157" s="64" t="s">
        <v>372</v>
      </c>
      <c r="C157" s="62">
        <v>0</v>
      </c>
      <c r="D157" s="62"/>
      <c r="E157" s="62"/>
      <c r="F157" s="62">
        <f t="shared" si="4"/>
        <v>42</v>
      </c>
      <c r="G157" s="62"/>
      <c r="H157" s="62"/>
      <c r="I157" s="62">
        <f>56-14</f>
        <v>42</v>
      </c>
      <c r="J157" s="62"/>
      <c r="K157" s="62"/>
      <c r="L157" s="62">
        <f t="shared" si="5"/>
        <v>0</v>
      </c>
      <c r="M157" s="62"/>
      <c r="N157" s="62">
        <v>0</v>
      </c>
      <c r="O157" s="59"/>
    </row>
    <row r="158" spans="1:15" ht="10.5" customHeight="1" x14ac:dyDescent="0.2">
      <c r="A158" s="56">
        <v>145</v>
      </c>
      <c r="B158" s="64" t="s">
        <v>373</v>
      </c>
      <c r="C158" s="62">
        <v>0</v>
      </c>
      <c r="D158" s="62"/>
      <c r="E158" s="62"/>
      <c r="F158" s="62">
        <f t="shared" si="4"/>
        <v>8</v>
      </c>
      <c r="G158" s="62"/>
      <c r="H158" s="62"/>
      <c r="I158" s="62">
        <f>56-48</f>
        <v>8</v>
      </c>
      <c r="J158" s="62"/>
      <c r="K158" s="62"/>
      <c r="L158" s="62">
        <f t="shared" si="5"/>
        <v>0</v>
      </c>
      <c r="M158" s="62"/>
      <c r="N158" s="62">
        <v>0</v>
      </c>
      <c r="O158" s="59"/>
    </row>
    <row r="159" spans="1:15" s="78" customFormat="1" ht="12.75" customHeight="1" x14ac:dyDescent="0.2">
      <c r="A159" s="56">
        <v>146</v>
      </c>
      <c r="B159" s="65" t="s">
        <v>374</v>
      </c>
      <c r="C159" s="62">
        <v>0</v>
      </c>
      <c r="D159" s="62"/>
      <c r="E159" s="62"/>
      <c r="F159" s="62">
        <f t="shared" si="4"/>
        <v>5390</v>
      </c>
      <c r="G159" s="62"/>
      <c r="H159" s="62"/>
      <c r="I159" s="62"/>
      <c r="J159" s="62">
        <f>1332+3624+210+224</f>
        <v>5390</v>
      </c>
      <c r="K159" s="62"/>
      <c r="L159" s="62">
        <f t="shared" si="5"/>
        <v>0</v>
      </c>
      <c r="M159" s="62"/>
      <c r="N159" s="62">
        <v>0</v>
      </c>
      <c r="O159" s="59"/>
    </row>
    <row r="160" spans="1:15" ht="12" customHeight="1" x14ac:dyDescent="0.2">
      <c r="A160" s="56">
        <v>147</v>
      </c>
      <c r="B160" s="64" t="s">
        <v>375</v>
      </c>
      <c r="C160" s="62">
        <f>103-1</f>
        <v>102</v>
      </c>
      <c r="D160" s="62"/>
      <c r="E160" s="62"/>
      <c r="F160" s="62">
        <f t="shared" si="4"/>
        <v>112</v>
      </c>
      <c r="G160" s="62"/>
      <c r="H160" s="62"/>
      <c r="I160" s="62">
        <f>113-1</f>
        <v>112</v>
      </c>
      <c r="J160" s="62"/>
      <c r="K160" s="62"/>
      <c r="L160" s="62">
        <f t="shared" si="5"/>
        <v>0</v>
      </c>
      <c r="M160" s="62"/>
      <c r="N160" s="62">
        <v>0</v>
      </c>
      <c r="O160" s="59"/>
    </row>
    <row r="161" spans="1:15" ht="10.5" customHeight="1" x14ac:dyDescent="0.2">
      <c r="A161" s="56">
        <v>148</v>
      </c>
      <c r="B161" s="64" t="s">
        <v>182</v>
      </c>
      <c r="C161" s="62">
        <v>0</v>
      </c>
      <c r="D161" s="62"/>
      <c r="E161" s="62"/>
      <c r="F161" s="62">
        <f t="shared" si="4"/>
        <v>31</v>
      </c>
      <c r="G161" s="62"/>
      <c r="H161" s="62"/>
      <c r="I161" s="62">
        <f>31</f>
        <v>31</v>
      </c>
      <c r="J161" s="62"/>
      <c r="K161" s="62"/>
      <c r="L161" s="62">
        <f t="shared" si="5"/>
        <v>0</v>
      </c>
      <c r="M161" s="62"/>
      <c r="N161" s="62">
        <v>0</v>
      </c>
      <c r="O161" s="59"/>
    </row>
    <row r="162" spans="1:15" ht="12.75" customHeight="1" x14ac:dyDescent="0.2">
      <c r="A162" s="56">
        <v>149</v>
      </c>
      <c r="B162" s="64" t="s">
        <v>376</v>
      </c>
      <c r="C162" s="62">
        <v>0</v>
      </c>
      <c r="D162" s="62"/>
      <c r="E162" s="62"/>
      <c r="F162" s="62">
        <f t="shared" si="4"/>
        <v>0</v>
      </c>
      <c r="G162" s="62"/>
      <c r="H162" s="62"/>
      <c r="I162" s="62">
        <f>31-31</f>
        <v>0</v>
      </c>
      <c r="J162" s="62"/>
      <c r="K162" s="62"/>
      <c r="L162" s="62">
        <f t="shared" si="5"/>
        <v>0</v>
      </c>
      <c r="M162" s="62"/>
      <c r="N162" s="62">
        <v>0</v>
      </c>
      <c r="O162" s="59"/>
    </row>
    <row r="163" spans="1:15" s="87" customFormat="1" ht="12.75" customHeight="1" x14ac:dyDescent="0.2">
      <c r="A163" s="56">
        <v>150</v>
      </c>
      <c r="B163" s="64" t="s">
        <v>377</v>
      </c>
      <c r="C163" s="62">
        <v>0</v>
      </c>
      <c r="D163" s="62"/>
      <c r="E163" s="62"/>
      <c r="F163" s="62">
        <f t="shared" si="4"/>
        <v>31</v>
      </c>
      <c r="G163" s="62"/>
      <c r="H163" s="62"/>
      <c r="I163" s="62">
        <v>31</v>
      </c>
      <c r="J163" s="62"/>
      <c r="K163" s="62"/>
      <c r="L163" s="62">
        <f t="shared" si="5"/>
        <v>0</v>
      </c>
      <c r="M163" s="62"/>
      <c r="N163" s="62">
        <v>0</v>
      </c>
      <c r="O163" s="59"/>
    </row>
    <row r="164" spans="1:15" x14ac:dyDescent="0.2">
      <c r="A164" s="56">
        <v>151</v>
      </c>
      <c r="B164" s="64" t="s">
        <v>378</v>
      </c>
      <c r="C164" s="62">
        <v>0</v>
      </c>
      <c r="D164" s="62"/>
      <c r="E164" s="62"/>
      <c r="F164" s="62">
        <f t="shared" si="4"/>
        <v>24</v>
      </c>
      <c r="G164" s="62"/>
      <c r="H164" s="62"/>
      <c r="I164" s="62">
        <f>26-2</f>
        <v>24</v>
      </c>
      <c r="J164" s="62"/>
      <c r="K164" s="62"/>
      <c r="L164" s="62">
        <f t="shared" si="5"/>
        <v>0</v>
      </c>
      <c r="M164" s="62"/>
      <c r="N164" s="62">
        <v>0</v>
      </c>
      <c r="O164" s="59"/>
    </row>
    <row r="165" spans="1:15" x14ac:dyDescent="0.2">
      <c r="A165" s="56">
        <v>152</v>
      </c>
      <c r="B165" s="64" t="s">
        <v>132</v>
      </c>
      <c r="C165" s="62">
        <v>25</v>
      </c>
      <c r="D165" s="62"/>
      <c r="E165" s="62"/>
      <c r="F165" s="62">
        <f t="shared" si="4"/>
        <v>458</v>
      </c>
      <c r="G165" s="62"/>
      <c r="H165" s="62"/>
      <c r="I165" s="62">
        <f>459-1</f>
        <v>458</v>
      </c>
      <c r="J165" s="62"/>
      <c r="K165" s="62"/>
      <c r="L165" s="62">
        <f t="shared" si="5"/>
        <v>0</v>
      </c>
      <c r="M165" s="62"/>
      <c r="N165" s="62">
        <v>0</v>
      </c>
      <c r="O165" s="59"/>
    </row>
    <row r="166" spans="1:15" ht="14.25" customHeight="1" x14ac:dyDescent="0.2">
      <c r="A166" s="56">
        <v>153</v>
      </c>
      <c r="B166" s="64" t="s">
        <v>379</v>
      </c>
      <c r="C166" s="62">
        <v>0</v>
      </c>
      <c r="D166" s="62"/>
      <c r="E166" s="62"/>
      <c r="F166" s="62">
        <f t="shared" si="4"/>
        <v>27</v>
      </c>
      <c r="G166" s="62"/>
      <c r="H166" s="62"/>
      <c r="I166" s="62">
        <f>50-23</f>
        <v>27</v>
      </c>
      <c r="J166" s="62"/>
      <c r="K166" s="62"/>
      <c r="L166" s="62">
        <f t="shared" si="5"/>
        <v>0</v>
      </c>
      <c r="M166" s="62"/>
      <c r="N166" s="62">
        <v>0</v>
      </c>
      <c r="O166" s="59"/>
    </row>
    <row r="167" spans="1:15" x14ac:dyDescent="0.2">
      <c r="A167" s="56">
        <v>154</v>
      </c>
      <c r="B167" s="64" t="s">
        <v>380</v>
      </c>
      <c r="C167" s="62">
        <f>103-71-9</f>
        <v>23</v>
      </c>
      <c r="D167" s="62"/>
      <c r="E167" s="62"/>
      <c r="F167" s="62">
        <f t="shared" si="4"/>
        <v>128</v>
      </c>
      <c r="G167" s="62"/>
      <c r="H167" s="62"/>
      <c r="I167" s="62">
        <f>169-41</f>
        <v>128</v>
      </c>
      <c r="J167" s="62"/>
      <c r="K167" s="62"/>
      <c r="L167" s="62">
        <f t="shared" si="5"/>
        <v>0</v>
      </c>
      <c r="M167" s="62"/>
      <c r="N167" s="62">
        <v>0</v>
      </c>
      <c r="O167" s="59"/>
    </row>
    <row r="168" spans="1:15" x14ac:dyDescent="0.2">
      <c r="A168" s="56">
        <v>155</v>
      </c>
      <c r="B168" s="64" t="s">
        <v>381</v>
      </c>
      <c r="C168" s="62">
        <f>103-87-9</f>
        <v>7</v>
      </c>
      <c r="D168" s="62"/>
      <c r="E168" s="62"/>
      <c r="F168" s="62">
        <f t="shared" si="4"/>
        <v>87</v>
      </c>
      <c r="G168" s="62"/>
      <c r="H168" s="62"/>
      <c r="I168" s="62">
        <f>113-26</f>
        <v>87</v>
      </c>
      <c r="J168" s="62"/>
      <c r="K168" s="62"/>
      <c r="L168" s="62">
        <f t="shared" si="5"/>
        <v>0</v>
      </c>
      <c r="M168" s="62"/>
      <c r="N168" s="62">
        <v>0</v>
      </c>
      <c r="O168" s="59"/>
    </row>
    <row r="169" spans="1:15" x14ac:dyDescent="0.2">
      <c r="A169" s="56">
        <v>156</v>
      </c>
      <c r="B169" s="64" t="s">
        <v>382</v>
      </c>
      <c r="C169" s="62">
        <v>0</v>
      </c>
      <c r="D169" s="62"/>
      <c r="E169" s="62"/>
      <c r="F169" s="62">
        <f t="shared" si="4"/>
        <v>853</v>
      </c>
      <c r="G169" s="62"/>
      <c r="H169" s="62"/>
      <c r="I169" s="62"/>
      <c r="J169" s="62">
        <f>120+908-175</f>
        <v>853</v>
      </c>
      <c r="K169" s="62"/>
      <c r="L169" s="62">
        <f t="shared" si="5"/>
        <v>0</v>
      </c>
      <c r="M169" s="62"/>
      <c r="N169" s="62">
        <v>0</v>
      </c>
      <c r="O169" s="59"/>
    </row>
    <row r="170" spans="1:15" x14ac:dyDescent="0.2">
      <c r="A170" s="56">
        <v>157</v>
      </c>
      <c r="B170" s="64" t="s">
        <v>383</v>
      </c>
      <c r="C170" s="62">
        <v>0</v>
      </c>
      <c r="D170" s="62"/>
      <c r="E170" s="62"/>
      <c r="F170" s="62">
        <f t="shared" si="4"/>
        <v>25</v>
      </c>
      <c r="G170" s="62"/>
      <c r="H170" s="62"/>
      <c r="I170" s="62">
        <v>25</v>
      </c>
      <c r="J170" s="62"/>
      <c r="K170" s="62"/>
      <c r="L170" s="62">
        <f t="shared" si="5"/>
        <v>0</v>
      </c>
      <c r="M170" s="62"/>
      <c r="N170" s="62">
        <v>0</v>
      </c>
      <c r="O170" s="59"/>
    </row>
    <row r="171" spans="1:15" x14ac:dyDescent="0.2">
      <c r="A171" s="56">
        <v>158</v>
      </c>
      <c r="B171" s="64" t="s">
        <v>384</v>
      </c>
      <c r="C171" s="62">
        <v>0</v>
      </c>
      <c r="D171" s="62"/>
      <c r="E171" s="62"/>
      <c r="F171" s="62">
        <f t="shared" si="4"/>
        <v>31</v>
      </c>
      <c r="G171" s="62"/>
      <c r="H171" s="62"/>
      <c r="I171" s="62">
        <v>31</v>
      </c>
      <c r="J171" s="62"/>
      <c r="K171" s="62"/>
      <c r="L171" s="62">
        <f t="shared" si="5"/>
        <v>0</v>
      </c>
      <c r="M171" s="62"/>
      <c r="N171" s="62">
        <v>0</v>
      </c>
      <c r="O171" s="59"/>
    </row>
    <row r="172" spans="1:15" x14ac:dyDescent="0.2">
      <c r="A172" s="56">
        <v>159</v>
      </c>
      <c r="B172" s="64" t="s">
        <v>385</v>
      </c>
      <c r="C172" s="62">
        <v>0</v>
      </c>
      <c r="D172" s="62"/>
      <c r="E172" s="62"/>
      <c r="F172" s="62">
        <f t="shared" si="4"/>
        <v>2037</v>
      </c>
      <c r="G172" s="62"/>
      <c r="H172" s="62"/>
      <c r="I172" s="62"/>
      <c r="J172" s="62">
        <f>420+1617</f>
        <v>2037</v>
      </c>
      <c r="K172" s="62"/>
      <c r="L172" s="62">
        <f t="shared" si="5"/>
        <v>0</v>
      </c>
      <c r="M172" s="62"/>
      <c r="N172" s="62">
        <v>0</v>
      </c>
      <c r="O172" s="59"/>
    </row>
    <row r="173" spans="1:15" s="88" customFormat="1" ht="14.25" customHeight="1" x14ac:dyDescent="0.2">
      <c r="A173" s="56">
        <v>160</v>
      </c>
      <c r="B173" s="64" t="s">
        <v>386</v>
      </c>
      <c r="C173" s="62">
        <v>103</v>
      </c>
      <c r="D173" s="62"/>
      <c r="E173" s="62"/>
      <c r="F173" s="62">
        <f t="shared" si="4"/>
        <v>113</v>
      </c>
      <c r="G173" s="62"/>
      <c r="H173" s="62"/>
      <c r="I173" s="62">
        <v>113</v>
      </c>
      <c r="J173" s="62"/>
      <c r="K173" s="62"/>
      <c r="L173" s="62">
        <f t="shared" si="5"/>
        <v>0</v>
      </c>
      <c r="M173" s="62"/>
      <c r="N173" s="62">
        <v>0</v>
      </c>
      <c r="O173" s="59"/>
    </row>
    <row r="174" spans="1:15" s="88" customFormat="1" ht="15.75" customHeight="1" x14ac:dyDescent="0.2">
      <c r="A174" s="56">
        <v>161</v>
      </c>
      <c r="B174" s="64" t="s">
        <v>387</v>
      </c>
      <c r="C174" s="62">
        <v>103</v>
      </c>
      <c r="D174" s="62"/>
      <c r="E174" s="62"/>
      <c r="F174" s="62">
        <f t="shared" si="4"/>
        <v>113</v>
      </c>
      <c r="G174" s="62"/>
      <c r="H174" s="62"/>
      <c r="I174" s="62">
        <v>113</v>
      </c>
      <c r="J174" s="62"/>
      <c r="K174" s="62"/>
      <c r="L174" s="62">
        <f t="shared" si="5"/>
        <v>0</v>
      </c>
      <c r="M174" s="62"/>
      <c r="N174" s="62">
        <v>0</v>
      </c>
      <c r="O174" s="59"/>
    </row>
    <row r="175" spans="1:15" x14ac:dyDescent="0.2">
      <c r="A175" s="56">
        <v>162</v>
      </c>
      <c r="B175" s="64" t="s">
        <v>388</v>
      </c>
      <c r="C175" s="62">
        <f>103-90-4</f>
        <v>9</v>
      </c>
      <c r="D175" s="62"/>
      <c r="E175" s="62"/>
      <c r="F175" s="62">
        <f t="shared" si="4"/>
        <v>96</v>
      </c>
      <c r="G175" s="62"/>
      <c r="H175" s="62"/>
      <c r="I175" s="62">
        <f>113-17</f>
        <v>96</v>
      </c>
      <c r="J175" s="62"/>
      <c r="K175" s="62"/>
      <c r="L175" s="62">
        <f t="shared" si="5"/>
        <v>0</v>
      </c>
      <c r="M175" s="62"/>
      <c r="N175" s="62">
        <v>0</v>
      </c>
      <c r="O175" s="59"/>
    </row>
    <row r="176" spans="1:15" x14ac:dyDescent="0.2">
      <c r="A176" s="56">
        <v>163</v>
      </c>
      <c r="B176" s="64" t="s">
        <v>389</v>
      </c>
      <c r="C176" s="62">
        <f>96-96</f>
        <v>0</v>
      </c>
      <c r="D176" s="62"/>
      <c r="E176" s="62"/>
      <c r="F176" s="62">
        <f t="shared" si="4"/>
        <v>0</v>
      </c>
      <c r="G176" s="62"/>
      <c r="H176" s="62"/>
      <c r="I176" s="62">
        <f>113-113</f>
        <v>0</v>
      </c>
      <c r="J176" s="62"/>
      <c r="K176" s="62"/>
      <c r="L176" s="62">
        <f t="shared" si="5"/>
        <v>0</v>
      </c>
      <c r="M176" s="62"/>
      <c r="N176" s="62">
        <v>0</v>
      </c>
      <c r="O176" s="59"/>
    </row>
    <row r="177" spans="1:15" x14ac:dyDescent="0.2">
      <c r="A177" s="56">
        <v>164</v>
      </c>
      <c r="B177" s="64" t="s">
        <v>390</v>
      </c>
      <c r="C177" s="62">
        <v>0</v>
      </c>
      <c r="D177" s="62"/>
      <c r="E177" s="62"/>
      <c r="F177" s="62">
        <f t="shared" si="4"/>
        <v>0</v>
      </c>
      <c r="G177" s="62"/>
      <c r="H177" s="62"/>
      <c r="I177" s="62">
        <f>113-113</f>
        <v>0</v>
      </c>
      <c r="J177" s="62"/>
      <c r="K177" s="62"/>
      <c r="L177" s="62">
        <f t="shared" si="5"/>
        <v>0</v>
      </c>
      <c r="M177" s="62"/>
      <c r="N177" s="62">
        <v>0</v>
      </c>
      <c r="O177" s="59"/>
    </row>
    <row r="178" spans="1:15" x14ac:dyDescent="0.2">
      <c r="A178" s="56">
        <v>165</v>
      </c>
      <c r="B178" s="64" t="s">
        <v>391</v>
      </c>
      <c r="C178" s="62">
        <f>103-103</f>
        <v>0</v>
      </c>
      <c r="D178" s="62"/>
      <c r="E178" s="62"/>
      <c r="F178" s="62">
        <f t="shared" si="4"/>
        <v>0</v>
      </c>
      <c r="G178" s="62"/>
      <c r="H178" s="62"/>
      <c r="I178" s="62">
        <f>169-169</f>
        <v>0</v>
      </c>
      <c r="J178" s="62"/>
      <c r="K178" s="62"/>
      <c r="L178" s="62">
        <f t="shared" si="5"/>
        <v>0</v>
      </c>
      <c r="M178" s="62"/>
      <c r="N178" s="62">
        <v>0</v>
      </c>
      <c r="O178" s="59"/>
    </row>
    <row r="179" spans="1:15" x14ac:dyDescent="0.2">
      <c r="A179" s="56">
        <v>166</v>
      </c>
      <c r="B179" s="64" t="s">
        <v>34</v>
      </c>
      <c r="C179" s="62">
        <v>0</v>
      </c>
      <c r="D179" s="62"/>
      <c r="E179" s="62"/>
      <c r="F179" s="62">
        <f t="shared" si="4"/>
        <v>467</v>
      </c>
      <c r="G179" s="62"/>
      <c r="H179" s="62"/>
      <c r="I179" s="62"/>
      <c r="J179" s="62">
        <f>457+10</f>
        <v>467</v>
      </c>
      <c r="K179" s="62"/>
      <c r="L179" s="62">
        <f t="shared" si="5"/>
        <v>0</v>
      </c>
      <c r="M179" s="62"/>
      <c r="N179" s="62">
        <v>0</v>
      </c>
      <c r="O179" s="59"/>
    </row>
    <row r="180" spans="1:15" x14ac:dyDescent="0.2">
      <c r="A180" s="56">
        <v>167</v>
      </c>
      <c r="B180" s="64" t="s">
        <v>25</v>
      </c>
      <c r="C180" s="62">
        <f>13584+238+4617+800+400+346-225</f>
        <v>19760</v>
      </c>
      <c r="D180" s="62">
        <f>10854+238+1870+800+346+36</f>
        <v>14144</v>
      </c>
      <c r="E180" s="62"/>
      <c r="F180" s="62">
        <f t="shared" si="4"/>
        <v>1608</v>
      </c>
      <c r="G180" s="62"/>
      <c r="H180" s="62"/>
      <c r="I180" s="62"/>
      <c r="J180" s="62">
        <f>87+12-90</f>
        <v>9</v>
      </c>
      <c r="K180" s="62">
        <v>1599</v>
      </c>
      <c r="L180" s="62">
        <f t="shared" si="5"/>
        <v>0</v>
      </c>
      <c r="M180" s="62"/>
      <c r="N180" s="62">
        <v>0</v>
      </c>
      <c r="O180" s="59"/>
    </row>
    <row r="181" spans="1:15" x14ac:dyDescent="0.2">
      <c r="A181" s="56">
        <v>168</v>
      </c>
      <c r="B181" s="64" t="s">
        <v>137</v>
      </c>
      <c r="C181" s="62">
        <f>12283</f>
        <v>12283</v>
      </c>
      <c r="D181" s="62"/>
      <c r="E181" s="62">
        <f>12283-3</f>
        <v>12280</v>
      </c>
      <c r="F181" s="62">
        <f t="shared" si="4"/>
        <v>23680</v>
      </c>
      <c r="G181" s="62"/>
      <c r="H181" s="62"/>
      <c r="I181" s="62">
        <f>23691-11</f>
        <v>23680</v>
      </c>
      <c r="J181" s="62"/>
      <c r="K181" s="62"/>
      <c r="L181" s="62">
        <f t="shared" si="5"/>
        <v>0</v>
      </c>
      <c r="M181" s="62"/>
      <c r="N181" s="62">
        <v>0</v>
      </c>
      <c r="O181" s="59"/>
    </row>
    <row r="182" spans="1:15" x14ac:dyDescent="0.2">
      <c r="A182" s="56">
        <v>169</v>
      </c>
      <c r="B182" s="64" t="s">
        <v>216</v>
      </c>
      <c r="C182" s="62">
        <v>0</v>
      </c>
      <c r="D182" s="62"/>
      <c r="E182" s="62"/>
      <c r="F182" s="62">
        <f t="shared" si="4"/>
        <v>35574</v>
      </c>
      <c r="G182" s="62"/>
      <c r="H182" s="62"/>
      <c r="I182" s="62">
        <f>35562+12</f>
        <v>35574</v>
      </c>
      <c r="J182" s="62"/>
      <c r="K182" s="62"/>
      <c r="L182" s="62">
        <f t="shared" si="5"/>
        <v>0</v>
      </c>
      <c r="M182" s="62"/>
      <c r="N182" s="62">
        <v>0</v>
      </c>
      <c r="O182" s="59"/>
    </row>
    <row r="183" spans="1:15" x14ac:dyDescent="0.2">
      <c r="A183" s="56">
        <v>170</v>
      </c>
      <c r="B183" s="64" t="s">
        <v>215</v>
      </c>
      <c r="C183" s="62">
        <v>0</v>
      </c>
      <c r="D183" s="62"/>
      <c r="E183" s="62"/>
      <c r="F183" s="62">
        <f t="shared" si="4"/>
        <v>27490</v>
      </c>
      <c r="G183" s="62"/>
      <c r="H183" s="62"/>
      <c r="I183" s="62">
        <f>35453-4000-4000+37</f>
        <v>27490</v>
      </c>
      <c r="J183" s="62"/>
      <c r="K183" s="62"/>
      <c r="L183" s="62">
        <f t="shared" si="5"/>
        <v>0</v>
      </c>
      <c r="M183" s="62"/>
      <c r="N183" s="62">
        <v>0</v>
      </c>
      <c r="O183" s="59"/>
    </row>
    <row r="184" spans="1:15" x14ac:dyDescent="0.2">
      <c r="A184" s="56">
        <v>171</v>
      </c>
      <c r="B184" s="64" t="s">
        <v>28</v>
      </c>
      <c r="C184" s="62">
        <f>30000+1127+345</f>
        <v>31472</v>
      </c>
      <c r="D184" s="62"/>
      <c r="E184" s="62"/>
      <c r="F184" s="62">
        <f t="shared" si="4"/>
        <v>0</v>
      </c>
      <c r="G184" s="62"/>
      <c r="H184" s="62"/>
      <c r="I184" s="62"/>
      <c r="J184" s="62"/>
      <c r="K184" s="62"/>
      <c r="L184" s="62">
        <f t="shared" si="5"/>
        <v>0</v>
      </c>
      <c r="M184" s="62"/>
      <c r="N184" s="62">
        <v>0</v>
      </c>
      <c r="O184" s="59"/>
    </row>
    <row r="185" spans="1:15" x14ac:dyDescent="0.2">
      <c r="A185" s="219">
        <v>172</v>
      </c>
      <c r="B185" s="64" t="s">
        <v>185</v>
      </c>
      <c r="C185" s="62">
        <f>48492-11-13</f>
        <v>48468</v>
      </c>
      <c r="D185" s="62">
        <f>34804-7000-1000-266</f>
        <v>26538</v>
      </c>
      <c r="E185" s="62"/>
      <c r="F185" s="62">
        <f t="shared" si="4"/>
        <v>70045</v>
      </c>
      <c r="G185" s="62"/>
      <c r="H185" s="62"/>
      <c r="I185" s="62"/>
      <c r="J185" s="62"/>
      <c r="K185" s="62">
        <v>5128</v>
      </c>
      <c r="L185" s="62">
        <f t="shared" si="5"/>
        <v>64917</v>
      </c>
      <c r="M185" s="62">
        <f>17714-4</f>
        <v>17710</v>
      </c>
      <c r="N185" s="62">
        <v>47207</v>
      </c>
      <c r="O185" s="59"/>
    </row>
    <row r="186" spans="1:15" s="90" customFormat="1" ht="39.75" customHeight="1" x14ac:dyDescent="0.2">
      <c r="A186" s="220"/>
      <c r="B186" s="89" t="s">
        <v>141</v>
      </c>
      <c r="C186" s="70">
        <v>33814</v>
      </c>
      <c r="D186" s="70"/>
      <c r="E186" s="70"/>
      <c r="F186" s="62">
        <f t="shared" si="4"/>
        <v>119812</v>
      </c>
      <c r="G186" s="70"/>
      <c r="H186" s="70"/>
      <c r="I186" s="70"/>
      <c r="J186" s="70"/>
      <c r="K186" s="70"/>
      <c r="L186" s="70">
        <f t="shared" si="5"/>
        <v>119812</v>
      </c>
      <c r="M186" s="70">
        <f>24314+58</f>
        <v>24372</v>
      </c>
      <c r="N186" s="70">
        <v>95440</v>
      </c>
      <c r="O186" s="59"/>
    </row>
    <row r="187" spans="1:15" x14ac:dyDescent="0.2">
      <c r="A187" s="56">
        <v>173</v>
      </c>
      <c r="B187" s="64" t="s">
        <v>392</v>
      </c>
      <c r="C187" s="62">
        <f>4000-1</f>
        <v>3999</v>
      </c>
      <c r="D187" s="62"/>
      <c r="E187" s="62"/>
      <c r="F187" s="62">
        <f t="shared" si="4"/>
        <v>0</v>
      </c>
      <c r="G187" s="62"/>
      <c r="H187" s="62"/>
      <c r="I187" s="62"/>
      <c r="J187" s="62"/>
      <c r="K187" s="62"/>
      <c r="L187" s="62">
        <f t="shared" si="5"/>
        <v>0</v>
      </c>
      <c r="M187" s="62"/>
      <c r="N187" s="62"/>
      <c r="O187" s="59"/>
    </row>
    <row r="188" spans="1:15" x14ac:dyDescent="0.2">
      <c r="A188" s="56">
        <v>174</v>
      </c>
      <c r="B188" s="64" t="s">
        <v>393</v>
      </c>
      <c r="C188" s="62">
        <v>0</v>
      </c>
      <c r="D188" s="62"/>
      <c r="E188" s="62"/>
      <c r="F188" s="62">
        <f t="shared" si="4"/>
        <v>13408</v>
      </c>
      <c r="G188" s="62"/>
      <c r="H188" s="62"/>
      <c r="I188" s="62">
        <f>13410-2</f>
        <v>13408</v>
      </c>
      <c r="J188" s="62"/>
      <c r="K188" s="62"/>
      <c r="L188" s="62">
        <f t="shared" si="5"/>
        <v>0</v>
      </c>
      <c r="M188" s="62"/>
      <c r="N188" s="62"/>
      <c r="O188" s="59"/>
    </row>
    <row r="189" spans="1:15" x14ac:dyDescent="0.2">
      <c r="A189" s="56">
        <v>175</v>
      </c>
      <c r="B189" s="64" t="s">
        <v>218</v>
      </c>
      <c r="C189" s="62">
        <v>0</v>
      </c>
      <c r="D189" s="62"/>
      <c r="E189" s="62"/>
      <c r="F189" s="62">
        <f t="shared" si="4"/>
        <v>898</v>
      </c>
      <c r="G189" s="62"/>
      <c r="H189" s="62"/>
      <c r="I189" s="62">
        <f>894+4</f>
        <v>898</v>
      </c>
      <c r="J189" s="62"/>
      <c r="K189" s="62"/>
      <c r="L189" s="62">
        <f t="shared" si="5"/>
        <v>0</v>
      </c>
      <c r="M189" s="62"/>
      <c r="N189" s="62"/>
      <c r="O189" s="59"/>
    </row>
    <row r="190" spans="1:15" x14ac:dyDescent="0.2">
      <c r="A190" s="91"/>
      <c r="B190" s="64" t="s">
        <v>32</v>
      </c>
      <c r="C190" s="62">
        <f>9204+1190</f>
        <v>10394</v>
      </c>
      <c r="D190" s="62">
        <v>30</v>
      </c>
      <c r="E190" s="62"/>
      <c r="F190" s="62">
        <f>20307-7295+5847+957</f>
        <v>19816</v>
      </c>
      <c r="G190" s="62"/>
      <c r="H190" s="62"/>
      <c r="I190" s="62"/>
      <c r="J190" s="62"/>
      <c r="K190" s="62"/>
      <c r="L190" s="62">
        <f t="shared" si="5"/>
        <v>0</v>
      </c>
      <c r="M190" s="62"/>
      <c r="N190" s="62"/>
      <c r="O190" s="59"/>
    </row>
    <row r="191" spans="1:15" x14ac:dyDescent="0.2">
      <c r="A191" s="57"/>
      <c r="B191" s="57" t="s">
        <v>149</v>
      </c>
      <c r="C191" s="92">
        <f t="shared" ref="C191:N191" si="6">SUM(C7:C190)</f>
        <v>2272164</v>
      </c>
      <c r="D191" s="92">
        <f t="shared" si="6"/>
        <v>122185</v>
      </c>
      <c r="E191" s="92">
        <f t="shared" si="6"/>
        <v>25965</v>
      </c>
      <c r="F191" s="92">
        <f t="shared" si="6"/>
        <v>7181662.0068818731</v>
      </c>
      <c r="G191" s="92">
        <f t="shared" si="6"/>
        <v>65628</v>
      </c>
      <c r="H191" s="92">
        <f t="shared" si="6"/>
        <v>11490</v>
      </c>
      <c r="I191" s="92">
        <f t="shared" si="6"/>
        <v>519961</v>
      </c>
      <c r="J191" s="92">
        <f t="shared" si="6"/>
        <v>9759</v>
      </c>
      <c r="K191" s="92">
        <f t="shared" si="6"/>
        <v>19230</v>
      </c>
      <c r="L191" s="92">
        <f t="shared" si="6"/>
        <v>6535778.0068818731</v>
      </c>
      <c r="M191" s="92">
        <f t="shared" si="6"/>
        <v>1669604.0068818741</v>
      </c>
      <c r="N191" s="92">
        <f t="shared" si="6"/>
        <v>4866174</v>
      </c>
      <c r="O191" s="59"/>
    </row>
    <row r="192" spans="1:15" x14ac:dyDescent="0.2">
      <c r="F192" s="68"/>
    </row>
    <row r="193" spans="3:14" x14ac:dyDescent="0.2">
      <c r="C193" s="59"/>
      <c r="D193" s="59"/>
      <c r="E193" s="59"/>
      <c r="F193" s="68"/>
      <c r="G193" s="59"/>
      <c r="H193" s="59"/>
      <c r="I193" s="59"/>
      <c r="J193" s="59"/>
      <c r="K193" s="59"/>
      <c r="L193" s="59"/>
      <c r="M193" s="59"/>
      <c r="N193" s="59"/>
    </row>
    <row r="194" spans="3:14" x14ac:dyDescent="0.2">
      <c r="F194" s="68"/>
    </row>
    <row r="195" spans="3:14" x14ac:dyDescent="0.2">
      <c r="F195" s="68"/>
    </row>
  </sheetData>
  <mergeCells count="23">
    <mergeCell ref="A1:N1"/>
    <mergeCell ref="A3:A6"/>
    <mergeCell ref="B3:B6"/>
    <mergeCell ref="C3:C6"/>
    <mergeCell ref="D3:E4"/>
    <mergeCell ref="F3:F6"/>
    <mergeCell ref="G3:N3"/>
    <mergeCell ref="G4:G6"/>
    <mergeCell ref="H4:H6"/>
    <mergeCell ref="I4:I6"/>
    <mergeCell ref="A185:A186"/>
    <mergeCell ref="J4:J6"/>
    <mergeCell ref="K4:K6"/>
    <mergeCell ref="L4:N4"/>
    <mergeCell ref="D5:D6"/>
    <mergeCell ref="E5:E6"/>
    <mergeCell ref="L5:L6"/>
    <mergeCell ref="M5:N5"/>
    <mergeCell ref="A11:A12"/>
    <mergeCell ref="A51:A52"/>
    <mergeCell ref="A56:A58"/>
    <mergeCell ref="A61:A62"/>
    <mergeCell ref="A129:A130"/>
  </mergeCells>
  <pageMargins left="0.51181102362204722" right="0.39370078740157483" top="0.39370078740157483" bottom="0.1968503937007874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view="pageBreakPreview" zoomScaleNormal="80" zoomScaleSheetLayoutView="100" workbookViewId="0">
      <pane xSplit="2" ySplit="5" topLeftCell="C6" activePane="bottomRight" state="frozen"/>
      <selection activeCell="C40" sqref="C40"/>
      <selection pane="topRight" activeCell="C40" sqref="C40"/>
      <selection pane="bottomLeft" activeCell="C40" sqref="C40"/>
      <selection pane="bottomRight" activeCell="D17" sqref="D17"/>
    </sheetView>
  </sheetViews>
  <sheetFormatPr defaultRowHeight="12.75" x14ac:dyDescent="0.2"/>
  <cols>
    <col min="1" max="1" width="4.42578125" style="93" customWidth="1"/>
    <col min="2" max="2" width="48.28515625" style="94" customWidth="1"/>
    <col min="3" max="3" width="28.7109375" style="58" customWidth="1"/>
    <col min="4" max="4" width="31" style="58" customWidth="1"/>
    <col min="5" max="5" width="9.140625" style="94"/>
    <col min="6" max="16384" width="9.140625" style="58"/>
  </cols>
  <sheetData>
    <row r="1" spans="1:5" x14ac:dyDescent="0.2">
      <c r="D1" s="95"/>
    </row>
    <row r="2" spans="1:5" ht="79.5" customHeight="1" x14ac:dyDescent="0.2">
      <c r="A2" s="241" t="s">
        <v>416</v>
      </c>
      <c r="B2" s="241"/>
      <c r="C2" s="241"/>
      <c r="D2" s="241"/>
    </row>
    <row r="4" spans="1:5" ht="39" customHeight="1" x14ac:dyDescent="0.2">
      <c r="A4" s="242" t="s">
        <v>7</v>
      </c>
      <c r="B4" s="242" t="s">
        <v>33</v>
      </c>
      <c r="C4" s="242" t="s">
        <v>417</v>
      </c>
      <c r="D4" s="96" t="s">
        <v>418</v>
      </c>
    </row>
    <row r="5" spans="1:5" s="67" customFormat="1" ht="51.75" customHeight="1" x14ac:dyDescent="0.2">
      <c r="A5" s="242"/>
      <c r="B5" s="242"/>
      <c r="C5" s="242"/>
      <c r="D5" s="96" t="s">
        <v>395</v>
      </c>
      <c r="E5" s="97"/>
    </row>
    <row r="6" spans="1:5" ht="24.95" customHeight="1" x14ac:dyDescent="0.2">
      <c r="A6" s="98">
        <v>1</v>
      </c>
      <c r="B6" s="71" t="s">
        <v>396</v>
      </c>
      <c r="C6" s="60">
        <v>108</v>
      </c>
      <c r="D6" s="60">
        <v>108</v>
      </c>
      <c r="E6" s="99"/>
    </row>
    <row r="7" spans="1:5" ht="24.95" customHeight="1" x14ac:dyDescent="0.2">
      <c r="A7" s="98">
        <v>2</v>
      </c>
      <c r="B7" s="71" t="s">
        <v>397</v>
      </c>
      <c r="C7" s="60">
        <v>159</v>
      </c>
      <c r="D7" s="60">
        <v>159</v>
      </c>
      <c r="E7" s="99"/>
    </row>
    <row r="8" spans="1:5" ht="24.95" customHeight="1" x14ac:dyDescent="0.2">
      <c r="A8" s="98">
        <v>3</v>
      </c>
      <c r="B8" s="71" t="s">
        <v>415</v>
      </c>
      <c r="C8" s="60">
        <v>95</v>
      </c>
      <c r="D8" s="60">
        <v>95</v>
      </c>
      <c r="E8" s="99"/>
    </row>
    <row r="9" spans="1:5" ht="24.95" customHeight="1" x14ac:dyDescent="0.2">
      <c r="A9" s="98">
        <v>4</v>
      </c>
      <c r="B9" s="71" t="s">
        <v>398</v>
      </c>
      <c r="C9" s="60">
        <v>250</v>
      </c>
      <c r="D9" s="60">
        <v>250</v>
      </c>
      <c r="E9" s="99"/>
    </row>
    <row r="10" spans="1:5" ht="24.95" customHeight="1" x14ac:dyDescent="0.2">
      <c r="A10" s="98">
        <v>5</v>
      </c>
      <c r="B10" s="71" t="s">
        <v>399</v>
      </c>
      <c r="C10" s="60">
        <v>80</v>
      </c>
      <c r="D10" s="60">
        <v>80</v>
      </c>
      <c r="E10" s="99"/>
    </row>
    <row r="11" spans="1:5" ht="24.95" customHeight="1" x14ac:dyDescent="0.2">
      <c r="A11" s="98">
        <v>6</v>
      </c>
      <c r="B11" s="71" t="s">
        <v>400</v>
      </c>
      <c r="C11" s="60">
        <v>80</v>
      </c>
      <c r="D11" s="60">
        <v>80</v>
      </c>
      <c r="E11" s="99"/>
    </row>
    <row r="12" spans="1:5" ht="24.95" customHeight="1" x14ac:dyDescent="0.2">
      <c r="A12" s="98">
        <v>7</v>
      </c>
      <c r="B12" s="71" t="s">
        <v>401</v>
      </c>
      <c r="C12" s="60">
        <v>80</v>
      </c>
      <c r="D12" s="60">
        <v>80</v>
      </c>
      <c r="E12" s="99"/>
    </row>
    <row r="13" spans="1:5" ht="24.95" customHeight="1" x14ac:dyDescent="0.2">
      <c r="A13" s="98">
        <v>8</v>
      </c>
      <c r="B13" s="71" t="s">
        <v>402</v>
      </c>
      <c r="C13" s="60">
        <v>79</v>
      </c>
      <c r="D13" s="60">
        <v>79</v>
      </c>
      <c r="E13" s="99"/>
    </row>
    <row r="14" spans="1:5" ht="24.95" customHeight="1" x14ac:dyDescent="0.2">
      <c r="A14" s="98">
        <v>9</v>
      </c>
      <c r="B14" s="71" t="s">
        <v>403</v>
      </c>
      <c r="C14" s="60">
        <v>79</v>
      </c>
      <c r="D14" s="60">
        <v>79</v>
      </c>
      <c r="E14" s="99"/>
    </row>
    <row r="15" spans="1:5" ht="24.95" customHeight="1" x14ac:dyDescent="0.2">
      <c r="A15" s="98">
        <v>10</v>
      </c>
      <c r="B15" s="100" t="s">
        <v>404</v>
      </c>
      <c r="C15" s="60">
        <f>103-92</f>
        <v>11</v>
      </c>
      <c r="D15" s="60">
        <f>103-92</f>
        <v>11</v>
      </c>
      <c r="E15" s="99"/>
    </row>
    <row r="16" spans="1:5" ht="24.95" customHeight="1" x14ac:dyDescent="0.2">
      <c r="A16" s="98">
        <v>11</v>
      </c>
      <c r="B16" s="100" t="s">
        <v>405</v>
      </c>
      <c r="C16" s="60">
        <v>102</v>
      </c>
      <c r="D16" s="60">
        <v>102</v>
      </c>
      <c r="E16" s="99"/>
    </row>
    <row r="17" spans="1:5" ht="24.95" customHeight="1" x14ac:dyDescent="0.2">
      <c r="A17" s="98">
        <v>12</v>
      </c>
      <c r="B17" s="100" t="s">
        <v>406</v>
      </c>
      <c r="C17" s="60">
        <v>0</v>
      </c>
      <c r="D17" s="60">
        <v>0</v>
      </c>
      <c r="E17" s="99"/>
    </row>
    <row r="18" spans="1:5" ht="24.95" customHeight="1" x14ac:dyDescent="0.2">
      <c r="A18" s="98">
        <v>13</v>
      </c>
      <c r="B18" s="100" t="s">
        <v>407</v>
      </c>
      <c r="C18" s="60">
        <f>D18</f>
        <v>0</v>
      </c>
      <c r="D18" s="60">
        <f>96-96</f>
        <v>0</v>
      </c>
      <c r="E18" s="99"/>
    </row>
    <row r="19" spans="1:5" ht="24.95" customHeight="1" x14ac:dyDescent="0.2">
      <c r="A19" s="98">
        <v>14</v>
      </c>
      <c r="B19" s="100" t="s">
        <v>408</v>
      </c>
      <c r="C19" s="60">
        <v>25</v>
      </c>
      <c r="D19" s="60">
        <v>25</v>
      </c>
      <c r="E19" s="99"/>
    </row>
    <row r="20" spans="1:5" ht="24.95" customHeight="1" x14ac:dyDescent="0.2">
      <c r="A20" s="98">
        <v>15</v>
      </c>
      <c r="B20" s="100" t="s">
        <v>409</v>
      </c>
      <c r="C20" s="60">
        <v>103</v>
      </c>
      <c r="D20" s="60">
        <v>103</v>
      </c>
      <c r="E20" s="99"/>
    </row>
    <row r="21" spans="1:5" ht="24.95" customHeight="1" x14ac:dyDescent="0.2">
      <c r="A21" s="98">
        <v>16</v>
      </c>
      <c r="B21" s="100" t="s">
        <v>410</v>
      </c>
      <c r="C21" s="60">
        <v>103</v>
      </c>
      <c r="D21" s="60">
        <v>103</v>
      </c>
      <c r="E21" s="99"/>
    </row>
    <row r="22" spans="1:5" ht="24.95" customHeight="1" x14ac:dyDescent="0.2">
      <c r="A22" s="98">
        <v>17</v>
      </c>
      <c r="B22" s="100" t="s">
        <v>411</v>
      </c>
      <c r="C22" s="60">
        <v>23</v>
      </c>
      <c r="D22" s="60">
        <v>23</v>
      </c>
      <c r="E22" s="99"/>
    </row>
    <row r="23" spans="1:5" ht="24.95" customHeight="1" x14ac:dyDescent="0.2">
      <c r="A23" s="98">
        <v>18</v>
      </c>
      <c r="B23" s="100" t="s">
        <v>412</v>
      </c>
      <c r="C23" s="60">
        <v>7</v>
      </c>
      <c r="D23" s="60">
        <v>7</v>
      </c>
      <c r="E23" s="99"/>
    </row>
    <row r="24" spans="1:5" ht="24.95" customHeight="1" x14ac:dyDescent="0.2">
      <c r="A24" s="98">
        <v>19</v>
      </c>
      <c r="B24" s="100" t="s">
        <v>413</v>
      </c>
      <c r="C24" s="60">
        <v>0</v>
      </c>
      <c r="D24" s="60">
        <v>0</v>
      </c>
      <c r="E24" s="99"/>
    </row>
    <row r="25" spans="1:5" ht="24.95" customHeight="1" x14ac:dyDescent="0.2">
      <c r="A25" s="98">
        <v>20</v>
      </c>
      <c r="B25" s="100" t="s">
        <v>414</v>
      </c>
      <c r="C25" s="60">
        <v>9</v>
      </c>
      <c r="D25" s="60">
        <v>9</v>
      </c>
      <c r="E25" s="99"/>
    </row>
    <row r="26" spans="1:5" ht="24.95" customHeight="1" x14ac:dyDescent="0.2">
      <c r="A26" s="101"/>
      <c r="B26" s="102" t="s">
        <v>8</v>
      </c>
      <c r="C26" s="103">
        <f>SUM(C6:C25)</f>
        <v>1393</v>
      </c>
      <c r="D26" s="103">
        <f>SUM(D6:D25)</f>
        <v>1393</v>
      </c>
      <c r="E26" s="99"/>
    </row>
    <row r="27" spans="1:5" x14ac:dyDescent="0.2">
      <c r="C27" s="59"/>
      <c r="E27" s="99"/>
    </row>
    <row r="29" spans="1:5" x14ac:dyDescent="0.2">
      <c r="C29" s="59"/>
      <c r="E29" s="58"/>
    </row>
    <row r="35" spans="1:5" x14ac:dyDescent="0.2">
      <c r="A35" s="58"/>
      <c r="B35" s="58"/>
      <c r="C35" s="59"/>
      <c r="E35" s="58"/>
    </row>
  </sheetData>
  <mergeCells count="4">
    <mergeCell ref="A2:D2"/>
    <mergeCell ref="A4:A5"/>
    <mergeCell ref="B4:B5"/>
    <mergeCell ref="C4:C5"/>
  </mergeCells>
  <pageMargins left="0.70866141732283472" right="0.11811023622047245" top="0.74803149606299213" bottom="0.74803149606299213" header="0.31496062992125984" footer="0.31496062992125984"/>
  <pageSetup paperSize="8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90" zoomScaleNormal="90" workbookViewId="0">
      <pane xSplit="2" ySplit="4" topLeftCell="C38" activePane="bottomRight" state="frozen"/>
      <selection pane="topRight" activeCell="C1" sqref="C1"/>
      <selection pane="bottomLeft" activeCell="A7" sqref="A7"/>
      <selection pane="bottomRight" activeCell="E65" sqref="E65"/>
    </sheetView>
  </sheetViews>
  <sheetFormatPr defaultRowHeight="15" x14ac:dyDescent="0.25"/>
  <cols>
    <col min="1" max="1" width="4.140625" style="153" customWidth="1"/>
    <col min="2" max="2" width="44.5703125" style="153" customWidth="1"/>
    <col min="3" max="4" width="11.42578125" style="178" customWidth="1"/>
    <col min="5" max="5" width="11.5703125" style="178" customWidth="1"/>
    <col min="6" max="6" width="10.5703125" style="179" customWidth="1"/>
    <col min="7" max="7" width="12.140625" style="178" customWidth="1"/>
    <col min="8" max="8" width="10.140625" style="178" customWidth="1"/>
    <col min="9" max="9" width="11.85546875" style="178" customWidth="1"/>
    <col min="10" max="10" width="10.85546875" style="178" customWidth="1"/>
    <col min="11" max="16384" width="9.140625" style="153"/>
  </cols>
  <sheetData>
    <row r="1" spans="1:11" ht="18.75" customHeight="1" x14ac:dyDescent="0.25">
      <c r="A1" s="243" t="s">
        <v>419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1" x14ac:dyDescent="0.25">
      <c r="A2" s="154"/>
      <c r="B2" s="155"/>
      <c r="C2" s="156"/>
      <c r="D2" s="156"/>
      <c r="E2" s="156"/>
      <c r="F2" s="156"/>
      <c r="G2" s="156"/>
      <c r="H2" s="156"/>
      <c r="I2" s="156"/>
      <c r="J2" s="157" t="s">
        <v>420</v>
      </c>
    </row>
    <row r="3" spans="1:11" s="159" customFormat="1" ht="15.75" customHeight="1" x14ac:dyDescent="0.2">
      <c r="A3" s="245" t="s">
        <v>7</v>
      </c>
      <c r="B3" s="245" t="s">
        <v>176</v>
      </c>
      <c r="C3" s="246" t="s">
        <v>421</v>
      </c>
      <c r="D3" s="246" t="s">
        <v>422</v>
      </c>
      <c r="E3" s="246" t="s">
        <v>423</v>
      </c>
      <c r="F3" s="246" t="s">
        <v>177</v>
      </c>
      <c r="G3" s="246"/>
      <c r="H3" s="246"/>
      <c r="I3" s="246"/>
      <c r="J3" s="246"/>
      <c r="K3" s="158"/>
    </row>
    <row r="4" spans="1:11" s="159" customFormat="1" ht="77.25" customHeight="1" x14ac:dyDescent="0.2">
      <c r="A4" s="245"/>
      <c r="B4" s="245"/>
      <c r="C4" s="246"/>
      <c r="D4" s="246"/>
      <c r="E4" s="246"/>
      <c r="F4" s="160" t="s">
        <v>424</v>
      </c>
      <c r="G4" s="160" t="s">
        <v>425</v>
      </c>
      <c r="H4" s="160" t="s">
        <v>426</v>
      </c>
      <c r="I4" s="160" t="s">
        <v>425</v>
      </c>
      <c r="J4" s="160" t="s">
        <v>427</v>
      </c>
      <c r="K4" s="158"/>
    </row>
    <row r="5" spans="1:11" x14ac:dyDescent="0.25">
      <c r="A5" s="161">
        <v>1</v>
      </c>
      <c r="B5" s="162" t="s">
        <v>9</v>
      </c>
      <c r="C5" s="163">
        <f>D5+E5</f>
        <v>27590</v>
      </c>
      <c r="D5" s="163"/>
      <c r="E5" s="163">
        <f>F5+H5+J5</f>
        <v>27590</v>
      </c>
      <c r="F5" s="163">
        <v>27590</v>
      </c>
      <c r="G5" s="163">
        <v>12</v>
      </c>
      <c r="H5" s="163"/>
      <c r="I5" s="163"/>
      <c r="J5" s="163"/>
      <c r="K5" s="164"/>
    </row>
    <row r="6" spans="1:11" x14ac:dyDescent="0.25">
      <c r="A6" s="161">
        <v>2</v>
      </c>
      <c r="B6" s="162" t="s">
        <v>83</v>
      </c>
      <c r="C6" s="163">
        <f t="shared" ref="C6:C64" si="0">D6+E6</f>
        <v>12002</v>
      </c>
      <c r="D6" s="163"/>
      <c r="E6" s="163">
        <f t="shared" ref="E6:E63" si="1">F6+H6+J6</f>
        <v>12002</v>
      </c>
      <c r="F6" s="163">
        <v>12002</v>
      </c>
      <c r="G6" s="163">
        <v>0</v>
      </c>
      <c r="H6" s="163"/>
      <c r="I6" s="163"/>
      <c r="J6" s="163"/>
      <c r="K6" s="164"/>
    </row>
    <row r="7" spans="1:11" x14ac:dyDescent="0.25">
      <c r="A7" s="161">
        <v>3</v>
      </c>
      <c r="B7" s="162" t="s">
        <v>85</v>
      </c>
      <c r="C7" s="163">
        <f t="shared" si="0"/>
        <v>6494</v>
      </c>
      <c r="D7" s="163"/>
      <c r="E7" s="163">
        <f t="shared" si="1"/>
        <v>6494</v>
      </c>
      <c r="F7" s="163">
        <v>6494</v>
      </c>
      <c r="G7" s="163">
        <v>28</v>
      </c>
      <c r="H7" s="163"/>
      <c r="I7" s="163"/>
      <c r="J7" s="163"/>
      <c r="K7" s="164"/>
    </row>
    <row r="8" spans="1:11" x14ac:dyDescent="0.25">
      <c r="A8" s="161">
        <v>4</v>
      </c>
      <c r="B8" s="162" t="s">
        <v>87</v>
      </c>
      <c r="C8" s="163">
        <f t="shared" si="0"/>
        <v>4139</v>
      </c>
      <c r="D8" s="163"/>
      <c r="E8" s="163">
        <f t="shared" si="1"/>
        <v>4139</v>
      </c>
      <c r="F8" s="163">
        <v>4139</v>
      </c>
      <c r="G8" s="163">
        <v>6</v>
      </c>
      <c r="H8" s="163"/>
      <c r="I8" s="163"/>
      <c r="J8" s="163"/>
      <c r="K8" s="164"/>
    </row>
    <row r="9" spans="1:11" x14ac:dyDescent="0.25">
      <c r="A9" s="161">
        <v>5</v>
      </c>
      <c r="B9" s="162" t="s">
        <v>88</v>
      </c>
      <c r="C9" s="163">
        <f t="shared" si="0"/>
        <v>7862</v>
      </c>
      <c r="D9" s="163"/>
      <c r="E9" s="163">
        <f t="shared" si="1"/>
        <v>7862</v>
      </c>
      <c r="F9" s="163">
        <v>7862</v>
      </c>
      <c r="G9" s="163">
        <v>0</v>
      </c>
      <c r="H9" s="163"/>
      <c r="I9" s="163"/>
      <c r="J9" s="163"/>
      <c r="K9" s="164"/>
    </row>
    <row r="10" spans="1:11" x14ac:dyDescent="0.25">
      <c r="A10" s="161">
        <v>6</v>
      </c>
      <c r="B10" s="162" t="s">
        <v>89</v>
      </c>
      <c r="C10" s="163">
        <f t="shared" si="0"/>
        <v>11718</v>
      </c>
      <c r="D10" s="163"/>
      <c r="E10" s="163">
        <f t="shared" si="1"/>
        <v>11718</v>
      </c>
      <c r="F10" s="163">
        <v>11718</v>
      </c>
      <c r="G10" s="163">
        <v>0</v>
      </c>
      <c r="H10" s="163"/>
      <c r="I10" s="163"/>
      <c r="J10" s="163"/>
      <c r="K10" s="164"/>
    </row>
    <row r="11" spans="1:11" x14ac:dyDescent="0.25">
      <c r="A11" s="161">
        <v>7</v>
      </c>
      <c r="B11" s="162" t="s">
        <v>10</v>
      </c>
      <c r="C11" s="163">
        <f t="shared" si="0"/>
        <v>30949</v>
      </c>
      <c r="D11" s="163"/>
      <c r="E11" s="163">
        <f t="shared" si="1"/>
        <v>30949</v>
      </c>
      <c r="F11" s="163">
        <v>30949</v>
      </c>
      <c r="G11" s="163">
        <v>24</v>
      </c>
      <c r="H11" s="163"/>
      <c r="I11" s="163"/>
      <c r="J11" s="163"/>
      <c r="K11" s="164"/>
    </row>
    <row r="12" spans="1:11" x14ac:dyDescent="0.25">
      <c r="A12" s="161">
        <v>8</v>
      </c>
      <c r="B12" s="162" t="s">
        <v>11</v>
      </c>
      <c r="C12" s="163">
        <f t="shared" si="0"/>
        <v>21775</v>
      </c>
      <c r="D12" s="163"/>
      <c r="E12" s="163">
        <f t="shared" si="1"/>
        <v>21775</v>
      </c>
      <c r="F12" s="163">
        <v>21775</v>
      </c>
      <c r="G12" s="163">
        <v>1</v>
      </c>
      <c r="H12" s="163"/>
      <c r="I12" s="163"/>
      <c r="J12" s="163"/>
      <c r="K12" s="164"/>
    </row>
    <row r="13" spans="1:11" x14ac:dyDescent="0.25">
      <c r="A13" s="161">
        <v>9</v>
      </c>
      <c r="B13" s="162" t="s">
        <v>56</v>
      </c>
      <c r="C13" s="163">
        <f t="shared" si="0"/>
        <v>11911</v>
      </c>
      <c r="D13" s="163"/>
      <c r="E13" s="163">
        <f t="shared" si="1"/>
        <v>11911</v>
      </c>
      <c r="F13" s="163">
        <v>11911</v>
      </c>
      <c r="G13" s="163">
        <v>6</v>
      </c>
      <c r="H13" s="163"/>
      <c r="I13" s="163"/>
      <c r="J13" s="163"/>
      <c r="K13" s="164"/>
    </row>
    <row r="14" spans="1:11" x14ac:dyDescent="0.25">
      <c r="A14" s="161">
        <v>10</v>
      </c>
      <c r="B14" s="162" t="s">
        <v>57</v>
      </c>
      <c r="C14" s="163">
        <f t="shared" si="0"/>
        <v>5113</v>
      </c>
      <c r="D14" s="163"/>
      <c r="E14" s="163">
        <f t="shared" si="1"/>
        <v>5113</v>
      </c>
      <c r="F14" s="163">
        <v>5113</v>
      </c>
      <c r="G14" s="163">
        <v>0</v>
      </c>
      <c r="H14" s="163"/>
      <c r="I14" s="163"/>
      <c r="J14" s="163"/>
      <c r="K14" s="164"/>
    </row>
    <row r="15" spans="1:11" x14ac:dyDescent="0.25">
      <c r="A15" s="161">
        <v>11</v>
      </c>
      <c r="B15" s="162" t="s">
        <v>54</v>
      </c>
      <c r="C15" s="163">
        <f t="shared" si="0"/>
        <v>4143</v>
      </c>
      <c r="D15" s="163"/>
      <c r="E15" s="163">
        <f t="shared" si="1"/>
        <v>4143</v>
      </c>
      <c r="F15" s="163">
        <v>1699</v>
      </c>
      <c r="G15" s="163">
        <v>0</v>
      </c>
      <c r="H15" s="163">
        <v>2444</v>
      </c>
      <c r="I15" s="163">
        <v>3</v>
      </c>
      <c r="J15" s="163"/>
      <c r="K15" s="164"/>
    </row>
    <row r="16" spans="1:11" x14ac:dyDescent="0.25">
      <c r="A16" s="161">
        <v>12</v>
      </c>
      <c r="B16" s="162" t="s">
        <v>12</v>
      </c>
      <c r="C16" s="163">
        <f t="shared" si="0"/>
        <v>17706</v>
      </c>
      <c r="D16" s="163"/>
      <c r="E16" s="163">
        <f t="shared" si="1"/>
        <v>17706</v>
      </c>
      <c r="F16" s="163">
        <v>17706</v>
      </c>
      <c r="G16" s="163">
        <v>10</v>
      </c>
      <c r="H16" s="163"/>
      <c r="I16" s="163"/>
      <c r="J16" s="163"/>
      <c r="K16" s="164"/>
    </row>
    <row r="17" spans="1:11" x14ac:dyDescent="0.25">
      <c r="A17" s="161">
        <v>13</v>
      </c>
      <c r="B17" s="162" t="s">
        <v>13</v>
      </c>
      <c r="C17" s="163">
        <f t="shared" si="0"/>
        <v>18084</v>
      </c>
      <c r="D17" s="163"/>
      <c r="E17" s="163">
        <f t="shared" si="1"/>
        <v>18084</v>
      </c>
      <c r="F17" s="163">
        <v>18084</v>
      </c>
      <c r="G17" s="163">
        <v>21</v>
      </c>
      <c r="H17" s="163"/>
      <c r="I17" s="163"/>
      <c r="J17" s="163"/>
      <c r="K17" s="164"/>
    </row>
    <row r="18" spans="1:11" x14ac:dyDescent="0.25">
      <c r="A18" s="161">
        <v>14</v>
      </c>
      <c r="B18" s="162" t="s">
        <v>40</v>
      </c>
      <c r="C18" s="163">
        <f t="shared" si="0"/>
        <v>53846</v>
      </c>
      <c r="D18" s="163"/>
      <c r="E18" s="163">
        <f t="shared" si="1"/>
        <v>53846</v>
      </c>
      <c r="F18" s="163">
        <v>53641</v>
      </c>
      <c r="G18" s="163">
        <v>46</v>
      </c>
      <c r="H18" s="163">
        <v>205</v>
      </c>
      <c r="I18" s="163">
        <v>7</v>
      </c>
      <c r="J18" s="163"/>
      <c r="K18" s="164"/>
    </row>
    <row r="19" spans="1:11" x14ac:dyDescent="0.25">
      <c r="A19" s="161">
        <v>15</v>
      </c>
      <c r="B19" s="162" t="s">
        <v>42</v>
      </c>
      <c r="C19" s="163">
        <f t="shared" si="0"/>
        <v>13554</v>
      </c>
      <c r="D19" s="163"/>
      <c r="E19" s="163">
        <f t="shared" si="1"/>
        <v>13554</v>
      </c>
      <c r="F19" s="163">
        <v>13554</v>
      </c>
      <c r="G19" s="163">
        <v>16</v>
      </c>
      <c r="H19" s="163"/>
      <c r="I19" s="163"/>
      <c r="J19" s="163"/>
      <c r="K19" s="164"/>
    </row>
    <row r="20" spans="1:11" x14ac:dyDescent="0.25">
      <c r="A20" s="161">
        <v>16</v>
      </c>
      <c r="B20" s="162" t="s">
        <v>43</v>
      </c>
      <c r="C20" s="163">
        <f t="shared" si="0"/>
        <v>5922</v>
      </c>
      <c r="D20" s="163"/>
      <c r="E20" s="163">
        <f t="shared" si="1"/>
        <v>5922</v>
      </c>
      <c r="F20" s="163">
        <v>5922</v>
      </c>
      <c r="G20" s="163">
        <v>0</v>
      </c>
      <c r="H20" s="163"/>
      <c r="I20" s="163"/>
      <c r="J20" s="163"/>
      <c r="K20" s="164"/>
    </row>
    <row r="21" spans="1:11" x14ac:dyDescent="0.25">
      <c r="A21" s="161">
        <v>17</v>
      </c>
      <c r="B21" s="162" t="s">
        <v>44</v>
      </c>
      <c r="C21" s="163">
        <f t="shared" si="0"/>
        <v>6120</v>
      </c>
      <c r="D21" s="163"/>
      <c r="E21" s="163">
        <f t="shared" si="1"/>
        <v>6120</v>
      </c>
      <c r="F21" s="163">
        <v>6120</v>
      </c>
      <c r="G21" s="163">
        <v>2</v>
      </c>
      <c r="H21" s="163"/>
      <c r="I21" s="163"/>
      <c r="J21" s="163"/>
      <c r="K21" s="164"/>
    </row>
    <row r="22" spans="1:11" x14ac:dyDescent="0.25">
      <c r="A22" s="161">
        <v>18</v>
      </c>
      <c r="B22" s="162" t="s">
        <v>45</v>
      </c>
      <c r="C22" s="163">
        <f t="shared" si="0"/>
        <v>6617</v>
      </c>
      <c r="D22" s="163"/>
      <c r="E22" s="163">
        <f t="shared" si="1"/>
        <v>6617</v>
      </c>
      <c r="F22" s="163">
        <v>6616</v>
      </c>
      <c r="G22" s="163">
        <v>0</v>
      </c>
      <c r="H22" s="163">
        <v>1</v>
      </c>
      <c r="I22" s="163"/>
      <c r="J22" s="163"/>
      <c r="K22" s="164"/>
    </row>
    <row r="23" spans="1:11" x14ac:dyDescent="0.25">
      <c r="A23" s="161">
        <v>19</v>
      </c>
      <c r="B23" s="162" t="s">
        <v>46</v>
      </c>
      <c r="C23" s="163">
        <f t="shared" si="0"/>
        <v>7002</v>
      </c>
      <c r="D23" s="163"/>
      <c r="E23" s="163">
        <f t="shared" si="1"/>
        <v>7002</v>
      </c>
      <c r="F23" s="163">
        <v>7002</v>
      </c>
      <c r="G23" s="163">
        <v>0</v>
      </c>
      <c r="H23" s="163"/>
      <c r="I23" s="163"/>
      <c r="J23" s="163"/>
      <c r="K23" s="164"/>
    </row>
    <row r="24" spans="1:11" x14ac:dyDescent="0.25">
      <c r="A24" s="161">
        <v>20</v>
      </c>
      <c r="B24" s="162" t="s">
        <v>47</v>
      </c>
      <c r="C24" s="163">
        <f t="shared" si="0"/>
        <v>7468</v>
      </c>
      <c r="D24" s="163"/>
      <c r="E24" s="163">
        <f t="shared" si="1"/>
        <v>7468</v>
      </c>
      <c r="F24" s="163">
        <v>7468</v>
      </c>
      <c r="G24" s="163">
        <v>9</v>
      </c>
      <c r="H24" s="163"/>
      <c r="I24" s="163"/>
      <c r="J24" s="163"/>
      <c r="K24" s="164"/>
    </row>
    <row r="25" spans="1:11" x14ac:dyDescent="0.25">
      <c r="A25" s="161">
        <v>21</v>
      </c>
      <c r="B25" s="162" t="s">
        <v>48</v>
      </c>
      <c r="C25" s="163">
        <f t="shared" si="0"/>
        <v>6942</v>
      </c>
      <c r="D25" s="163"/>
      <c r="E25" s="163">
        <f t="shared" si="1"/>
        <v>6942</v>
      </c>
      <c r="F25" s="163">
        <v>6942</v>
      </c>
      <c r="G25" s="163">
        <v>0</v>
      </c>
      <c r="H25" s="163"/>
      <c r="I25" s="163"/>
      <c r="J25" s="163"/>
      <c r="K25" s="164"/>
    </row>
    <row r="26" spans="1:11" x14ac:dyDescent="0.25">
      <c r="A26" s="161">
        <v>22</v>
      </c>
      <c r="B26" s="162" t="s">
        <v>50</v>
      </c>
      <c r="C26" s="163">
        <f t="shared" si="0"/>
        <v>6850</v>
      </c>
      <c r="D26" s="163"/>
      <c r="E26" s="163">
        <f t="shared" si="1"/>
        <v>6850</v>
      </c>
      <c r="F26" s="163">
        <v>6850</v>
      </c>
      <c r="G26" s="163">
        <v>0</v>
      </c>
      <c r="H26" s="163"/>
      <c r="I26" s="163"/>
      <c r="J26" s="163"/>
      <c r="K26" s="164"/>
    </row>
    <row r="27" spans="1:11" x14ac:dyDescent="0.25">
      <c r="A27" s="161">
        <v>23</v>
      </c>
      <c r="B27" s="162" t="s">
        <v>15</v>
      </c>
      <c r="C27" s="163">
        <f t="shared" si="0"/>
        <v>8949</v>
      </c>
      <c r="D27" s="163"/>
      <c r="E27" s="163">
        <f t="shared" si="1"/>
        <v>8949</v>
      </c>
      <c r="F27" s="163">
        <v>8949</v>
      </c>
      <c r="G27" s="163">
        <v>0</v>
      </c>
      <c r="H27" s="163"/>
      <c r="I27" s="163"/>
      <c r="J27" s="163"/>
      <c r="K27" s="164"/>
    </row>
    <row r="28" spans="1:11" x14ac:dyDescent="0.25">
      <c r="A28" s="161">
        <v>24</v>
      </c>
      <c r="B28" s="162" t="s">
        <v>118</v>
      </c>
      <c r="C28" s="163">
        <f t="shared" si="0"/>
        <v>5347</v>
      </c>
      <c r="D28" s="163"/>
      <c r="E28" s="163">
        <f t="shared" si="1"/>
        <v>5347</v>
      </c>
      <c r="F28" s="163">
        <v>5347</v>
      </c>
      <c r="G28" s="163">
        <v>2</v>
      </c>
      <c r="H28" s="163"/>
      <c r="I28" s="163"/>
      <c r="J28" s="163"/>
      <c r="K28" s="164"/>
    </row>
    <row r="29" spans="1:11" x14ac:dyDescent="0.25">
      <c r="A29" s="161">
        <v>25</v>
      </c>
      <c r="B29" s="162" t="s">
        <v>119</v>
      </c>
      <c r="C29" s="163">
        <f t="shared" si="0"/>
        <v>6557</v>
      </c>
      <c r="D29" s="163"/>
      <c r="E29" s="163">
        <f t="shared" si="1"/>
        <v>6557</v>
      </c>
      <c r="F29" s="163">
        <v>6557</v>
      </c>
      <c r="G29" s="163">
        <v>0</v>
      </c>
      <c r="H29" s="163"/>
      <c r="I29" s="163"/>
      <c r="J29" s="163"/>
      <c r="K29" s="164"/>
    </row>
    <row r="30" spans="1:11" x14ac:dyDescent="0.25">
      <c r="A30" s="161">
        <v>26</v>
      </c>
      <c r="B30" s="162" t="s">
        <v>123</v>
      </c>
      <c r="C30" s="163">
        <f t="shared" si="0"/>
        <v>4936</v>
      </c>
      <c r="D30" s="163"/>
      <c r="E30" s="163">
        <f t="shared" si="1"/>
        <v>4936</v>
      </c>
      <c r="F30" s="163">
        <v>4936</v>
      </c>
      <c r="G30" s="163">
        <v>0</v>
      </c>
      <c r="H30" s="163"/>
      <c r="I30" s="163"/>
      <c r="J30" s="163"/>
      <c r="K30" s="164"/>
    </row>
    <row r="31" spans="1:11" x14ac:dyDescent="0.25">
      <c r="A31" s="161">
        <v>27</v>
      </c>
      <c r="B31" s="162" t="s">
        <v>125</v>
      </c>
      <c r="C31" s="163">
        <f t="shared" si="0"/>
        <v>7395</v>
      </c>
      <c r="D31" s="163"/>
      <c r="E31" s="163">
        <f t="shared" si="1"/>
        <v>7395</v>
      </c>
      <c r="F31" s="163">
        <v>7395</v>
      </c>
      <c r="G31" s="163">
        <v>0</v>
      </c>
      <c r="H31" s="163"/>
      <c r="I31" s="163"/>
      <c r="J31" s="163"/>
      <c r="K31" s="164"/>
    </row>
    <row r="32" spans="1:11" x14ac:dyDescent="0.25">
      <c r="A32" s="161">
        <v>28</v>
      </c>
      <c r="B32" s="162" t="s">
        <v>53</v>
      </c>
      <c r="C32" s="163">
        <f t="shared" si="0"/>
        <v>18579</v>
      </c>
      <c r="D32" s="163"/>
      <c r="E32" s="163">
        <f t="shared" si="1"/>
        <v>18579</v>
      </c>
      <c r="F32" s="163">
        <v>18579</v>
      </c>
      <c r="G32" s="163">
        <v>8</v>
      </c>
      <c r="H32" s="163"/>
      <c r="I32" s="163"/>
      <c r="J32" s="163"/>
      <c r="K32" s="164"/>
    </row>
    <row r="33" spans="1:11" x14ac:dyDescent="0.25">
      <c r="A33" s="161">
        <v>29</v>
      </c>
      <c r="B33" s="162" t="s">
        <v>16</v>
      </c>
      <c r="C33" s="163">
        <f t="shared" si="0"/>
        <v>17274</v>
      </c>
      <c r="D33" s="163"/>
      <c r="E33" s="163">
        <f>F33+H33+J33</f>
        <v>17274</v>
      </c>
      <c r="F33" s="163">
        <v>17269</v>
      </c>
      <c r="G33" s="163">
        <v>12</v>
      </c>
      <c r="H33" s="163">
        <v>5</v>
      </c>
      <c r="I33" s="163">
        <v>5</v>
      </c>
      <c r="J33" s="163"/>
      <c r="K33" s="164"/>
    </row>
    <row r="34" spans="1:11" x14ac:dyDescent="0.25">
      <c r="A34" s="161">
        <v>30</v>
      </c>
      <c r="B34" s="162" t="s">
        <v>55</v>
      </c>
      <c r="C34" s="163">
        <f t="shared" si="0"/>
        <v>9024</v>
      </c>
      <c r="D34" s="163"/>
      <c r="E34" s="163">
        <f t="shared" si="1"/>
        <v>9024</v>
      </c>
      <c r="F34" s="163">
        <v>9024</v>
      </c>
      <c r="G34" s="163">
        <v>0</v>
      </c>
      <c r="H34" s="163"/>
      <c r="I34" s="163"/>
      <c r="J34" s="163"/>
      <c r="K34" s="164"/>
    </row>
    <row r="35" spans="1:11" x14ac:dyDescent="0.25">
      <c r="A35" s="161">
        <v>31</v>
      </c>
      <c r="B35" s="162" t="s">
        <v>58</v>
      </c>
      <c r="C35" s="163">
        <f t="shared" si="0"/>
        <v>4265</v>
      </c>
      <c r="D35" s="163"/>
      <c r="E35" s="163">
        <f t="shared" si="1"/>
        <v>4265</v>
      </c>
      <c r="F35" s="163">
        <v>4265</v>
      </c>
      <c r="G35" s="163">
        <v>0</v>
      </c>
      <c r="H35" s="163"/>
      <c r="I35" s="163"/>
      <c r="J35" s="163"/>
      <c r="K35" s="164"/>
    </row>
    <row r="36" spans="1:11" ht="30" x14ac:dyDescent="0.25">
      <c r="A36" s="161">
        <v>32</v>
      </c>
      <c r="B36" s="165" t="s">
        <v>428</v>
      </c>
      <c r="C36" s="163">
        <f t="shared" si="0"/>
        <v>89869</v>
      </c>
      <c r="D36" s="12">
        <f>700-593</f>
        <v>107</v>
      </c>
      <c r="E36" s="163">
        <f t="shared" si="1"/>
        <v>89762</v>
      </c>
      <c r="F36" s="163">
        <v>88462</v>
      </c>
      <c r="G36" s="163">
        <v>0</v>
      </c>
      <c r="H36" s="163">
        <v>1300</v>
      </c>
      <c r="I36" s="163">
        <v>0</v>
      </c>
      <c r="J36" s="163"/>
      <c r="K36" s="164"/>
    </row>
    <row r="37" spans="1:11" x14ac:dyDescent="0.25">
      <c r="A37" s="161">
        <v>33</v>
      </c>
      <c r="B37" s="162" t="s">
        <v>18</v>
      </c>
      <c r="C37" s="163">
        <f t="shared" si="0"/>
        <v>25727</v>
      </c>
      <c r="D37" s="163"/>
      <c r="E37" s="163">
        <f t="shared" si="1"/>
        <v>25727</v>
      </c>
      <c r="F37" s="163">
        <v>23021</v>
      </c>
      <c r="G37" s="163">
        <v>0</v>
      </c>
      <c r="H37" s="163">
        <v>2706</v>
      </c>
      <c r="I37" s="163">
        <v>0</v>
      </c>
      <c r="J37" s="163"/>
      <c r="K37" s="164"/>
    </row>
    <row r="38" spans="1:11" x14ac:dyDescent="0.25">
      <c r="A38" s="161">
        <v>34</v>
      </c>
      <c r="B38" s="162" t="s">
        <v>71</v>
      </c>
      <c r="C38" s="163">
        <f t="shared" si="0"/>
        <v>18390</v>
      </c>
      <c r="D38" s="163"/>
      <c r="E38" s="163">
        <f t="shared" si="1"/>
        <v>18390</v>
      </c>
      <c r="F38" s="163">
        <v>18390</v>
      </c>
      <c r="G38" s="163">
        <v>18</v>
      </c>
      <c r="H38" s="163"/>
      <c r="I38" s="163"/>
      <c r="J38" s="163"/>
      <c r="K38" s="164"/>
    </row>
    <row r="39" spans="1:11" s="170" customFormat="1" ht="45.75" customHeight="1" x14ac:dyDescent="0.25">
      <c r="A39" s="166">
        <v>35</v>
      </c>
      <c r="B39" s="167" t="s">
        <v>72</v>
      </c>
      <c r="C39" s="168">
        <f t="shared" si="0"/>
        <v>7232</v>
      </c>
      <c r="D39" s="168"/>
      <c r="E39" s="168">
        <f t="shared" si="1"/>
        <v>7232</v>
      </c>
      <c r="F39" s="168">
        <v>7232</v>
      </c>
      <c r="G39" s="168">
        <v>13</v>
      </c>
      <c r="H39" s="168"/>
      <c r="I39" s="168"/>
      <c r="J39" s="168"/>
      <c r="K39" s="169"/>
    </row>
    <row r="40" spans="1:11" x14ac:dyDescent="0.25">
      <c r="A40" s="161">
        <v>36</v>
      </c>
      <c r="B40" s="162" t="s">
        <v>19</v>
      </c>
      <c r="C40" s="163">
        <f t="shared" si="0"/>
        <v>25142</v>
      </c>
      <c r="D40" s="163"/>
      <c r="E40" s="163">
        <f t="shared" si="1"/>
        <v>25142</v>
      </c>
      <c r="F40" s="163">
        <v>25142</v>
      </c>
      <c r="G40" s="163">
        <v>0</v>
      </c>
      <c r="H40" s="163"/>
      <c r="I40" s="163"/>
      <c r="J40" s="163"/>
      <c r="K40" s="164"/>
    </row>
    <row r="41" spans="1:11" x14ac:dyDescent="0.25">
      <c r="A41" s="161">
        <v>37</v>
      </c>
      <c r="B41" s="162" t="s">
        <v>67</v>
      </c>
      <c r="C41" s="163">
        <f t="shared" si="0"/>
        <v>42392</v>
      </c>
      <c r="D41" s="163"/>
      <c r="E41" s="163">
        <f t="shared" si="1"/>
        <v>42392</v>
      </c>
      <c r="F41" s="163">
        <v>35357</v>
      </c>
      <c r="G41" s="163">
        <v>0</v>
      </c>
      <c r="H41" s="163">
        <v>7035</v>
      </c>
      <c r="I41" s="163">
        <v>0</v>
      </c>
      <c r="J41" s="163"/>
      <c r="K41" s="164"/>
    </row>
    <row r="42" spans="1:11" x14ac:dyDescent="0.25">
      <c r="A42" s="161">
        <v>38</v>
      </c>
      <c r="B42" s="162" t="s">
        <v>73</v>
      </c>
      <c r="C42" s="163">
        <f t="shared" si="0"/>
        <v>7806</v>
      </c>
      <c r="D42" s="163"/>
      <c r="E42" s="163">
        <f t="shared" si="1"/>
        <v>7806</v>
      </c>
      <c r="F42" s="163">
        <v>7806</v>
      </c>
      <c r="G42" s="163">
        <v>0</v>
      </c>
      <c r="H42" s="163"/>
      <c r="I42" s="163"/>
      <c r="J42" s="163"/>
      <c r="K42" s="164"/>
    </row>
    <row r="43" spans="1:11" x14ac:dyDescent="0.25">
      <c r="A43" s="161">
        <v>39</v>
      </c>
      <c r="B43" s="162" t="s">
        <v>74</v>
      </c>
      <c r="C43" s="163">
        <f t="shared" si="0"/>
        <v>9578</v>
      </c>
      <c r="D43" s="163"/>
      <c r="E43" s="163">
        <f t="shared" si="1"/>
        <v>9578</v>
      </c>
      <c r="F43" s="163">
        <v>9578</v>
      </c>
      <c r="G43" s="163">
        <v>0</v>
      </c>
      <c r="H43" s="163"/>
      <c r="I43" s="163"/>
      <c r="J43" s="163"/>
      <c r="K43" s="164"/>
    </row>
    <row r="44" spans="1:11" x14ac:dyDescent="0.25">
      <c r="A44" s="161">
        <v>40</v>
      </c>
      <c r="B44" s="162" t="s">
        <v>75</v>
      </c>
      <c r="C44" s="163">
        <f t="shared" si="0"/>
        <v>8768</v>
      </c>
      <c r="D44" s="163"/>
      <c r="E44" s="163">
        <f t="shared" si="1"/>
        <v>8768</v>
      </c>
      <c r="F44" s="163">
        <v>8768</v>
      </c>
      <c r="G44" s="163">
        <v>12</v>
      </c>
      <c r="H44" s="163"/>
      <c r="I44" s="163"/>
      <c r="J44" s="163"/>
      <c r="K44" s="164"/>
    </row>
    <row r="45" spans="1:11" x14ac:dyDescent="0.25">
      <c r="A45" s="161">
        <v>41</v>
      </c>
      <c r="B45" s="162" t="s">
        <v>76</v>
      </c>
      <c r="C45" s="163">
        <f t="shared" si="0"/>
        <v>5757</v>
      </c>
      <c r="D45" s="163"/>
      <c r="E45" s="163">
        <f t="shared" si="1"/>
        <v>5757</v>
      </c>
      <c r="F45" s="163">
        <v>5757</v>
      </c>
      <c r="G45" s="163">
        <v>0</v>
      </c>
      <c r="H45" s="163"/>
      <c r="I45" s="163"/>
      <c r="J45" s="163"/>
      <c r="K45" s="164"/>
    </row>
    <row r="46" spans="1:11" x14ac:dyDescent="0.25">
      <c r="A46" s="161">
        <v>42</v>
      </c>
      <c r="B46" s="162" t="s">
        <v>77</v>
      </c>
      <c r="C46" s="163">
        <f t="shared" si="0"/>
        <v>9983</v>
      </c>
      <c r="D46" s="163"/>
      <c r="E46" s="163">
        <f t="shared" si="1"/>
        <v>9983</v>
      </c>
      <c r="F46" s="163">
        <v>9983</v>
      </c>
      <c r="G46" s="163">
        <v>0</v>
      </c>
      <c r="H46" s="163"/>
      <c r="I46" s="163"/>
      <c r="J46" s="163"/>
      <c r="K46" s="164"/>
    </row>
    <row r="47" spans="1:11" x14ac:dyDescent="0.25">
      <c r="A47" s="161">
        <v>43</v>
      </c>
      <c r="B47" s="162" t="s">
        <v>78</v>
      </c>
      <c r="C47" s="163">
        <f t="shared" si="0"/>
        <v>4566</v>
      </c>
      <c r="D47" s="163"/>
      <c r="E47" s="163">
        <f t="shared" si="1"/>
        <v>4566</v>
      </c>
      <c r="F47" s="163">
        <v>4566</v>
      </c>
      <c r="G47" s="163">
        <v>3</v>
      </c>
      <c r="H47" s="163"/>
      <c r="I47" s="163"/>
      <c r="J47" s="163"/>
      <c r="K47" s="164"/>
    </row>
    <row r="48" spans="1:11" x14ac:dyDescent="0.25">
      <c r="A48" s="161">
        <v>44</v>
      </c>
      <c r="B48" s="162" t="s">
        <v>20</v>
      </c>
      <c r="C48" s="163">
        <f t="shared" si="0"/>
        <v>38903</v>
      </c>
      <c r="D48" s="163"/>
      <c r="E48" s="163">
        <f t="shared" si="1"/>
        <v>38903</v>
      </c>
      <c r="F48" s="163">
        <v>35671</v>
      </c>
      <c r="G48" s="163">
        <v>58</v>
      </c>
      <c r="H48" s="163">
        <v>3232</v>
      </c>
      <c r="I48" s="163">
        <v>0</v>
      </c>
      <c r="J48" s="163"/>
      <c r="K48" s="164"/>
    </row>
    <row r="49" spans="1:11" x14ac:dyDescent="0.25">
      <c r="A49" s="161">
        <v>45</v>
      </c>
      <c r="B49" s="162" t="s">
        <v>82</v>
      </c>
      <c r="C49" s="163">
        <f t="shared" si="0"/>
        <v>31304</v>
      </c>
      <c r="D49" s="163"/>
      <c r="E49" s="163">
        <f t="shared" si="1"/>
        <v>31304</v>
      </c>
      <c r="F49" s="163">
        <v>31304</v>
      </c>
      <c r="G49" s="163">
        <v>25</v>
      </c>
      <c r="H49" s="163"/>
      <c r="I49" s="163"/>
      <c r="J49" s="163"/>
      <c r="K49" s="164"/>
    </row>
    <row r="50" spans="1:11" x14ac:dyDescent="0.25">
      <c r="A50" s="161">
        <v>46</v>
      </c>
      <c r="B50" s="162" t="s">
        <v>84</v>
      </c>
      <c r="C50" s="163">
        <f t="shared" si="0"/>
        <v>8043</v>
      </c>
      <c r="D50" s="163"/>
      <c r="E50" s="163">
        <f t="shared" si="1"/>
        <v>8043</v>
      </c>
      <c r="F50" s="163">
        <v>8043</v>
      </c>
      <c r="G50" s="163">
        <v>10</v>
      </c>
      <c r="H50" s="163"/>
      <c r="I50" s="163"/>
      <c r="J50" s="163"/>
      <c r="K50" s="164"/>
    </row>
    <row r="51" spans="1:11" x14ac:dyDescent="0.25">
      <c r="A51" s="161">
        <v>47</v>
      </c>
      <c r="B51" s="162" t="s">
        <v>86</v>
      </c>
      <c r="C51" s="163">
        <f t="shared" si="0"/>
        <v>9461</v>
      </c>
      <c r="D51" s="163"/>
      <c r="E51" s="163">
        <f t="shared" si="1"/>
        <v>9461</v>
      </c>
      <c r="F51" s="163">
        <v>9461</v>
      </c>
      <c r="G51" s="163">
        <v>14</v>
      </c>
      <c r="H51" s="163"/>
      <c r="I51" s="163"/>
      <c r="J51" s="163"/>
      <c r="K51" s="164"/>
    </row>
    <row r="52" spans="1:11" x14ac:dyDescent="0.25">
      <c r="A52" s="161">
        <v>48</v>
      </c>
      <c r="B52" s="162" t="s">
        <v>90</v>
      </c>
      <c r="C52" s="163">
        <f t="shared" si="0"/>
        <v>6434</v>
      </c>
      <c r="D52" s="163"/>
      <c r="E52" s="163">
        <f t="shared" si="1"/>
        <v>6434</v>
      </c>
      <c r="F52" s="163">
        <v>6434</v>
      </c>
      <c r="G52" s="163">
        <v>17</v>
      </c>
      <c r="H52" s="163"/>
      <c r="I52" s="163"/>
      <c r="J52" s="163"/>
      <c r="K52" s="164"/>
    </row>
    <row r="53" spans="1:11" x14ac:dyDescent="0.25">
      <c r="A53" s="161">
        <v>49</v>
      </c>
      <c r="B53" s="162" t="s">
        <v>429</v>
      </c>
      <c r="C53" s="163">
        <f t="shared" si="0"/>
        <v>380163</v>
      </c>
      <c r="D53" s="12">
        <f>2800-2324</f>
        <v>476</v>
      </c>
      <c r="E53" s="163">
        <f t="shared" si="1"/>
        <v>379687</v>
      </c>
      <c r="F53" s="171">
        <f>300843+4909</f>
        <v>305752</v>
      </c>
      <c r="G53" s="171">
        <v>15</v>
      </c>
      <c r="H53" s="171">
        <v>50200</v>
      </c>
      <c r="I53" s="171">
        <v>73</v>
      </c>
      <c r="J53" s="171">
        <v>23735</v>
      </c>
    </row>
    <row r="54" spans="1:11" x14ac:dyDescent="0.25">
      <c r="A54" s="161">
        <v>50</v>
      </c>
      <c r="B54" s="162" t="s">
        <v>30</v>
      </c>
      <c r="C54" s="163">
        <f t="shared" si="0"/>
        <v>15173</v>
      </c>
      <c r="D54" s="171"/>
      <c r="E54" s="163">
        <f t="shared" si="1"/>
        <v>15173</v>
      </c>
      <c r="F54" s="171">
        <v>15173</v>
      </c>
      <c r="G54" s="171">
        <v>2</v>
      </c>
      <c r="H54" s="171"/>
      <c r="I54" s="171"/>
      <c r="J54" s="171"/>
    </row>
    <row r="55" spans="1:11" x14ac:dyDescent="0.25">
      <c r="A55" s="161">
        <v>51</v>
      </c>
      <c r="B55" s="162" t="s">
        <v>117</v>
      </c>
      <c r="C55" s="163">
        <f t="shared" si="0"/>
        <v>5269</v>
      </c>
      <c r="D55" s="171"/>
      <c r="E55" s="163">
        <f t="shared" si="1"/>
        <v>5269</v>
      </c>
      <c r="F55" s="171">
        <v>5269</v>
      </c>
      <c r="G55" s="171">
        <v>0</v>
      </c>
      <c r="H55" s="171"/>
      <c r="I55" s="171"/>
      <c r="J55" s="171"/>
    </row>
    <row r="56" spans="1:11" x14ac:dyDescent="0.25">
      <c r="A56" s="161">
        <v>52</v>
      </c>
      <c r="B56" s="162" t="s">
        <v>120</v>
      </c>
      <c r="C56" s="163">
        <f t="shared" si="0"/>
        <v>8025</v>
      </c>
      <c r="D56" s="171"/>
      <c r="E56" s="163">
        <f t="shared" si="1"/>
        <v>8025</v>
      </c>
      <c r="F56" s="171">
        <v>7400</v>
      </c>
      <c r="G56" s="171">
        <v>3</v>
      </c>
      <c r="H56" s="171">
        <v>625</v>
      </c>
      <c r="I56" s="171">
        <v>3</v>
      </c>
      <c r="J56" s="171"/>
    </row>
    <row r="57" spans="1:11" x14ac:dyDescent="0.25">
      <c r="A57" s="161">
        <v>53</v>
      </c>
      <c r="B57" s="162" t="s">
        <v>121</v>
      </c>
      <c r="C57" s="163">
        <f t="shared" si="0"/>
        <v>15572</v>
      </c>
      <c r="D57" s="171"/>
      <c r="E57" s="163">
        <f t="shared" si="1"/>
        <v>15572</v>
      </c>
      <c r="F57" s="171">
        <v>15572</v>
      </c>
      <c r="G57" s="171">
        <v>5</v>
      </c>
      <c r="H57" s="171"/>
      <c r="I57" s="171"/>
      <c r="J57" s="171"/>
    </row>
    <row r="58" spans="1:11" x14ac:dyDescent="0.25">
      <c r="A58" s="161">
        <v>54</v>
      </c>
      <c r="B58" s="162" t="s">
        <v>122</v>
      </c>
      <c r="C58" s="163">
        <f t="shared" si="0"/>
        <v>13606</v>
      </c>
      <c r="D58" s="171"/>
      <c r="E58" s="163">
        <f t="shared" si="1"/>
        <v>13606</v>
      </c>
      <c r="F58" s="171">
        <v>13606</v>
      </c>
      <c r="G58" s="171">
        <v>2</v>
      </c>
      <c r="H58" s="171"/>
      <c r="I58" s="171"/>
      <c r="J58" s="171"/>
    </row>
    <row r="59" spans="1:11" x14ac:dyDescent="0.25">
      <c r="A59" s="161">
        <v>55</v>
      </c>
      <c r="B59" s="162" t="s">
        <v>124</v>
      </c>
      <c r="C59" s="163">
        <f t="shared" si="0"/>
        <v>7756</v>
      </c>
      <c r="D59" s="171"/>
      <c r="E59" s="163">
        <f t="shared" si="1"/>
        <v>7756</v>
      </c>
      <c r="F59" s="171">
        <v>7756</v>
      </c>
      <c r="G59" s="171">
        <v>0</v>
      </c>
      <c r="H59" s="171"/>
      <c r="I59" s="171"/>
      <c r="J59" s="171"/>
    </row>
    <row r="60" spans="1:11" x14ac:dyDescent="0.25">
      <c r="A60" s="161">
        <v>56</v>
      </c>
      <c r="B60" s="162" t="s">
        <v>126</v>
      </c>
      <c r="C60" s="163">
        <f t="shared" si="0"/>
        <v>5717</v>
      </c>
      <c r="D60" s="171"/>
      <c r="E60" s="163">
        <f t="shared" si="1"/>
        <v>5717</v>
      </c>
      <c r="F60" s="171">
        <v>5717</v>
      </c>
      <c r="G60" s="171">
        <v>0</v>
      </c>
      <c r="H60" s="171"/>
      <c r="I60" s="171"/>
      <c r="J60" s="171"/>
    </row>
    <row r="61" spans="1:11" x14ac:dyDescent="0.25">
      <c r="A61" s="161">
        <v>57</v>
      </c>
      <c r="B61" s="162" t="s">
        <v>127</v>
      </c>
      <c r="C61" s="163">
        <f t="shared" si="0"/>
        <v>8454</v>
      </c>
      <c r="D61" s="171"/>
      <c r="E61" s="163">
        <f t="shared" si="1"/>
        <v>8454</v>
      </c>
      <c r="F61" s="171">
        <v>8454</v>
      </c>
      <c r="G61" s="171">
        <v>0</v>
      </c>
      <c r="H61" s="171"/>
      <c r="I61" s="171"/>
      <c r="J61" s="171"/>
    </row>
    <row r="62" spans="1:11" x14ac:dyDescent="0.25">
      <c r="A62" s="161">
        <v>58</v>
      </c>
      <c r="B62" s="162" t="s">
        <v>128</v>
      </c>
      <c r="C62" s="163">
        <f t="shared" si="0"/>
        <v>14129</v>
      </c>
      <c r="D62" s="171"/>
      <c r="E62" s="163">
        <f t="shared" si="1"/>
        <v>14129</v>
      </c>
      <c r="F62" s="171">
        <v>14129</v>
      </c>
      <c r="G62" s="171">
        <v>4</v>
      </c>
      <c r="H62" s="171"/>
      <c r="I62" s="171"/>
      <c r="J62" s="171"/>
    </row>
    <row r="63" spans="1:11" x14ac:dyDescent="0.25">
      <c r="A63" s="161">
        <v>59</v>
      </c>
      <c r="B63" s="162" t="s">
        <v>129</v>
      </c>
      <c r="C63" s="163">
        <f t="shared" si="0"/>
        <v>6754</v>
      </c>
      <c r="D63" s="171"/>
      <c r="E63" s="163">
        <f t="shared" si="1"/>
        <v>6754</v>
      </c>
      <c r="F63" s="171">
        <v>6754</v>
      </c>
      <c r="G63" s="171">
        <v>0</v>
      </c>
      <c r="H63" s="171"/>
      <c r="I63" s="171"/>
      <c r="J63" s="171"/>
    </row>
    <row r="64" spans="1:11" ht="16.5" customHeight="1" x14ac:dyDescent="0.25">
      <c r="A64" s="161"/>
      <c r="B64" s="172" t="s">
        <v>430</v>
      </c>
      <c r="C64" s="163">
        <f t="shared" si="0"/>
        <v>11708</v>
      </c>
      <c r="D64" s="171"/>
      <c r="E64" s="163">
        <f>16617-4909</f>
        <v>11708</v>
      </c>
      <c r="F64" s="171"/>
      <c r="G64" s="171"/>
      <c r="H64" s="171"/>
      <c r="I64" s="171"/>
      <c r="J64" s="171"/>
    </row>
    <row r="65" spans="1:10" s="176" customFormat="1" ht="14.25" x14ac:dyDescent="0.2">
      <c r="A65" s="173"/>
      <c r="B65" s="174" t="s">
        <v>149</v>
      </c>
      <c r="C65" s="175">
        <f>SUM(C5:C63)+C64</f>
        <v>1217814</v>
      </c>
      <c r="D65" s="175">
        <f t="shared" ref="D65:J65" si="2">SUM(D5:D63)+D64</f>
        <v>583</v>
      </c>
      <c r="E65" s="175">
        <f t="shared" si="2"/>
        <v>1217231</v>
      </c>
      <c r="F65" s="175">
        <f t="shared" si="2"/>
        <v>1114035</v>
      </c>
      <c r="G65" s="175">
        <f t="shared" si="2"/>
        <v>404</v>
      </c>
      <c r="H65" s="175">
        <f t="shared" si="2"/>
        <v>67753</v>
      </c>
      <c r="I65" s="175">
        <f t="shared" si="2"/>
        <v>91</v>
      </c>
      <c r="J65" s="175">
        <f t="shared" si="2"/>
        <v>23735</v>
      </c>
    </row>
    <row r="66" spans="1:10" s="177" customFormat="1" x14ac:dyDescent="0.25">
      <c r="C66" s="178"/>
      <c r="D66" s="178"/>
      <c r="E66" s="178"/>
      <c r="F66" s="179"/>
      <c r="G66" s="178"/>
      <c r="H66" s="178"/>
      <c r="I66" s="178"/>
      <c r="J66" s="178"/>
    </row>
    <row r="67" spans="1:10" s="177" customFormat="1" x14ac:dyDescent="0.25">
      <c r="C67" s="178"/>
      <c r="D67" s="178"/>
      <c r="E67" s="178"/>
      <c r="F67" s="178"/>
      <c r="G67" s="178"/>
      <c r="H67" s="178"/>
      <c r="I67" s="178"/>
      <c r="J67" s="178"/>
    </row>
  </sheetData>
  <mergeCells count="7">
    <mergeCell ref="A1:J1"/>
    <mergeCell ref="A3:A4"/>
    <mergeCell ref="B3:B4"/>
    <mergeCell ref="C3:C4"/>
    <mergeCell ref="D3:D4"/>
    <mergeCell ref="E3:E4"/>
    <mergeCell ref="F3:J3"/>
  </mergeCells>
  <pageMargins left="0.31496062992125984" right="0" top="0.39370078740157483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КС (пр.108)</vt:lpstr>
      <vt:lpstr>ВМП (пр.108)</vt:lpstr>
      <vt:lpstr>ДС Пр. 108</vt:lpstr>
      <vt:lpstr>ЛДУ Пр.108</vt:lpstr>
      <vt:lpstr> Неотложка и обращения Пр.108</vt:lpstr>
      <vt:lpstr>Частн. МО неот. Пр.108</vt:lpstr>
      <vt:lpstr>СМП(пр.108)</vt:lpstr>
      <vt:lpstr>' Неотложка и обращения Пр.108'!Заголовки_для_печати</vt:lpstr>
      <vt:lpstr>'ВМП (пр.108)'!Заголовки_для_печати</vt:lpstr>
      <vt:lpstr>'ДС Пр. 108'!Заголовки_для_печати</vt:lpstr>
      <vt:lpstr>'КС (пр.108)'!Заголовки_для_печати</vt:lpstr>
      <vt:lpstr>'СМП(пр.108)'!Заголовки_для_печати</vt:lpstr>
      <vt:lpstr>'Частн. МО неот. Пр.108'!Заголовки_для_печати</vt:lpstr>
      <vt:lpstr>'Частн. МО неот. Пр.108'!Область_печати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ocit_1</cp:lastModifiedBy>
  <cp:lastPrinted>2020-01-22T10:17:46Z</cp:lastPrinted>
  <dcterms:created xsi:type="dcterms:W3CDTF">2018-12-06T04:36:54Z</dcterms:created>
  <dcterms:modified xsi:type="dcterms:W3CDTF">2020-01-27T09:49:39Z</dcterms:modified>
</cp:coreProperties>
</file>