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19\Протокол 107\"/>
    </mc:Choice>
  </mc:AlternateContent>
  <bookViews>
    <workbookView xWindow="0" yWindow="60" windowWidth="19200" windowHeight="10875" tabRatio="805"/>
  </bookViews>
  <sheets>
    <sheet name="КС" sheetId="116" r:id="rId1"/>
    <sheet name="ВМП" sheetId="106" r:id="rId2"/>
    <sheet name="ДС Пр. 107" sheetId="88" r:id="rId3"/>
    <sheet name="ДС по кв. Пр. 107" sheetId="102" r:id="rId4"/>
    <sheet name="Гемодиализ Пр. 107" sheetId="90" r:id="rId5"/>
    <sheet name="Гемодиализ по кв. Пр. 107" sheetId="115" r:id="rId6"/>
    <sheet name="ЛДУ Пр. 107" sheetId="89" r:id="rId7"/>
    <sheet name=" Неотложка и обращения Пр.107" sheetId="113" r:id="rId8"/>
    <sheet name="АПУ проф.посещения Пр.107" sheetId="98" r:id="rId9"/>
    <sheet name="ЦЗ пр.107" sheetId="99" r:id="rId10"/>
    <sheet name="Проф.посещ.по меропр. Пр.107" sheetId="101" r:id="rId11"/>
    <sheet name="Частн. МО неот. Пр.107" sheetId="114" r:id="rId12"/>
    <sheet name="Проф.частные МО по спец. Пр.107" sheetId="109" r:id="rId13"/>
    <sheet name="ДВН исслед. Пр.107" sheetId="112" r:id="rId14"/>
  </sheets>
  <externalReferences>
    <externalReference r:id="rId15"/>
    <externalReference r:id="rId16"/>
    <externalReference r:id="rId17"/>
  </externalReferences>
  <definedNames>
    <definedName name="_xlnm._FilterDatabase" localSheetId="11" hidden="1">'Частн. МО неот. Пр.107'!$A$5:$E$5</definedName>
    <definedName name="res2_range" localSheetId="1">#REF!</definedName>
    <definedName name="res2_range" localSheetId="0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Д" localSheetId="0">[2]Данные!$B$1:$EF$178</definedName>
    <definedName name="Д">[3]Данные!$B$1:$EF$178</definedName>
    <definedName name="_xlnm.Print_Titles" localSheetId="7">' Неотложка и обращения Пр.107'!$3:$6</definedName>
    <definedName name="_xlnm.Print_Titles" localSheetId="3">'ДС по кв. Пр. 107'!$3:$4</definedName>
    <definedName name="_xlnm.Print_Titles" localSheetId="0">КС!$3:$5</definedName>
    <definedName name="_xlnm.Print_Titles" localSheetId="11">'Частн. МО неот. Пр.107'!$4:$5</definedName>
    <definedName name="ЗД" localSheetId="0">[2]Данные!$BY$3:$DB$3</definedName>
    <definedName name="ЗД">[3]Данные!$BY$3:$DB$3</definedName>
    <definedName name="_xlnm.Print_Area" localSheetId="11">'Частн. МО неот. Пр.107'!$A$1:$D$27</definedName>
    <definedName name="ФЗ" localSheetId="0">[2]Данные!$DC$3:$EF$3</definedName>
    <definedName name="ФЗ">[3]Данные!$DC$3:$EF$3</definedName>
    <definedName name="Шт" localSheetId="0">[2]Данные!$AU$3:$BX$3</definedName>
    <definedName name="Шт">[3]Данные!$AU$3:$BX$3</definedName>
  </definedNames>
  <calcPr calcId="152511"/>
</workbook>
</file>

<file path=xl/calcChain.xml><?xml version="1.0" encoding="utf-8"?>
<calcChain xmlns="http://schemas.openxmlformats.org/spreadsheetml/2006/main">
  <c r="F54" i="116" l="1"/>
  <c r="F36" i="116"/>
  <c r="F8" i="116"/>
  <c r="F21" i="116"/>
  <c r="F53" i="116"/>
  <c r="F73" i="116"/>
  <c r="F98" i="116"/>
  <c r="G148" i="102" l="1"/>
  <c r="F148" i="102"/>
  <c r="E148" i="102"/>
  <c r="D148" i="102"/>
  <c r="C148" i="102" s="1"/>
  <c r="C147" i="102"/>
  <c r="G146" i="102"/>
  <c r="F146" i="102"/>
  <c r="E146" i="102"/>
  <c r="C145" i="102"/>
  <c r="C144" i="102"/>
  <c r="C143" i="102"/>
  <c r="G142" i="102"/>
  <c r="F142" i="102"/>
  <c r="E142" i="102"/>
  <c r="D142" i="102"/>
  <c r="C142" i="102" s="1"/>
  <c r="G141" i="102"/>
  <c r="F141" i="102"/>
  <c r="E141" i="102"/>
  <c r="D141" i="102"/>
  <c r="C141" i="102" s="1"/>
  <c r="C140" i="102"/>
  <c r="C139" i="102"/>
  <c r="C138" i="102"/>
  <c r="G137" i="102"/>
  <c r="F137" i="102"/>
  <c r="C137" i="102" s="1"/>
  <c r="G136" i="102"/>
  <c r="F136" i="102"/>
  <c r="G135" i="102"/>
  <c r="F135" i="102"/>
  <c r="C135" i="102"/>
  <c r="C134" i="102"/>
  <c r="G133" i="102"/>
  <c r="F133" i="102"/>
  <c r="E133" i="102"/>
  <c r="D133" i="102"/>
  <c r="C133" i="102"/>
  <c r="G132" i="102"/>
  <c r="C132" i="102" s="1"/>
  <c r="G131" i="102"/>
  <c r="F131" i="102"/>
  <c r="E131" i="102"/>
  <c r="C131" i="102"/>
  <c r="G130" i="102"/>
  <c r="C130" i="102"/>
  <c r="G129" i="102"/>
  <c r="F129" i="102"/>
  <c r="E129" i="102"/>
  <c r="D129" i="102"/>
  <c r="C129" i="102" s="1"/>
  <c r="C128" i="102"/>
  <c r="G127" i="102"/>
  <c r="C127" i="102" s="1"/>
  <c r="C126" i="102"/>
  <c r="C125" i="102"/>
  <c r="C124" i="102"/>
  <c r="G123" i="102"/>
  <c r="F123" i="102"/>
  <c r="E123" i="102"/>
  <c r="D123" i="102"/>
  <c r="G122" i="102"/>
  <c r="F122" i="102"/>
  <c r="C122" i="102" s="1"/>
  <c r="G121" i="102"/>
  <c r="F121" i="102"/>
  <c r="G120" i="102"/>
  <c r="F120" i="102"/>
  <c r="C120" i="102" s="1"/>
  <c r="C119" i="102"/>
  <c r="G118" i="102"/>
  <c r="F118" i="102"/>
  <c r="C118" i="102" s="1"/>
  <c r="G117" i="102"/>
  <c r="C117" i="102" s="1"/>
  <c r="G116" i="102"/>
  <c r="F116" i="102"/>
  <c r="G115" i="102"/>
  <c r="E115" i="102"/>
  <c r="D115" i="102"/>
  <c r="C114" i="102"/>
  <c r="G113" i="102"/>
  <c r="F113" i="102"/>
  <c r="C113" i="102" s="1"/>
  <c r="F112" i="102"/>
  <c r="C112" i="102" s="1"/>
  <c r="C111" i="102"/>
  <c r="C110" i="102"/>
  <c r="C109" i="102"/>
  <c r="C108" i="102"/>
  <c r="C107" i="102"/>
  <c r="G106" i="102"/>
  <c r="C106" i="102" s="1"/>
  <c r="C105" i="102"/>
  <c r="C104" i="102"/>
  <c r="C103" i="102"/>
  <c r="C102" i="102"/>
  <c r="G101" i="102"/>
  <c r="F101" i="102"/>
  <c r="C101" i="102" s="1"/>
  <c r="C100" i="102"/>
  <c r="C99" i="102"/>
  <c r="C98" i="102"/>
  <c r="C97" i="102"/>
  <c r="C96" i="102"/>
  <c r="C95" i="102"/>
  <c r="G94" i="102"/>
  <c r="C94" i="102"/>
  <c r="C93" i="102"/>
  <c r="C92" i="102"/>
  <c r="C91" i="102"/>
  <c r="G90" i="102"/>
  <c r="C90" i="102" s="1"/>
  <c r="C89" i="102"/>
  <c r="C88" i="102"/>
  <c r="C87" i="102"/>
  <c r="C86" i="102"/>
  <c r="C85" i="102"/>
  <c r="D84" i="102"/>
  <c r="C84" i="102" s="1"/>
  <c r="G83" i="102"/>
  <c r="F83" i="102"/>
  <c r="G82" i="102"/>
  <c r="F82" i="102"/>
  <c r="C82" i="102" s="1"/>
  <c r="G81" i="102"/>
  <c r="C81" i="102" s="1"/>
  <c r="C80" i="102"/>
  <c r="G79" i="102"/>
  <c r="F79" i="102"/>
  <c r="C79" i="102"/>
  <c r="G78" i="102"/>
  <c r="C78" i="102"/>
  <c r="G77" i="102"/>
  <c r="C77" i="102"/>
  <c r="C76" i="102"/>
  <c r="C75" i="102"/>
  <c r="G74" i="102"/>
  <c r="F74" i="102"/>
  <c r="C74" i="102" s="1"/>
  <c r="G73" i="102"/>
  <c r="F73" i="102"/>
  <c r="E73" i="102"/>
  <c r="D73" i="102"/>
  <c r="C73" i="102" s="1"/>
  <c r="G72" i="102"/>
  <c r="F72" i="102"/>
  <c r="E72" i="102"/>
  <c r="D72" i="102"/>
  <c r="C72" i="102"/>
  <c r="G71" i="102"/>
  <c r="F71" i="102"/>
  <c r="E71" i="102"/>
  <c r="D71" i="102"/>
  <c r="C71" i="102" s="1"/>
  <c r="G70" i="102"/>
  <c r="F70" i="102"/>
  <c r="E70" i="102"/>
  <c r="D70" i="102"/>
  <c r="G69" i="102"/>
  <c r="F69" i="102"/>
  <c r="E69" i="102"/>
  <c r="D69" i="102"/>
  <c r="C69" i="102"/>
  <c r="G68" i="102"/>
  <c r="F68" i="102"/>
  <c r="E68" i="102"/>
  <c r="D68" i="102"/>
  <c r="C68" i="102" s="1"/>
  <c r="C67" i="102"/>
  <c r="C66" i="102"/>
  <c r="C65" i="102"/>
  <c r="C64" i="102"/>
  <c r="C63" i="102"/>
  <c r="C62" i="102"/>
  <c r="C61" i="102"/>
  <c r="C60" i="102"/>
  <c r="G59" i="102"/>
  <c r="C59" i="102" s="1"/>
  <c r="C58" i="102"/>
  <c r="C57" i="102"/>
  <c r="C56" i="102"/>
  <c r="G55" i="102"/>
  <c r="F55" i="102"/>
  <c r="E55" i="102"/>
  <c r="D55" i="102"/>
  <c r="C55" i="102" s="1"/>
  <c r="G54" i="102"/>
  <c r="F54" i="102"/>
  <c r="E54" i="102"/>
  <c r="C54" i="102" s="1"/>
  <c r="C53" i="102"/>
  <c r="C52" i="102"/>
  <c r="C51" i="102"/>
  <c r="G50" i="102"/>
  <c r="F50" i="102"/>
  <c r="C49" i="102"/>
  <c r="G48" i="102"/>
  <c r="F48" i="102"/>
  <c r="C48" i="102" s="1"/>
  <c r="C47" i="102"/>
  <c r="G46" i="102"/>
  <c r="C46" i="102" s="1"/>
  <c r="C45" i="102"/>
  <c r="C44" i="102"/>
  <c r="G43" i="102"/>
  <c r="C43" i="102" s="1"/>
  <c r="C42" i="102"/>
  <c r="G41" i="102"/>
  <c r="C41" i="102" s="1"/>
  <c r="C40" i="102"/>
  <c r="G39" i="102"/>
  <c r="F39" i="102"/>
  <c r="C38" i="102"/>
  <c r="C37" i="102"/>
  <c r="C36" i="102"/>
  <c r="C35" i="102"/>
  <c r="C34" i="102"/>
  <c r="C33" i="102"/>
  <c r="C32" i="102"/>
  <c r="C31" i="102"/>
  <c r="G30" i="102"/>
  <c r="C30" i="102" s="1"/>
  <c r="C29" i="102"/>
  <c r="G28" i="102"/>
  <c r="F28" i="102"/>
  <c r="C28" i="102" s="1"/>
  <c r="C27" i="102"/>
  <c r="C26" i="102"/>
  <c r="C25" i="102"/>
  <c r="C24" i="102"/>
  <c r="G23" i="102"/>
  <c r="C23" i="102" s="1"/>
  <c r="C22" i="102"/>
  <c r="C21" i="102"/>
  <c r="C20" i="102"/>
  <c r="G19" i="102"/>
  <c r="F19" i="102"/>
  <c r="E19" i="102"/>
  <c r="D19" i="102"/>
  <c r="C18" i="102"/>
  <c r="C17" i="102"/>
  <c r="C16" i="102"/>
  <c r="C15" i="102"/>
  <c r="C14" i="102"/>
  <c r="C13" i="102"/>
  <c r="G12" i="102"/>
  <c r="F12" i="102"/>
  <c r="C12" i="102"/>
  <c r="C11" i="102"/>
  <c r="C10" i="102"/>
  <c r="C9" i="102"/>
  <c r="C8" i="102"/>
  <c r="G7" i="102"/>
  <c r="F7" i="102"/>
  <c r="C7" i="102" s="1"/>
  <c r="G6" i="102"/>
  <c r="F6" i="102"/>
  <c r="D6" i="102"/>
  <c r="C50" i="102" l="1"/>
  <c r="C123" i="102"/>
  <c r="C39" i="102"/>
  <c r="C116" i="102"/>
  <c r="E149" i="102"/>
  <c r="C6" i="102"/>
  <c r="C19" i="102"/>
  <c r="C70" i="102"/>
  <c r="C83" i="102"/>
  <c r="D149" i="102"/>
  <c r="G149" i="102"/>
  <c r="C121" i="102"/>
  <c r="C136" i="102"/>
  <c r="C146" i="102"/>
  <c r="F115" i="102"/>
  <c r="D146" i="88"/>
  <c r="C146" i="88" s="1"/>
  <c r="G148" i="88"/>
  <c r="D148" i="88"/>
  <c r="C148" i="88" s="1"/>
  <c r="C147" i="88"/>
  <c r="H146" i="88"/>
  <c r="H142" i="88" s="1"/>
  <c r="C145" i="88"/>
  <c r="C144" i="88"/>
  <c r="C143" i="88"/>
  <c r="I142" i="88"/>
  <c r="I149" i="88" s="1"/>
  <c r="G142" i="88"/>
  <c r="F142" i="88"/>
  <c r="E142" i="88"/>
  <c r="D141" i="88"/>
  <c r="C141" i="88"/>
  <c r="C140" i="88"/>
  <c r="F139" i="88"/>
  <c r="C139" i="88"/>
  <c r="C138" i="88"/>
  <c r="F137" i="88"/>
  <c r="D137" i="88"/>
  <c r="C137" i="88" s="1"/>
  <c r="G136" i="88"/>
  <c r="D136" i="88"/>
  <c r="C136" i="88" s="1"/>
  <c r="D135" i="88"/>
  <c r="C135" i="88" s="1"/>
  <c r="C134" i="88"/>
  <c r="D133" i="88"/>
  <c r="C133" i="88" s="1"/>
  <c r="E132" i="88"/>
  <c r="D132" i="88"/>
  <c r="C132" i="88"/>
  <c r="E131" i="88"/>
  <c r="D131" i="88"/>
  <c r="C131" i="88" s="1"/>
  <c r="H130" i="88"/>
  <c r="H129" i="88" s="1"/>
  <c r="F130" i="88"/>
  <c r="F129" i="88" s="1"/>
  <c r="E130" i="88"/>
  <c r="D130" i="88"/>
  <c r="C130" i="88" s="1"/>
  <c r="G129" i="88"/>
  <c r="E129" i="88"/>
  <c r="C128" i="88"/>
  <c r="H127" i="88"/>
  <c r="D127" i="88"/>
  <c r="C127" i="88"/>
  <c r="D126" i="88"/>
  <c r="C126" i="88"/>
  <c r="C125" i="88"/>
  <c r="C124" i="88"/>
  <c r="D123" i="88"/>
  <c r="C123" i="88"/>
  <c r="D122" i="88"/>
  <c r="C122" i="88"/>
  <c r="G121" i="88"/>
  <c r="D121" i="88"/>
  <c r="C121" i="88" s="1"/>
  <c r="D120" i="88"/>
  <c r="C120" i="88" s="1"/>
  <c r="C119" i="88"/>
  <c r="G118" i="88"/>
  <c r="D118" i="88"/>
  <c r="C118" i="88"/>
  <c r="D117" i="88"/>
  <c r="C117" i="88"/>
  <c r="D116" i="88"/>
  <c r="C116" i="88"/>
  <c r="D115" i="88"/>
  <c r="C115" i="88"/>
  <c r="C114" i="88"/>
  <c r="G113" i="88"/>
  <c r="D113" i="88"/>
  <c r="C113" i="88"/>
  <c r="D112" i="88"/>
  <c r="C112" i="88"/>
  <c r="C111" i="88"/>
  <c r="C110" i="88"/>
  <c r="C109" i="88"/>
  <c r="C108" i="88"/>
  <c r="C107" i="88"/>
  <c r="H106" i="88"/>
  <c r="D106" i="88"/>
  <c r="C106" i="88"/>
  <c r="C105" i="88"/>
  <c r="C104" i="88"/>
  <c r="C103" i="88"/>
  <c r="C102" i="88"/>
  <c r="D101" i="88"/>
  <c r="C101" i="88"/>
  <c r="C100" i="88"/>
  <c r="C99" i="88"/>
  <c r="C98" i="88"/>
  <c r="C97" i="88"/>
  <c r="C96" i="88"/>
  <c r="C95" i="88"/>
  <c r="H94" i="88"/>
  <c r="F94" i="88"/>
  <c r="D94" i="88"/>
  <c r="C94" i="88"/>
  <c r="C93" i="88"/>
  <c r="D92" i="88"/>
  <c r="C92" i="88" s="1"/>
  <c r="C91" i="88"/>
  <c r="H90" i="88"/>
  <c r="D90" i="88"/>
  <c r="C90" i="88" s="1"/>
  <c r="C89" i="88"/>
  <c r="C88" i="88"/>
  <c r="C87" i="88"/>
  <c r="C86" i="88"/>
  <c r="C85" i="88"/>
  <c r="D84" i="88"/>
  <c r="C84" i="88"/>
  <c r="D83" i="88"/>
  <c r="C83" i="88"/>
  <c r="D82" i="88"/>
  <c r="C82" i="88"/>
  <c r="H81" i="88"/>
  <c r="D81" i="88"/>
  <c r="C81" i="88" s="1"/>
  <c r="C80" i="88"/>
  <c r="F79" i="88"/>
  <c r="D79" i="88"/>
  <c r="C79" i="88" s="1"/>
  <c r="D78" i="88"/>
  <c r="C78" i="88" s="1"/>
  <c r="H77" i="88"/>
  <c r="D77" i="88"/>
  <c r="C77" i="88" s="1"/>
  <c r="C76" i="88"/>
  <c r="C75" i="88"/>
  <c r="D74" i="88"/>
  <c r="C74" i="88" s="1"/>
  <c r="E73" i="88"/>
  <c r="D73" i="88"/>
  <c r="C73" i="88" s="1"/>
  <c r="E72" i="88"/>
  <c r="D72" i="88"/>
  <c r="C72" i="88"/>
  <c r="E71" i="88"/>
  <c r="D71" i="88"/>
  <c r="C71" i="88" s="1"/>
  <c r="E70" i="88"/>
  <c r="D70" i="88"/>
  <c r="C70" i="88" s="1"/>
  <c r="E69" i="88"/>
  <c r="D69" i="88"/>
  <c r="C69" i="88" s="1"/>
  <c r="E68" i="88"/>
  <c r="E149" i="88" s="1"/>
  <c r="D68" i="88"/>
  <c r="C68" i="88"/>
  <c r="C67" i="88"/>
  <c r="C66" i="88"/>
  <c r="C65" i="88"/>
  <c r="C64" i="88"/>
  <c r="C63" i="88"/>
  <c r="C62" i="88"/>
  <c r="C61" i="88"/>
  <c r="C60" i="88"/>
  <c r="H59" i="88"/>
  <c r="D59" i="88"/>
  <c r="C59" i="88" s="1"/>
  <c r="H58" i="88"/>
  <c r="C58" i="88"/>
  <c r="C57" i="88"/>
  <c r="C56" i="88"/>
  <c r="H55" i="88"/>
  <c r="D55" i="88"/>
  <c r="C55" i="88" s="1"/>
  <c r="D54" i="88"/>
  <c r="C54" i="88" s="1"/>
  <c r="C53" i="88"/>
  <c r="C52" i="88"/>
  <c r="C51" i="88"/>
  <c r="D50" i="88"/>
  <c r="C50" i="88" s="1"/>
  <c r="C49" i="88"/>
  <c r="D48" i="88"/>
  <c r="C48" i="88"/>
  <c r="C47" i="88"/>
  <c r="H46" i="88"/>
  <c r="D46" i="88"/>
  <c r="C46" i="88"/>
  <c r="C45" i="88"/>
  <c r="C44" i="88"/>
  <c r="H43" i="88"/>
  <c r="D43" i="88"/>
  <c r="C43" i="88" s="1"/>
  <c r="C42" i="88"/>
  <c r="D41" i="88"/>
  <c r="C41" i="88" s="1"/>
  <c r="C40" i="88"/>
  <c r="H39" i="88"/>
  <c r="D39" i="88"/>
  <c r="C39" i="88" s="1"/>
  <c r="C38" i="88"/>
  <c r="C37" i="88"/>
  <c r="C36" i="88"/>
  <c r="C35" i="88"/>
  <c r="C34" i="88"/>
  <c r="C33" i="88"/>
  <c r="C32" i="88"/>
  <c r="C31" i="88"/>
  <c r="H30" i="88"/>
  <c r="D30" i="88"/>
  <c r="C30" i="88" s="1"/>
  <c r="C29" i="88"/>
  <c r="D28" i="88"/>
  <c r="C28" i="88"/>
  <c r="D27" i="88"/>
  <c r="C27" i="88"/>
  <c r="C26" i="88"/>
  <c r="C25" i="88"/>
  <c r="C24" i="88"/>
  <c r="H23" i="88"/>
  <c r="D23" i="88"/>
  <c r="C23" i="88"/>
  <c r="C22" i="88"/>
  <c r="D21" i="88"/>
  <c r="C21" i="88" s="1"/>
  <c r="C20" i="88"/>
  <c r="D19" i="88"/>
  <c r="C19" i="88" s="1"/>
  <c r="C18" i="88"/>
  <c r="C17" i="88"/>
  <c r="C16" i="88"/>
  <c r="C15" i="88"/>
  <c r="C14" i="88"/>
  <c r="C13" i="88"/>
  <c r="D12" i="88"/>
  <c r="C12" i="88" s="1"/>
  <c r="C11" i="88"/>
  <c r="C10" i="88"/>
  <c r="C9" i="88"/>
  <c r="C8" i="88"/>
  <c r="D7" i="88"/>
  <c r="C7" i="88" s="1"/>
  <c r="H6" i="88"/>
  <c r="D6" i="88"/>
  <c r="C6" i="88" s="1"/>
  <c r="F149" i="102" l="1"/>
  <c r="C115" i="102"/>
  <c r="C149" i="102" s="1"/>
  <c r="H149" i="88"/>
  <c r="F149" i="88"/>
  <c r="C129" i="88"/>
  <c r="D142" i="88"/>
  <c r="C142" i="88" s="1"/>
  <c r="G149" i="88"/>
  <c r="C149" i="88"/>
  <c r="D129" i="88"/>
  <c r="D149" i="88" s="1"/>
  <c r="H111" i="116"/>
  <c r="G111" i="116"/>
  <c r="D111" i="116"/>
  <c r="C111" i="116" s="1"/>
  <c r="F110" i="116"/>
  <c r="C110" i="116" s="1"/>
  <c r="C109" i="116"/>
  <c r="C108" i="116"/>
  <c r="F107" i="116"/>
  <c r="C107" i="116" s="1"/>
  <c r="H106" i="116"/>
  <c r="F106" i="116"/>
  <c r="D106" i="116"/>
  <c r="H105" i="116"/>
  <c r="G105" i="116"/>
  <c r="D105" i="116"/>
  <c r="C104" i="116"/>
  <c r="F103" i="116"/>
  <c r="D103" i="116"/>
  <c r="C103" i="116" s="1"/>
  <c r="C102" i="116"/>
  <c r="F101" i="116"/>
  <c r="C101" i="116" s="1"/>
  <c r="H100" i="116"/>
  <c r="F100" i="116"/>
  <c r="E100" i="116"/>
  <c r="D100" i="116"/>
  <c r="C100" i="116" s="1"/>
  <c r="F99" i="116"/>
  <c r="D99" i="116"/>
  <c r="C99" i="116" s="1"/>
  <c r="H98" i="116"/>
  <c r="E98" i="116"/>
  <c r="D98" i="116"/>
  <c r="C98" i="116" s="1"/>
  <c r="H97" i="116"/>
  <c r="G97" i="116"/>
  <c r="F97" i="116"/>
  <c r="D97" i="116"/>
  <c r="C97" i="116" s="1"/>
  <c r="C96" i="116"/>
  <c r="C95" i="116"/>
  <c r="C93" i="116"/>
  <c r="C92" i="116"/>
  <c r="F91" i="116"/>
  <c r="D91" i="116"/>
  <c r="C91" i="116" s="1"/>
  <c r="H90" i="116"/>
  <c r="F90" i="116"/>
  <c r="C90" i="116" s="1"/>
  <c r="C89" i="116"/>
  <c r="H88" i="116"/>
  <c r="C88" i="116"/>
  <c r="C87" i="116"/>
  <c r="C86" i="116"/>
  <c r="H85" i="116"/>
  <c r="F85" i="116"/>
  <c r="D85" i="116"/>
  <c r="C85" i="116" s="1"/>
  <c r="H84" i="116"/>
  <c r="C84" i="116"/>
  <c r="C83" i="116"/>
  <c r="C82" i="116"/>
  <c r="H81" i="116"/>
  <c r="C81" i="116"/>
  <c r="C80" i="116"/>
  <c r="C79" i="116"/>
  <c r="H78" i="116"/>
  <c r="C78" i="116"/>
  <c r="H77" i="116"/>
  <c r="C77" i="116"/>
  <c r="C76" i="116"/>
  <c r="C75" i="116"/>
  <c r="C74" i="116"/>
  <c r="H73" i="116"/>
  <c r="E73" i="116"/>
  <c r="D73" i="116"/>
  <c r="C72" i="116"/>
  <c r="H71" i="116"/>
  <c r="F71" i="116"/>
  <c r="D71" i="116"/>
  <c r="C71" i="116"/>
  <c r="F70" i="116"/>
  <c r="C70" i="116" s="1"/>
  <c r="H69" i="116"/>
  <c r="F69" i="116"/>
  <c r="D69" i="116"/>
  <c r="C69" i="116" s="1"/>
  <c r="C68" i="116"/>
  <c r="C67" i="116"/>
  <c r="C66" i="116"/>
  <c r="H65" i="116"/>
  <c r="C65" i="116"/>
  <c r="C64" i="116"/>
  <c r="H63" i="116"/>
  <c r="C63" i="116"/>
  <c r="C62" i="116"/>
  <c r="C61" i="116"/>
  <c r="C60" i="116"/>
  <c r="C59" i="116"/>
  <c r="C58" i="116"/>
  <c r="C57" i="116"/>
  <c r="C56" i="116"/>
  <c r="C55" i="116"/>
  <c r="H54" i="116"/>
  <c r="C54" i="116"/>
  <c r="H53" i="116"/>
  <c r="C53" i="116"/>
  <c r="H52" i="116"/>
  <c r="F52" i="116"/>
  <c r="C52" i="116"/>
  <c r="H51" i="116"/>
  <c r="F51" i="116"/>
  <c r="E51" i="116"/>
  <c r="D51" i="116"/>
  <c r="C51" i="116" s="1"/>
  <c r="F50" i="116"/>
  <c r="C50" i="116" s="1"/>
  <c r="C49" i="116"/>
  <c r="H48" i="116"/>
  <c r="F48" i="116"/>
  <c r="C48" i="116" s="1"/>
  <c r="C47" i="116"/>
  <c r="C46" i="116"/>
  <c r="C45" i="116"/>
  <c r="H44" i="116"/>
  <c r="C44" i="116"/>
  <c r="H43" i="116"/>
  <c r="F43" i="116"/>
  <c r="C43" i="116" s="1"/>
  <c r="H42" i="116"/>
  <c r="F42" i="116"/>
  <c r="C42" i="116"/>
  <c r="C41" i="116"/>
  <c r="H40" i="116"/>
  <c r="G40" i="116"/>
  <c r="F40" i="116"/>
  <c r="C40" i="116" s="1"/>
  <c r="C39" i="116"/>
  <c r="F38" i="116"/>
  <c r="C38" i="116" s="1"/>
  <c r="C37" i="116"/>
  <c r="H36" i="116"/>
  <c r="D36" i="116"/>
  <c r="C36" i="116"/>
  <c r="C35" i="116"/>
  <c r="C34" i="116"/>
  <c r="C33" i="116"/>
  <c r="C32" i="116"/>
  <c r="C31" i="116"/>
  <c r="H30" i="116"/>
  <c r="F30" i="116"/>
  <c r="C30" i="116" s="1"/>
  <c r="C29" i="116"/>
  <c r="H28" i="116"/>
  <c r="F28" i="116"/>
  <c r="D28" i="116"/>
  <c r="C28" i="116"/>
  <c r="C27" i="116"/>
  <c r="F26" i="116"/>
  <c r="C26" i="116" s="1"/>
  <c r="C25" i="116"/>
  <c r="C24" i="116"/>
  <c r="C23" i="116"/>
  <c r="H22" i="116"/>
  <c r="C22" i="116"/>
  <c r="H21" i="116"/>
  <c r="C21" i="116"/>
  <c r="C20" i="116"/>
  <c r="H19" i="116"/>
  <c r="F19" i="116"/>
  <c r="C19" i="116" s="1"/>
  <c r="C18" i="116"/>
  <c r="C17" i="116"/>
  <c r="C16" i="116"/>
  <c r="C15" i="116"/>
  <c r="C14" i="116"/>
  <c r="H13" i="116"/>
  <c r="C13" i="116"/>
  <c r="H12" i="116"/>
  <c r="C12" i="116"/>
  <c r="C11" i="116"/>
  <c r="C10" i="116"/>
  <c r="C9" i="116"/>
  <c r="H8" i="116"/>
  <c r="G8" i="116"/>
  <c r="D8" i="116"/>
  <c r="C8" i="116" s="1"/>
  <c r="C7" i="116"/>
  <c r="A7" i="116"/>
  <c r="A8" i="116" s="1"/>
  <c r="A10" i="116" s="1"/>
  <c r="A11" i="116" s="1"/>
  <c r="A12" i="116" s="1"/>
  <c r="A13" i="116" s="1"/>
  <c r="A14" i="116" s="1"/>
  <c r="A15" i="116" s="1"/>
  <c r="A16" i="116" s="1"/>
  <c r="A17" i="116" s="1"/>
  <c r="A18" i="116" s="1"/>
  <c r="A19" i="116" s="1"/>
  <c r="A20" i="116" s="1"/>
  <c r="A21" i="116" s="1"/>
  <c r="A22" i="116" s="1"/>
  <c r="A23" i="116" s="1"/>
  <c r="A24" i="116" s="1"/>
  <c r="A25" i="116" s="1"/>
  <c r="A26" i="116" s="1"/>
  <c r="A27" i="116" s="1"/>
  <c r="A28" i="116" s="1"/>
  <c r="A29" i="116" s="1"/>
  <c r="A30" i="116" s="1"/>
  <c r="A31" i="116" s="1"/>
  <c r="A33" i="116" s="1"/>
  <c r="A34" i="116" s="1"/>
  <c r="A35" i="116" s="1"/>
  <c r="A36" i="116" s="1"/>
  <c r="A39" i="116" s="1"/>
  <c r="A40" i="116" s="1"/>
  <c r="A42" i="116" s="1"/>
  <c r="A43" i="116" s="1"/>
  <c r="A44" i="116" s="1"/>
  <c r="A45" i="116" s="1"/>
  <c r="A46" i="116" s="1"/>
  <c r="A47" i="116" s="1"/>
  <c r="A48" i="116" s="1"/>
  <c r="A49" i="116" s="1"/>
  <c r="A50" i="116" s="1"/>
  <c r="A51" i="116" s="1"/>
  <c r="A52" i="116" s="1"/>
  <c r="A53" i="116" s="1"/>
  <c r="A54" i="116" s="1"/>
  <c r="A55" i="116" s="1"/>
  <c r="A56" i="116" s="1"/>
  <c r="A57" i="116" s="1"/>
  <c r="A58" i="116" s="1"/>
  <c r="A59" i="116" s="1"/>
  <c r="A60" i="116" s="1"/>
  <c r="A61" i="116" s="1"/>
  <c r="A62" i="116" s="1"/>
  <c r="A63" i="116" s="1"/>
  <c r="A64" i="116" s="1"/>
  <c r="A65" i="116" s="1"/>
  <c r="A66" i="116" s="1"/>
  <c r="A67" i="116" s="1"/>
  <c r="A68" i="116" s="1"/>
  <c r="A69" i="116" s="1"/>
  <c r="A70" i="116" s="1"/>
  <c r="A71" i="116" s="1"/>
  <c r="A72" i="116" s="1"/>
  <c r="A73" i="116" s="1"/>
  <c r="A74" i="116" s="1"/>
  <c r="A75" i="116" s="1"/>
  <c r="A76" i="116" s="1"/>
  <c r="A77" i="116" s="1"/>
  <c r="A78" i="116" s="1"/>
  <c r="A79" i="116" s="1"/>
  <c r="A80" i="116" s="1"/>
  <c r="A81" i="116" s="1"/>
  <c r="A82" i="116" s="1"/>
  <c r="A83" i="116" s="1"/>
  <c r="A84" i="116" s="1"/>
  <c r="A85" i="116" s="1"/>
  <c r="A86" i="116" s="1"/>
  <c r="A87" i="116" s="1"/>
  <c r="A88" i="116" s="1"/>
  <c r="A89" i="116" s="1"/>
  <c r="A90" i="116" s="1"/>
  <c r="A91" i="116" s="1"/>
  <c r="A92" i="116" s="1"/>
  <c r="A93" i="116" s="1"/>
  <c r="A94" i="116" s="1"/>
  <c r="A95" i="116" s="1"/>
  <c r="A96" i="116" s="1"/>
  <c r="A97" i="116" s="1"/>
  <c r="A98" i="116" s="1"/>
  <c r="A99" i="116" s="1"/>
  <c r="A100" i="116" s="1"/>
  <c r="A101" i="116" s="1"/>
  <c r="A102" i="116" s="1"/>
  <c r="A103" i="116" s="1"/>
  <c r="A104" i="116" s="1"/>
  <c r="A105" i="116" s="1"/>
  <c r="A106" i="116" s="1"/>
  <c r="A108" i="116" s="1"/>
  <c r="H6" i="116"/>
  <c r="F6" i="116"/>
  <c r="C6" i="116"/>
  <c r="F112" i="116" l="1"/>
  <c r="E112" i="116"/>
  <c r="C105" i="116"/>
  <c r="C106" i="116"/>
  <c r="I112" i="116"/>
  <c r="C94" i="116"/>
  <c r="H112" i="116"/>
  <c r="G112" i="116"/>
  <c r="C73" i="116"/>
  <c r="C112" i="116" s="1"/>
  <c r="D112" i="116"/>
  <c r="H22" i="115"/>
  <c r="G22" i="115"/>
  <c r="F22" i="115"/>
  <c r="E22" i="115"/>
  <c r="K21" i="115"/>
  <c r="I21" i="115" s="1"/>
  <c r="D21" i="115"/>
  <c r="I20" i="115"/>
  <c r="D20" i="115"/>
  <c r="C20" i="115"/>
  <c r="I13" i="115"/>
  <c r="D13" i="115"/>
  <c r="C13" i="115" s="1"/>
  <c r="K12" i="115"/>
  <c r="I12" i="115" s="1"/>
  <c r="D12" i="115"/>
  <c r="C12" i="115" s="1"/>
  <c r="I11" i="115"/>
  <c r="D11" i="115"/>
  <c r="C11" i="115"/>
  <c r="K10" i="115"/>
  <c r="I10" i="115"/>
  <c r="D10" i="115"/>
  <c r="C10" i="115"/>
  <c r="M9" i="115"/>
  <c r="M22" i="115" s="1"/>
  <c r="L9" i="115"/>
  <c r="L22" i="115" s="1"/>
  <c r="K9" i="115"/>
  <c r="K22" i="115" s="1"/>
  <c r="J9" i="115"/>
  <c r="I9" i="115" s="1"/>
  <c r="D9" i="115"/>
  <c r="C9" i="115" s="1"/>
  <c r="I8" i="115"/>
  <c r="F8" i="115"/>
  <c r="D8" i="115"/>
  <c r="C8" i="115" s="1"/>
  <c r="I22" i="115" l="1"/>
  <c r="C21" i="115"/>
  <c r="C22" i="115" s="1"/>
  <c r="D22" i="115"/>
  <c r="J22" i="115"/>
  <c r="N55" i="89" l="1"/>
  <c r="L55" i="89"/>
  <c r="R54" i="89"/>
  <c r="M54" i="89"/>
  <c r="K54" i="89"/>
  <c r="I54" i="89"/>
  <c r="G54" i="89"/>
  <c r="E54" i="89"/>
  <c r="C54" i="89"/>
  <c r="Q53" i="89"/>
  <c r="P53" i="89"/>
  <c r="J53" i="89"/>
  <c r="F53" i="89"/>
  <c r="R52" i="89"/>
  <c r="G52" i="89"/>
  <c r="J52" i="89" s="1"/>
  <c r="F52" i="89"/>
  <c r="R51" i="89"/>
  <c r="J51" i="89"/>
  <c r="F51" i="89"/>
  <c r="S51" i="89" s="1"/>
  <c r="Q50" i="89"/>
  <c r="P50" i="89"/>
  <c r="R50" i="89" s="1"/>
  <c r="J50" i="89"/>
  <c r="D50" i="89"/>
  <c r="C50" i="89"/>
  <c r="R49" i="89"/>
  <c r="J49" i="89"/>
  <c r="F49" i="89"/>
  <c r="S49" i="89" s="1"/>
  <c r="R48" i="89"/>
  <c r="J48" i="89"/>
  <c r="C48" i="89"/>
  <c r="F48" i="89" s="1"/>
  <c r="S48" i="89" s="1"/>
  <c r="R47" i="89"/>
  <c r="O47" i="89"/>
  <c r="O55" i="89" s="1"/>
  <c r="J47" i="89"/>
  <c r="F47" i="89"/>
  <c r="S47" i="89" s="1"/>
  <c r="R46" i="89"/>
  <c r="K46" i="89"/>
  <c r="M46" i="89" s="1"/>
  <c r="J46" i="89"/>
  <c r="D46" i="89"/>
  <c r="C46" i="89"/>
  <c r="R45" i="89"/>
  <c r="I45" i="89"/>
  <c r="H45" i="89"/>
  <c r="G45" i="89"/>
  <c r="E45" i="89"/>
  <c r="D45" i="89"/>
  <c r="C45" i="89"/>
  <c r="F45" i="89" s="1"/>
  <c r="R44" i="89"/>
  <c r="J44" i="89"/>
  <c r="D44" i="89"/>
  <c r="C44" i="89"/>
  <c r="F44" i="89" s="1"/>
  <c r="S44" i="89" s="1"/>
  <c r="Q43" i="89"/>
  <c r="P43" i="89"/>
  <c r="R43" i="89" s="1"/>
  <c r="I43" i="89"/>
  <c r="G43" i="89"/>
  <c r="J43" i="89" s="1"/>
  <c r="F43" i="89"/>
  <c r="R42" i="89"/>
  <c r="J42" i="89"/>
  <c r="F42" i="89"/>
  <c r="S42" i="89" s="1"/>
  <c r="R41" i="89"/>
  <c r="K41" i="89"/>
  <c r="M41" i="89" s="1"/>
  <c r="J41" i="89"/>
  <c r="E41" i="89"/>
  <c r="C41" i="89"/>
  <c r="R40" i="89"/>
  <c r="K40" i="89"/>
  <c r="M40" i="89" s="1"/>
  <c r="I40" i="89"/>
  <c r="G40" i="89"/>
  <c r="E40" i="89"/>
  <c r="C40" i="89"/>
  <c r="R39" i="89"/>
  <c r="K39" i="89"/>
  <c r="I39" i="89"/>
  <c r="I55" i="89" s="1"/>
  <c r="G39" i="89"/>
  <c r="E39" i="89"/>
  <c r="C39" i="89"/>
  <c r="R38" i="89"/>
  <c r="H38" i="89"/>
  <c r="G38" i="89"/>
  <c r="F38" i="89"/>
  <c r="R37" i="89"/>
  <c r="G37" i="89"/>
  <c r="J37" i="89" s="1"/>
  <c r="F37" i="89"/>
  <c r="R36" i="89"/>
  <c r="J36" i="89"/>
  <c r="G36" i="89"/>
  <c r="F36" i="89"/>
  <c r="S36" i="89" s="1"/>
  <c r="R35" i="89"/>
  <c r="M35" i="89"/>
  <c r="J35" i="89"/>
  <c r="F35" i="89"/>
  <c r="S35" i="89" s="1"/>
  <c r="Q34" i="89"/>
  <c r="P34" i="89"/>
  <c r="J34" i="89"/>
  <c r="F34" i="89"/>
  <c r="R33" i="89"/>
  <c r="J33" i="89"/>
  <c r="D33" i="89"/>
  <c r="C33" i="89"/>
  <c r="F33" i="89" s="1"/>
  <c r="S33" i="89" s="1"/>
  <c r="R32" i="89"/>
  <c r="J32" i="89"/>
  <c r="S32" i="89" s="1"/>
  <c r="F32" i="89"/>
  <c r="Q31" i="89"/>
  <c r="P31" i="89"/>
  <c r="J31" i="89"/>
  <c r="D31" i="89"/>
  <c r="C31" i="89"/>
  <c r="F31" i="89" s="1"/>
  <c r="R30" i="89"/>
  <c r="J30" i="89"/>
  <c r="D30" i="89"/>
  <c r="C30" i="89"/>
  <c r="R29" i="89"/>
  <c r="J29" i="89"/>
  <c r="S29" i="89" s="1"/>
  <c r="F29" i="89"/>
  <c r="Q28" i="89"/>
  <c r="P28" i="89"/>
  <c r="J28" i="89"/>
  <c r="F28" i="89"/>
  <c r="R27" i="89"/>
  <c r="J27" i="89"/>
  <c r="C27" i="89"/>
  <c r="F27" i="89" s="1"/>
  <c r="S27" i="89" s="1"/>
  <c r="R26" i="89"/>
  <c r="J26" i="89"/>
  <c r="C26" i="89"/>
  <c r="F26" i="89" s="1"/>
  <c r="S26" i="89" s="1"/>
  <c r="Q25" i="89"/>
  <c r="P25" i="89"/>
  <c r="J25" i="89"/>
  <c r="D25" i="89"/>
  <c r="C25" i="89"/>
  <c r="Q24" i="89"/>
  <c r="P24" i="89"/>
  <c r="J24" i="89"/>
  <c r="C24" i="89"/>
  <c r="F24" i="89" s="1"/>
  <c r="Q23" i="89"/>
  <c r="P23" i="89"/>
  <c r="J23" i="89"/>
  <c r="F23" i="89"/>
  <c r="Q22" i="89"/>
  <c r="P22" i="89"/>
  <c r="J22" i="89"/>
  <c r="F22" i="89"/>
  <c r="Q21" i="89"/>
  <c r="P21" i="89"/>
  <c r="J21" i="89"/>
  <c r="F21" i="89"/>
  <c r="R20" i="89"/>
  <c r="J20" i="89"/>
  <c r="F20" i="89"/>
  <c r="S20" i="89" s="1"/>
  <c r="C20" i="89"/>
  <c r="Q19" i="89"/>
  <c r="P19" i="89"/>
  <c r="J19" i="89"/>
  <c r="D19" i="89"/>
  <c r="C19" i="89"/>
  <c r="F19" i="89" s="1"/>
  <c r="R18" i="89"/>
  <c r="J18" i="89"/>
  <c r="S18" i="89" s="1"/>
  <c r="F18" i="89"/>
  <c r="Q17" i="89"/>
  <c r="P17" i="89"/>
  <c r="J17" i="89"/>
  <c r="F17" i="89"/>
  <c r="R16" i="89"/>
  <c r="H16" i="89"/>
  <c r="G16" i="89"/>
  <c r="J16" i="89" s="1"/>
  <c r="E16" i="89"/>
  <c r="D16" i="89"/>
  <c r="C16" i="89"/>
  <c r="R15" i="89"/>
  <c r="J15" i="89"/>
  <c r="F15" i="89"/>
  <c r="S15" i="89" s="1"/>
  <c r="R14" i="89"/>
  <c r="G14" i="89"/>
  <c r="F14" i="89"/>
  <c r="Q13" i="89"/>
  <c r="P13" i="89"/>
  <c r="J13" i="89"/>
  <c r="F13" i="89"/>
  <c r="R12" i="89"/>
  <c r="J12" i="89"/>
  <c r="F12" i="89"/>
  <c r="Q11" i="89"/>
  <c r="P11" i="89"/>
  <c r="J11" i="89"/>
  <c r="F11" i="89"/>
  <c r="Q10" i="89"/>
  <c r="P10" i="89"/>
  <c r="R10" i="89" s="1"/>
  <c r="J10" i="89"/>
  <c r="E10" i="89"/>
  <c r="C10" i="89"/>
  <c r="R9" i="89"/>
  <c r="J9" i="89"/>
  <c r="E9" i="89"/>
  <c r="F9" i="89" s="1"/>
  <c r="Q8" i="89"/>
  <c r="P8" i="89"/>
  <c r="R8" i="89" s="1"/>
  <c r="J8" i="89"/>
  <c r="F8" i="89"/>
  <c r="E8" i="89"/>
  <c r="R7" i="89"/>
  <c r="J7" i="89"/>
  <c r="D7" i="89"/>
  <c r="F7" i="89" s="1"/>
  <c r="Q6" i="89"/>
  <c r="P6" i="89"/>
  <c r="P55" i="89" s="1"/>
  <c r="J6" i="89"/>
  <c r="F6" i="89"/>
  <c r="R5" i="89"/>
  <c r="J5" i="89"/>
  <c r="D5" i="89"/>
  <c r="C5" i="89"/>
  <c r="J21" i="90"/>
  <c r="P20" i="90"/>
  <c r="M20" i="90"/>
  <c r="I20" i="90"/>
  <c r="P19" i="90"/>
  <c r="M19" i="90"/>
  <c r="K19" i="90" s="1"/>
  <c r="P18" i="90"/>
  <c r="K18" i="90"/>
  <c r="P17" i="90"/>
  <c r="K17" i="90"/>
  <c r="P16" i="90"/>
  <c r="K16" i="90"/>
  <c r="H16" i="90" s="1"/>
  <c r="C16" i="90" s="1"/>
  <c r="F16" i="90"/>
  <c r="P15" i="90"/>
  <c r="K15" i="90"/>
  <c r="F15" i="90"/>
  <c r="P14" i="90"/>
  <c r="K14" i="90"/>
  <c r="H14" i="90" s="1"/>
  <c r="C14" i="90" s="1"/>
  <c r="F14" i="90"/>
  <c r="P13" i="90"/>
  <c r="K13" i="90"/>
  <c r="R12" i="90"/>
  <c r="P12" i="90" s="1"/>
  <c r="N12" i="90"/>
  <c r="M12" i="90"/>
  <c r="D12" i="90"/>
  <c r="R11" i="90"/>
  <c r="P11" i="90" s="1"/>
  <c r="N11" i="90"/>
  <c r="M11" i="90"/>
  <c r="K11" i="90" s="1"/>
  <c r="R10" i="90"/>
  <c r="P10" i="90" s="1"/>
  <c r="N10" i="90"/>
  <c r="M10" i="90"/>
  <c r="L10" i="90"/>
  <c r="D10" i="90"/>
  <c r="R9" i="90"/>
  <c r="N9" i="90"/>
  <c r="M9" i="90"/>
  <c r="D9" i="90"/>
  <c r="D21" i="90" s="1"/>
  <c r="T8" i="90"/>
  <c r="T21" i="90" s="1"/>
  <c r="S8" i="90"/>
  <c r="S21" i="90" s="1"/>
  <c r="R8" i="90"/>
  <c r="Q8" i="90"/>
  <c r="O8" i="90"/>
  <c r="O21" i="90" s="1"/>
  <c r="N8" i="90"/>
  <c r="M8" i="90"/>
  <c r="L8" i="90"/>
  <c r="K8" i="90"/>
  <c r="G8" i="90"/>
  <c r="G21" i="90" s="1"/>
  <c r="F8" i="90"/>
  <c r="E8" i="90"/>
  <c r="R7" i="90"/>
  <c r="P7" i="90" s="1"/>
  <c r="M7" i="90"/>
  <c r="F7" i="90"/>
  <c r="E7" i="90"/>
  <c r="E21" i="90" s="1"/>
  <c r="S9" i="89" l="1"/>
  <c r="S12" i="89"/>
  <c r="R13" i="89"/>
  <c r="S13" i="89" s="1"/>
  <c r="F16" i="89"/>
  <c r="S16" i="89" s="1"/>
  <c r="R21" i="89"/>
  <c r="R22" i="89"/>
  <c r="S22" i="89" s="1"/>
  <c r="R23" i="89"/>
  <c r="F25" i="89"/>
  <c r="R28" i="89"/>
  <c r="S28" i="89" s="1"/>
  <c r="D55" i="89"/>
  <c r="H55" i="89"/>
  <c r="F39" i="89"/>
  <c r="F40" i="89"/>
  <c r="J40" i="89"/>
  <c r="F41" i="89"/>
  <c r="S41" i="89" s="1"/>
  <c r="J45" i="89"/>
  <c r="S45" i="89" s="1"/>
  <c r="F46" i="89"/>
  <c r="S46" i="89" s="1"/>
  <c r="F50" i="89"/>
  <c r="S52" i="89"/>
  <c r="R53" i="89"/>
  <c r="S53" i="89" s="1"/>
  <c r="J54" i="89"/>
  <c r="S50" i="89"/>
  <c r="R6" i="89"/>
  <c r="S7" i="89"/>
  <c r="S8" i="89"/>
  <c r="G55" i="89"/>
  <c r="J14" i="89"/>
  <c r="S21" i="89"/>
  <c r="S23" i="89"/>
  <c r="C55" i="89"/>
  <c r="F5" i="89"/>
  <c r="Q55" i="89"/>
  <c r="E55" i="89"/>
  <c r="F10" i="89"/>
  <c r="S10" i="89" s="1"/>
  <c r="R11" i="89"/>
  <c r="S11" i="89" s="1"/>
  <c r="S14" i="89"/>
  <c r="R17" i="89"/>
  <c r="S17" i="89" s="1"/>
  <c r="R19" i="89"/>
  <c r="S19" i="89" s="1"/>
  <c r="R24" i="89"/>
  <c r="S24" i="89" s="1"/>
  <c r="R25" i="89"/>
  <c r="F30" i="89"/>
  <c r="S30" i="89" s="1"/>
  <c r="R31" i="89"/>
  <c r="S31" i="89" s="1"/>
  <c r="R34" i="89"/>
  <c r="S34" i="89" s="1"/>
  <c r="S37" i="89"/>
  <c r="J38" i="89"/>
  <c r="S38" i="89" s="1"/>
  <c r="J39" i="89"/>
  <c r="K55" i="89"/>
  <c r="M39" i="89"/>
  <c r="M55" i="89" s="1"/>
  <c r="S43" i="89"/>
  <c r="F54" i="89"/>
  <c r="S54" i="89" s="1"/>
  <c r="M21" i="90"/>
  <c r="K9" i="90"/>
  <c r="H13" i="90"/>
  <c r="C13" i="90" s="1"/>
  <c r="H15" i="90"/>
  <c r="C15" i="90" s="1"/>
  <c r="H18" i="90"/>
  <c r="C18" i="90" s="1"/>
  <c r="K7" i="90"/>
  <c r="H7" i="90" s="1"/>
  <c r="N21" i="90"/>
  <c r="K10" i="90"/>
  <c r="H11" i="90"/>
  <c r="C11" i="90" s="1"/>
  <c r="K12" i="90"/>
  <c r="H19" i="90"/>
  <c r="C19" i="90" s="1"/>
  <c r="K20" i="90"/>
  <c r="L21" i="90"/>
  <c r="Q21" i="90"/>
  <c r="P8" i="90"/>
  <c r="P9" i="90"/>
  <c r="H17" i="90"/>
  <c r="C17" i="90" s="1"/>
  <c r="I21" i="90"/>
  <c r="F21" i="90"/>
  <c r="R21" i="90"/>
  <c r="S39" i="89" l="1"/>
  <c r="S25" i="89"/>
  <c r="J55" i="89"/>
  <c r="R55" i="89"/>
  <c r="S40" i="89"/>
  <c r="S6" i="89"/>
  <c r="S5" i="89"/>
  <c r="F55" i="89"/>
  <c r="K21" i="90"/>
  <c r="P21" i="90"/>
  <c r="H12" i="90"/>
  <c r="C12" i="90" s="1"/>
  <c r="H8" i="90"/>
  <c r="C8" i="90" s="1"/>
  <c r="H20" i="90"/>
  <c r="C20" i="90" s="1"/>
  <c r="H10" i="90"/>
  <c r="C10" i="90" s="1"/>
  <c r="H9" i="90"/>
  <c r="C9" i="90" s="1"/>
  <c r="C7" i="90"/>
  <c r="S55" i="89" l="1"/>
  <c r="C21" i="90"/>
  <c r="H21" i="90"/>
  <c r="D18" i="114" l="1"/>
  <c r="C18" i="114" s="1"/>
  <c r="D15" i="114"/>
  <c r="D26" i="114" s="1"/>
  <c r="C15" i="114"/>
  <c r="C26" i="114" s="1"/>
  <c r="H192" i="113" l="1"/>
  <c r="E192" i="113"/>
  <c r="L191" i="113"/>
  <c r="J191" i="113"/>
  <c r="F191" i="113" s="1"/>
  <c r="L190" i="113"/>
  <c r="F190" i="113"/>
  <c r="L189" i="113"/>
  <c r="F189" i="113" s="1"/>
  <c r="L188" i="113"/>
  <c r="F188" i="113" s="1"/>
  <c r="L187" i="113"/>
  <c r="F187" i="113" s="1"/>
  <c r="L186" i="113"/>
  <c r="F186" i="113"/>
  <c r="L185" i="113"/>
  <c r="F185" i="113" s="1"/>
  <c r="D185" i="113"/>
  <c r="C185" i="113"/>
  <c r="L184" i="113"/>
  <c r="F184" i="113" s="1"/>
  <c r="C184" i="113"/>
  <c r="L183" i="113"/>
  <c r="I183" i="113"/>
  <c r="L182" i="113"/>
  <c r="F182" i="113" s="1"/>
  <c r="L181" i="113"/>
  <c r="F181" i="113" s="1"/>
  <c r="L180" i="113"/>
  <c r="J180" i="113"/>
  <c r="D180" i="113"/>
  <c r="C180" i="113"/>
  <c r="L179" i="113"/>
  <c r="J179" i="113"/>
  <c r="L178" i="113"/>
  <c r="I178" i="113"/>
  <c r="F178" i="113"/>
  <c r="C178" i="113"/>
  <c r="L177" i="113"/>
  <c r="I177" i="113"/>
  <c r="F177" i="113"/>
  <c r="L176" i="113"/>
  <c r="I176" i="113"/>
  <c r="F176" i="113"/>
  <c r="C176" i="113"/>
  <c r="L175" i="113"/>
  <c r="F175" i="113"/>
  <c r="C175" i="113"/>
  <c r="L174" i="113"/>
  <c r="F174" i="113" s="1"/>
  <c r="L173" i="113"/>
  <c r="F173" i="113"/>
  <c r="L172" i="113"/>
  <c r="J172" i="113"/>
  <c r="L171" i="113"/>
  <c r="F171" i="113"/>
  <c r="L170" i="113"/>
  <c r="F170" i="113"/>
  <c r="L169" i="113"/>
  <c r="J169" i="113"/>
  <c r="F169" i="113" s="1"/>
  <c r="L168" i="113"/>
  <c r="F168" i="113"/>
  <c r="C168" i="113"/>
  <c r="L167" i="113"/>
  <c r="F167" i="113"/>
  <c r="C167" i="113"/>
  <c r="L166" i="113"/>
  <c r="I166" i="113"/>
  <c r="L165" i="113"/>
  <c r="F165" i="113"/>
  <c r="L164" i="113"/>
  <c r="F164" i="113"/>
  <c r="L163" i="113"/>
  <c r="F163" i="113"/>
  <c r="L162" i="113"/>
  <c r="I162" i="113"/>
  <c r="F162" i="113"/>
  <c r="L161" i="113"/>
  <c r="F161" i="113" s="1"/>
  <c r="I161" i="113"/>
  <c r="L160" i="113"/>
  <c r="F160" i="113"/>
  <c r="L159" i="113"/>
  <c r="F159" i="113" s="1"/>
  <c r="J159" i="113"/>
  <c r="L158" i="113"/>
  <c r="F158" i="113" s="1"/>
  <c r="L157" i="113"/>
  <c r="F157" i="113" s="1"/>
  <c r="L156" i="113"/>
  <c r="I156" i="113"/>
  <c r="L155" i="113"/>
  <c r="F155" i="113" s="1"/>
  <c r="L154" i="113"/>
  <c r="F154" i="113"/>
  <c r="L153" i="113"/>
  <c r="I153" i="113"/>
  <c r="C153" i="113"/>
  <c r="L152" i="113"/>
  <c r="I152" i="113"/>
  <c r="C152" i="113"/>
  <c r="L151" i="113"/>
  <c r="F151" i="113"/>
  <c r="L150" i="113"/>
  <c r="I150" i="113"/>
  <c r="L149" i="113"/>
  <c r="J149" i="113"/>
  <c r="J192" i="113" s="1"/>
  <c r="L148" i="113"/>
  <c r="F148" i="113"/>
  <c r="L147" i="113"/>
  <c r="F147" i="113"/>
  <c r="L146" i="113"/>
  <c r="F146" i="113"/>
  <c r="L145" i="113"/>
  <c r="F145" i="113"/>
  <c r="L144" i="113"/>
  <c r="F144" i="113"/>
  <c r="L143" i="113"/>
  <c r="F143" i="113"/>
  <c r="L142" i="113"/>
  <c r="F142" i="113"/>
  <c r="L141" i="113"/>
  <c r="F141" i="113"/>
  <c r="L140" i="113"/>
  <c r="F140" i="113"/>
  <c r="L139" i="113"/>
  <c r="F139" i="113"/>
  <c r="M138" i="113"/>
  <c r="L138" i="113"/>
  <c r="F138" i="113" s="1"/>
  <c r="M137" i="113"/>
  <c r="L137" i="113"/>
  <c r="F137" i="113" s="1"/>
  <c r="L136" i="113"/>
  <c r="F136" i="113"/>
  <c r="L135" i="113"/>
  <c r="F135" i="113" s="1"/>
  <c r="L134" i="113"/>
  <c r="F134" i="113" s="1"/>
  <c r="M133" i="113"/>
  <c r="L133" i="113" s="1"/>
  <c r="F133" i="113" s="1"/>
  <c r="M132" i="113"/>
  <c r="L132" i="113"/>
  <c r="F132" i="113" s="1"/>
  <c r="L131" i="113"/>
  <c r="F131" i="113"/>
  <c r="L130" i="113"/>
  <c r="F130" i="113" s="1"/>
  <c r="M129" i="113"/>
  <c r="L129" i="113"/>
  <c r="F129" i="113"/>
  <c r="L128" i="113"/>
  <c r="F128" i="113" s="1"/>
  <c r="L127" i="113"/>
  <c r="F127" i="113"/>
  <c r="L126" i="113"/>
  <c r="F126" i="113" s="1"/>
  <c r="C126" i="113"/>
  <c r="L125" i="113"/>
  <c r="G125" i="113"/>
  <c r="F125" i="113" s="1"/>
  <c r="C125" i="113"/>
  <c r="M124" i="113"/>
  <c r="L124" i="113" s="1"/>
  <c r="F124" i="113" s="1"/>
  <c r="M123" i="113"/>
  <c r="L123" i="113"/>
  <c r="F123" i="113"/>
  <c r="L122" i="113"/>
  <c r="F122" i="113"/>
  <c r="L121" i="113"/>
  <c r="F121" i="113"/>
  <c r="M120" i="113"/>
  <c r="L120" i="113"/>
  <c r="K120" i="113"/>
  <c r="K192" i="113" s="1"/>
  <c r="F120" i="113"/>
  <c r="D120" i="113"/>
  <c r="C120" i="113"/>
  <c r="M119" i="113"/>
  <c r="L119" i="113"/>
  <c r="F119" i="113" s="1"/>
  <c r="C119" i="113"/>
  <c r="L118" i="113"/>
  <c r="F118" i="113"/>
  <c r="L117" i="113"/>
  <c r="F117" i="113" s="1"/>
  <c r="L116" i="113"/>
  <c r="F116" i="113"/>
  <c r="L115" i="113"/>
  <c r="F115" i="113" s="1"/>
  <c r="L114" i="113"/>
  <c r="F114" i="113" s="1"/>
  <c r="L113" i="113"/>
  <c r="F113" i="113" s="1"/>
  <c r="L112" i="113"/>
  <c r="F112" i="113"/>
  <c r="M111" i="113"/>
  <c r="L111" i="113" s="1"/>
  <c r="F111" i="113" s="1"/>
  <c r="C111" i="113"/>
  <c r="L110" i="113"/>
  <c r="F110" i="113" s="1"/>
  <c r="M109" i="113"/>
  <c r="L109" i="113" s="1"/>
  <c r="G109" i="113"/>
  <c r="L108" i="113"/>
  <c r="F108" i="113"/>
  <c r="L107" i="113"/>
  <c r="F107" i="113"/>
  <c r="C107" i="113"/>
  <c r="M106" i="113"/>
  <c r="L106" i="113" s="1"/>
  <c r="F106" i="113" s="1"/>
  <c r="C106" i="113"/>
  <c r="L105" i="113"/>
  <c r="F105" i="113" s="1"/>
  <c r="L104" i="113"/>
  <c r="F104" i="113"/>
  <c r="L103" i="113"/>
  <c r="G103" i="113"/>
  <c r="L102" i="113"/>
  <c r="F102" i="113"/>
  <c r="L101" i="113"/>
  <c r="F101" i="113"/>
  <c r="L100" i="113"/>
  <c r="F100" i="113"/>
  <c r="L99" i="113"/>
  <c r="F99" i="113"/>
  <c r="L98" i="113"/>
  <c r="F98" i="113"/>
  <c r="C98" i="113"/>
  <c r="N97" i="113"/>
  <c r="N192" i="113" s="1"/>
  <c r="M97" i="113"/>
  <c r="C97" i="113"/>
  <c r="L96" i="113"/>
  <c r="F96" i="113" s="1"/>
  <c r="C96" i="113"/>
  <c r="L95" i="113"/>
  <c r="F95" i="113"/>
  <c r="C95" i="113"/>
  <c r="M94" i="113"/>
  <c r="L94" i="113"/>
  <c r="F94" i="113"/>
  <c r="C94" i="113"/>
  <c r="L93" i="113"/>
  <c r="F93" i="113"/>
  <c r="L92" i="113"/>
  <c r="I92" i="113"/>
  <c r="L91" i="113"/>
  <c r="F91" i="113"/>
  <c r="L90" i="113"/>
  <c r="F90" i="113" s="1"/>
  <c r="L89" i="113"/>
  <c r="F89" i="113"/>
  <c r="C89" i="113"/>
  <c r="L88" i="113"/>
  <c r="F88" i="113" s="1"/>
  <c r="I88" i="113"/>
  <c r="C88" i="113"/>
  <c r="L87" i="113"/>
  <c r="F87" i="113" s="1"/>
  <c r="L86" i="113"/>
  <c r="F86" i="113" s="1"/>
  <c r="L85" i="113"/>
  <c r="F85" i="113" s="1"/>
  <c r="L84" i="113"/>
  <c r="F84" i="113"/>
  <c r="M83" i="113"/>
  <c r="L83" i="113" s="1"/>
  <c r="F83" i="113" s="1"/>
  <c r="L82" i="113"/>
  <c r="F82" i="113" s="1"/>
  <c r="L81" i="113"/>
  <c r="F81" i="113" s="1"/>
  <c r="L80" i="113"/>
  <c r="F80" i="113" s="1"/>
  <c r="L79" i="113"/>
  <c r="F79" i="113"/>
  <c r="L78" i="113"/>
  <c r="G78" i="113"/>
  <c r="L77" i="113"/>
  <c r="F77" i="113"/>
  <c r="L76" i="113"/>
  <c r="F76" i="113"/>
  <c r="C76" i="113"/>
  <c r="L75" i="113"/>
  <c r="I75" i="113"/>
  <c r="L74" i="113"/>
  <c r="F74" i="113" s="1"/>
  <c r="M73" i="113"/>
  <c r="L73" i="113" s="1"/>
  <c r="F73" i="113" s="1"/>
  <c r="C73" i="113"/>
  <c r="L72" i="113"/>
  <c r="F72" i="113" s="1"/>
  <c r="I72" i="113"/>
  <c r="C72" i="113"/>
  <c r="L71" i="113"/>
  <c r="F71" i="113" s="1"/>
  <c r="L70" i="113"/>
  <c r="F70" i="113" s="1"/>
  <c r="L69" i="113"/>
  <c r="F69" i="113" s="1"/>
  <c r="L68" i="113"/>
  <c r="F68" i="113"/>
  <c r="L67" i="113"/>
  <c r="F67" i="113" s="1"/>
  <c r="L66" i="113"/>
  <c r="F66" i="113"/>
  <c r="L65" i="113"/>
  <c r="F65" i="113" s="1"/>
  <c r="L64" i="113"/>
  <c r="F64" i="113"/>
  <c r="C64" i="113"/>
  <c r="L63" i="113"/>
  <c r="F63" i="113" s="1"/>
  <c r="L62" i="113"/>
  <c r="F62" i="113" s="1"/>
  <c r="L61" i="113"/>
  <c r="G61" i="113"/>
  <c r="L60" i="113"/>
  <c r="F60" i="113"/>
  <c r="L59" i="113"/>
  <c r="F59" i="113"/>
  <c r="M58" i="113"/>
  <c r="L58" i="113"/>
  <c r="F58" i="113" s="1"/>
  <c r="C58" i="113"/>
  <c r="L57" i="113"/>
  <c r="F57" i="113" s="1"/>
  <c r="C57" i="113"/>
  <c r="M56" i="113"/>
  <c r="L56" i="113" s="1"/>
  <c r="G56" i="113"/>
  <c r="C56" i="113"/>
  <c r="L55" i="113"/>
  <c r="F55" i="113"/>
  <c r="L54" i="113"/>
  <c r="F54" i="113" s="1"/>
  <c r="L53" i="113"/>
  <c r="F53" i="113"/>
  <c r="L52" i="113"/>
  <c r="F52" i="113" s="1"/>
  <c r="L51" i="113"/>
  <c r="F51" i="113"/>
  <c r="M50" i="113"/>
  <c r="L50" i="113" s="1"/>
  <c r="F50" i="113" s="1"/>
  <c r="C50" i="113"/>
  <c r="M49" i="113"/>
  <c r="L49" i="113"/>
  <c r="F49" i="113" s="1"/>
  <c r="L48" i="113"/>
  <c r="G48" i="113"/>
  <c r="D48" i="113"/>
  <c r="D192" i="113" s="1"/>
  <c r="L47" i="113"/>
  <c r="F47" i="113" s="1"/>
  <c r="I47" i="113"/>
  <c r="L46" i="113"/>
  <c r="F46" i="113"/>
  <c r="L45" i="113"/>
  <c r="F45" i="113" s="1"/>
  <c r="L44" i="113"/>
  <c r="F44" i="113"/>
  <c r="M43" i="113"/>
  <c r="L43" i="113" s="1"/>
  <c r="F43" i="113" s="1"/>
  <c r="M42" i="113"/>
  <c r="L42" i="113"/>
  <c r="F42" i="113" s="1"/>
  <c r="C42" i="113"/>
  <c r="L41" i="113"/>
  <c r="F41" i="113"/>
  <c r="L40" i="113"/>
  <c r="F40" i="113" s="1"/>
  <c r="M39" i="113"/>
  <c r="L39" i="113" s="1"/>
  <c r="F39" i="113" s="1"/>
  <c r="L38" i="113"/>
  <c r="G38" i="113"/>
  <c r="F38" i="113" s="1"/>
  <c r="L37" i="113"/>
  <c r="F37" i="113" s="1"/>
  <c r="L36" i="113"/>
  <c r="F36" i="113"/>
  <c r="L35" i="113"/>
  <c r="F35" i="113" s="1"/>
  <c r="L34" i="113"/>
  <c r="F34" i="113" s="1"/>
  <c r="L33" i="113"/>
  <c r="F33" i="113" s="1"/>
  <c r="L32" i="113"/>
  <c r="F32" i="113" s="1"/>
  <c r="L31" i="113"/>
  <c r="I31" i="113"/>
  <c r="L30" i="113"/>
  <c r="F30" i="113" s="1"/>
  <c r="L29" i="113"/>
  <c r="F29" i="113"/>
  <c r="F28" i="113"/>
  <c r="L27" i="113"/>
  <c r="F27" i="113" s="1"/>
  <c r="L26" i="113"/>
  <c r="F26" i="113"/>
  <c r="L25" i="113"/>
  <c r="F25" i="113" s="1"/>
  <c r="L24" i="113"/>
  <c r="F24" i="113" s="1"/>
  <c r="L23" i="113"/>
  <c r="F23" i="113" s="1"/>
  <c r="L22" i="113"/>
  <c r="I22" i="113"/>
  <c r="I192" i="113" s="1"/>
  <c r="L21" i="113"/>
  <c r="F21" i="113"/>
  <c r="L20" i="113"/>
  <c r="F20" i="113" s="1"/>
  <c r="L19" i="113"/>
  <c r="F19" i="113" s="1"/>
  <c r="L18" i="113"/>
  <c r="F18" i="113" s="1"/>
  <c r="M17" i="113"/>
  <c r="L17" i="113"/>
  <c r="F17" i="113" s="1"/>
  <c r="L16" i="113"/>
  <c r="F16" i="113" s="1"/>
  <c r="M15" i="113"/>
  <c r="L15" i="113"/>
  <c r="F15" i="113" s="1"/>
  <c r="L14" i="113"/>
  <c r="F14" i="113"/>
  <c r="L13" i="113"/>
  <c r="F13" i="113" s="1"/>
  <c r="L12" i="113"/>
  <c r="F12" i="113"/>
  <c r="L11" i="113"/>
  <c r="G11" i="113"/>
  <c r="L10" i="113"/>
  <c r="F10" i="113"/>
  <c r="L9" i="113"/>
  <c r="F9" i="113" s="1"/>
  <c r="C9" i="113"/>
  <c r="L8" i="113"/>
  <c r="F8" i="113"/>
  <c r="L7" i="113"/>
  <c r="F7" i="113" s="1"/>
  <c r="F61" i="113" l="1"/>
  <c r="F75" i="113"/>
  <c r="F11" i="113"/>
  <c r="F48" i="113"/>
  <c r="F150" i="113"/>
  <c r="F152" i="113"/>
  <c r="F180" i="113"/>
  <c r="F183" i="113"/>
  <c r="C192" i="113"/>
  <c r="F103" i="113"/>
  <c r="F109" i="113"/>
  <c r="F149" i="113"/>
  <c r="F172" i="113"/>
  <c r="M192" i="113"/>
  <c r="F56" i="113"/>
  <c r="L97" i="113"/>
  <c r="F97" i="113" s="1"/>
  <c r="F156" i="113"/>
  <c r="F22" i="113"/>
  <c r="F31" i="113"/>
  <c r="F78" i="113"/>
  <c r="F92" i="113"/>
  <c r="F153" i="113"/>
  <c r="F166" i="113"/>
  <c r="F179" i="113"/>
  <c r="L192" i="113"/>
  <c r="G192" i="113"/>
  <c r="F192" i="113" l="1"/>
  <c r="C165" i="101" l="1"/>
  <c r="C164" i="101"/>
  <c r="C163" i="101"/>
  <c r="C162" i="101"/>
  <c r="C161" i="101"/>
  <c r="C160" i="101"/>
  <c r="C159" i="101"/>
  <c r="C158" i="101"/>
  <c r="C157" i="101"/>
  <c r="C156" i="101"/>
  <c r="C155" i="101"/>
  <c r="C154" i="101"/>
  <c r="C153" i="101"/>
  <c r="C152" i="101"/>
  <c r="C151" i="101"/>
  <c r="C150" i="101"/>
  <c r="C149" i="101"/>
  <c r="C148" i="101"/>
  <c r="C147" i="101"/>
  <c r="C146" i="101"/>
  <c r="C145" i="101"/>
  <c r="C144" i="101"/>
  <c r="C143" i="101"/>
  <c r="C142" i="101"/>
  <c r="C141" i="101"/>
  <c r="C140" i="101"/>
  <c r="C139" i="101"/>
  <c r="C138" i="101"/>
  <c r="C137" i="101"/>
  <c r="C136" i="101"/>
  <c r="C135" i="101"/>
  <c r="C134" i="101"/>
  <c r="C133" i="101"/>
  <c r="C132" i="101"/>
  <c r="C131" i="101"/>
  <c r="C130" i="101"/>
  <c r="C129" i="101"/>
  <c r="C128" i="101"/>
  <c r="C127" i="101"/>
  <c r="C126" i="101"/>
  <c r="C125" i="101"/>
  <c r="C124" i="101"/>
  <c r="C123" i="101"/>
  <c r="C122" i="101"/>
  <c r="C121" i="101"/>
  <c r="C120" i="101"/>
  <c r="C119" i="101"/>
  <c r="C118" i="101"/>
  <c r="C117" i="101"/>
  <c r="C116" i="101"/>
  <c r="C115" i="101"/>
  <c r="C114" i="101"/>
  <c r="C113" i="101"/>
  <c r="C112" i="101"/>
  <c r="C111" i="101"/>
  <c r="C110" i="101"/>
  <c r="C109" i="101"/>
  <c r="C108" i="101"/>
  <c r="C107" i="101"/>
  <c r="C106" i="101"/>
  <c r="C105" i="101"/>
  <c r="C104" i="101"/>
  <c r="C103" i="101"/>
  <c r="C102" i="101"/>
  <c r="C101" i="101"/>
  <c r="C100" i="101"/>
  <c r="C99" i="101"/>
  <c r="C98" i="101"/>
  <c r="C97" i="101"/>
  <c r="C96" i="101"/>
  <c r="C95" i="101"/>
  <c r="C94" i="101"/>
  <c r="C93" i="101"/>
  <c r="C92" i="101"/>
  <c r="C91" i="101"/>
  <c r="C90" i="101"/>
  <c r="C89" i="101"/>
  <c r="C88" i="101"/>
  <c r="C87" i="101"/>
  <c r="C86" i="101"/>
  <c r="C85" i="101"/>
  <c r="C84" i="101"/>
  <c r="C83" i="101"/>
  <c r="C82" i="101"/>
  <c r="C81" i="101"/>
  <c r="C80" i="101"/>
  <c r="C79" i="101"/>
  <c r="C78" i="101"/>
  <c r="C77" i="101"/>
  <c r="C76" i="101"/>
  <c r="C75" i="101"/>
  <c r="C74" i="101"/>
  <c r="C73" i="101"/>
  <c r="C72" i="101"/>
  <c r="C71" i="101"/>
  <c r="C70" i="101"/>
  <c r="C69" i="101"/>
  <c r="C68" i="101"/>
  <c r="C67" i="101"/>
  <c r="C66" i="101"/>
  <c r="C65" i="101"/>
  <c r="C64" i="101"/>
  <c r="C63" i="101"/>
  <c r="C62" i="101"/>
  <c r="C61" i="101"/>
  <c r="C60" i="101"/>
  <c r="C59" i="101"/>
  <c r="C58" i="101"/>
  <c r="C57" i="101"/>
  <c r="C56" i="101"/>
  <c r="C55" i="101"/>
  <c r="C54" i="101"/>
  <c r="C53" i="101"/>
  <c r="C52" i="101"/>
  <c r="C51" i="101"/>
  <c r="C50" i="101"/>
  <c r="C49" i="101"/>
  <c r="C48" i="101"/>
  <c r="C47" i="101"/>
  <c r="C46" i="101"/>
  <c r="C45" i="101"/>
  <c r="C44" i="101"/>
  <c r="C43" i="101"/>
  <c r="C42" i="101"/>
  <c r="C41" i="101"/>
  <c r="C40" i="101"/>
  <c r="C39" i="101"/>
  <c r="C38" i="101"/>
  <c r="C37" i="101"/>
  <c r="C36" i="101"/>
  <c r="C35" i="101"/>
  <c r="C34" i="101"/>
  <c r="C33" i="101"/>
  <c r="C32" i="101"/>
  <c r="C31" i="101"/>
  <c r="C30" i="101"/>
  <c r="C29" i="101"/>
  <c r="C28" i="101"/>
  <c r="C27" i="101"/>
  <c r="C26" i="101"/>
  <c r="C25" i="101"/>
  <c r="C24" i="101"/>
  <c r="C23" i="101"/>
  <c r="C22" i="101"/>
  <c r="C21" i="101"/>
  <c r="C20" i="101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8" i="98"/>
  <c r="C9" i="98"/>
  <c r="C10" i="98"/>
  <c r="C11" i="98"/>
  <c r="G12" i="98"/>
  <c r="C12" i="98" s="1"/>
  <c r="P13" i="98"/>
  <c r="C13" i="98" s="1"/>
  <c r="C14" i="98"/>
  <c r="C15" i="98"/>
  <c r="C16" i="98"/>
  <c r="C17" i="98"/>
  <c r="O18" i="98"/>
  <c r="C18" i="98" s="1"/>
  <c r="C19" i="98"/>
  <c r="C20" i="98"/>
  <c r="O21" i="98"/>
  <c r="C21" i="98" s="1"/>
  <c r="C22" i="98"/>
  <c r="C23" i="98"/>
  <c r="C24" i="98"/>
  <c r="N25" i="98"/>
  <c r="C25" i="98" s="1"/>
  <c r="C26" i="98"/>
  <c r="C27" i="98"/>
  <c r="C28" i="98"/>
  <c r="C29" i="98"/>
  <c r="C30" i="98"/>
  <c r="C31" i="98"/>
  <c r="G32" i="98"/>
  <c r="O32" i="98"/>
  <c r="C33" i="98"/>
  <c r="G34" i="98"/>
  <c r="C34" i="98" s="1"/>
  <c r="G35" i="98"/>
  <c r="O35" i="98"/>
  <c r="C36" i="98"/>
  <c r="C37" i="98"/>
  <c r="C38" i="98"/>
  <c r="M39" i="98"/>
  <c r="O39" i="98"/>
  <c r="O40" i="98"/>
  <c r="C40" i="98" s="1"/>
  <c r="C41" i="98"/>
  <c r="M42" i="98"/>
  <c r="O42" i="98"/>
  <c r="C43" i="98"/>
  <c r="C44" i="98"/>
  <c r="C45" i="98"/>
  <c r="N46" i="98"/>
  <c r="C46" i="98" s="1"/>
  <c r="C47" i="98"/>
  <c r="O48" i="98"/>
  <c r="C48" i="98" s="1"/>
  <c r="G49" i="98"/>
  <c r="C49" i="98" s="1"/>
  <c r="O50" i="98"/>
  <c r="C50" i="98" s="1"/>
  <c r="C51" i="98"/>
  <c r="C52" i="98"/>
  <c r="E53" i="98"/>
  <c r="F53" i="98"/>
  <c r="G53" i="98"/>
  <c r="C54" i="98"/>
  <c r="G55" i="98"/>
  <c r="C55" i="98" s="1"/>
  <c r="C56" i="98"/>
  <c r="C57" i="98"/>
  <c r="C58" i="98"/>
  <c r="C59" i="98"/>
  <c r="C60" i="98"/>
  <c r="C61" i="98"/>
  <c r="C62" i="98"/>
  <c r="C63" i="98"/>
  <c r="N64" i="98"/>
  <c r="C64" i="98" s="1"/>
  <c r="O65" i="98"/>
  <c r="C65" i="98" s="1"/>
  <c r="C66" i="98"/>
  <c r="G67" i="98"/>
  <c r="C67" i="98" s="1"/>
  <c r="M68" i="98"/>
  <c r="C68" i="98" s="1"/>
  <c r="C69" i="98"/>
  <c r="C70" i="98"/>
  <c r="G71" i="98"/>
  <c r="C71" i="98" s="1"/>
  <c r="G72" i="98"/>
  <c r="C72" i="98" s="1"/>
  <c r="C73" i="98"/>
  <c r="C74" i="98"/>
  <c r="C75" i="98"/>
  <c r="H76" i="98"/>
  <c r="C76" i="98" s="1"/>
  <c r="C77" i="98"/>
  <c r="N78" i="98"/>
  <c r="C78" i="98" s="1"/>
  <c r="C79" i="98"/>
  <c r="C80" i="98"/>
  <c r="N81" i="98"/>
  <c r="C81" i="98" s="1"/>
  <c r="C82" i="98"/>
  <c r="O83" i="98"/>
  <c r="C83" i="98" s="1"/>
  <c r="C84" i="98"/>
  <c r="O85" i="98"/>
  <c r="P85" i="98"/>
  <c r="C86" i="98"/>
  <c r="N87" i="98"/>
  <c r="C87" i="98" s="1"/>
  <c r="N88" i="98"/>
  <c r="C88" i="98" s="1"/>
  <c r="C89" i="98"/>
  <c r="K89" i="98"/>
  <c r="L89" i="98"/>
  <c r="D90" i="98"/>
  <c r="E90" i="98"/>
  <c r="F90" i="98"/>
  <c r="C91" i="98"/>
  <c r="E92" i="98"/>
  <c r="C92" i="98" s="1"/>
  <c r="C93" i="98"/>
  <c r="E94" i="98"/>
  <c r="K94" i="98"/>
  <c r="L94" i="98"/>
  <c r="C95" i="98"/>
  <c r="C96" i="98"/>
  <c r="H97" i="98"/>
  <c r="O97" i="98"/>
  <c r="E98" i="98"/>
  <c r="F98" i="98"/>
  <c r="O99" i="98"/>
  <c r="C99" i="98" s="1"/>
  <c r="C100" i="98"/>
  <c r="C101" i="98"/>
  <c r="C102" i="98"/>
  <c r="C103" i="98"/>
  <c r="C104" i="98"/>
  <c r="C105" i="98"/>
  <c r="C106" i="98"/>
  <c r="C107" i="98"/>
  <c r="C108" i="98"/>
  <c r="C109" i="98"/>
  <c r="C110" i="98"/>
  <c r="O111" i="98"/>
  <c r="C111" i="98" s="1"/>
  <c r="C112" i="98"/>
  <c r="F113" i="98"/>
  <c r="M113" i="98"/>
  <c r="O113" i="98"/>
  <c r="C114" i="98"/>
  <c r="C115" i="98"/>
  <c r="M115" i="98"/>
  <c r="C116" i="98"/>
  <c r="C117" i="98"/>
  <c r="C118" i="98"/>
  <c r="C119" i="98"/>
  <c r="O120" i="98"/>
  <c r="C120" i="98" s="1"/>
  <c r="G121" i="98"/>
  <c r="O121" i="98"/>
  <c r="C122" i="98"/>
  <c r="C123" i="98"/>
  <c r="C124" i="98"/>
  <c r="O125" i="98"/>
  <c r="C125" i="98" s="1"/>
  <c r="G126" i="98"/>
  <c r="O126" i="98"/>
  <c r="C127" i="98"/>
  <c r="C128" i="98"/>
  <c r="C129" i="98"/>
  <c r="C130" i="98"/>
  <c r="G131" i="98"/>
  <c r="O131" i="98"/>
  <c r="C132" i="98"/>
  <c r="C133" i="98"/>
  <c r="C134" i="98"/>
  <c r="C135" i="98"/>
  <c r="O136" i="98"/>
  <c r="C136" i="98" s="1"/>
  <c r="C137" i="98"/>
  <c r="C138" i="98"/>
  <c r="C139" i="98"/>
  <c r="C140" i="98"/>
  <c r="C141" i="98"/>
  <c r="C142" i="98"/>
  <c r="C143" i="98"/>
  <c r="C144" i="98"/>
  <c r="C145" i="98"/>
  <c r="C146" i="98"/>
  <c r="C147" i="98"/>
  <c r="C148" i="98"/>
  <c r="C149" i="98"/>
  <c r="N150" i="98"/>
  <c r="C150" i="98" s="1"/>
  <c r="C151" i="98"/>
  <c r="C152" i="98"/>
  <c r="C153" i="98"/>
  <c r="C154" i="98"/>
  <c r="C155" i="98"/>
  <c r="C156" i="98"/>
  <c r="N156" i="98"/>
  <c r="C157" i="98"/>
  <c r="C158" i="98"/>
  <c r="C159" i="98"/>
  <c r="M159" i="98"/>
  <c r="M160" i="98"/>
  <c r="C160" i="98" s="1"/>
  <c r="M161" i="98"/>
  <c r="C161" i="98" s="1"/>
  <c r="M162" i="98"/>
  <c r="C162" i="98" s="1"/>
  <c r="C163" i="98"/>
  <c r="C164" i="98"/>
  <c r="M165" i="98"/>
  <c r="C165" i="98" s="1"/>
  <c r="N165" i="98"/>
  <c r="C166" i="98"/>
  <c r="D167" i="98"/>
  <c r="C167" i="98" s="1"/>
  <c r="K168" i="98"/>
  <c r="J168" i="98" s="1"/>
  <c r="C168" i="98" s="1"/>
  <c r="L168" i="98"/>
  <c r="C169" i="98"/>
  <c r="M170" i="98"/>
  <c r="C170" i="98" s="1"/>
  <c r="G171" i="98"/>
  <c r="C171" i="98" s="1"/>
  <c r="C172" i="98"/>
  <c r="C173" i="98"/>
  <c r="C174" i="98"/>
  <c r="I175" i="98"/>
  <c r="F40" i="99"/>
  <c r="E40" i="99"/>
  <c r="D40" i="99"/>
  <c r="C40" i="99"/>
  <c r="F39" i="99"/>
  <c r="E39" i="99"/>
  <c r="D39" i="99"/>
  <c r="B39" i="99" s="1"/>
  <c r="C39" i="99"/>
  <c r="F38" i="99"/>
  <c r="E38" i="99"/>
  <c r="D38" i="99"/>
  <c r="C38" i="99"/>
  <c r="F37" i="99"/>
  <c r="E37" i="99"/>
  <c r="D37" i="99"/>
  <c r="C37" i="99"/>
  <c r="F36" i="99"/>
  <c r="E36" i="99"/>
  <c r="D36" i="99"/>
  <c r="C36" i="99"/>
  <c r="F35" i="99"/>
  <c r="E35" i="99"/>
  <c r="D35" i="99"/>
  <c r="C35" i="99"/>
  <c r="B35" i="99" s="1"/>
  <c r="F34" i="99"/>
  <c r="E34" i="99"/>
  <c r="D34" i="99"/>
  <c r="C34" i="99"/>
  <c r="F33" i="99"/>
  <c r="E33" i="99"/>
  <c r="D33" i="99"/>
  <c r="C33" i="99"/>
  <c r="F32" i="99"/>
  <c r="E32" i="99"/>
  <c r="D32" i="99"/>
  <c r="C32" i="99"/>
  <c r="F31" i="99"/>
  <c r="E31" i="99"/>
  <c r="D31" i="99"/>
  <c r="C31" i="99"/>
  <c r="B31" i="99"/>
  <c r="F30" i="99"/>
  <c r="E30" i="99"/>
  <c r="D30" i="99"/>
  <c r="C30" i="99"/>
  <c r="B30" i="99" s="1"/>
  <c r="F29" i="99"/>
  <c r="E29" i="99"/>
  <c r="D29" i="99"/>
  <c r="C29" i="99"/>
  <c r="M28" i="99"/>
  <c r="M41" i="99" s="1"/>
  <c r="L28" i="99"/>
  <c r="K28" i="99"/>
  <c r="J28" i="99"/>
  <c r="J41" i="99" s="1"/>
  <c r="I28" i="99"/>
  <c r="I41" i="99" s="1"/>
  <c r="H28" i="99"/>
  <c r="G28" i="99"/>
  <c r="F28" i="99"/>
  <c r="E28" i="99"/>
  <c r="D28" i="99"/>
  <c r="C28" i="99"/>
  <c r="F27" i="99"/>
  <c r="E27" i="99"/>
  <c r="D27" i="99"/>
  <c r="C27" i="99"/>
  <c r="F26" i="99"/>
  <c r="B26" i="99" s="1"/>
  <c r="E26" i="99"/>
  <c r="D26" i="99"/>
  <c r="C26" i="99"/>
  <c r="F25" i="99"/>
  <c r="E25" i="99"/>
  <c r="D25" i="99"/>
  <c r="C25" i="99"/>
  <c r="B25" i="99" s="1"/>
  <c r="F24" i="99"/>
  <c r="E24" i="99"/>
  <c r="D24" i="99"/>
  <c r="C24" i="99"/>
  <c r="F23" i="99"/>
  <c r="E23" i="99"/>
  <c r="D23" i="99"/>
  <c r="C23" i="99"/>
  <c r="B23" i="99" s="1"/>
  <c r="F22" i="99"/>
  <c r="E22" i="99"/>
  <c r="D22" i="99"/>
  <c r="C22" i="99"/>
  <c r="B22" i="99" s="1"/>
  <c r="F21" i="99"/>
  <c r="E21" i="99"/>
  <c r="D21" i="99"/>
  <c r="C21" i="99"/>
  <c r="F20" i="99"/>
  <c r="E20" i="99"/>
  <c r="D20" i="99"/>
  <c r="B20" i="99" s="1"/>
  <c r="C20" i="99"/>
  <c r="F19" i="99"/>
  <c r="E19" i="99"/>
  <c r="D19" i="99"/>
  <c r="C19" i="99"/>
  <c r="F18" i="99"/>
  <c r="E18" i="99"/>
  <c r="D18" i="99"/>
  <c r="B18" i="99" s="1"/>
  <c r="C18" i="99"/>
  <c r="F17" i="99"/>
  <c r="E17" i="99"/>
  <c r="D17" i="99"/>
  <c r="C17" i="99"/>
  <c r="F16" i="99"/>
  <c r="E16" i="99"/>
  <c r="D16" i="99"/>
  <c r="C16" i="99"/>
  <c r="F15" i="99"/>
  <c r="E15" i="99"/>
  <c r="D15" i="99"/>
  <c r="C15" i="99"/>
  <c r="F14" i="99"/>
  <c r="E14" i="99"/>
  <c r="D14" i="99"/>
  <c r="C14" i="99"/>
  <c r="B14" i="99" s="1"/>
  <c r="F13" i="99"/>
  <c r="E13" i="99"/>
  <c r="D13" i="99"/>
  <c r="C13" i="99"/>
  <c r="L12" i="99"/>
  <c r="L41" i="99" s="1"/>
  <c r="K12" i="99"/>
  <c r="H12" i="99"/>
  <c r="H41" i="99" s="1"/>
  <c r="G12" i="99"/>
  <c r="G41" i="99" s="1"/>
  <c r="F12" i="99"/>
  <c r="E12" i="99"/>
  <c r="F11" i="99"/>
  <c r="E11" i="99"/>
  <c r="D11" i="99"/>
  <c r="C11" i="99"/>
  <c r="F10" i="99"/>
  <c r="E10" i="99"/>
  <c r="D10" i="99"/>
  <c r="C10" i="99"/>
  <c r="B10" i="99" s="1"/>
  <c r="F9" i="99"/>
  <c r="E9" i="99"/>
  <c r="D9" i="99"/>
  <c r="C9" i="99"/>
  <c r="F8" i="99"/>
  <c r="E8" i="99"/>
  <c r="D8" i="99"/>
  <c r="C8" i="99"/>
  <c r="F7" i="99"/>
  <c r="F41" i="99" s="1"/>
  <c r="E7" i="99"/>
  <c r="D7" i="99"/>
  <c r="C7" i="99"/>
  <c r="D41" i="99" l="1"/>
  <c r="B11" i="99"/>
  <c r="D12" i="99"/>
  <c r="B15" i="99"/>
  <c r="B17" i="99"/>
  <c r="B28" i="99"/>
  <c r="B33" i="99"/>
  <c r="B36" i="99"/>
  <c r="B38" i="99"/>
  <c r="E41" i="99"/>
  <c r="K41" i="99"/>
  <c r="B16" i="99"/>
  <c r="B19" i="99"/>
  <c r="B21" i="99"/>
  <c r="B37" i="99"/>
  <c r="B40" i="99"/>
  <c r="P175" i="98"/>
  <c r="J94" i="98"/>
  <c r="J175" i="98" s="1"/>
  <c r="D175" i="98"/>
  <c r="C32" i="98"/>
  <c r="B7" i="99"/>
  <c r="B9" i="99"/>
  <c r="B13" i="99"/>
  <c r="B24" i="99"/>
  <c r="B27" i="99"/>
  <c r="B29" i="99"/>
  <c r="B32" i="99"/>
  <c r="B34" i="99"/>
  <c r="K175" i="98"/>
  <c r="F175" i="98"/>
  <c r="C42" i="98"/>
  <c r="C39" i="98"/>
  <c r="H175" i="98"/>
  <c r="C53" i="98"/>
  <c r="N175" i="98"/>
  <c r="C131" i="98"/>
  <c r="C121" i="98"/>
  <c r="C97" i="98"/>
  <c r="C90" i="98"/>
  <c r="C85" i="98"/>
  <c r="L175" i="98"/>
  <c r="C126" i="98"/>
  <c r="C113" i="98"/>
  <c r="C98" i="98"/>
  <c r="C35" i="98"/>
  <c r="C175" i="98" s="1"/>
  <c r="C94" i="98"/>
  <c r="M175" i="98"/>
  <c r="E175" i="98"/>
  <c r="O175" i="98"/>
  <c r="G175" i="98"/>
  <c r="B8" i="99"/>
  <c r="C12" i="99"/>
  <c r="B12" i="99" s="1"/>
  <c r="B41" i="99" l="1"/>
  <c r="C41" i="99"/>
  <c r="H33" i="112"/>
  <c r="G33" i="112"/>
  <c r="E33" i="112" s="1"/>
  <c r="F33" i="112"/>
  <c r="F32" i="112"/>
  <c r="E32" i="112" s="1"/>
  <c r="F31" i="112"/>
  <c r="E31" i="112"/>
  <c r="H30" i="112"/>
  <c r="F30" i="112"/>
  <c r="E30" i="112" s="1"/>
  <c r="H29" i="112"/>
  <c r="F29" i="112"/>
  <c r="E29" i="112" s="1"/>
  <c r="H28" i="112"/>
  <c r="F28" i="112"/>
  <c r="E28" i="112" s="1"/>
  <c r="H27" i="112"/>
  <c r="G27" i="112"/>
  <c r="F27" i="112"/>
  <c r="E27" i="112" s="1"/>
  <c r="E26" i="112"/>
  <c r="C26" i="112"/>
  <c r="H25" i="112"/>
  <c r="G25" i="112"/>
  <c r="F25" i="112"/>
  <c r="D25" i="112"/>
  <c r="C25" i="112"/>
  <c r="C34" i="112" s="1"/>
  <c r="H24" i="112"/>
  <c r="G24" i="112"/>
  <c r="F24" i="112"/>
  <c r="E23" i="112"/>
  <c r="C23" i="112"/>
  <c r="H22" i="112"/>
  <c r="G22" i="112"/>
  <c r="F22" i="112"/>
  <c r="E22" i="112" s="1"/>
  <c r="H21" i="112"/>
  <c r="G21" i="112"/>
  <c r="F21" i="112"/>
  <c r="H20" i="112"/>
  <c r="G20" i="112"/>
  <c r="F20" i="112"/>
  <c r="H19" i="112"/>
  <c r="G19" i="112"/>
  <c r="F19" i="112"/>
  <c r="D19" i="112"/>
  <c r="H18" i="112"/>
  <c r="G18" i="112"/>
  <c r="E18" i="112" s="1"/>
  <c r="F18" i="112"/>
  <c r="H17" i="112"/>
  <c r="G17" i="112"/>
  <c r="F17" i="112"/>
  <c r="H16" i="112"/>
  <c r="G16" i="112"/>
  <c r="E16" i="112" s="1"/>
  <c r="F16" i="112"/>
  <c r="D16" i="112"/>
  <c r="H15" i="112"/>
  <c r="G15" i="112"/>
  <c r="F15" i="112"/>
  <c r="H14" i="112"/>
  <c r="E14" i="112" s="1"/>
  <c r="G14" i="112"/>
  <c r="F14" i="112"/>
  <c r="H13" i="112"/>
  <c r="G13" i="112"/>
  <c r="F13" i="112"/>
  <c r="D13" i="112"/>
  <c r="H12" i="112"/>
  <c r="G12" i="112"/>
  <c r="E12" i="112" s="1"/>
  <c r="F12" i="112"/>
  <c r="H11" i="112"/>
  <c r="G11" i="112"/>
  <c r="E11" i="112" s="1"/>
  <c r="F11" i="112"/>
  <c r="D11" i="112"/>
  <c r="H10" i="112"/>
  <c r="G10" i="112"/>
  <c r="F10" i="112"/>
  <c r="H9" i="112"/>
  <c r="G9" i="112"/>
  <c r="F9" i="112"/>
  <c r="H8" i="112"/>
  <c r="G8" i="112"/>
  <c r="F8" i="112"/>
  <c r="E8" i="112" s="1"/>
  <c r="H34" i="112" l="1"/>
  <c r="E10" i="112"/>
  <c r="E20" i="112"/>
  <c r="E25" i="112"/>
  <c r="E9" i="112"/>
  <c r="E34" i="112" s="1"/>
  <c r="E15" i="112"/>
  <c r="E19" i="112"/>
  <c r="E24" i="112"/>
  <c r="G34" i="112"/>
  <c r="D34" i="112"/>
  <c r="E13" i="112"/>
  <c r="E17" i="112"/>
  <c r="E21" i="112"/>
  <c r="F34" i="112"/>
  <c r="Q37" i="109" l="1"/>
  <c r="P37" i="109"/>
  <c r="N37" i="109"/>
  <c r="M37" i="109"/>
  <c r="K37" i="109"/>
  <c r="J37" i="109"/>
  <c r="H37" i="109"/>
  <c r="C36" i="109"/>
  <c r="C35" i="109"/>
  <c r="C34" i="109"/>
  <c r="C33" i="109"/>
  <c r="C32" i="109"/>
  <c r="C31" i="109"/>
  <c r="C30" i="109"/>
  <c r="C29" i="109"/>
  <c r="C28" i="109"/>
  <c r="C27" i="109"/>
  <c r="C26" i="109"/>
  <c r="C25" i="109"/>
  <c r="C24" i="109"/>
  <c r="C23" i="109"/>
  <c r="D22" i="109"/>
  <c r="C22" i="109" s="1"/>
  <c r="C21" i="109"/>
  <c r="C20" i="109"/>
  <c r="C19" i="109"/>
  <c r="D18" i="109"/>
  <c r="C18" i="109" s="1"/>
  <c r="S17" i="109"/>
  <c r="S37" i="109" s="1"/>
  <c r="R17" i="109"/>
  <c r="R37" i="109" s="1"/>
  <c r="L17" i="109"/>
  <c r="L37" i="109" s="1"/>
  <c r="I17" i="109"/>
  <c r="F17" i="109"/>
  <c r="E17" i="109"/>
  <c r="C17" i="109"/>
  <c r="E16" i="109"/>
  <c r="C16" i="109"/>
  <c r="C15" i="109"/>
  <c r="C14" i="109"/>
  <c r="E13" i="109"/>
  <c r="C13" i="109"/>
  <c r="O12" i="109"/>
  <c r="O37" i="109" s="1"/>
  <c r="I12" i="109"/>
  <c r="I37" i="109" s="1"/>
  <c r="G12" i="109"/>
  <c r="G37" i="109" s="1"/>
  <c r="F12" i="109"/>
  <c r="F37" i="109" s="1"/>
  <c r="E12" i="109"/>
  <c r="C12" i="109"/>
  <c r="C11" i="109"/>
  <c r="E10" i="109"/>
  <c r="C9" i="109"/>
  <c r="D8" i="109"/>
  <c r="C8" i="109" s="1"/>
  <c r="C7" i="109"/>
  <c r="C6" i="109"/>
  <c r="E37" i="109" l="1"/>
  <c r="C10" i="109"/>
  <c r="C37" i="109" s="1"/>
  <c r="D37" i="109"/>
  <c r="AB77" i="106" l="1"/>
  <c r="AA75" i="106"/>
  <c r="Y75" i="106"/>
  <c r="X75" i="106"/>
  <c r="U75" i="106"/>
  <c r="T75" i="106"/>
  <c r="Q75" i="106"/>
  <c r="P75" i="106"/>
  <c r="N75" i="106"/>
  <c r="M75" i="106"/>
  <c r="L75" i="106"/>
  <c r="H75" i="106"/>
  <c r="G75" i="106"/>
  <c r="F75" i="106"/>
  <c r="AA73" i="106"/>
  <c r="Y73" i="106"/>
  <c r="X73" i="106"/>
  <c r="U73" i="106"/>
  <c r="T73" i="106"/>
  <c r="Q73" i="106"/>
  <c r="P73" i="106"/>
  <c r="N73" i="106"/>
  <c r="M73" i="106"/>
  <c r="L73" i="106"/>
  <c r="H73" i="106"/>
  <c r="G73" i="106"/>
  <c r="F73" i="106"/>
  <c r="AA70" i="106"/>
  <c r="Y70" i="106"/>
  <c r="X70" i="106"/>
  <c r="U70" i="106"/>
  <c r="T70" i="106"/>
  <c r="Q70" i="106"/>
  <c r="P70" i="106"/>
  <c r="N70" i="106"/>
  <c r="M70" i="106"/>
  <c r="L70" i="106"/>
  <c r="H70" i="106"/>
  <c r="G70" i="106"/>
  <c r="F70" i="106"/>
  <c r="P68" i="106"/>
  <c r="H68" i="106"/>
  <c r="P67" i="106"/>
  <c r="H67" i="106"/>
  <c r="U65" i="106"/>
  <c r="N65" i="106"/>
  <c r="N64" i="106"/>
  <c r="AA63" i="106"/>
  <c r="Y63" i="106"/>
  <c r="X63" i="106"/>
  <c r="T63" i="106"/>
  <c r="Q63" i="106"/>
  <c r="M63" i="106"/>
  <c r="L63" i="106"/>
  <c r="G63" i="106"/>
  <c r="F63" i="106"/>
  <c r="AB62" i="106"/>
  <c r="Y61" i="106"/>
  <c r="AA60" i="106"/>
  <c r="X60" i="106"/>
  <c r="U60" i="106"/>
  <c r="T60" i="106"/>
  <c r="Q60" i="106"/>
  <c r="P60" i="106"/>
  <c r="N60" i="106"/>
  <c r="M60" i="106"/>
  <c r="L60" i="106"/>
  <c r="H60" i="106"/>
  <c r="G60" i="106"/>
  <c r="F60" i="106"/>
  <c r="Y59" i="106"/>
  <c r="Y58" i="106"/>
  <c r="P58" i="106"/>
  <c r="P56" i="106"/>
  <c r="AA54" i="106"/>
  <c r="Y54" i="106"/>
  <c r="P54" i="106"/>
  <c r="AA53" i="106"/>
  <c r="Y53" i="106"/>
  <c r="P53" i="106"/>
  <c r="AA52" i="106"/>
  <c r="P52" i="106"/>
  <c r="AA51" i="106"/>
  <c r="Y51" i="106"/>
  <c r="P51" i="106"/>
  <c r="AA50" i="106"/>
  <c r="Y50" i="106"/>
  <c r="P50" i="106"/>
  <c r="AA49" i="106"/>
  <c r="Y49" i="106"/>
  <c r="P49" i="106"/>
  <c r="X48" i="106"/>
  <c r="U48" i="106"/>
  <c r="T48" i="106"/>
  <c r="Q48" i="106"/>
  <c r="N48" i="106"/>
  <c r="M48" i="106"/>
  <c r="L48" i="106"/>
  <c r="H48" i="106"/>
  <c r="G48" i="106"/>
  <c r="F48" i="106"/>
  <c r="AA46" i="106"/>
  <c r="Y46" i="106"/>
  <c r="X46" i="106"/>
  <c r="U46" i="106"/>
  <c r="T46" i="106"/>
  <c r="Q46" i="106"/>
  <c r="P46" i="106"/>
  <c r="N46" i="106"/>
  <c r="M46" i="106"/>
  <c r="L46" i="106"/>
  <c r="H46" i="106"/>
  <c r="G46" i="106"/>
  <c r="F46" i="106"/>
  <c r="AB45" i="106"/>
  <c r="AB44" i="106"/>
  <c r="AA42" i="106"/>
  <c r="Y42" i="106"/>
  <c r="X42" i="106"/>
  <c r="U42" i="106"/>
  <c r="T42" i="106"/>
  <c r="Q42" i="106"/>
  <c r="P42" i="106"/>
  <c r="N42" i="106"/>
  <c r="M42" i="106"/>
  <c r="L42" i="106"/>
  <c r="H42" i="106"/>
  <c r="G42" i="106"/>
  <c r="F42" i="106"/>
  <c r="AB41" i="106"/>
  <c r="AA39" i="106"/>
  <c r="Y39" i="106"/>
  <c r="X39" i="106"/>
  <c r="U39" i="106"/>
  <c r="T39" i="106"/>
  <c r="Q39" i="106"/>
  <c r="P39" i="106"/>
  <c r="N39" i="106"/>
  <c r="M39" i="106"/>
  <c r="L39" i="106"/>
  <c r="H39" i="106"/>
  <c r="G39" i="106"/>
  <c r="F39" i="106"/>
  <c r="N37" i="106"/>
  <c r="AA36" i="106"/>
  <c r="Y36" i="106"/>
  <c r="X36" i="106"/>
  <c r="U36" i="106"/>
  <c r="T36" i="106"/>
  <c r="Q36" i="106"/>
  <c r="P36" i="106"/>
  <c r="M36" i="106"/>
  <c r="L36" i="106"/>
  <c r="H36" i="106"/>
  <c r="G36" i="106"/>
  <c r="F36" i="106"/>
  <c r="Y35" i="106"/>
  <c r="AB34" i="106"/>
  <c r="AA32" i="106"/>
  <c r="X32" i="106"/>
  <c r="U32" i="106"/>
  <c r="T32" i="106"/>
  <c r="Q32" i="106"/>
  <c r="P32" i="106"/>
  <c r="N32" i="106"/>
  <c r="M32" i="106"/>
  <c r="L32" i="106"/>
  <c r="H32" i="106"/>
  <c r="G32" i="106"/>
  <c r="F32" i="106"/>
  <c r="Y31" i="106"/>
  <c r="Y30" i="106"/>
  <c r="F30" i="106"/>
  <c r="AA29" i="106"/>
  <c r="X29" i="106"/>
  <c r="U29" i="106"/>
  <c r="T29" i="106"/>
  <c r="Q29" i="106"/>
  <c r="P29" i="106"/>
  <c r="N29" i="106"/>
  <c r="M29" i="106"/>
  <c r="L29" i="106"/>
  <c r="H29" i="106"/>
  <c r="G29" i="106"/>
  <c r="AB28" i="106"/>
  <c r="AB27" i="106"/>
  <c r="AA22" i="106"/>
  <c r="Y22" i="106"/>
  <c r="X22" i="106"/>
  <c r="U22" i="106"/>
  <c r="T22" i="106"/>
  <c r="Q22" i="106"/>
  <c r="P22" i="106"/>
  <c r="N22" i="106"/>
  <c r="M22" i="106"/>
  <c r="L22" i="106"/>
  <c r="H22" i="106"/>
  <c r="G22" i="106"/>
  <c r="F22" i="106"/>
  <c r="AB21" i="106"/>
  <c r="P20" i="106"/>
  <c r="AA19" i="106"/>
  <c r="Y19" i="106"/>
  <c r="X19" i="106"/>
  <c r="U19" i="106"/>
  <c r="T19" i="106"/>
  <c r="Q19" i="106"/>
  <c r="N19" i="106"/>
  <c r="M19" i="106"/>
  <c r="L19" i="106"/>
  <c r="H19" i="106"/>
  <c r="G19" i="106"/>
  <c r="F19" i="106"/>
  <c r="AA17" i="106"/>
  <c r="Y17" i="106"/>
  <c r="X17" i="106"/>
  <c r="U17" i="106"/>
  <c r="T17" i="106"/>
  <c r="Q17" i="106"/>
  <c r="P17" i="106"/>
  <c r="N17" i="106"/>
  <c r="M17" i="106"/>
  <c r="L17" i="106"/>
  <c r="H17" i="106"/>
  <c r="G17" i="106"/>
  <c r="F17" i="106"/>
  <c r="AA15" i="106"/>
  <c r="Y15" i="106"/>
  <c r="X15" i="106"/>
  <c r="U15" i="106"/>
  <c r="T15" i="106"/>
  <c r="Q15" i="106"/>
  <c r="P15" i="106"/>
  <c r="N15" i="106"/>
  <c r="M15" i="106"/>
  <c r="L15" i="106"/>
  <c r="H15" i="106"/>
  <c r="G15" i="106"/>
  <c r="F15" i="106"/>
  <c r="AB14" i="106"/>
  <c r="N13" i="106"/>
  <c r="N12" i="106" s="1"/>
  <c r="AA12" i="106"/>
  <c r="Y12" i="106"/>
  <c r="X12" i="106"/>
  <c r="U12" i="106"/>
  <c r="T12" i="106"/>
  <c r="Q12" i="106"/>
  <c r="P12" i="106"/>
  <c r="M12" i="106"/>
  <c r="L12" i="106"/>
  <c r="H12" i="106"/>
  <c r="G12" i="106"/>
  <c r="F12" i="106"/>
  <c r="AA10" i="106"/>
  <c r="Y10" i="106"/>
  <c r="X10" i="106"/>
  <c r="U10" i="106"/>
  <c r="T10" i="106"/>
  <c r="Q10" i="106"/>
  <c r="P10" i="106"/>
  <c r="N10" i="106"/>
  <c r="M10" i="106"/>
  <c r="L10" i="106"/>
  <c r="H10" i="106"/>
  <c r="G10" i="106"/>
  <c r="F10" i="106"/>
  <c r="F9" i="106"/>
  <c r="Y8" i="106"/>
  <c r="F8" i="106"/>
  <c r="AA7" i="106"/>
  <c r="X7" i="106"/>
  <c r="U7" i="106"/>
  <c r="T7" i="106"/>
  <c r="Q7" i="106"/>
  <c r="P7" i="106"/>
  <c r="N7" i="106"/>
  <c r="M7" i="106"/>
  <c r="L7" i="106"/>
  <c r="H7" i="106"/>
  <c r="G7" i="106"/>
  <c r="X6" i="106"/>
  <c r="X5" i="106"/>
  <c r="AA4" i="106"/>
  <c r="Y4" i="106"/>
  <c r="U4" i="106"/>
  <c r="T4" i="106"/>
  <c r="Q4" i="106"/>
  <c r="P4" i="106"/>
  <c r="N4" i="106"/>
  <c r="M4" i="106"/>
  <c r="L4" i="106"/>
  <c r="H4" i="106"/>
  <c r="G4" i="106"/>
  <c r="F4" i="106"/>
  <c r="N36" i="106" l="1"/>
  <c r="X4" i="106"/>
  <c r="X78" i="106" s="1"/>
  <c r="AB18" i="106"/>
  <c r="AB17" i="106" s="1"/>
  <c r="K78" i="106"/>
  <c r="AB6" i="106"/>
  <c r="AB71" i="106"/>
  <c r="C78" i="106"/>
  <c r="G78" i="106"/>
  <c r="L78" i="106"/>
  <c r="T78" i="106"/>
  <c r="P19" i="106"/>
  <c r="AB24" i="106"/>
  <c r="F29" i="106"/>
  <c r="AB69" i="106"/>
  <c r="AB5" i="106"/>
  <c r="AB8" i="106"/>
  <c r="AB25" i="106"/>
  <c r="AB38" i="106"/>
  <c r="AB57" i="106"/>
  <c r="AB59" i="106"/>
  <c r="Y60" i="106"/>
  <c r="N63" i="106"/>
  <c r="AB66" i="106"/>
  <c r="H63" i="106"/>
  <c r="H78" i="106" s="1"/>
  <c r="M78" i="106"/>
  <c r="Q78" i="106"/>
  <c r="Y7" i="106"/>
  <c r="AB9" i="106"/>
  <c r="AB26" i="106"/>
  <c r="AB61" i="106"/>
  <c r="AB60" i="106" s="1"/>
  <c r="P63" i="106"/>
  <c r="AB76" i="106"/>
  <c r="AB75" i="106" s="1"/>
  <c r="AB31" i="106"/>
  <c r="AB35" i="106"/>
  <c r="D78" i="106"/>
  <c r="S78" i="106"/>
  <c r="Y48" i="106"/>
  <c r="AA48" i="106"/>
  <c r="AA78" i="106" s="1"/>
  <c r="AB58" i="106"/>
  <c r="AB67" i="106"/>
  <c r="F7" i="106"/>
  <c r="Y29" i="106"/>
  <c r="Y32" i="106"/>
  <c r="P48" i="106"/>
  <c r="AB50" i="106"/>
  <c r="AB51" i="106"/>
  <c r="AB52" i="106"/>
  <c r="AB53" i="106"/>
  <c r="AB54" i="106"/>
  <c r="AB55" i="106"/>
  <c r="AB65" i="106"/>
  <c r="U63" i="106"/>
  <c r="U78" i="106" s="1"/>
  <c r="AB56" i="106"/>
  <c r="AB68" i="106"/>
  <c r="AB72" i="106"/>
  <c r="AB4" i="106" l="1"/>
  <c r="O78" i="106"/>
  <c r="N78" i="106"/>
  <c r="AB13" i="106"/>
  <c r="AB12" i="106" s="1"/>
  <c r="AB7" i="106"/>
  <c r="AB40" i="106"/>
  <c r="AB39" i="106" s="1"/>
  <c r="P78" i="106"/>
  <c r="R78" i="106"/>
  <c r="I78" i="106"/>
  <c r="W78" i="106"/>
  <c r="F78" i="106"/>
  <c r="V78" i="106"/>
  <c r="Y78" i="106"/>
  <c r="B78" i="106"/>
  <c r="E78" i="106"/>
  <c r="J78" i="106"/>
  <c r="AB49" i="106"/>
  <c r="AB48" i="106" s="1"/>
  <c r="AB43" i="106"/>
  <c r="AB42" i="106" s="1"/>
  <c r="AB74" i="106"/>
  <c r="AB73" i="106" s="1"/>
  <c r="AB47" i="106"/>
  <c r="AB46" i="106" s="1"/>
  <c r="AB33" i="106"/>
  <c r="AB32" i="106" s="1"/>
  <c r="AB30" i="106"/>
  <c r="AB29" i="106" s="1"/>
  <c r="AB20" i="106"/>
  <c r="AB19" i="106" s="1"/>
  <c r="AB11" i="106"/>
  <c r="AB10" i="106" s="1"/>
  <c r="AB64" i="106"/>
  <c r="AB63" i="106" s="1"/>
  <c r="AB37" i="106"/>
  <c r="AB36" i="106" s="1"/>
  <c r="AB70" i="106"/>
  <c r="AB23" i="106"/>
  <c r="AB22" i="106" s="1"/>
  <c r="AB16" i="106"/>
  <c r="AB15" i="106" s="1"/>
  <c r="AB78" i="106" l="1"/>
  <c r="Z78" i="106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I20" authorId="0" shapeId="0">
      <text>
        <r>
          <rPr>
            <b/>
            <sz val="12"/>
            <color indexed="81"/>
            <rFont val="Tahoma"/>
            <family val="2"/>
            <charset val="204"/>
          </rPr>
          <t>на основании письма РКБ №39 от 04.10.2018</t>
        </r>
      </text>
    </comment>
  </commentList>
</comments>
</file>

<file path=xl/sharedStrings.xml><?xml version="1.0" encoding="utf-8"?>
<sst xmlns="http://schemas.openxmlformats.org/spreadsheetml/2006/main" count="1387" uniqueCount="555">
  <si>
    <t>Наименование медицинской организации</t>
  </si>
  <si>
    <t>ООО "Лаборатория гемодиализа"</t>
  </si>
  <si>
    <t>ООО "МЦ "Агидель"</t>
  </si>
  <si>
    <t>ООО "Сфера-Эстейт"</t>
  </si>
  <si>
    <t>ООО "Экома"</t>
  </si>
  <si>
    <t>Всего</t>
  </si>
  <si>
    <t>(услуги)</t>
  </si>
  <si>
    <t>№ п/п</t>
  </si>
  <si>
    <t>Итого</t>
  </si>
  <si>
    <t>ГБУЗ РБ Белебеевская ЦРБ</t>
  </si>
  <si>
    <t>ГБУЗ РБ Белорецкая ЦРКБ</t>
  </si>
  <si>
    <t>ГАУЗ РБ Учалинская ЦГБ</t>
  </si>
  <si>
    <t>ГБУЗ РБ Бирская ЦРБ</t>
  </si>
  <si>
    <t>ГБУЗ РБ Дюртюлинская ЦРБ</t>
  </si>
  <si>
    <t xml:space="preserve">ГБУЗ РБ ГБ г. Нефтекамск </t>
  </si>
  <si>
    <t>ГБУЗ РБ Месягутовская ЦРБ</t>
  </si>
  <si>
    <t>ГБУЗ РБ Баймакская ЦГБ</t>
  </si>
  <si>
    <t>ГБУЗ РБ КБ № 1 г.Стерлитамак</t>
  </si>
  <si>
    <t>ГБУЗ РБ Ишимбайская ЦРБ</t>
  </si>
  <si>
    <t>ГБУЗ РБ Мелеузовская ЦРБ</t>
  </si>
  <si>
    <t>ГБУЗ РБ Туймазинская ЦРБ</t>
  </si>
  <si>
    <t>ГАУЗ РБ ГКБ №18 г.Уфа</t>
  </si>
  <si>
    <t>ФГБОУ ВО БГМУ Минздрава России</t>
  </si>
  <si>
    <t>ГАУЗ РКОД МЗ РБ</t>
  </si>
  <si>
    <t>ГБУЗ РКЦ</t>
  </si>
  <si>
    <t>ГБУЗ РДКБ</t>
  </si>
  <si>
    <t>ГБУЗ "РКПЦ" МЗ РБ</t>
  </si>
  <si>
    <t>ГБУЗ РКГВВ</t>
  </si>
  <si>
    <t>ГБУЗ РБ БСМП г.Уфа</t>
  </si>
  <si>
    <t xml:space="preserve">ГБУЗ РБ ГКБ № 21 г.Уфа </t>
  </si>
  <si>
    <t>ГБУЗ РБ Благовещенская ЦРБ</t>
  </si>
  <si>
    <t>ЧУЗ «КБ «РЖД - Медицина» г. Уфа»</t>
  </si>
  <si>
    <t>Медицинская помощь за пределами РБ</t>
  </si>
  <si>
    <t>Плановое количество сеансов заместительной почечной терапии методами гемодиализа и перитонеального диализа на 2019 год.</t>
  </si>
  <si>
    <t>Наименование МО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</si>
  <si>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</si>
  <si>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</si>
  <si>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МП, оказываемая в амбулаторных условиях</t>
  </si>
  <si>
    <t>Круглосуточный стационар</t>
  </si>
  <si>
    <t>Медицинская помощь, оказываемая в амбулаторных условиях</t>
  </si>
  <si>
    <t>Дневной стационар</t>
  </si>
  <si>
    <t>гемодиализ интермит-тирующий высокопоточный (А18.05.002.001)</t>
  </si>
  <si>
    <t xml:space="preserve">Услуги диализа, оказываемые в отделениях фильтрации </t>
  </si>
  <si>
    <t>Перитонеальный диализ при нарушении ультра-фильтрации (А18.30.001.003)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</si>
  <si>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</si>
  <si>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</si>
  <si>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при нарушении ультрафильтрации (А18.30.001.003)</t>
  </si>
  <si>
    <t xml:space="preserve">гемофильтрация крови продленная (А18.05.003.001)  </t>
  </si>
  <si>
    <t>селективная гемосорбция липополисахаридов (А18.05.006.001)</t>
  </si>
  <si>
    <t>ГБУЗ РКБ им. Г.Г. Куватова</t>
  </si>
  <si>
    <t>ООО "ДиаЛайф"</t>
  </si>
  <si>
    <t xml:space="preserve">ИТОГО </t>
  </si>
  <si>
    <t xml:space="preserve">ГБУЗ РБ ГКБ № 21 г. Уфа </t>
  </si>
  <si>
    <t>ГАУЗ РБ ГКБ № 18 г. Уфа</t>
  </si>
  <si>
    <t>ГБУЗ РБ КБ № 1 г. Стерлитамак</t>
  </si>
  <si>
    <t>(случай лечения)</t>
  </si>
  <si>
    <t xml:space="preserve">В рамках базовой программы ОМС </t>
  </si>
  <si>
    <t>ГБУЗ РБ ГБ г. Нефтекамск</t>
  </si>
  <si>
    <t>Обособленное структурное подразделение ГБУЗ РБ ГБ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</si>
  <si>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</si>
  <si>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</si>
  <si>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</si>
  <si>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</si>
  <si>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</si>
  <si>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</si>
  <si>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</si>
  <si>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</si>
  <si>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</si>
  <si>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"Белый Жемчуг" (г.Нефтекамск)</t>
  </si>
  <si>
    <t>ООО МЦ "СЕМЕЙНЫЙ ДОКТОР" (г.Бирск)</t>
  </si>
  <si>
    <t>ГБУЗ РБ ЦГБ г. Сибай</t>
  </si>
  <si>
    <t>ФГБУЗ МСЧ № 142 ФМБА России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</si>
  <si>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</si>
  <si>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</si>
  <si>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</si>
  <si>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</si>
  <si>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</si>
  <si>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</si>
  <si>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</si>
  <si>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</si>
  <si>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г. Стерлитамак</t>
  </si>
  <si>
    <t>ГБУЗ РБ ДБ г. Стерлитамак</t>
  </si>
  <si>
    <t>ГАУЗ РБ "Санаторий для детей НУР г. Стерлитамак"</t>
  </si>
  <si>
    <t xml:space="preserve">ГАУЗ РБ КВД г. Стерлитамак 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</si>
  <si>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</si>
  <si>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</si>
  <si>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Обособленное структурное подразделение Родильный дом ГБУЗ РБ ГБ г.Салават</t>
  </si>
  <si>
    <t>ГАУЗ РБ КВД г. Салават</t>
  </si>
  <si>
    <t xml:space="preserve">ГБУЗ РБ ГБ г. Кумертау </t>
  </si>
  <si>
    <t>Обособленное структурное подразделение ГБУЗ РБ ГБ г. Кумертау  ранее именуемое ГБУЗ РБ Ермолаевская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</si>
  <si>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</si>
  <si>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</si>
  <si>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</si>
  <si>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</si>
  <si>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</si>
  <si>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</si>
  <si>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АНО "Перинатальный центр" (г. Салават)</t>
  </si>
  <si>
    <t>ООО "Клиника доктора Симаковой" (г.Стерлитамак)</t>
  </si>
  <si>
    <t>ООО "Медсервис" г. Салават</t>
  </si>
  <si>
    <t>ГБУЗ РБ ГБ № 1 г. Октябрьский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</si>
  <si>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</si>
  <si>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</si>
  <si>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</si>
  <si>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</si>
  <si>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</si>
  <si>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</si>
  <si>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</si>
  <si>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</si>
  <si>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</si>
  <si>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</si>
  <si>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</si>
  <si>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</si>
  <si>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>ГБУЗ РБ Детская поликлиника № 6 г. 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</si>
  <si>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</si>
  <si>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</si>
  <si>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</si>
  <si>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</si>
  <si>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</si>
  <si>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</si>
  <si>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</si>
  <si>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</si>
  <si>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</si>
  <si>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</si>
  <si>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</si>
  <si>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</si>
  <si>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</si>
  <si>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</si>
  <si>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</si>
  <si>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</si>
  <si>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</si>
  <si>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</si>
  <si>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</si>
  <si>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 xml:space="preserve">ГБУЗ РБ РД № 3 г. Уфа  </t>
  </si>
  <si>
    <t>Поликлиника УНЦ РАН</t>
  </si>
  <si>
    <t>ГБУЗ РБ Архангельская ЦРБ</t>
  </si>
  <si>
    <t>ГБУЗ РБ Белокатайская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</si>
  <si>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</si>
  <si>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</si>
  <si>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</si>
  <si>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</si>
  <si>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</si>
  <si>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</si>
  <si>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</si>
  <si>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</si>
  <si>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</si>
  <si>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</si>
  <si>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</si>
  <si>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ООО "Клиника глазных болезней" (г.Уфа)</t>
  </si>
  <si>
    <t>ООО "Лаборатория гемодиализа" (гемодиализ ds18.002)</t>
  </si>
  <si>
    <t>ООО "МЦ МЕГИ" (г.Уфа)</t>
  </si>
  <si>
    <t>ГБУЗ РКБ им.Г.Г. Куватова</t>
  </si>
  <si>
    <t>ГБУЗ РКБ им.Г.Г. Куватова (гемодиализ ds18.002)</t>
  </si>
  <si>
    <t xml:space="preserve">ГБУЗ "РДКБ" </t>
  </si>
  <si>
    <t>ГБУЗ "РДКБ" (гемодиализ ds18.002)</t>
  </si>
  <si>
    <t>ГБУ "УфНИИ ГБ АН РБ"</t>
  </si>
  <si>
    <t>ГАУЗ РКВД № 1</t>
  </si>
  <si>
    <t>ГБУЗ РМГЦ*</t>
  </si>
  <si>
    <t>ГАУЗ РВФД</t>
  </si>
  <si>
    <t>Обособленное структурное подразделение ГБУЗ РБ ГКБ № 21 г. Уфа ранее именуемое ГБУЗ РБ Уфимская ЦРП</t>
  </si>
  <si>
    <t>ГБУЗ РБ ИКБ № 4 г. Уфа</t>
  </si>
  <si>
    <t>ООО "ПЭТ-Технолоджи",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</si>
  <si>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</si>
  <si>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</si>
  <si>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</si>
  <si>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-'КТ/ПЭТ исследования</t>
  </si>
  <si>
    <t>ООО "Клиника лазерной хирургии"</t>
  </si>
  <si>
    <t>ИТОГО</t>
  </si>
  <si>
    <t>Медицинская помощь, оказываемая в условиях дневных стационаров всех типов, на 2019 год.</t>
  </si>
  <si>
    <t>Всего в рамках программы ОМС</t>
  </si>
  <si>
    <t>из них</t>
  </si>
  <si>
    <t>В рамках  сверхбазовой программы ОМС лечебные мероприятия "Кибер-нож"</t>
  </si>
  <si>
    <t>МП детям  при АПП (не менее)</t>
  </si>
  <si>
    <t>реабили-тация</t>
  </si>
  <si>
    <t>ЭКО для   каждого   этапа*</t>
  </si>
  <si>
    <t xml:space="preserve"> профиль "онкология"</t>
  </si>
  <si>
    <t>ООО "АНЭКО"*</t>
  </si>
  <si>
    <t>ООО "МД Проект 2010"*</t>
  </si>
  <si>
    <t>ООО "ЦМТ"*</t>
  </si>
  <si>
    <t xml:space="preserve">Объемы </t>
  </si>
  <si>
    <t>НУЗ "Узловая больница на ст. Стерлитамак ОАО "РЖД"</t>
  </si>
  <si>
    <t>ООО "Лаборатория гемодиализа" (ds18.003)</t>
  </si>
  <si>
    <t xml:space="preserve">ГБУЗ РКБ им.Г.Г. Куватова </t>
  </si>
  <si>
    <t>ГБУЗ РКБ им.Г.Г. Куватова (ds18.003)</t>
  </si>
  <si>
    <t>ГБУЗ "РДКБ" (ds18.003)</t>
  </si>
  <si>
    <t>Медицинская помощь, оказываемая в центрах здоровья, на 2019 год.</t>
  </si>
  <si>
    <t>(посещение)</t>
  </si>
  <si>
    <t>Взрослое население</t>
  </si>
  <si>
    <t>Детское население</t>
  </si>
  <si>
    <t>первичное посещение</t>
  </si>
  <si>
    <t>динамическое наблюдение (комплексное)</t>
  </si>
  <si>
    <t>комплексное посещение</t>
  </si>
  <si>
    <t>посещение гигиениста стоматоло-гического</t>
  </si>
  <si>
    <t>посещение офтальмоло-гического кабинета</t>
  </si>
  <si>
    <t>ГБУЗ РБ ГБ г.Кумертау</t>
  </si>
  <si>
    <t>ГБУЗ РБ ГБ г.Нефтекамск</t>
  </si>
  <si>
    <t>ГБУЗ РБ ГБ г.Салават</t>
  </si>
  <si>
    <t>ГБУЗ РБ ЦГБ г.Сибай</t>
  </si>
  <si>
    <t>ГБУЗ РБ Городская больница №2 г.Стерлитамак</t>
  </si>
  <si>
    <t>ГБУЗ РБ ДБ г.Стерлитамак</t>
  </si>
  <si>
    <t>ГБУЗ РБ ГБ №1 г.Октябрьский</t>
  </si>
  <si>
    <t>ГБУЗ РБ Детская поликлиника №5 г.Уфа</t>
  </si>
  <si>
    <t>ГБУЗ РБ Поликлиника №2 г.Уфа</t>
  </si>
  <si>
    <t>ГБУЗ РБ Поликлиника №38 г.Уфа</t>
  </si>
  <si>
    <t>ГБУЗ РБ Поликлиника №46 г.Уфа</t>
  </si>
  <si>
    <t>ГБУЗ РБ ГКБ Демского района г.Уфа</t>
  </si>
  <si>
    <t>ГБУЗ РБ ГКБ №10 г.Уфа</t>
  </si>
  <si>
    <t>ГБУЗ РБ ГДКБ №17 г.Уфа</t>
  </si>
  <si>
    <t>ГАУЗ Учалинская ЦРБ</t>
  </si>
  <si>
    <t>ГБУЗ РБ Баймакская ЦРБ</t>
  </si>
  <si>
    <t>Наименование медицинских организаций</t>
  </si>
  <si>
    <t>в том числе</t>
  </si>
  <si>
    <t>ГБУЗ РБ КБ №1 г.Стерлитамак</t>
  </si>
  <si>
    <t>ГБУЗ РБ ГБ №1 г. Октябрьский</t>
  </si>
  <si>
    <t>ГБУЗ РБ ГКБ Дёмского района г.Уфа</t>
  </si>
  <si>
    <t>ГБУЗ РБ ГКБ №13 г.Уфа</t>
  </si>
  <si>
    <t>ЧУЗ «КБ «РЖД- Медицина» г.Уфа</t>
  </si>
  <si>
    <t>ООО "МД Проект 2010" (г.Уфа)</t>
  </si>
  <si>
    <t>ГАУЗ РКОД  МЗ РБ</t>
  </si>
  <si>
    <t>ГБУЗ РМГЦ</t>
  </si>
  <si>
    <t xml:space="preserve">ГБУЗ РБ ГКБ №21 г.Уфа </t>
  </si>
  <si>
    <t>ГБУЗ РБ ГКБ №8 г.Уфа</t>
  </si>
  <si>
    <t>Медицинская помощь, оказываемая в круглосуточных стационарах на 2019 год.</t>
  </si>
  <si>
    <t>(случаи госпитализации)</t>
  </si>
  <si>
    <t>ВМП</t>
  </si>
  <si>
    <t xml:space="preserve">в том числе </t>
  </si>
  <si>
    <t xml:space="preserve">В рамках специлизиро-ванной программы ОМС </t>
  </si>
  <si>
    <t>В рамках  сверхбазовой программы ОМС (долечивание)</t>
  </si>
  <si>
    <t>профиль "онкология"</t>
  </si>
  <si>
    <t>медицинская реабилитация</t>
  </si>
  <si>
    <t>ГБУЗ РБ Городская инфекционная больница                                                                            г. Стерлитамак</t>
  </si>
  <si>
    <t xml:space="preserve">Обособленное структурное подразделение Родильный дом ГБУЗ РБ ГБ г. Салават </t>
  </si>
  <si>
    <t>Обособленное структурное подразделение ГБУЗ РБ ГБ г. Кумертау ранее именуемое ГБУЗ РБ Ермолаевская ЦРБ</t>
  </si>
  <si>
    <t>ООО "Медсервис" (г. Салават)</t>
  </si>
  <si>
    <t>ФКУЗ «МСЧ МВД России по РБ»</t>
  </si>
  <si>
    <t>ЧУЗ КБ "РЖД-Медицина" г.Уфа</t>
  </si>
  <si>
    <t>ООО "МД Проект 2010"</t>
  </si>
  <si>
    <t>ООО "Медицинский центр Семья"</t>
  </si>
  <si>
    <t>ООО «Санаторий "Зеленая роща"» РБ</t>
  </si>
  <si>
    <t>ООО  санаторий "Юматово"</t>
  </si>
  <si>
    <t>ООО "ЦМТ"</t>
  </si>
  <si>
    <t>ГБУЗ РКБ им. Г.Г.Куватова</t>
  </si>
  <si>
    <t>ГБУЗ " РДКБ"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</si>
  <si>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</si>
  <si>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</si>
  <si>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ФБУН  "Уфимский НИИ медицины труда и экологии человека"</t>
  </si>
  <si>
    <t>ФГБУ "ВЦГПХ" МЗ РФ</t>
  </si>
  <si>
    <t xml:space="preserve">Медицинская помощь за пределами РБ </t>
  </si>
  <si>
    <t>Объем, перечень видов ВМП, финансовое обеспечение которых осуществляется за счет средств ОМС, установленные Комиссией на 2019 год</t>
  </si>
  <si>
    <t>№ группы ВМП</t>
  </si>
  <si>
    <t>ГБУЗ РКПЦ МЗ РБ</t>
  </si>
  <si>
    <t>ГАУЗ РКВД №1</t>
  </si>
  <si>
    <t>ГБУЗ РБ ГКБ №21 г. Уфа</t>
  </si>
  <si>
    <t>ФГБУ "ВЦГПХ" Минздрава России</t>
  </si>
  <si>
    <t>ГБУ  "УфНИИ ГБ АН РБ"</t>
  </si>
  <si>
    <t>ГБУЗ РБ ГКБ №10 г. Уфа</t>
  </si>
  <si>
    <t>ГБУЗ РБ ГКБ №13 г. Уфа</t>
  </si>
  <si>
    <t>ГБУЗ РБ ГДКБ № 17 г. Уфа</t>
  </si>
  <si>
    <t>ГАУЗ РБ ГКБ №18 г. Уфа</t>
  </si>
  <si>
    <t>ГБУЗ РБ РД №3 г. Уфа</t>
  </si>
  <si>
    <t>ГБУЗ РБ ГБ г.Нефтекакмск</t>
  </si>
  <si>
    <t>ГБУЗ РБ КБ №1 г. Стерлитамак</t>
  </si>
  <si>
    <t>ООО "Медсервис" г.Салават</t>
  </si>
  <si>
    <t>ООО"МД Проект 2010"</t>
  </si>
  <si>
    <t>ИТОГО без резерва</t>
  </si>
  <si>
    <t>Резерв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</si>
  <si>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</si>
  <si>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</si>
  <si>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</si>
  <si>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</si>
  <si>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</si>
  <si>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</si>
  <si>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</si>
  <si>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</si>
  <si>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</si>
  <si>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</si>
  <si>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</si>
  <si>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</si>
  <si>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</si>
  <si>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</si>
  <si>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</si>
  <si>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</si>
  <si>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</si>
  <si>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</si>
  <si>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</si>
  <si>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</si>
  <si>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</si>
  <si>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 xml:space="preserve">Объемы лечебно-диагностических исследований, оказываемых в амбулаторно-поликлинических условиях на 2019 год.             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</si>
  <si>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</si>
  <si>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</si>
  <si>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</si>
  <si>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</si>
  <si>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Компьютер-ная томо-графия в центре ПЭТ</t>
  </si>
  <si>
    <t>Скрининговое УЗИ при беременности</t>
  </si>
  <si>
    <t>без К</t>
  </si>
  <si>
    <t>с К</t>
  </si>
  <si>
    <t>с К  и исп. АИ</t>
  </si>
  <si>
    <t>сцинти-графия</t>
  </si>
  <si>
    <t xml:space="preserve">рено-графия </t>
  </si>
  <si>
    <t>11-14 недель</t>
  </si>
  <si>
    <t>18-21 неделя</t>
  </si>
  <si>
    <t>ГБУЗ РБ Большеустикинская ЦРБ</t>
  </si>
  <si>
    <t xml:space="preserve">ООО "МедТех"                                                            </t>
  </si>
  <si>
    <t>ГБУЗ РБ ГБ № 3 г.Стерлитамак</t>
  </si>
  <si>
    <t>ОСП Родильный дом ГБУЗ РБ ГБ г.Салават</t>
  </si>
  <si>
    <t>АНО "Перинатальный центр"</t>
  </si>
  <si>
    <t>ГБУЗ РБ ГБ № 1 г.Октябрьский</t>
  </si>
  <si>
    <t>ГБУЗ РБ Поликлиника №43 г.Уфа</t>
  </si>
  <si>
    <t xml:space="preserve">ГБУЗ РБ Поликлиника №50 г.Уфа </t>
  </si>
  <si>
    <t>ГБУЗ РБ ГКБ Демского района г. Уфа</t>
  </si>
  <si>
    <t xml:space="preserve">ГБУЗ РБ ГДКБ №17 г.Уфа </t>
  </si>
  <si>
    <t>ГБУЗ РБ РД №3 г.Уфа</t>
  </si>
  <si>
    <t>ООО "МД Проект 2010""</t>
  </si>
  <si>
    <t>ООО "Клиника Эксперт Уфа"</t>
  </si>
  <si>
    <t xml:space="preserve">ООО  "ЛДЦ МИБС-Уфа"                                                                                           </t>
  </si>
  <si>
    <t xml:space="preserve">ООО "ПЭТ-Технолоджи" </t>
  </si>
  <si>
    <t>ГБУЗ РБ Поликлиника№32 г.Уфа</t>
  </si>
  <si>
    <t>ООО "Центр здоровья"</t>
  </si>
  <si>
    <t>Амбулаторно-поликлиническая помощь в части обращений в связи с заболеваниями  и неотложной медицинской помощи на 2019 год.</t>
  </si>
  <si>
    <t>Неотложная медицинская помощь (посещение по неотложной медицинской помощи)</t>
  </si>
  <si>
    <t xml:space="preserve">в том числе посещения в травматологические пункты                                      </t>
  </si>
  <si>
    <t xml:space="preserve">Обращения </t>
  </si>
  <si>
    <t>в том числе:</t>
  </si>
  <si>
    <t>ММОЦ</t>
  </si>
  <si>
    <t>ЦАОП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</si>
  <si>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</si>
  <si>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</si>
  <si>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</si>
  <si>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</si>
  <si>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по специальности "травматология и ортопедия"</t>
  </si>
  <si>
    <t>по специальности 
"офтальмология"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</si>
  <si>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</si>
  <si>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</si>
  <si>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</si>
  <si>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</si>
  <si>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</si>
  <si>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ООО "Авиценна (г.Нефтекамск)</t>
  </si>
  <si>
    <t>ООО "Ваша стоматология" (г.Нефтекамск)</t>
  </si>
  <si>
    <t>ООО "ВИП" (г.Некфтекамск)</t>
  </si>
  <si>
    <t>ООО "ВИТАЛ" (г.Нефтекамск)</t>
  </si>
  <si>
    <t>ООО "Городская стоматологическая клиника" (г.Нефтекамск)</t>
  </si>
  <si>
    <t>ООО "Дантист+"(г. Нефтекамск)</t>
  </si>
  <si>
    <t>ООО "Дента" (г.Нефтекамск)</t>
  </si>
  <si>
    <t>ООО "Корона+" (г.Нефтекамск)</t>
  </si>
  <si>
    <t>ООО "МедСервис" (г.Нефтекамск)</t>
  </si>
  <si>
    <t>ООО "СтомЭл" (г.Нефтекамс)</t>
  </si>
  <si>
    <t>ООО "ЭнжеДент" (г.Нефтекамс)</t>
  </si>
  <si>
    <t>ГАУЗ РБ Стоматологическая поликлиника г.Сибай</t>
  </si>
  <si>
    <t>ФГБУЗ МСЧ №142 ФМБА России</t>
  </si>
  <si>
    <t>ИП Искужин Р.Г. (с.Темясово)</t>
  </si>
  <si>
    <t>ООО "Медента" (г.Баймак)</t>
  </si>
  <si>
    <t>ООО "Мой доктор" (с.Аскарово)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</si>
  <si>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</si>
  <si>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</si>
  <si>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</si>
  <si>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</si>
  <si>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</si>
  <si>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</si>
  <si>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</si>
  <si>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ГБУЗ РБ Стоматологическая поликлиника г.Салават</t>
  </si>
  <si>
    <t>ГАУЗ РБ КВД г.Салават</t>
  </si>
  <si>
    <t>Обособленное структурное подразделение ГБУЗ РБ ЦГБ города Кумертау, ранее именуемое ГБУЗ РБ Ермолаевская ЦРБ</t>
  </si>
  <si>
    <t>ЧУЗ «РЖД- Медицина» г.Стерлитамак»</t>
  </si>
  <si>
    <t>ООО "Медсервис" (г.Салават)</t>
  </si>
  <si>
    <t>ООО "ММОЦ" (г.Стерлитамак)</t>
  </si>
  <si>
    <t>ООО СП "Берёзка" (г.Стерлитамак)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</si>
  <si>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</si>
  <si>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</si>
  <si>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</si>
  <si>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"Медсервис" (с.Верхнеяркеево)</t>
  </si>
  <si>
    <t>ООО "Радуга" (с.Киргиз-Мияки)</t>
  </si>
  <si>
    <t>ООО "Центр здоровья и красоты" (с.Киргиз-Мияки)</t>
  </si>
  <si>
    <t>ООО "Экодент" (г.Белебей)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</si>
  <si>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</si>
  <si>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</si>
  <si>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</si>
  <si>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</si>
  <si>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</si>
  <si>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</si>
  <si>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</si>
  <si>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№32 г.Уфа</t>
  </si>
  <si>
    <t>ГБУЗ РБ Поликлиника №44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</si>
  <si>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</si>
  <si>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</si>
  <si>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</si>
  <si>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</si>
  <si>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</si>
  <si>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</si>
  <si>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</si>
  <si>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</si>
  <si>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</si>
  <si>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</si>
  <si>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</si>
  <si>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№5 г.Уфа</t>
  </si>
  <si>
    <t>ГБУЗ РБ ГБ №9 г.Уфа</t>
  </si>
  <si>
    <t>ГБУЗ РБ ГБ №12 г.Уфа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</si>
  <si>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</si>
  <si>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</si>
  <si>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</si>
  <si>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ЧУЗ «КБ «РЖД- Медицина» г.Уфа»</t>
  </si>
  <si>
    <t>ООО "МЦ "Агидель""</t>
  </si>
  <si>
    <t>ООО "АЙМЕД" (г.Уфа)</t>
  </si>
  <si>
    <t>ООО "Академия здоровья" (г.Уфа)</t>
  </si>
  <si>
    <t>ООО "Арт-Лион" (г.Уфа)</t>
  </si>
  <si>
    <t>ООО "Витадент Космо" (г.Уфа)</t>
  </si>
  <si>
    <t>ООО "Дантист" (г.Благовещенск)</t>
  </si>
  <si>
    <t>ООО "ДЭНТА" (г.Уфа)</t>
  </si>
  <si>
    <t>ООО "Евромед+" (г.Уфа)</t>
  </si>
  <si>
    <t>ООО "Евромед-Уфа" (г.Уфа)</t>
  </si>
  <si>
    <t>ООО "Клиника Авиценна" (с.Нагаево)</t>
  </si>
  <si>
    <t>ООО "Лаборатория гемодиализа" (г.Уфа)</t>
  </si>
  <si>
    <t>ООО "МАСТЕР-ДЕНТ" (г.Уфа)</t>
  </si>
  <si>
    <t>ООО "Медик" (г.Уфа)</t>
  </si>
  <si>
    <t>ООО "Медицинский центр Семья" (г.Уфа)</t>
  </si>
  <si>
    <t>ООО "Медхелп" (г.Уфа)</t>
  </si>
  <si>
    <t>ООО "ПАЛИТРАДЕНТ" (с.Верхние Киги)</t>
  </si>
  <si>
    <t>ООО "Профи-клиник" (г.Уфа)</t>
  </si>
  <si>
    <t>ООО "Студия Стоматологии" (г.Уфа)</t>
  </si>
  <si>
    <t>ООО "Сфера-Эстейт" (г.Уфа)</t>
  </si>
  <si>
    <t>ООО "ЦДХ" (г.Уфа)</t>
  </si>
  <si>
    <t>ООО "ЦМТ" (г.Уфа)</t>
  </si>
  <si>
    <t>ООО "Экома" (г.Уфа)</t>
  </si>
  <si>
    <t>ООО "Эмидент Люкс" (г.Уфа, ул.Айская)</t>
  </si>
  <si>
    <t>ООО "Эмидент Люкс" (г.Уфа, ул.Революционная)</t>
  </si>
  <si>
    <t>ООО "Эмидент плюс" (г.Уфа)</t>
  </si>
  <si>
    <t>ООО "Эмидент" (г.Уфа, ул. Г.Амантая)</t>
  </si>
  <si>
    <t>ООО "Эмидент" (г.Уфа, ул.Мира)</t>
  </si>
  <si>
    <t>ООО "ЮНИСТ" (г.Уфа)</t>
  </si>
  <si>
    <t>ГБУЗ РБ ИКБ №4 г.Уфа</t>
  </si>
  <si>
    <t>АУЗ РСП</t>
  </si>
  <si>
    <t>Прирост регистра пациентов</t>
  </si>
  <si>
    <t>Амбулаторно-поликлиническая помощь в части посещений с профилактической целью на 2019 год.</t>
  </si>
  <si>
    <t xml:space="preserve">посещения </t>
  </si>
  <si>
    <t>ВСЕГО</t>
  </si>
  <si>
    <t>Центр здоровья</t>
  </si>
  <si>
    <t>Диспансеризация взрослого населения</t>
  </si>
  <si>
    <t xml:space="preserve"> Диспансе-ризация детей- сирот (комплексные посещения)</t>
  </si>
  <si>
    <t xml:space="preserve">Профилак-тический медосмотр несовершен-нолетних </t>
  </si>
  <si>
    <t>Гериатрия</t>
  </si>
  <si>
    <t>Консультативные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</si>
  <si>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</si>
  <si>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</si>
  <si>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 (комплексные посещения)</t>
  </si>
  <si>
    <t>2 этап</t>
  </si>
  <si>
    <t>первичный прием</t>
  </si>
  <si>
    <t>повторная консуль-тация</t>
  </si>
  <si>
    <t>ООО "СтомЭл" (г.Нефтекамск)</t>
  </si>
  <si>
    <t>ГБУЗ РБ Городская инфекционная больница г.Стерлитамак</t>
  </si>
  <si>
    <t>Обособленное структурное подразделение Родильный дом ГБУЗ РБ ГБ города Салават</t>
  </si>
  <si>
    <t>ЧУЗ «РЖД- Медицина» г.Стерлитамак</t>
  </si>
  <si>
    <t>ООО "АНЭКО" (г.Уфа)</t>
  </si>
  <si>
    <t>ООО "Клиника современной флебологии" (г.Уфа)</t>
  </si>
  <si>
    <t>ООО "Эмидент" (г.Уфа, ул.Г.Амантая)</t>
  </si>
  <si>
    <t>I. Посещения с профилактическими целями:</t>
  </si>
  <si>
    <t>II. Посещения с иными целями:</t>
  </si>
  <si>
    <t xml:space="preserve">1. Проведение профилактических медицинских осмотров,в том числе в рамках диспансеризации: </t>
  </si>
  <si>
    <t>2. Посещения для проведения диспансеризации определенных групп населения
 (2-й этап)</t>
  </si>
  <si>
    <t>3. Посещения для проведения диспансерного наблюдения</t>
  </si>
  <si>
    <t>4. Посещения центров здоровья</t>
  </si>
  <si>
    <t>1. Разовые посещения в связи с заболеванием</t>
  </si>
  <si>
    <t>2. Посещения медицинских работников, имеющих среднее медицинское образование, ведущих самостоятельный прием</t>
  </si>
  <si>
    <t>3. Посещения с другими целями (патронаж, выдача справок и иных медицинских документов и др.)</t>
  </si>
  <si>
    <t>проведение профилактических медицинских осмотров, в том числе при первом посещении по поводу диспансерного наблюдения</t>
  </si>
  <si>
    <t>комплексные посещения в рамках диспансеризации</t>
  </si>
  <si>
    <t>ООО "ВИП" (г.Нефтекамск)</t>
  </si>
  <si>
    <t>с том числе по специальностям:</t>
  </si>
  <si>
    <t>стоматология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</si>
  <si>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</si>
  <si>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</si>
  <si>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</si>
  <si>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</si>
  <si>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дерматология</t>
  </si>
  <si>
    <t>инфекционные болезни</t>
  </si>
  <si>
    <t>сурдология-оториноларингология</t>
  </si>
  <si>
    <t>колопроктология</t>
  </si>
  <si>
    <t>нейрохирургия</t>
  </si>
  <si>
    <t>нефрология</t>
  </si>
  <si>
    <t>пульмонология</t>
  </si>
  <si>
    <t>ревматология</t>
  </si>
  <si>
    <t>сердечно-сосудистая хирургия</t>
  </si>
  <si>
    <t>травматология и ортопедия</t>
  </si>
  <si>
    <t>ООО "Академия здоровья", с.Киргиз-Мияки</t>
  </si>
  <si>
    <t xml:space="preserve">ООО "Дентал Стандарт", с.Бижбуляк </t>
  </si>
  <si>
    <t>ООО "Центр здоровья и красоты", с.Киргиз-Мияки</t>
  </si>
  <si>
    <t xml:space="preserve">ООО "Дантист", 
г. Благовещенск </t>
  </si>
  <si>
    <t>ООО "Белый жемчуг"</t>
  </si>
  <si>
    <t>ООО "ВИТАЛ"</t>
  </si>
  <si>
    <t xml:space="preserve"> ООО "Корона+"</t>
  </si>
  <si>
    <t>ООО "Ваша стоматология"</t>
  </si>
  <si>
    <t>ООО "ВИП"</t>
  </si>
  <si>
    <t>ООО "Городская стоматологическая клиника"</t>
  </si>
  <si>
    <t>ООО "СтомЭл"</t>
  </si>
  <si>
    <t>ООО "МедСервис" г.Нефтекамск</t>
  </si>
  <si>
    <t>ООО "Авиценна"</t>
  </si>
  <si>
    <t>ООО "Арт-Лион"</t>
  </si>
  <si>
    <t xml:space="preserve"> ООО "МАСТЕР-ДЕНТ"</t>
  </si>
  <si>
    <t>ООО "ЮНИСТ"</t>
  </si>
  <si>
    <t>ООО "Эмидент" ул.Амантая</t>
  </si>
  <si>
    <t>ООО "МЦ МЕГИ"</t>
  </si>
  <si>
    <t>ООО "Евромед-Уфа"</t>
  </si>
  <si>
    <t>ООО "Евромед+"</t>
  </si>
  <si>
    <t>ООО "АЙМЕД"</t>
  </si>
  <si>
    <t>ООО "Медик"</t>
  </si>
  <si>
    <t>ООО "Эмидент Люкс" ул.Айская</t>
  </si>
  <si>
    <t>ООО "Эмидент Люкс" ул.Революционная</t>
  </si>
  <si>
    <t>ООО  "Профи-клиник"</t>
  </si>
  <si>
    <t>ООО  "Студия Стоматологии"</t>
  </si>
  <si>
    <t>ООО "ЦДХ"</t>
  </si>
  <si>
    <t>ООО "Витадент Космо"</t>
  </si>
  <si>
    <t>ООО "Академия здоровья" г.Уфа</t>
  </si>
  <si>
    <t>ООО "Эмидент плюс"</t>
  </si>
  <si>
    <t>Амбулаторно-поликлиническая помощь в части посещений с профилактическими и иными целями на 2019 г.
(для медицинских организаций частной формы собственности, не имеющих прикрепленного населения и финансируемых по реестрам)</t>
  </si>
  <si>
    <t>Всего посещений с профилактическими и иными целями</t>
  </si>
  <si>
    <t>Ангиохирургический прием</t>
  </si>
  <si>
    <t xml:space="preserve">ООО "ПАЛИТРАДЕНТ", с. Верхние Киги </t>
  </si>
  <si>
    <t xml:space="preserve">ООО "Радуга" с.Киргиз-Мияки </t>
  </si>
  <si>
    <t xml:space="preserve">ООО "Дантист", г. Благовещенск </t>
  </si>
  <si>
    <t>ООО"Мой доктор", с. Аскарово</t>
  </si>
  <si>
    <t>ООО "Клиника современной флебологии"</t>
  </si>
  <si>
    <t>1 квартал</t>
  </si>
  <si>
    <t>Профилак-тический медосмотр взрослых, в том числе при первом посещении по поводу диспансерного наблюдения</t>
  </si>
  <si>
    <t>Объемы  отдельных исследований ,  проводимых   в рамках  диспансеризации  определенных групп  взрослого населения на 2019 год</t>
  </si>
  <si>
    <t>(исследования)</t>
  </si>
  <si>
    <t>В рамках первого этапа диспансеризации</t>
  </si>
  <si>
    <t>В рамках второго этапа диспансеризации</t>
  </si>
  <si>
    <t xml:space="preserve"> Скрининг рака шейки матки</t>
  </si>
  <si>
    <t>Скрининг колоректального рака</t>
  </si>
  <si>
    <t xml:space="preserve">Цитологическое исследование мазка с шейки матки- жидкостной метод </t>
  </si>
  <si>
    <t>Иссследование кала на скрытую кровь иммунохимическим методом (количественный метод)</t>
  </si>
  <si>
    <t>Эндоскопическое исследование-колоноскопия, всего</t>
  </si>
  <si>
    <t>колоноскопия</t>
  </si>
  <si>
    <t>колоноскопия под наркозом</t>
  </si>
  <si>
    <t>колоноскопия с полипэктомией</t>
  </si>
  <si>
    <t>ГБУЗ РБ ГБ №4 г.Стерлитамак</t>
  </si>
  <si>
    <t>Неотложная помощь, оказываемая в амбулаторно-поликлинических условиях на 2019 г.
(для медицинских организаций частной формы собственности, не имеющих прикрепленного населения и финансируемых по реестрам)</t>
  </si>
  <si>
    <t>Всего посещений по неотложной медицинской помощи</t>
  </si>
  <si>
    <t>с том числе по специальности:</t>
  </si>
  <si>
    <t>Объемы сеансов (услуг) заместительной почечной терапии методами гемодиализа и перитонеального диализа в амбулаторных условиях на 2019 год.</t>
  </si>
  <si>
    <t>Медицинская помощь, оказываемая в амбулаторных условиях (для пациентов с хронической почечной недостаточностью (ХПН)</t>
  </si>
  <si>
    <t>Итого на 2019 г.</t>
  </si>
  <si>
    <t>2-4 квартал</t>
  </si>
  <si>
    <t>Итого на
 1 квартал</t>
  </si>
  <si>
    <t>гемодиализ интермиттиру-ющий низкопоточный (А18.05.002,
А18.05.002.002)</t>
  </si>
  <si>
    <t>гемодиализ интермиттиру-ющий высокопоточный (А18.05.002.001)</t>
  </si>
  <si>
    <t>Перитонеальный диализ при нарушении ультрафильтра-ции (А18.30.001.003)</t>
  </si>
  <si>
    <t>Итого на
 2-4 квартал</t>
  </si>
  <si>
    <t>ГБУЗ РБ БСМП г. Уфа</t>
  </si>
  <si>
    <t>Медицинская помощь, оказываемая в условиях дневных стационаров всех типов,  на 2019 год (поквартальный план).</t>
  </si>
  <si>
    <t>в том числе по кварталам</t>
  </si>
  <si>
    <t>2 квартал</t>
  </si>
  <si>
    <t>3 квартал</t>
  </si>
  <si>
    <t>4 квартал</t>
  </si>
  <si>
    <r>
      <t>ООО "АНЭКО</t>
    </r>
    <r>
      <rPr>
        <b/>
        <sz val="10"/>
        <rFont val="Times New Roman"/>
        <family val="1"/>
        <charset val="204"/>
      </rPr>
      <t>"*</t>
    </r>
  </si>
  <si>
    <t>ООО "Лаборатория гемодиализа" (гемодиализ ds18.003)</t>
  </si>
  <si>
    <r>
      <t>ООО "МД Проект 2010"</t>
    </r>
    <r>
      <rPr>
        <b/>
        <sz val="10"/>
        <rFont val="Times New Roman"/>
        <family val="1"/>
        <charset val="204"/>
      </rPr>
      <t>*</t>
    </r>
  </si>
  <si>
    <r>
      <t>ООО "ЦМТ</t>
    </r>
    <r>
      <rPr>
        <b/>
        <sz val="10"/>
        <rFont val="Times New Roman"/>
        <family val="1"/>
        <charset val="204"/>
      </rPr>
      <t>"*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</si>
</sst>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  <numFmt numFmtId="170" formatCode="#,##0.000"/>
  </numFmts>
  <fonts count="10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25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0" applyNumberFormat="0" applyAlignment="0" applyProtection="0"/>
    <xf numFmtId="0" fontId="11" fillId="68" borderId="10"/>
    <xf numFmtId="0" fontId="12" fillId="69" borderId="11" applyNumberFormat="0" applyAlignment="0" applyProtection="0"/>
    <xf numFmtId="0" fontId="12" fillId="70" borderId="0"/>
    <xf numFmtId="166" fontId="13" fillId="0" borderId="0"/>
    <xf numFmtId="167" fontId="13" fillId="0" borderId="0" applyBorder="0" applyProtection="0"/>
    <xf numFmtId="166" fontId="13" fillId="0" borderId="0" applyBorder="0" applyProtection="0"/>
    <xf numFmtId="166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2" applyNumberFormat="0" applyFill="0" applyAlignment="0" applyProtection="0"/>
    <xf numFmtId="0" fontId="18" fillId="0" borderId="12"/>
    <xf numFmtId="0" fontId="19" fillId="0" borderId="13" applyNumberFormat="0" applyFill="0" applyAlignment="0" applyProtection="0"/>
    <xf numFmtId="0" fontId="19" fillId="0" borderId="13"/>
    <xf numFmtId="0" fontId="20" fillId="0" borderId="14" applyNumberFormat="0" applyFill="0" applyAlignment="0" applyProtection="0"/>
    <xf numFmtId="0" fontId="20" fillId="0" borderId="14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0" applyNumberFormat="0" applyAlignment="0" applyProtection="0"/>
    <xf numFmtId="0" fontId="21" fillId="39" borderId="10"/>
    <xf numFmtId="0" fontId="22" fillId="0" borderId="15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6" applyNumberFormat="0" applyFont="0" applyAlignment="0" applyProtection="0"/>
    <xf numFmtId="0" fontId="26" fillId="72" borderId="16"/>
    <xf numFmtId="0" fontId="27" fillId="50" borderId="17" applyNumberFormat="0" applyAlignment="0" applyProtection="0"/>
    <xf numFmtId="0" fontId="27" fillId="68" borderId="17"/>
    <xf numFmtId="0" fontId="28" fillId="0" borderId="0" applyNumberFormat="0" applyBorder="0" applyProtection="0"/>
    <xf numFmtId="168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8" applyNumberFormat="0" applyFill="0" applyAlignment="0" applyProtection="0"/>
    <xf numFmtId="0" fontId="30" fillId="0" borderId="19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9" borderId="1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7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68" borderId="17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0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68" borderId="1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" fillId="0" borderId="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2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3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4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1" applyNumberFormat="0" applyFill="0" applyAlignment="0" applyProtection="0"/>
    <xf numFmtId="0" fontId="20" fillId="0" borderId="14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2" applyNumberFormat="0" applyFill="0" applyAlignment="0" applyProtection="0"/>
    <xf numFmtId="0" fontId="30" fillId="0" borderId="19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1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1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6" applyNumberFormat="0" applyFont="0" applyAlignment="0" applyProtection="0"/>
    <xf numFmtId="0" fontId="49" fillId="41" borderId="16" applyNumberFormat="0" applyFont="0" applyAlignment="0" applyProtection="0"/>
    <xf numFmtId="0" fontId="43" fillId="41" borderId="16" applyNumberFormat="0" applyFont="0" applyAlignment="0" applyProtection="0"/>
    <xf numFmtId="0" fontId="25" fillId="41" borderId="1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5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9" fontId="58" fillId="0" borderId="0"/>
    <xf numFmtId="165" fontId="8" fillId="0" borderId="0" applyFont="0" applyFill="0" applyBorder="0" applyAlignment="0" applyProtection="0"/>
    <xf numFmtId="167" fontId="51" fillId="0" borderId="0"/>
    <xf numFmtId="167" fontId="51" fillId="0" borderId="0" applyFill="0" applyBorder="0" applyAlignment="0" applyProtection="0"/>
    <xf numFmtId="167" fontId="51" fillId="0" borderId="0"/>
    <xf numFmtId="164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/>
    <xf numFmtId="0" fontId="49" fillId="0" borderId="0"/>
    <xf numFmtId="0" fontId="25" fillId="0" borderId="0"/>
    <xf numFmtId="0" fontId="49" fillId="0" borderId="0"/>
    <xf numFmtId="0" fontId="25" fillId="0" borderId="0"/>
  </cellStyleXfs>
  <cellXfs count="462">
    <xf numFmtId="0" fontId="0" fillId="0" borderId="0" xfId="0"/>
    <xf numFmtId="0" fontId="61" fillId="0" borderId="0" xfId="0" applyFont="1" applyFill="1"/>
    <xf numFmtId="3" fontId="61" fillId="0" borderId="0" xfId="0" applyNumberFormat="1" applyFont="1" applyFill="1" applyAlignment="1">
      <alignment horizontal="center"/>
    </xf>
    <xf numFmtId="3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 horizontal="center"/>
    </xf>
    <xf numFmtId="0" fontId="62" fillId="0" borderId="0" xfId="0" applyFont="1" applyFill="1"/>
    <xf numFmtId="3" fontId="65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69" fillId="0" borderId="23" xfId="0" applyFont="1" applyFill="1" applyBorder="1" applyAlignment="1">
      <alignment vertical="center" wrapText="1"/>
    </xf>
    <xf numFmtId="3" fontId="64" fillId="0" borderId="23" xfId="0" applyNumberFormat="1" applyFont="1" applyFill="1" applyBorder="1" applyAlignment="1">
      <alignment horizontal="center" vertical="center"/>
    </xf>
    <xf numFmtId="3" fontId="68" fillId="0" borderId="23" xfId="0" applyNumberFormat="1" applyFont="1" applyFill="1" applyBorder="1" applyAlignment="1">
      <alignment horizontal="center" vertical="center"/>
    </xf>
    <xf numFmtId="0" fontId="68" fillId="0" borderId="0" xfId="0" applyFont="1" applyFill="1"/>
    <xf numFmtId="0" fontId="73" fillId="74" borderId="0" xfId="57847" applyFont="1" applyFill="1"/>
    <xf numFmtId="0" fontId="72" fillId="74" borderId="0" xfId="57847" applyFont="1" applyFill="1" applyAlignment="1">
      <alignment horizontal="center"/>
    </xf>
    <xf numFmtId="0" fontId="72" fillId="74" borderId="0" xfId="57847" applyFont="1" applyFill="1"/>
    <xf numFmtId="0" fontId="60" fillId="0" borderId="0" xfId="0" applyFont="1" applyFill="1"/>
    <xf numFmtId="0" fontId="60" fillId="74" borderId="0" xfId="0" applyFont="1" applyFill="1"/>
    <xf numFmtId="3" fontId="60" fillId="74" borderId="0" xfId="0" applyNumberFormat="1" applyFont="1" applyFill="1"/>
    <xf numFmtId="0" fontId="60" fillId="74" borderId="0" xfId="0" applyFont="1" applyFill="1" applyAlignment="1">
      <alignment vertical="center"/>
    </xf>
    <xf numFmtId="3" fontId="62" fillId="0" borderId="23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right"/>
    </xf>
    <xf numFmtId="0" fontId="62" fillId="0" borderId="23" xfId="0" applyFont="1" applyFill="1" applyBorder="1" applyAlignment="1">
      <alignment vertical="center"/>
    </xf>
    <xf numFmtId="3" fontId="75" fillId="0" borderId="23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vertical="center" wrapText="1"/>
    </xf>
    <xf numFmtId="3" fontId="62" fillId="0" borderId="27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/>
    </xf>
    <xf numFmtId="3" fontId="64" fillId="0" borderId="30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0" fontId="78" fillId="74" borderId="0" xfId="0" applyFont="1" applyFill="1" applyAlignment="1">
      <alignment horizontal="center" vertical="center"/>
    </xf>
    <xf numFmtId="3" fontId="60" fillId="74" borderId="23" xfId="0" applyNumberFormat="1" applyFont="1" applyFill="1" applyBorder="1" applyAlignment="1">
      <alignment horizontal="center" vertical="center" wrapText="1"/>
    </xf>
    <xf numFmtId="0" fontId="60" fillId="74" borderId="0" xfId="0" applyFont="1" applyFill="1" applyAlignment="1">
      <alignment horizontal="center" vertical="center"/>
    </xf>
    <xf numFmtId="0" fontId="60" fillId="74" borderId="23" xfId="0" applyFont="1" applyFill="1" applyBorder="1" applyAlignment="1">
      <alignment horizontal="center" vertical="center"/>
    </xf>
    <xf numFmtId="3" fontId="60" fillId="74" borderId="23" xfId="0" applyNumberFormat="1" applyFont="1" applyFill="1" applyBorder="1" applyAlignment="1">
      <alignment vertical="center"/>
    </xf>
    <xf numFmtId="3" fontId="60" fillId="74" borderId="23" xfId="0" applyNumberFormat="1" applyFont="1" applyFill="1" applyBorder="1" applyAlignment="1">
      <alignment horizontal="center" vertical="center"/>
    </xf>
    <xf numFmtId="4" fontId="81" fillId="74" borderId="23" xfId="59250" applyNumberFormat="1" applyFont="1" applyFill="1" applyBorder="1" applyAlignment="1">
      <alignment horizontal="left" vertical="center" wrapText="1"/>
    </xf>
    <xf numFmtId="3" fontId="81" fillId="74" borderId="23" xfId="0" applyNumberFormat="1" applyFont="1" applyFill="1" applyBorder="1" applyAlignment="1">
      <alignment horizontal="center" vertical="center"/>
    </xf>
    <xf numFmtId="4" fontId="81" fillId="74" borderId="23" xfId="0" applyNumberFormat="1" applyFont="1" applyFill="1" applyBorder="1" applyAlignment="1">
      <alignment wrapText="1"/>
    </xf>
    <xf numFmtId="0" fontId="81" fillId="74" borderId="0" xfId="0" applyFont="1" applyFill="1"/>
    <xf numFmtId="3" fontId="60" fillId="74" borderId="23" xfId="0" applyNumberFormat="1" applyFont="1" applyFill="1" applyBorder="1" applyAlignment="1">
      <alignment vertical="center" wrapText="1"/>
    </xf>
    <xf numFmtId="4" fontId="81" fillId="74" borderId="23" xfId="0" applyNumberFormat="1" applyFont="1" applyFill="1" applyBorder="1" applyAlignment="1">
      <alignment vertical="center" wrapText="1"/>
    </xf>
    <xf numFmtId="4" fontId="60" fillId="74" borderId="27" xfId="59248" applyNumberFormat="1" applyFont="1" applyFill="1" applyBorder="1" applyAlignment="1">
      <alignment horizontal="left" vertical="center" wrapText="1"/>
    </xf>
    <xf numFmtId="3" fontId="60" fillId="74" borderId="23" xfId="0" applyNumberFormat="1" applyFont="1" applyFill="1" applyBorder="1" applyAlignment="1">
      <alignment wrapText="1"/>
    </xf>
    <xf numFmtId="4" fontId="60" fillId="74" borderId="26" xfId="59248" applyNumberFormat="1" applyFont="1" applyFill="1" applyBorder="1" applyAlignment="1">
      <alignment horizontal="left" vertical="center" wrapText="1"/>
    </xf>
    <xf numFmtId="4" fontId="60" fillId="74" borderId="23" xfId="0" applyNumberFormat="1" applyFont="1" applyFill="1" applyBorder="1" applyAlignment="1">
      <alignment wrapText="1"/>
    </xf>
    <xf numFmtId="4" fontId="60" fillId="74" borderId="23" xfId="59251" applyNumberFormat="1" applyFont="1" applyFill="1" applyBorder="1" applyAlignment="1">
      <alignment wrapText="1"/>
    </xf>
    <xf numFmtId="4" fontId="60" fillId="74" borderId="23" xfId="0" applyNumberFormat="1" applyFont="1" applyFill="1" applyBorder="1" applyAlignment="1">
      <alignment horizontal="left" wrapText="1"/>
    </xf>
    <xf numFmtId="0" fontId="78" fillId="74" borderId="23" xfId="0" applyFont="1" applyFill="1" applyBorder="1" applyAlignment="1">
      <alignment horizontal="center" vertical="center"/>
    </xf>
    <xf numFmtId="0" fontId="78" fillId="74" borderId="23" xfId="0" applyFont="1" applyFill="1" applyBorder="1" applyAlignment="1">
      <alignment vertical="center"/>
    </xf>
    <xf numFmtId="3" fontId="78" fillId="74" borderId="23" xfId="0" applyNumberFormat="1" applyFont="1" applyFill="1" applyBorder="1" applyAlignment="1">
      <alignment horizontal="center" vertical="center"/>
    </xf>
    <xf numFmtId="4" fontId="60" fillId="74" borderId="23" xfId="0" applyNumberFormat="1" applyFont="1" applyFill="1" applyBorder="1" applyAlignment="1">
      <alignment horizontal="left" vertical="center" wrapText="1"/>
    </xf>
    <xf numFmtId="3" fontId="72" fillId="74" borderId="23" xfId="0" applyNumberFormat="1" applyFont="1" applyFill="1" applyBorder="1" applyAlignment="1">
      <alignment vertical="center"/>
    </xf>
    <xf numFmtId="3" fontId="60" fillId="74" borderId="23" xfId="0" applyNumberFormat="1" applyFont="1" applyFill="1" applyBorder="1" applyAlignment="1">
      <alignment horizontal="center"/>
    </xf>
    <xf numFmtId="0" fontId="62" fillId="74" borderId="0" xfId="57847" applyFont="1" applyFill="1" applyProtection="1">
      <protection locked="0"/>
    </xf>
    <xf numFmtId="0" fontId="75" fillId="74" borderId="23" xfId="57847" applyFont="1" applyFill="1" applyBorder="1" applyAlignment="1" applyProtection="1">
      <alignment horizontal="center" vertical="center" wrapText="1"/>
      <protection locked="0"/>
    </xf>
    <xf numFmtId="0" fontId="75" fillId="74" borderId="30" xfId="57847" applyFont="1" applyFill="1" applyBorder="1" applyAlignment="1" applyProtection="1">
      <alignment horizontal="center" vertical="center" wrapText="1"/>
      <protection locked="0"/>
    </xf>
    <xf numFmtId="0" fontId="83" fillId="74" borderId="24" xfId="57847" applyFont="1" applyFill="1" applyBorder="1" applyAlignment="1" applyProtection="1">
      <alignment vertical="center" wrapText="1"/>
      <protection locked="0"/>
    </xf>
    <xf numFmtId="3" fontId="62" fillId="74" borderId="24" xfId="57847" applyNumberFormat="1" applyFont="1" applyFill="1" applyBorder="1" applyAlignment="1" applyProtection="1">
      <alignment horizontal="center" vertical="center"/>
      <protection locked="0"/>
    </xf>
    <xf numFmtId="3" fontId="84" fillId="74" borderId="24" xfId="57847" applyNumberFormat="1" applyFont="1" applyFill="1" applyBorder="1" applyAlignment="1" applyProtection="1">
      <alignment horizontal="center" vertical="center"/>
      <protection locked="0"/>
    </xf>
    <xf numFmtId="0" fontId="83" fillId="74" borderId="23" xfId="57847" applyFont="1" applyFill="1" applyBorder="1" applyAlignment="1" applyProtection="1">
      <alignment vertical="center" wrapText="1"/>
      <protection locked="0"/>
    </xf>
    <xf numFmtId="3" fontId="62" fillId="74" borderId="23" xfId="57847" applyNumberFormat="1" applyFont="1" applyFill="1" applyBorder="1" applyAlignment="1" applyProtection="1">
      <alignment horizontal="center" vertical="center"/>
      <protection locked="0"/>
    </xf>
    <xf numFmtId="3" fontId="84" fillId="74" borderId="23" xfId="57847" applyNumberFormat="1" applyFont="1" applyFill="1" applyBorder="1" applyAlignment="1" applyProtection="1">
      <alignment horizontal="center" vertical="center"/>
      <protection locked="0"/>
    </xf>
    <xf numFmtId="3" fontId="62" fillId="74" borderId="23" xfId="57847" applyNumberFormat="1" applyFont="1" applyFill="1" applyBorder="1" applyAlignment="1" applyProtection="1">
      <alignment vertical="center"/>
      <protection locked="0"/>
    </xf>
    <xf numFmtId="3" fontId="84" fillId="74" borderId="23" xfId="57847" applyNumberFormat="1" applyFont="1" applyFill="1" applyBorder="1" applyAlignment="1" applyProtection="1">
      <alignment vertical="center"/>
      <protection locked="0"/>
    </xf>
    <xf numFmtId="3" fontId="62" fillId="74" borderId="32" xfId="57847" applyNumberFormat="1" applyFont="1" applyFill="1" applyBorder="1" applyAlignment="1" applyProtection="1">
      <alignment horizontal="center" vertical="center"/>
      <protection locked="0"/>
    </xf>
    <xf numFmtId="3" fontId="84" fillId="74" borderId="32" xfId="57847" applyNumberFormat="1" applyFont="1" applyFill="1" applyBorder="1" applyAlignment="1" applyProtection="1">
      <alignment horizontal="center" vertical="center"/>
      <protection locked="0"/>
    </xf>
    <xf numFmtId="3" fontId="62" fillId="74" borderId="32" xfId="57847" applyNumberFormat="1" applyFont="1" applyFill="1" applyBorder="1" applyAlignment="1" applyProtection="1">
      <alignment vertical="center"/>
      <protection locked="0"/>
    </xf>
    <xf numFmtId="3" fontId="84" fillId="74" borderId="32" xfId="57847" applyNumberFormat="1" applyFont="1" applyFill="1" applyBorder="1" applyAlignment="1" applyProtection="1">
      <alignment vertical="center"/>
      <protection locked="0"/>
    </xf>
    <xf numFmtId="3" fontId="62" fillId="74" borderId="24" xfId="57847" applyNumberFormat="1" applyFont="1" applyFill="1" applyBorder="1" applyAlignment="1" applyProtection="1">
      <alignment vertical="center"/>
      <protection locked="0"/>
    </xf>
    <xf numFmtId="0" fontId="83" fillId="74" borderId="30" xfId="57847" applyFont="1" applyFill="1" applyBorder="1" applyAlignment="1" applyProtection="1">
      <alignment vertical="center" wrapText="1"/>
      <protection locked="0"/>
    </xf>
    <xf numFmtId="3" fontId="62" fillId="74" borderId="30" xfId="57847" applyNumberFormat="1" applyFont="1" applyFill="1" applyBorder="1" applyAlignment="1" applyProtection="1">
      <alignment horizontal="center" vertical="center"/>
      <protection locked="0"/>
    </xf>
    <xf numFmtId="3" fontId="62" fillId="74" borderId="30" xfId="57847" applyNumberFormat="1" applyFont="1" applyFill="1" applyBorder="1" applyAlignment="1" applyProtection="1">
      <alignment vertical="center"/>
      <protection locked="0"/>
    </xf>
    <xf numFmtId="0" fontId="62" fillId="74" borderId="23" xfId="57847" applyFont="1" applyFill="1" applyBorder="1" applyAlignment="1" applyProtection="1">
      <alignment horizontal="center"/>
      <protection locked="0"/>
    </xf>
    <xf numFmtId="0" fontId="62" fillId="74" borderId="23" xfId="57847" applyFont="1" applyFill="1" applyBorder="1" applyProtection="1">
      <protection locked="0"/>
    </xf>
    <xf numFmtId="0" fontId="82" fillId="74" borderId="25" xfId="57847" applyFont="1" applyFill="1" applyBorder="1" applyAlignment="1" applyProtection="1">
      <alignment horizontal="center" vertical="center" wrapText="1"/>
      <protection locked="0"/>
    </xf>
    <xf numFmtId="3" fontId="64" fillId="74" borderId="23" xfId="57847" applyNumberFormat="1" applyFont="1" applyFill="1" applyBorder="1" applyAlignment="1" applyProtection="1">
      <alignment horizontal="center" vertical="center"/>
      <protection locked="0"/>
    </xf>
    <xf numFmtId="0" fontId="64" fillId="74" borderId="0" xfId="57847" applyFont="1" applyFill="1" applyProtection="1">
      <protection locked="0"/>
    </xf>
    <xf numFmtId="3" fontId="62" fillId="74" borderId="23" xfId="57847" applyNumberFormat="1" applyFont="1" applyFill="1" applyBorder="1" applyAlignment="1" applyProtection="1">
      <alignment horizontal="center"/>
      <protection locked="0"/>
    </xf>
    <xf numFmtId="0" fontId="75" fillId="74" borderId="24" xfId="57847" applyFont="1" applyFill="1" applyBorder="1" applyAlignment="1" applyProtection="1">
      <alignment vertical="center" wrapText="1"/>
      <protection locked="0"/>
    </xf>
    <xf numFmtId="0" fontId="62" fillId="74" borderId="25" xfId="57847" applyFont="1" applyFill="1" applyBorder="1" applyAlignment="1" applyProtection="1">
      <alignment horizontal="center" vertical="center" wrapText="1"/>
      <protection locked="0"/>
    </xf>
    <xf numFmtId="0" fontId="62" fillId="74" borderId="25" xfId="57847" applyFont="1" applyFill="1" applyBorder="1" applyAlignment="1" applyProtection="1">
      <alignment horizontal="center" vertical="center"/>
      <protection locked="0"/>
    </xf>
    <xf numFmtId="0" fontId="68" fillId="74" borderId="25" xfId="57580" applyFont="1" applyFill="1" applyBorder="1" applyAlignment="1" applyProtection="1">
      <alignment horizontal="center" vertical="center" wrapText="1"/>
      <protection locked="0"/>
    </xf>
    <xf numFmtId="0" fontId="68" fillId="74" borderId="23" xfId="57580" applyFont="1" applyFill="1" applyBorder="1" applyAlignment="1" applyProtection="1">
      <alignment horizontal="center" vertical="center" wrapText="1"/>
      <protection locked="0"/>
    </xf>
    <xf numFmtId="0" fontId="85" fillId="74" borderId="23" xfId="57580" applyFont="1" applyFill="1" applyBorder="1" applyAlignment="1" applyProtection="1">
      <alignment horizontal="center" vertical="center" wrapText="1"/>
      <protection locked="0"/>
    </xf>
    <xf numFmtId="0" fontId="62" fillId="74" borderId="23" xfId="57847" applyFont="1" applyFill="1" applyBorder="1" applyAlignment="1" applyProtection="1">
      <alignment horizontal="center" vertical="center" wrapText="1"/>
      <protection locked="0"/>
    </xf>
    <xf numFmtId="3" fontId="60" fillId="0" borderId="23" xfId="58106" applyNumberFormat="1" applyFont="1" applyFill="1" applyBorder="1" applyAlignment="1">
      <alignment horizontal="center" vertical="center" wrapText="1"/>
    </xf>
    <xf numFmtId="3" fontId="60" fillId="0" borderId="27" xfId="0" applyNumberFormat="1" applyFont="1" applyFill="1" applyBorder="1" applyAlignment="1">
      <alignment horizontal="center" vertical="center"/>
    </xf>
    <xf numFmtId="3" fontId="68" fillId="0" borderId="23" xfId="0" applyNumberFormat="1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72" fillId="74" borderId="0" xfId="0" applyFont="1" applyFill="1"/>
    <xf numFmtId="0" fontId="74" fillId="74" borderId="31" xfId="0" applyFont="1" applyFill="1" applyBorder="1" applyAlignment="1">
      <alignment horizontal="center" vertical="center" wrapText="1"/>
    </xf>
    <xf numFmtId="0" fontId="86" fillId="74" borderId="31" xfId="0" applyFont="1" applyFill="1" applyBorder="1" applyAlignment="1">
      <alignment wrapText="1"/>
    </xf>
    <xf numFmtId="0" fontId="68" fillId="74" borderId="0" xfId="0" applyFont="1" applyFill="1"/>
    <xf numFmtId="4" fontId="60" fillId="74" borderId="27" xfId="0" applyNumberFormat="1" applyFont="1" applyFill="1" applyBorder="1" applyAlignment="1">
      <alignment horizontal="left" vertical="center" wrapText="1"/>
    </xf>
    <xf numFmtId="3" fontId="77" fillId="74" borderId="23" xfId="0" applyNumberFormat="1" applyFont="1" applyFill="1" applyBorder="1" applyAlignment="1">
      <alignment horizontal="center" vertical="center" wrapText="1"/>
    </xf>
    <xf numFmtId="3" fontId="72" fillId="74" borderId="0" xfId="0" applyNumberFormat="1" applyFont="1" applyFill="1"/>
    <xf numFmtId="4" fontId="60" fillId="74" borderId="27" xfId="0" applyNumberFormat="1" applyFont="1" applyFill="1" applyBorder="1" applyAlignment="1">
      <alignment vertical="center" wrapText="1"/>
    </xf>
    <xf numFmtId="4" fontId="60" fillId="74" borderId="27" xfId="59250" applyNumberFormat="1" applyFont="1" applyFill="1" applyBorder="1" applyAlignment="1">
      <alignment vertical="center" wrapText="1"/>
    </xf>
    <xf numFmtId="3" fontId="81" fillId="74" borderId="23" xfId="0" applyNumberFormat="1" applyFont="1" applyFill="1" applyBorder="1" applyAlignment="1">
      <alignment horizontal="center" vertical="center" wrapText="1"/>
    </xf>
    <xf numFmtId="0" fontId="89" fillId="74" borderId="0" xfId="0" applyFont="1" applyFill="1" applyAlignment="1">
      <alignment vertical="center"/>
    </xf>
    <xf numFmtId="4" fontId="60" fillId="74" borderId="27" xfId="59250" applyNumberFormat="1" applyFont="1" applyFill="1" applyBorder="1" applyAlignment="1">
      <alignment horizontal="left" vertical="center" wrapText="1"/>
    </xf>
    <xf numFmtId="4" fontId="81" fillId="74" borderId="27" xfId="59250" applyNumberFormat="1" applyFont="1" applyFill="1" applyBorder="1" applyAlignment="1">
      <alignment horizontal="left" vertical="center" wrapText="1"/>
    </xf>
    <xf numFmtId="0" fontId="77" fillId="74" borderId="23" xfId="0" applyFont="1" applyFill="1" applyBorder="1" applyAlignment="1">
      <alignment horizontal="left" vertical="center" wrapText="1"/>
    </xf>
    <xf numFmtId="4" fontId="60" fillId="74" borderId="27" xfId="57749" applyNumberFormat="1" applyFont="1" applyFill="1" applyBorder="1" applyAlignment="1">
      <alignment horizontal="left" vertical="center" wrapText="1"/>
    </xf>
    <xf numFmtId="4" fontId="60" fillId="74" borderId="23" xfId="0" applyNumberFormat="1" applyFont="1" applyFill="1" applyBorder="1" applyAlignment="1">
      <alignment vertical="center" wrapText="1"/>
    </xf>
    <xf numFmtId="3" fontId="60" fillId="74" borderId="27" xfId="0" applyNumberFormat="1" applyFont="1" applyFill="1" applyBorder="1" applyAlignment="1">
      <alignment vertical="center" wrapText="1"/>
    </xf>
    <xf numFmtId="3" fontId="81" fillId="74" borderId="27" xfId="0" applyNumberFormat="1" applyFont="1" applyFill="1" applyBorder="1" applyAlignment="1">
      <alignment vertical="center" wrapText="1"/>
    </xf>
    <xf numFmtId="3" fontId="90" fillId="74" borderId="23" xfId="0" applyNumberFormat="1" applyFont="1" applyFill="1" applyBorder="1" applyAlignment="1">
      <alignment horizontal="center" vertical="center" wrapText="1"/>
    </xf>
    <xf numFmtId="0" fontId="77" fillId="74" borderId="0" xfId="0" applyFont="1" applyFill="1" applyAlignment="1">
      <alignment horizontal="left" vertical="center" wrapText="1"/>
    </xf>
    <xf numFmtId="4" fontId="60" fillId="74" borderId="29" xfId="0" applyNumberFormat="1" applyFont="1" applyFill="1" applyBorder="1" applyAlignment="1">
      <alignment vertical="center" wrapText="1"/>
    </xf>
    <xf numFmtId="0" fontId="73" fillId="74" borderId="0" xfId="0" applyFont="1" applyFill="1" applyAlignment="1">
      <alignment horizontal="center"/>
    </xf>
    <xf numFmtId="0" fontId="72" fillId="74" borderId="0" xfId="0" applyFont="1" applyFill="1" applyAlignment="1">
      <alignment vertical="center"/>
    </xf>
    <xf numFmtId="3" fontId="81" fillId="74" borderId="0" xfId="0" applyNumberFormat="1" applyFont="1" applyFill="1" applyAlignment="1">
      <alignment vertical="center" wrapText="1"/>
    </xf>
    <xf numFmtId="3" fontId="89" fillId="74" borderId="0" xfId="0" applyNumberFormat="1" applyFont="1" applyFill="1" applyAlignment="1">
      <alignment vertical="center"/>
    </xf>
    <xf numFmtId="4" fontId="72" fillId="74" borderId="23" xfId="57896" applyNumberFormat="1" applyFont="1" applyFill="1" applyBorder="1" applyAlignment="1">
      <alignment vertical="center" wrapText="1"/>
    </xf>
    <xf numFmtId="3" fontId="78" fillId="74" borderId="23" xfId="0" applyNumberFormat="1" applyFont="1" applyFill="1" applyBorder="1" applyAlignment="1">
      <alignment horizontal="left" vertical="center"/>
    </xf>
    <xf numFmtId="3" fontId="73" fillId="74" borderId="23" xfId="0" applyNumberFormat="1" applyFont="1" applyFill="1" applyBorder="1" applyAlignment="1">
      <alignment horizontal="center"/>
    </xf>
    <xf numFmtId="3" fontId="72" fillId="74" borderId="0" xfId="0" applyNumberFormat="1" applyFont="1" applyFill="1" applyAlignment="1">
      <alignment horizontal="center"/>
    </xf>
    <xf numFmtId="0" fontId="0" fillId="0" borderId="0" xfId="0" applyFill="1"/>
    <xf numFmtId="0" fontId="71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/>
    </xf>
    <xf numFmtId="0" fontId="1" fillId="0" borderId="0" xfId="57572" applyFill="1"/>
    <xf numFmtId="4" fontId="92" fillId="0" borderId="23" xfId="0" applyNumberFormat="1" applyFont="1" applyFill="1" applyBorder="1" applyAlignment="1">
      <alignment horizontal="left" vertical="center" wrapText="1"/>
    </xf>
    <xf numFmtId="3" fontId="91" fillId="0" borderId="23" xfId="57572" applyNumberFormat="1" applyFont="1" applyFill="1" applyBorder="1" applyAlignment="1">
      <alignment horizontal="center" vertical="center"/>
    </xf>
    <xf numFmtId="0" fontId="70" fillId="0" borderId="0" xfId="0" applyFont="1" applyFill="1"/>
    <xf numFmtId="4" fontId="92" fillId="0" borderId="23" xfId="0" applyNumberFormat="1" applyFont="1" applyFill="1" applyBorder="1" applyAlignment="1">
      <alignment vertical="center" wrapText="1"/>
    </xf>
    <xf numFmtId="3" fontId="70" fillId="0" borderId="0" xfId="0" applyNumberFormat="1" applyFont="1" applyFill="1"/>
    <xf numFmtId="4" fontId="92" fillId="0" borderId="23" xfId="59250" applyNumberFormat="1" applyFont="1" applyFill="1" applyBorder="1" applyAlignment="1">
      <alignment vertical="center" wrapText="1"/>
    </xf>
    <xf numFmtId="4" fontId="93" fillId="0" borderId="23" xfId="59250" applyNumberFormat="1" applyFont="1" applyFill="1" applyBorder="1" applyAlignment="1">
      <alignment horizontal="left" vertical="center" wrapText="1"/>
    </xf>
    <xf numFmtId="4" fontId="92" fillId="0" borderId="23" xfId="59250" applyNumberFormat="1" applyFont="1" applyFill="1" applyBorder="1" applyAlignment="1">
      <alignment horizontal="left" vertical="center" wrapText="1"/>
    </xf>
    <xf numFmtId="3" fontId="94" fillId="0" borderId="0" xfId="0" applyNumberFormat="1" applyFont="1" applyFill="1"/>
    <xf numFmtId="0" fontId="91" fillId="0" borderId="23" xfId="0" applyFont="1" applyFill="1" applyBorder="1" applyAlignment="1">
      <alignment horizontal="left" vertical="center" wrapText="1"/>
    </xf>
    <xf numFmtId="3" fontId="92" fillId="0" borderId="23" xfId="0" applyNumberFormat="1" applyFont="1" applyFill="1" applyBorder="1" applyAlignment="1">
      <alignment vertical="center" wrapText="1"/>
    </xf>
    <xf numFmtId="3" fontId="92" fillId="0" borderId="23" xfId="57572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left" vertical="center" wrapText="1"/>
    </xf>
    <xf numFmtId="3" fontId="95" fillId="0" borderId="0" xfId="0" applyNumberFormat="1" applyFont="1" applyFill="1"/>
    <xf numFmtId="0" fontId="93" fillId="0" borderId="23" xfId="0" applyFont="1" applyFill="1" applyBorder="1" applyAlignment="1">
      <alignment wrapText="1"/>
    </xf>
    <xf numFmtId="0" fontId="96" fillId="0" borderId="23" xfId="0" applyFont="1" applyFill="1" applyBorder="1" applyAlignment="1">
      <alignment horizontal="center" vertical="center"/>
    </xf>
    <xf numFmtId="3" fontId="96" fillId="0" borderId="23" xfId="0" applyNumberFormat="1" applyFont="1" applyFill="1" applyBorder="1" applyAlignment="1">
      <alignment horizontal="left" vertical="center"/>
    </xf>
    <xf numFmtId="3" fontId="97" fillId="0" borderId="23" xfId="0" applyNumberFormat="1" applyFont="1" applyFill="1" applyBorder="1" applyAlignment="1">
      <alignment horizontal="center"/>
    </xf>
    <xf numFmtId="3" fontId="98" fillId="0" borderId="0" xfId="0" applyNumberFormat="1" applyFont="1" applyFill="1"/>
    <xf numFmtId="4" fontId="60" fillId="0" borderId="0" xfId="0" applyNumberFormat="1" applyFont="1" applyFill="1" applyBorder="1" applyAlignment="1">
      <alignment vertical="center" wrapText="1"/>
    </xf>
    <xf numFmtId="3" fontId="91" fillId="0" borderId="0" xfId="57572" applyNumberFormat="1" applyFont="1" applyFill="1" applyBorder="1" applyAlignment="1">
      <alignment horizontal="center" vertical="center"/>
    </xf>
    <xf numFmtId="0" fontId="38" fillId="0" borderId="0" xfId="0" applyFont="1" applyFill="1"/>
    <xf numFmtId="3" fontId="38" fillId="0" borderId="0" xfId="0" applyNumberFormat="1" applyFont="1" applyFill="1"/>
    <xf numFmtId="3" fontId="0" fillId="0" borderId="0" xfId="0" applyNumberFormat="1" applyFill="1"/>
    <xf numFmtId="3" fontId="87" fillId="0" borderId="23" xfId="0" applyNumberFormat="1" applyFont="1" applyBorder="1" applyAlignment="1">
      <alignment horizontal="center" vertical="center" wrapText="1"/>
    </xf>
    <xf numFmtId="3" fontId="87" fillId="0" borderId="23" xfId="0" applyNumberFormat="1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/>
    </xf>
    <xf numFmtId="0" fontId="86" fillId="0" borderId="0" xfId="0" applyFont="1" applyFill="1" applyAlignment="1">
      <alignment wrapText="1"/>
    </xf>
    <xf numFmtId="0" fontId="86" fillId="0" borderId="0" xfId="0" applyFont="1" applyFill="1"/>
    <xf numFmtId="0" fontId="86" fillId="0" borderId="0" xfId="0" applyFont="1" applyFill="1" applyAlignment="1">
      <alignment horizontal="center" wrapText="1"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 vertical="center"/>
    </xf>
    <xf numFmtId="3" fontId="86" fillId="0" borderId="0" xfId="0" applyNumberFormat="1" applyFont="1" applyFill="1"/>
    <xf numFmtId="0" fontId="85" fillId="0" borderId="23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wrapText="1"/>
    </xf>
    <xf numFmtId="3" fontId="68" fillId="0" borderId="25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horizontal="left" vertical="center" wrapText="1"/>
    </xf>
    <xf numFmtId="0" fontId="99" fillId="0" borderId="23" xfId="0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 wrapText="1"/>
    </xf>
    <xf numFmtId="3" fontId="99" fillId="0" borderId="23" xfId="0" applyNumberFormat="1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3" fontId="78" fillId="0" borderId="23" xfId="0" applyNumberFormat="1" applyFont="1" applyFill="1" applyBorder="1" applyAlignment="1">
      <alignment horizontal="center" vertical="center"/>
    </xf>
    <xf numFmtId="3" fontId="78" fillId="0" borderId="23" xfId="0" applyNumberFormat="1" applyFont="1" applyFill="1" applyBorder="1" applyAlignment="1">
      <alignment horizontal="left" vertical="center"/>
    </xf>
    <xf numFmtId="0" fontId="72" fillId="0" borderId="0" xfId="0" applyFont="1" applyFill="1"/>
    <xf numFmtId="3" fontId="72" fillId="0" borderId="0" xfId="0" applyNumberFormat="1" applyFont="1" applyFill="1"/>
    <xf numFmtId="3" fontId="72" fillId="0" borderId="23" xfId="0" applyNumberFormat="1" applyFont="1" applyFill="1" applyBorder="1" applyAlignment="1">
      <alignment horizontal="center" vertical="center"/>
    </xf>
    <xf numFmtId="3" fontId="73" fillId="0" borderId="23" xfId="0" applyNumberFormat="1" applyFont="1" applyFill="1" applyBorder="1" applyAlignment="1">
      <alignment horizontal="center" vertical="center" wrapText="1"/>
    </xf>
    <xf numFmtId="3" fontId="72" fillId="0" borderId="23" xfId="0" applyNumberFormat="1" applyFont="1" applyFill="1" applyBorder="1" applyAlignment="1">
      <alignment horizontal="center" vertical="center" wrapText="1"/>
    </xf>
    <xf numFmtId="0" fontId="91" fillId="0" borderId="23" xfId="57572" applyFont="1" applyFill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 wrapText="1"/>
    </xf>
    <xf numFmtId="3" fontId="85" fillId="74" borderId="23" xfId="57896" applyNumberFormat="1" applyFont="1" applyFill="1" applyBorder="1" applyAlignment="1">
      <alignment horizontal="center" vertical="center" wrapText="1"/>
    </xf>
    <xf numFmtId="0" fontId="1" fillId="0" borderId="0" xfId="57572" applyFill="1" applyAlignment="1">
      <alignment vertical="top"/>
    </xf>
    <xf numFmtId="0" fontId="91" fillId="0" borderId="23" xfId="57572" applyFont="1" applyFill="1" applyBorder="1" applyAlignment="1">
      <alignment horizontal="center" vertical="top" wrapText="1"/>
    </xf>
    <xf numFmtId="4" fontId="87" fillId="0" borderId="23" xfId="0" applyNumberFormat="1" applyFont="1" applyBorder="1" applyAlignment="1">
      <alignment horizontal="center" vertical="center" wrapText="1"/>
    </xf>
    <xf numFmtId="3" fontId="92" fillId="0" borderId="23" xfId="0" applyNumberFormat="1" applyFont="1" applyFill="1" applyBorder="1" applyAlignment="1">
      <alignment horizontal="left" vertical="center"/>
    </xf>
    <xf numFmtId="170" fontId="97" fillId="0" borderId="23" xfId="0" applyNumberFormat="1" applyFont="1" applyFill="1" applyBorder="1" applyAlignment="1">
      <alignment horizontal="center"/>
    </xf>
    <xf numFmtId="4" fontId="0" fillId="0" borderId="0" xfId="0" applyNumberFormat="1" applyFill="1"/>
    <xf numFmtId="0" fontId="76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wrapText="1"/>
    </xf>
    <xf numFmtId="0" fontId="72" fillId="0" borderId="0" xfId="0" applyFont="1" applyFill="1" applyAlignment="1">
      <alignment horizontal="justify" vertical="center"/>
    </xf>
    <xf numFmtId="0" fontId="73" fillId="0" borderId="31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vertical="center" wrapText="1"/>
    </xf>
    <xf numFmtId="4" fontId="60" fillId="0" borderId="27" xfId="0" applyNumberFormat="1" applyFont="1" applyFill="1" applyBorder="1" applyAlignment="1">
      <alignment horizontal="left" vertical="center" wrapText="1"/>
    </xf>
    <xf numFmtId="3" fontId="77" fillId="0" borderId="23" xfId="0" applyNumberFormat="1" applyFont="1" applyFill="1" applyBorder="1" applyAlignment="1">
      <alignment horizontal="center" vertical="center" wrapText="1"/>
    </xf>
    <xf numFmtId="3" fontId="77" fillId="0" borderId="23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4" fontId="60" fillId="0" borderId="27" xfId="59250" applyNumberFormat="1" applyFont="1" applyFill="1" applyBorder="1" applyAlignment="1">
      <alignment vertical="center" wrapText="1"/>
    </xf>
    <xf numFmtId="4" fontId="60" fillId="0" borderId="27" xfId="0" applyNumberFormat="1" applyFont="1" applyFill="1" applyBorder="1" applyAlignment="1">
      <alignment vertical="center" wrapText="1"/>
    </xf>
    <xf numFmtId="3" fontId="60" fillId="0" borderId="27" xfId="0" applyNumberFormat="1" applyFont="1" applyFill="1" applyBorder="1" applyAlignment="1">
      <alignment vertical="center" wrapText="1"/>
    </xf>
    <xf numFmtId="0" fontId="77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center"/>
    </xf>
    <xf numFmtId="3" fontId="72" fillId="0" borderId="0" xfId="0" applyNumberFormat="1" applyFont="1" applyFill="1" applyAlignment="1">
      <alignment horizontal="center"/>
    </xf>
    <xf numFmtId="3" fontId="62" fillId="0" borderId="0" xfId="0" applyNumberFormat="1" applyFont="1" applyFill="1"/>
    <xf numFmtId="0" fontId="75" fillId="0" borderId="23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3" fontId="62" fillId="0" borderId="0" xfId="0" applyNumberFormat="1" applyFont="1" applyFill="1" applyAlignment="1">
      <alignment horizontal="center"/>
    </xf>
    <xf numFmtId="0" fontId="72" fillId="74" borderId="0" xfId="0" applyFont="1" applyFill="1" applyAlignment="1">
      <alignment horizontal="center" vertical="center"/>
    </xf>
    <xf numFmtId="0" fontId="72" fillId="74" borderId="0" xfId="0" applyFont="1" applyFill="1" applyAlignment="1">
      <alignment wrapText="1"/>
    </xf>
    <xf numFmtId="0" fontId="72" fillId="74" borderId="0" xfId="0" applyFont="1" applyFill="1" applyAlignment="1">
      <alignment horizontal="right"/>
    </xf>
    <xf numFmtId="0" fontId="72" fillId="74" borderId="23" xfId="0" applyFont="1" applyFill="1" applyBorder="1" applyAlignment="1">
      <alignment horizontal="center" vertical="center" wrapText="1"/>
    </xf>
    <xf numFmtId="0" fontId="72" fillId="74" borderId="0" xfId="0" applyFont="1" applyFill="1" applyAlignment="1">
      <alignment horizontal="center" wrapText="1"/>
    </xf>
    <xf numFmtId="0" fontId="72" fillId="74" borderId="0" xfId="0" applyFont="1" applyFill="1" applyAlignment="1">
      <alignment horizontal="center"/>
    </xf>
    <xf numFmtId="0" fontId="72" fillId="74" borderId="23" xfId="0" applyFont="1" applyFill="1" applyBorder="1" applyAlignment="1">
      <alignment horizontal="center" vertical="center"/>
    </xf>
    <xf numFmtId="0" fontId="60" fillId="74" borderId="23" xfId="0" applyFont="1" applyFill="1" applyBorder="1" applyAlignment="1">
      <alignment horizontal="left" vertical="center" wrapText="1"/>
    </xf>
    <xf numFmtId="3" fontId="72" fillId="74" borderId="23" xfId="0" applyNumberFormat="1" applyFont="1" applyFill="1" applyBorder="1" applyAlignment="1">
      <alignment horizontal="center" vertical="center"/>
    </xf>
    <xf numFmtId="0" fontId="72" fillId="74" borderId="23" xfId="0" applyFont="1" applyFill="1" applyBorder="1" applyAlignment="1">
      <alignment vertical="center" wrapText="1"/>
    </xf>
    <xf numFmtId="0" fontId="73" fillId="74" borderId="23" xfId="0" applyFont="1" applyFill="1" applyBorder="1" applyAlignment="1">
      <alignment horizontal="center" vertical="center"/>
    </xf>
    <xf numFmtId="0" fontId="73" fillId="74" borderId="23" xfId="0" applyFont="1" applyFill="1" applyBorder="1" applyAlignment="1">
      <alignment vertical="center" wrapText="1"/>
    </xf>
    <xf numFmtId="3" fontId="73" fillId="74" borderId="23" xfId="0" applyNumberFormat="1" applyFont="1" applyFill="1" applyBorder="1" applyAlignment="1">
      <alignment horizontal="center" vertical="center"/>
    </xf>
    <xf numFmtId="0" fontId="60" fillId="74" borderId="23" xfId="0" applyFont="1" applyFill="1" applyBorder="1" applyAlignment="1">
      <alignment horizontal="center" vertical="center" wrapText="1"/>
    </xf>
    <xf numFmtId="3" fontId="60" fillId="74" borderId="24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vertical="center"/>
    </xf>
    <xf numFmtId="3" fontId="68" fillId="0" borderId="0" xfId="0" applyNumberFormat="1" applyFont="1" applyFill="1"/>
    <xf numFmtId="3" fontId="68" fillId="0" borderId="0" xfId="0" applyNumberFormat="1" applyFont="1" applyFill="1" applyAlignment="1">
      <alignment vertical="center"/>
    </xf>
    <xf numFmtId="3" fontId="62" fillId="0" borderId="23" xfId="0" applyNumberFormat="1" applyFont="1" applyFill="1" applyBorder="1" applyAlignment="1">
      <alignment horizontal="center"/>
    </xf>
    <xf numFmtId="3" fontId="62" fillId="0" borderId="23" xfId="0" applyNumberFormat="1" applyFont="1" applyFill="1" applyBorder="1" applyAlignment="1">
      <alignment vertical="center"/>
    </xf>
    <xf numFmtId="4" fontId="101" fillId="0" borderId="23" xfId="59250" applyNumberFormat="1" applyFont="1" applyFill="1" applyBorder="1" applyAlignment="1">
      <alignment horizontal="left" vertical="center" wrapText="1"/>
    </xf>
    <xf numFmtId="3" fontId="101" fillId="0" borderId="23" xfId="0" applyNumberFormat="1" applyFont="1" applyFill="1" applyBorder="1" applyAlignment="1">
      <alignment horizontal="center" vertical="center" wrapText="1"/>
    </xf>
    <xf numFmtId="3" fontId="101" fillId="0" borderId="0" xfId="0" applyNumberFormat="1" applyFont="1" applyFill="1"/>
    <xf numFmtId="4" fontId="62" fillId="0" borderId="23" xfId="59248" applyNumberFormat="1" applyFont="1" applyFill="1" applyBorder="1" applyAlignment="1">
      <alignment vertical="center" wrapText="1"/>
    </xf>
    <xf numFmtId="4" fontId="101" fillId="0" borderId="23" xfId="0" applyNumberFormat="1" applyFont="1" applyFill="1" applyBorder="1" applyAlignment="1">
      <alignment wrapText="1"/>
    </xf>
    <xf numFmtId="3" fontId="62" fillId="0" borderId="23" xfId="0" applyNumberFormat="1" applyFont="1" applyFill="1" applyBorder="1" applyAlignment="1">
      <alignment vertical="center" wrapText="1"/>
    </xf>
    <xf numFmtId="0" fontId="62" fillId="0" borderId="23" xfId="0" applyFont="1" applyFill="1" applyBorder="1" applyAlignment="1">
      <alignment horizontal="center"/>
    </xf>
    <xf numFmtId="0" fontId="62" fillId="0" borderId="23" xfId="0" applyFont="1" applyFill="1" applyBorder="1"/>
    <xf numFmtId="3" fontId="64" fillId="0" borderId="23" xfId="0" applyNumberFormat="1" applyFont="1" applyFill="1" applyBorder="1" applyAlignment="1">
      <alignment horizontal="center" vertical="center" wrapText="1"/>
    </xf>
    <xf numFmtId="3" fontId="64" fillId="0" borderId="23" xfId="0" applyNumberFormat="1" applyFont="1" applyFill="1" applyBorder="1" applyAlignment="1">
      <alignment vertical="center"/>
    </xf>
    <xf numFmtId="3" fontId="64" fillId="0" borderId="0" xfId="0" applyNumberFormat="1" applyFont="1" applyFill="1"/>
    <xf numFmtId="0" fontId="62" fillId="0" borderId="23" xfId="0" applyFont="1" applyFill="1" applyBorder="1" applyAlignment="1">
      <alignment horizontal="left" vertical="center" wrapText="1"/>
    </xf>
    <xf numFmtId="3" fontId="101" fillId="0" borderId="23" xfId="0" applyNumberFormat="1" applyFont="1" applyFill="1" applyBorder="1" applyAlignment="1">
      <alignment horizontal="center" vertical="center"/>
    </xf>
    <xf numFmtId="3" fontId="64" fillId="0" borderId="23" xfId="0" applyNumberFormat="1" applyFont="1" applyFill="1" applyBorder="1" applyAlignment="1">
      <alignment horizontal="center"/>
    </xf>
    <xf numFmtId="3" fontId="64" fillId="0" borderId="23" xfId="0" applyNumberFormat="1" applyFont="1" applyFill="1" applyBorder="1" applyAlignment="1">
      <alignment vertical="center" wrapText="1"/>
    </xf>
    <xf numFmtId="3" fontId="62" fillId="0" borderId="23" xfId="0" applyNumberFormat="1" applyFont="1" applyFill="1" applyBorder="1"/>
    <xf numFmtId="49" fontId="62" fillId="0" borderId="23" xfId="0" applyNumberFormat="1" applyFont="1" applyFill="1" applyBorder="1" applyAlignment="1">
      <alignment vertical="center" wrapText="1"/>
    </xf>
    <xf numFmtId="3" fontId="64" fillId="0" borderId="23" xfId="0" applyNumberFormat="1" applyFont="1" applyFill="1" applyBorder="1" applyAlignment="1">
      <alignment horizontal="left" vertical="center"/>
    </xf>
    <xf numFmtId="3" fontId="10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23" xfId="0" applyNumberFormat="1" applyFont="1" applyFill="1" applyBorder="1" applyAlignment="1" applyProtection="1">
      <alignment horizontal="center" vertical="center"/>
      <protection locked="0"/>
    </xf>
    <xf numFmtId="3" fontId="61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6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8" fillId="0" borderId="23" xfId="0" applyNumberFormat="1" applyFont="1" applyFill="1" applyBorder="1" applyAlignment="1" applyProtection="1">
      <alignment horizontal="center" vertical="center" wrapText="1"/>
      <protection locked="0"/>
    </xf>
    <xf numFmtId="41" fontId="61" fillId="0" borderId="0" xfId="0" applyNumberFormat="1" applyFont="1" applyFill="1"/>
    <xf numFmtId="3" fontId="61" fillId="0" borderId="0" xfId="0" applyNumberFormat="1" applyFont="1" applyFill="1"/>
    <xf numFmtId="3" fontId="61" fillId="0" borderId="23" xfId="0" applyNumberFormat="1" applyFont="1" applyFill="1" applyBorder="1" applyAlignment="1" applyProtection="1">
      <alignment horizontal="left" vertical="center"/>
      <protection locked="0"/>
    </xf>
    <xf numFmtId="4" fontId="61" fillId="0" borderId="29" xfId="59248" applyNumberFormat="1" applyFont="1" applyFill="1" applyBorder="1" applyAlignment="1">
      <alignment vertical="center" wrapText="1"/>
    </xf>
    <xf numFmtId="41" fontId="68" fillId="0" borderId="23" xfId="0" applyNumberFormat="1" applyFont="1" applyFill="1" applyBorder="1" applyAlignment="1" applyProtection="1">
      <alignment vertical="center" wrapText="1"/>
      <protection locked="0"/>
    </xf>
    <xf numFmtId="0" fontId="64" fillId="0" borderId="23" xfId="0" applyFont="1" applyFill="1" applyBorder="1" applyAlignment="1" applyProtection="1">
      <alignment horizontal="left" vertical="center" wrapText="1"/>
      <protection locked="0"/>
    </xf>
    <xf numFmtId="3" fontId="61" fillId="0" borderId="0" xfId="0" applyNumberFormat="1" applyFont="1" applyFill="1" applyAlignment="1">
      <alignment horizontal="right"/>
    </xf>
    <xf numFmtId="3" fontId="66" fillId="0" borderId="25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3" fontId="61" fillId="0" borderId="23" xfId="0" applyNumberFormat="1" applyFont="1" applyFill="1" applyBorder="1" applyAlignment="1">
      <alignment horizontal="center" vertical="center"/>
    </xf>
    <xf numFmtId="3" fontId="61" fillId="0" borderId="23" xfId="0" applyNumberFormat="1" applyFont="1" applyFill="1" applyBorder="1" applyAlignment="1">
      <alignment horizontal="center" vertical="center" wrapText="1"/>
    </xf>
    <xf numFmtId="3" fontId="61" fillId="0" borderId="23" xfId="0" applyNumberFormat="1" applyFont="1" applyFill="1" applyBorder="1" applyAlignment="1">
      <alignment horizontal="center" vertical="center" wrapText="1" shrinkToFit="1"/>
    </xf>
    <xf numFmtId="3" fontId="61" fillId="0" borderId="23" xfId="57742" applyNumberFormat="1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/>
    </xf>
    <xf numFmtId="3" fontId="61" fillId="0" borderId="23" xfId="59252" applyNumberFormat="1" applyFont="1" applyFill="1" applyBorder="1" applyAlignment="1">
      <alignment horizontal="left" vertical="center" wrapText="1"/>
    </xf>
    <xf numFmtId="3" fontId="61" fillId="0" borderId="23" xfId="58106" applyNumberFormat="1" applyFont="1" applyFill="1" applyBorder="1" applyAlignment="1">
      <alignment horizontal="center" vertical="center" wrapText="1"/>
    </xf>
    <xf numFmtId="3" fontId="61" fillId="0" borderId="23" xfId="0" applyNumberFormat="1" applyFont="1" applyFill="1" applyBorder="1" applyAlignment="1">
      <alignment horizontal="center"/>
    </xf>
    <xf numFmtId="1" fontId="61" fillId="0" borderId="23" xfId="59252" applyNumberFormat="1" applyFont="1" applyFill="1" applyBorder="1" applyAlignment="1">
      <alignment horizontal="left" vertical="center" wrapText="1"/>
    </xf>
    <xf numFmtId="4" fontId="61" fillId="0" borderId="23" xfId="59250" applyNumberFormat="1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center" vertical="center"/>
    </xf>
    <xf numFmtId="3" fontId="61" fillId="0" borderId="0" xfId="0" applyNumberFormat="1" applyFont="1" applyFill="1" applyAlignment="1">
      <alignment vertical="center"/>
    </xf>
    <xf numFmtId="3" fontId="61" fillId="0" borderId="23" xfId="59249" applyNumberFormat="1" applyFont="1" applyFill="1" applyBorder="1" applyAlignment="1">
      <alignment horizontal="left" vertical="center" wrapText="1"/>
    </xf>
    <xf numFmtId="4" fontId="61" fillId="0" borderId="23" xfId="59252" applyNumberFormat="1" applyFont="1" applyFill="1" applyBorder="1" applyAlignment="1">
      <alignment horizontal="left" vertical="center" wrapText="1"/>
    </xf>
    <xf numFmtId="3" fontId="61" fillId="0" borderId="23" xfId="0" applyNumberFormat="1" applyFont="1" applyFill="1" applyBorder="1" applyAlignment="1">
      <alignment vertical="center" wrapText="1"/>
    </xf>
    <xf numFmtId="4" fontId="61" fillId="0" borderId="23" xfId="0" applyNumberFormat="1" applyFont="1" applyFill="1" applyBorder="1" applyAlignment="1">
      <alignment vertical="center" wrapText="1"/>
    </xf>
    <xf numFmtId="0" fontId="66" fillId="0" borderId="23" xfId="0" applyFont="1" applyFill="1" applyBorder="1"/>
    <xf numFmtId="3" fontId="66" fillId="0" borderId="23" xfId="0" applyNumberFormat="1" applyFont="1" applyFill="1" applyBorder="1" applyAlignment="1">
      <alignment horizontal="center"/>
    </xf>
    <xf numFmtId="0" fontId="85" fillId="0" borderId="0" xfId="0" applyFont="1" applyFill="1" applyAlignment="1">
      <alignment vertical="center"/>
    </xf>
    <xf numFmtId="4" fontId="61" fillId="0" borderId="29" xfId="59248" applyNumberFormat="1" applyFont="1" applyFill="1" applyBorder="1" applyAlignment="1">
      <alignment horizontal="left" vertical="center" wrapText="1"/>
    </xf>
    <xf numFmtId="3" fontId="66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62" fillId="0" borderId="23" xfId="0" applyNumberFormat="1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vertical="center"/>
    </xf>
    <xf numFmtId="3" fontId="60" fillId="0" borderId="0" xfId="0" applyNumberFormat="1" applyFont="1" applyFill="1"/>
    <xf numFmtId="0" fontId="60" fillId="0" borderId="23" xfId="0" applyFont="1" applyFill="1" applyBorder="1" applyAlignment="1">
      <alignment horizontal="center" vertical="center" wrapText="1"/>
    </xf>
    <xf numFmtId="3" fontId="60" fillId="0" borderId="23" xfId="0" applyNumberFormat="1" applyFont="1" applyFill="1" applyBorder="1" applyAlignment="1">
      <alignment horizontal="center" vertical="center" wrapText="1"/>
    </xf>
    <xf numFmtId="3" fontId="60" fillId="0" borderId="23" xfId="0" applyNumberFormat="1" applyFont="1" applyFill="1" applyBorder="1" applyAlignment="1">
      <alignment vertical="center"/>
    </xf>
    <xf numFmtId="4" fontId="81" fillId="0" borderId="23" xfId="59250" applyNumberFormat="1" applyFont="1" applyFill="1" applyBorder="1" applyAlignment="1">
      <alignment horizontal="left" vertical="center" wrapText="1"/>
    </xf>
    <xf numFmtId="3" fontId="81" fillId="0" borderId="23" xfId="0" applyNumberFormat="1" applyFont="1" applyFill="1" applyBorder="1" applyAlignment="1">
      <alignment horizontal="center" vertical="center" wrapText="1"/>
    </xf>
    <xf numFmtId="3" fontId="81" fillId="0" borderId="0" xfId="0" applyNumberFormat="1" applyFont="1" applyFill="1"/>
    <xf numFmtId="3" fontId="60" fillId="0" borderId="23" xfId="0" applyNumberFormat="1" applyFont="1" applyFill="1" applyBorder="1" applyAlignment="1">
      <alignment horizontal="center" vertical="center"/>
    </xf>
    <xf numFmtId="4" fontId="60" fillId="0" borderId="23" xfId="59248" applyNumberFormat="1" applyFont="1" applyFill="1" applyBorder="1" applyAlignment="1">
      <alignment vertical="center" wrapText="1"/>
    </xf>
    <xf numFmtId="4" fontId="81" fillId="0" borderId="23" xfId="0" applyNumberFormat="1" applyFont="1" applyFill="1" applyBorder="1" applyAlignment="1">
      <alignment vertical="center" wrapText="1"/>
    </xf>
    <xf numFmtId="3" fontId="60" fillId="0" borderId="23" xfId="0" applyNumberFormat="1" applyFont="1" applyFill="1" applyBorder="1" applyAlignment="1">
      <alignment vertical="center" wrapText="1"/>
    </xf>
    <xf numFmtId="3" fontId="61" fillId="0" borderId="23" xfId="0" applyNumberFormat="1" applyFont="1" applyFill="1" applyBorder="1" applyAlignment="1">
      <alignment vertical="center"/>
    </xf>
    <xf numFmtId="4" fontId="107" fillId="0" borderId="23" xfId="0" applyNumberFormat="1" applyFont="1" applyFill="1" applyBorder="1" applyAlignment="1">
      <alignment wrapText="1"/>
    </xf>
    <xf numFmtId="0" fontId="81" fillId="0" borderId="23" xfId="0" applyFont="1" applyFill="1" applyBorder="1" applyAlignment="1">
      <alignment vertical="center" wrapText="1"/>
    </xf>
    <xf numFmtId="0" fontId="60" fillId="0" borderId="23" xfId="0" applyFont="1" applyFill="1" applyBorder="1" applyAlignment="1">
      <alignment vertical="center"/>
    </xf>
    <xf numFmtId="3" fontId="78" fillId="0" borderId="23" xfId="0" applyNumberFormat="1" applyFont="1" applyFill="1" applyBorder="1" applyAlignment="1">
      <alignment horizontal="center" vertical="center" wrapText="1"/>
    </xf>
    <xf numFmtId="3" fontId="78" fillId="0" borderId="23" xfId="0" applyNumberFormat="1" applyFont="1" applyFill="1" applyBorder="1" applyAlignment="1">
      <alignment vertical="center"/>
    </xf>
    <xf numFmtId="3" fontId="78" fillId="0" borderId="0" xfId="0" applyNumberFormat="1" applyFont="1" applyFill="1"/>
    <xf numFmtId="0" fontId="60" fillId="0" borderId="23" xfId="0" applyFont="1" applyFill="1" applyBorder="1" applyAlignment="1">
      <alignment horizontal="left" vertical="center" wrapText="1"/>
    </xf>
    <xf numFmtId="3" fontId="66" fillId="0" borderId="23" xfId="0" applyNumberFormat="1" applyFont="1" applyFill="1" applyBorder="1" applyAlignment="1">
      <alignment vertical="center"/>
    </xf>
    <xf numFmtId="3" fontId="60" fillId="0" borderId="23" xfId="57798" applyNumberFormat="1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left" vertical="center" wrapText="1"/>
    </xf>
    <xf numFmtId="3" fontId="81" fillId="0" borderId="23" xfId="0" applyNumberFormat="1" applyFont="1" applyFill="1" applyBorder="1" applyAlignment="1">
      <alignment horizontal="center" vertical="center"/>
    </xf>
    <xf numFmtId="3" fontId="78" fillId="0" borderId="23" xfId="0" applyNumberFormat="1" applyFont="1" applyFill="1" applyBorder="1" applyAlignment="1">
      <alignment vertical="center" wrapText="1"/>
    </xf>
    <xf numFmtId="49" fontId="61" fillId="0" borderId="23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horizontal="right"/>
    </xf>
    <xf numFmtId="2" fontId="79" fillId="74" borderId="0" xfId="0" applyNumberFormat="1" applyFont="1" applyFill="1" applyAlignment="1">
      <alignment horizontal="center" vertical="center" wrapText="1"/>
    </xf>
    <xf numFmtId="0" fontId="80" fillId="74" borderId="0" xfId="0" applyFont="1" applyFill="1" applyAlignment="1">
      <alignment horizontal="center" vertical="center" wrapText="1"/>
    </xf>
    <xf numFmtId="3" fontId="60" fillId="74" borderId="0" xfId="0" applyNumberFormat="1" applyFont="1" applyFill="1" applyBorder="1" applyAlignment="1">
      <alignment horizontal="right" vertical="center"/>
    </xf>
    <xf numFmtId="0" fontId="60" fillId="74" borderId="23" xfId="0" applyFont="1" applyFill="1" applyBorder="1" applyAlignment="1">
      <alignment horizontal="center" vertical="center" wrapText="1"/>
    </xf>
    <xf numFmtId="3" fontId="60" fillId="74" borderId="24" xfId="0" applyNumberFormat="1" applyFont="1" applyFill="1" applyBorder="1" applyAlignment="1">
      <alignment horizontal="center" vertical="center" wrapText="1"/>
    </xf>
    <xf numFmtId="0" fontId="0" fillId="74" borderId="30" xfId="0" applyFill="1" applyBorder="1" applyAlignment="1">
      <alignment horizontal="center" vertical="center"/>
    </xf>
    <xf numFmtId="3" fontId="61" fillId="74" borderId="23" xfId="0" applyNumberFormat="1" applyFont="1" applyFill="1" applyBorder="1" applyAlignment="1">
      <alignment horizontal="center" vertical="center" wrapText="1"/>
    </xf>
    <xf numFmtId="0" fontId="0" fillId="74" borderId="23" xfId="0" applyFill="1" applyBorder="1" applyAlignment="1">
      <alignment horizontal="center" vertical="center" wrapText="1"/>
    </xf>
    <xf numFmtId="3" fontId="60" fillId="74" borderId="25" xfId="0" applyNumberFormat="1" applyFont="1" applyFill="1" applyBorder="1" applyAlignment="1">
      <alignment horizontal="center" vertical="center" wrapText="1"/>
    </xf>
    <xf numFmtId="0" fontId="0" fillId="74" borderId="27" xfId="0" applyFill="1" applyBorder="1" applyAlignment="1">
      <alignment horizontal="center" vertical="center" wrapText="1"/>
    </xf>
    <xf numFmtId="0" fontId="0" fillId="74" borderId="30" xfId="0" applyFill="1" applyBorder="1" applyAlignment="1">
      <alignment horizontal="center" vertical="center" wrapText="1"/>
    </xf>
    <xf numFmtId="0" fontId="60" fillId="74" borderId="24" xfId="0" applyFont="1" applyFill="1" applyBorder="1" applyAlignment="1">
      <alignment horizontal="center" vertical="center"/>
    </xf>
    <xf numFmtId="0" fontId="60" fillId="74" borderId="30" xfId="0" applyFont="1" applyFill="1" applyBorder="1" applyAlignment="1">
      <alignment horizontal="center" vertical="center"/>
    </xf>
    <xf numFmtId="0" fontId="60" fillId="74" borderId="24" xfId="0" applyFont="1" applyFill="1" applyBorder="1" applyAlignment="1">
      <alignment horizontal="center" vertical="center" wrapText="1"/>
    </xf>
    <xf numFmtId="0" fontId="72" fillId="74" borderId="32" xfId="0" applyFont="1" applyFill="1" applyBorder="1" applyAlignment="1">
      <alignment horizontal="center" vertical="center" wrapText="1"/>
    </xf>
    <xf numFmtId="0" fontId="72" fillId="74" borderId="30" xfId="0" applyFont="1" applyFill="1" applyBorder="1" applyAlignment="1">
      <alignment horizontal="center" vertical="center" wrapText="1"/>
    </xf>
    <xf numFmtId="0" fontId="38" fillId="74" borderId="30" xfId="0" applyFont="1" applyFill="1" applyBorder="1" applyAlignment="1">
      <alignment horizontal="center" vertical="center"/>
    </xf>
    <xf numFmtId="0" fontId="100" fillId="74" borderId="31" xfId="57847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3" fontId="62" fillId="0" borderId="31" xfId="0" applyNumberFormat="1" applyFont="1" applyFill="1" applyBorder="1" applyAlignment="1">
      <alignment horizontal="right"/>
    </xf>
    <xf numFmtId="3" fontId="62" fillId="0" borderId="23" xfId="0" applyNumberFormat="1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3" fontId="68" fillId="0" borderId="23" xfId="0" applyNumberFormat="1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/>
    <xf numFmtId="3" fontId="62" fillId="0" borderId="24" xfId="0" applyNumberFormat="1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" fontId="60" fillId="0" borderId="23" xfId="0" applyNumberFormat="1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vertical="center"/>
    </xf>
    <xf numFmtId="3" fontId="61" fillId="0" borderId="24" xfId="0" applyNumberFormat="1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108" fillId="0" borderId="3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3" fontId="60" fillId="0" borderId="31" xfId="0" applyNumberFormat="1" applyFont="1" applyFill="1" applyBorder="1" applyAlignment="1">
      <alignment horizontal="right" wrapText="1"/>
    </xf>
    <xf numFmtId="0" fontId="106" fillId="0" borderId="31" xfId="0" applyFont="1" applyFill="1" applyBorder="1" applyAlignment="1">
      <alignment horizontal="right" wrapText="1"/>
    </xf>
    <xf numFmtId="3" fontId="104" fillId="0" borderId="25" xfId="0" applyNumberFormat="1" applyFont="1" applyFill="1" applyBorder="1" applyAlignment="1">
      <alignment horizontal="center" vertical="center" wrapText="1"/>
    </xf>
    <xf numFmtId="3" fontId="104" fillId="0" borderId="27" xfId="0" applyNumberFormat="1" applyFont="1" applyFill="1" applyBorder="1" applyAlignment="1">
      <alignment horizontal="center" vertical="center" wrapText="1"/>
    </xf>
    <xf numFmtId="3" fontId="104" fillId="0" borderId="23" xfId="0" applyNumberFormat="1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3" fontId="104" fillId="0" borderId="23" xfId="0" applyNumberFormat="1" applyFont="1" applyFill="1" applyBorder="1" applyAlignment="1">
      <alignment horizontal="center" vertical="center"/>
    </xf>
    <xf numFmtId="3" fontId="10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3" fontId="61" fillId="0" borderId="31" xfId="0" applyNumberFormat="1" applyFont="1" applyFill="1" applyBorder="1" applyAlignment="1">
      <alignment horizontal="right" wrapText="1"/>
    </xf>
    <xf numFmtId="0" fontId="62" fillId="0" borderId="31" xfId="0" applyFont="1" applyFill="1" applyBorder="1" applyAlignment="1">
      <alignment horizontal="right" wrapText="1"/>
    </xf>
    <xf numFmtId="3" fontId="10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0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03" fillId="0" borderId="25" xfId="0" applyNumberFormat="1" applyFont="1" applyFill="1" applyBorder="1" applyAlignment="1">
      <alignment horizontal="center" vertical="center"/>
    </xf>
    <xf numFmtId="3" fontId="103" fillId="0" borderId="26" xfId="0" applyNumberFormat="1" applyFont="1" applyFill="1" applyBorder="1" applyAlignment="1">
      <alignment horizontal="center" vertical="center"/>
    </xf>
    <xf numFmtId="3" fontId="103" fillId="0" borderId="27" xfId="0" applyNumberFormat="1" applyFont="1" applyFill="1" applyBorder="1" applyAlignment="1">
      <alignment horizontal="center" vertical="center"/>
    </xf>
    <xf numFmtId="3" fontId="104" fillId="0" borderId="25" xfId="0" applyNumberFormat="1" applyFont="1" applyFill="1" applyBorder="1" applyAlignment="1" applyProtection="1">
      <alignment horizontal="center" vertical="center"/>
      <protection locked="0"/>
    </xf>
    <xf numFmtId="3" fontId="104" fillId="0" borderId="26" xfId="0" applyNumberFormat="1" applyFont="1" applyFill="1" applyBorder="1" applyAlignment="1" applyProtection="1">
      <alignment horizontal="center" vertical="center"/>
      <protection locked="0"/>
    </xf>
    <xf numFmtId="3" fontId="104" fillId="0" borderId="24" xfId="0" applyNumberFormat="1" applyFont="1" applyFill="1" applyBorder="1" applyAlignment="1">
      <alignment horizontal="center" vertical="center"/>
    </xf>
    <xf numFmtId="3" fontId="104" fillId="0" borderId="32" xfId="0" applyNumberFormat="1" applyFont="1" applyFill="1" applyBorder="1" applyAlignment="1">
      <alignment horizontal="center" vertical="center"/>
    </xf>
    <xf numFmtId="3" fontId="104" fillId="0" borderId="30" xfId="0" applyNumberFormat="1" applyFont="1" applyFill="1" applyBorder="1" applyAlignment="1">
      <alignment horizontal="center" vertical="center"/>
    </xf>
    <xf numFmtId="3" fontId="6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24" xfId="0" applyNumberFormat="1" applyFont="1" applyFill="1" applyBorder="1" applyAlignment="1" applyProtection="1">
      <alignment horizontal="center" vertical="center"/>
      <protection locked="0"/>
    </xf>
    <xf numFmtId="3" fontId="61" fillId="0" borderId="32" xfId="0" applyNumberFormat="1" applyFont="1" applyFill="1" applyBorder="1" applyAlignment="1" applyProtection="1">
      <alignment horizontal="center" vertical="center"/>
      <protection locked="0"/>
    </xf>
    <xf numFmtId="0" fontId="67" fillId="0" borderId="23" xfId="0" applyFont="1" applyFill="1" applyBorder="1" applyAlignment="1">
      <alignment horizontal="center" vertical="center" wrapText="1"/>
    </xf>
    <xf numFmtId="3" fontId="10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04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23" xfId="0" applyNumberFormat="1" applyFont="1" applyFill="1" applyBorder="1" applyAlignment="1">
      <alignment horizontal="center" vertical="center" wrapText="1"/>
    </xf>
    <xf numFmtId="3" fontId="85" fillId="0" borderId="23" xfId="0" applyNumberFormat="1" applyFont="1" applyFill="1" applyBorder="1" applyAlignment="1">
      <alignment horizontal="center" vertical="center"/>
    </xf>
    <xf numFmtId="3" fontId="8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23" xfId="0" applyNumberFormat="1" applyFont="1" applyFill="1" applyBorder="1" applyAlignment="1" applyProtection="1">
      <alignment horizontal="center" vertical="center"/>
      <protection locked="0"/>
    </xf>
    <xf numFmtId="3" fontId="85" fillId="0" borderId="25" xfId="0" applyNumberFormat="1" applyFont="1" applyFill="1" applyBorder="1" applyAlignment="1">
      <alignment horizontal="center" vertical="center" wrapText="1"/>
    </xf>
    <xf numFmtId="3" fontId="85" fillId="0" borderId="26" xfId="0" applyNumberFormat="1" applyFont="1" applyFill="1" applyBorder="1" applyAlignment="1">
      <alignment horizontal="center" vertical="center" wrapText="1"/>
    </xf>
    <xf numFmtId="3" fontId="85" fillId="0" borderId="27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3" fontId="61" fillId="0" borderId="25" xfId="0" applyNumberFormat="1" applyFont="1" applyFill="1" applyBorder="1" applyAlignment="1">
      <alignment horizontal="center" vertical="center" wrapText="1"/>
    </xf>
    <xf numFmtId="3" fontId="61" fillId="0" borderId="26" xfId="0" applyNumberFormat="1" applyFont="1" applyFill="1" applyBorder="1" applyAlignment="1">
      <alignment horizontal="center" vertical="center" wrapText="1"/>
    </xf>
    <xf numFmtId="3" fontId="61" fillId="0" borderId="27" xfId="0" applyNumberFormat="1" applyFont="1" applyFill="1" applyBorder="1" applyAlignment="1">
      <alignment horizontal="center" vertical="center" wrapText="1"/>
    </xf>
    <xf numFmtId="3" fontId="61" fillId="0" borderId="30" xfId="0" applyNumberFormat="1" applyFont="1" applyFill="1" applyBorder="1" applyAlignment="1">
      <alignment horizontal="center" vertical="center"/>
    </xf>
    <xf numFmtId="0" fontId="61" fillId="0" borderId="28" xfId="57742" applyFont="1" applyFill="1" applyBorder="1" applyAlignment="1">
      <alignment horizontal="center" vertical="center" wrapText="1"/>
    </xf>
    <xf numFmtId="0" fontId="61" fillId="0" borderId="34" xfId="57742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3" fontId="85" fillId="74" borderId="24" xfId="57896" applyNumberFormat="1" applyFont="1" applyFill="1" applyBorder="1" applyAlignment="1">
      <alignment horizontal="center" vertical="center" wrapText="1"/>
    </xf>
    <xf numFmtId="3" fontId="85" fillId="74" borderId="32" xfId="57896" applyNumberFormat="1" applyFont="1" applyFill="1" applyBorder="1" applyAlignment="1">
      <alignment horizontal="center" vertical="center" wrapText="1"/>
    </xf>
    <xf numFmtId="3" fontId="85" fillId="74" borderId="30" xfId="57896" applyNumberFormat="1" applyFont="1" applyFill="1" applyBorder="1" applyAlignment="1">
      <alignment horizontal="center" vertical="center" wrapText="1"/>
    </xf>
    <xf numFmtId="3" fontId="85" fillId="74" borderId="23" xfId="57896" applyNumberFormat="1" applyFont="1" applyFill="1" applyBorder="1" applyAlignment="1">
      <alignment horizontal="center" vertical="center" wrapText="1"/>
    </xf>
    <xf numFmtId="3" fontId="88" fillId="74" borderId="24" xfId="0" applyNumberFormat="1" applyFont="1" applyFill="1" applyBorder="1" applyAlignment="1">
      <alignment horizontal="center" vertical="center" wrapText="1"/>
    </xf>
    <xf numFmtId="3" fontId="68" fillId="74" borderId="30" xfId="0" applyNumberFormat="1" applyFont="1" applyFill="1" applyBorder="1" applyAlignment="1">
      <alignment horizontal="center" vertical="center" wrapText="1"/>
    </xf>
    <xf numFmtId="0" fontId="60" fillId="74" borderId="32" xfId="0" applyFont="1" applyFill="1" applyBorder="1" applyAlignment="1">
      <alignment horizontal="center" vertical="center"/>
    </xf>
    <xf numFmtId="0" fontId="74" fillId="74" borderId="0" xfId="0" applyFont="1" applyFill="1" applyAlignment="1">
      <alignment horizontal="center" vertical="center" wrapText="1"/>
    </xf>
    <xf numFmtId="0" fontId="0" fillId="74" borderId="0" xfId="0" applyFill="1" applyAlignment="1">
      <alignment wrapText="1"/>
    </xf>
    <xf numFmtId="0" fontId="87" fillId="74" borderId="24" xfId="0" applyFont="1" applyFill="1" applyBorder="1" applyAlignment="1">
      <alignment horizontal="center" vertical="center" wrapText="1"/>
    </xf>
    <xf numFmtId="0" fontId="87" fillId="74" borderId="32" xfId="0" applyFont="1" applyFill="1" applyBorder="1" applyAlignment="1">
      <alignment horizontal="center" vertical="center" wrapText="1"/>
    </xf>
    <xf numFmtId="0" fontId="87" fillId="74" borderId="30" xfId="0" applyFont="1" applyFill="1" applyBorder="1" applyAlignment="1">
      <alignment horizontal="center" vertical="center" wrapText="1"/>
    </xf>
    <xf numFmtId="3" fontId="68" fillId="74" borderId="32" xfId="0" applyNumberFormat="1" applyFont="1" applyFill="1" applyBorder="1" applyAlignment="1">
      <alignment horizontal="center" vertical="center" wrapText="1"/>
    </xf>
    <xf numFmtId="3" fontId="88" fillId="74" borderId="28" xfId="0" applyNumberFormat="1" applyFont="1" applyFill="1" applyBorder="1" applyAlignment="1">
      <alignment horizontal="center" vertical="center" wrapText="1"/>
    </xf>
    <xf numFmtId="3" fontId="68" fillId="74" borderId="29" xfId="0" applyNumberFormat="1" applyFont="1" applyFill="1" applyBorder="1" applyAlignment="1">
      <alignment horizontal="center" vertical="center" wrapText="1"/>
    </xf>
    <xf numFmtId="3" fontId="68" fillId="74" borderId="33" xfId="0" applyNumberFormat="1" applyFont="1" applyFill="1" applyBorder="1" applyAlignment="1">
      <alignment horizontal="center" vertical="center" wrapText="1"/>
    </xf>
    <xf numFmtId="3" fontId="68" fillId="74" borderId="35" xfId="0" applyNumberFormat="1" applyFont="1" applyFill="1" applyBorder="1" applyAlignment="1">
      <alignment horizontal="center" vertical="center" wrapText="1"/>
    </xf>
    <xf numFmtId="3" fontId="85" fillId="74" borderId="25" xfId="57896" applyNumberFormat="1" applyFont="1" applyFill="1" applyBorder="1" applyAlignment="1">
      <alignment horizontal="center" vertical="center" wrapText="1"/>
    </xf>
    <xf numFmtId="3" fontId="85" fillId="74" borderId="26" xfId="57896" applyNumberFormat="1" applyFont="1" applyFill="1" applyBorder="1" applyAlignment="1">
      <alignment horizontal="center" vertical="center" wrapText="1"/>
    </xf>
    <xf numFmtId="3" fontId="85" fillId="74" borderId="27" xfId="57896" applyNumberFormat="1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/>
    </xf>
    <xf numFmtId="0" fontId="92" fillId="0" borderId="30" xfId="0" applyFont="1" applyFill="1" applyBorder="1" applyAlignment="1">
      <alignment horizontal="center" vertical="center"/>
    </xf>
    <xf numFmtId="0" fontId="91" fillId="0" borderId="24" xfId="57572" applyFont="1" applyFill="1" applyBorder="1" applyAlignment="1">
      <alignment horizontal="center" vertical="center" wrapText="1"/>
    </xf>
    <xf numFmtId="0" fontId="91" fillId="0" borderId="30" xfId="57572" applyFont="1" applyFill="1" applyBorder="1" applyAlignment="1">
      <alignment horizontal="center" vertical="center" wrapText="1"/>
    </xf>
    <xf numFmtId="0" fontId="91" fillId="0" borderId="32" xfId="57572" applyFont="1" applyFill="1" applyBorder="1" applyAlignment="1">
      <alignment horizontal="center" vertical="center" wrapText="1"/>
    </xf>
    <xf numFmtId="0" fontId="91" fillId="0" borderId="25" xfId="57572" applyFont="1" applyFill="1" applyBorder="1" applyAlignment="1">
      <alignment horizontal="center" vertical="center" wrapText="1"/>
    </xf>
    <xf numFmtId="0" fontId="91" fillId="0" borderId="27" xfId="57572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/>
    </xf>
    <xf numFmtId="0" fontId="91" fillId="0" borderId="28" xfId="57572" applyFont="1" applyFill="1" applyBorder="1" applyAlignment="1">
      <alignment horizontal="center" vertical="center" wrapText="1"/>
    </xf>
    <xf numFmtId="0" fontId="91" fillId="0" borderId="29" xfId="57572" applyFont="1" applyFill="1" applyBorder="1" applyAlignment="1">
      <alignment horizontal="center" vertical="center" wrapText="1"/>
    </xf>
    <xf numFmtId="0" fontId="91" fillId="0" borderId="33" xfId="57572" applyFont="1" applyFill="1" applyBorder="1" applyAlignment="1">
      <alignment horizontal="center" vertical="center" wrapText="1"/>
    </xf>
    <xf numFmtId="0" fontId="91" fillId="0" borderId="35" xfId="57572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 horizontal="center"/>
    </xf>
    <xf numFmtId="0" fontId="91" fillId="0" borderId="26" xfId="57572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68" fillId="0" borderId="32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center"/>
    </xf>
    <xf numFmtId="0" fontId="68" fillId="0" borderId="27" xfId="0" applyFont="1" applyFill="1" applyBorder="1" applyAlignment="1">
      <alignment horizontal="center"/>
    </xf>
    <xf numFmtId="0" fontId="68" fillId="0" borderId="23" xfId="0" applyFont="1" applyFill="1" applyBorder="1" applyAlignment="1">
      <alignment horizontal="center"/>
    </xf>
    <xf numFmtId="0" fontId="68" fillId="0" borderId="25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92" fillId="0" borderId="23" xfId="0" applyFont="1" applyFill="1" applyBorder="1" applyAlignment="1">
      <alignment horizontal="center" vertical="center"/>
    </xf>
    <xf numFmtId="0" fontId="91" fillId="0" borderId="23" xfId="57572" applyFont="1" applyFill="1" applyBorder="1" applyAlignment="1">
      <alignment horizontal="center" vertical="top" wrapText="1"/>
    </xf>
    <xf numFmtId="0" fontId="91" fillId="0" borderId="23" xfId="57572" applyFont="1" applyFill="1" applyBorder="1" applyAlignment="1">
      <alignment horizontal="center" vertical="center" wrapText="1"/>
    </xf>
    <xf numFmtId="0" fontId="72" fillId="74" borderId="0" xfId="0" applyFont="1" applyFill="1" applyAlignment="1">
      <alignment horizontal="center" vertical="center" wrapText="1"/>
    </xf>
    <xf numFmtId="0" fontId="72" fillId="74" borderId="23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wrapText="1"/>
    </xf>
    <xf numFmtId="0" fontId="100" fillId="0" borderId="0" xfId="0" applyFont="1" applyFill="1" applyAlignment="1">
      <alignment horizontal="center" vertical="center" wrapText="1"/>
    </xf>
    <xf numFmtId="0" fontId="100" fillId="0" borderId="0" xfId="0" applyFont="1" applyFill="1" applyAlignment="1">
      <alignment horizontal="center" vertical="center"/>
    </xf>
    <xf numFmtId="0" fontId="75" fillId="0" borderId="23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right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</cellXfs>
  <cellStyles count="5925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7 2" xfId="57737"/>
    <cellStyle name="Обычный 18" xfId="57738"/>
    <cellStyle name="Обычный 18 2" xfId="57739"/>
    <cellStyle name="Обычный 18 2 2" xfId="57740"/>
    <cellStyle name="Обычный 18 3" xfId="57741"/>
    <cellStyle name="Обычный 19" xfId="57742"/>
    <cellStyle name="Обычный 19 2" xfId="57743"/>
    <cellStyle name="Обычный 19 2 2" xfId="57744"/>
    <cellStyle name="Обычный 19 3" xfId="57745"/>
    <cellStyle name="Обычный 19 4" xfId="57746"/>
    <cellStyle name="Обычный 19 5" xfId="57747"/>
    <cellStyle name="Обычный 2" xfId="57748"/>
    <cellStyle name="Обычный 2 10" xfId="57749"/>
    <cellStyle name="Обычный 2 100" xfId="57750"/>
    <cellStyle name="Обычный 2 101" xfId="57751"/>
    <cellStyle name="Обычный 2 102" xfId="57752"/>
    <cellStyle name="Обычный 2 103" xfId="57753"/>
    <cellStyle name="Обычный 2 104" xfId="57754"/>
    <cellStyle name="Обычный 2 105" xfId="57755"/>
    <cellStyle name="Обычный 2 106" xfId="57756"/>
    <cellStyle name="Обычный 2 107" xfId="57757"/>
    <cellStyle name="Обычный 2 108" xfId="57758"/>
    <cellStyle name="Обычный 2 109" xfId="57759"/>
    <cellStyle name="Обычный 2 11" xfId="57760"/>
    <cellStyle name="Обычный 2 110" xfId="57761"/>
    <cellStyle name="Обычный 2 111" xfId="57762"/>
    <cellStyle name="Обычный 2 112" xfId="57763"/>
    <cellStyle name="Обычный 2 113" xfId="57764"/>
    <cellStyle name="Обычный 2 114" xfId="57765"/>
    <cellStyle name="Обычный 2 115" xfId="57766"/>
    <cellStyle name="Обычный 2 116" xfId="57767"/>
    <cellStyle name="Обычный 2 117" xfId="57768"/>
    <cellStyle name="Обычный 2 118" xfId="57769"/>
    <cellStyle name="Обычный 2 119" xfId="57770"/>
    <cellStyle name="Обычный 2 12" xfId="57771"/>
    <cellStyle name="Обычный 2 120" xfId="57772"/>
    <cellStyle name="Обычный 2 121" xfId="57773"/>
    <cellStyle name="Обычный 2 122" xfId="57774"/>
    <cellStyle name="Обычный 2 123" xfId="57775"/>
    <cellStyle name="Обычный 2 124" xfId="57776"/>
    <cellStyle name="Обычный 2 125" xfId="57777"/>
    <cellStyle name="Обычный 2 126" xfId="57778"/>
    <cellStyle name="Обычный 2 127" xfId="57779"/>
    <cellStyle name="Обычный 2 128" xfId="57780"/>
    <cellStyle name="Обычный 2 129" xfId="57781"/>
    <cellStyle name="Обычный 2 13" xfId="57782"/>
    <cellStyle name="Обычный 2 130" xfId="57783"/>
    <cellStyle name="Обычный 2 131" xfId="57784"/>
    <cellStyle name="Обычный 2 132" xfId="57785"/>
    <cellStyle name="Обычный 2 133" xfId="57786"/>
    <cellStyle name="Обычный 2 134" xfId="57787"/>
    <cellStyle name="Обычный 2 135" xfId="57788"/>
    <cellStyle name="Обычный 2 136" xfId="57789"/>
    <cellStyle name="Обычный 2 137" xfId="57790"/>
    <cellStyle name="Обычный 2 138" xfId="57791"/>
    <cellStyle name="Обычный 2 14" xfId="57792"/>
    <cellStyle name="Обычный 2 15" xfId="57793"/>
    <cellStyle name="Обычный 2 16" xfId="57794"/>
    <cellStyle name="Обычный 2 17" xfId="57795"/>
    <cellStyle name="Обычный 2 18" xfId="57796"/>
    <cellStyle name="Обычный 2 19" xfId="57797"/>
    <cellStyle name="Обычный 2 2" xfId="57798"/>
    <cellStyle name="Обычный 2 2 2" xfId="57799"/>
    <cellStyle name="Обычный 2 2 2 2" xfId="57800"/>
    <cellStyle name="Обычный 2 2 2 3" xfId="59248"/>
    <cellStyle name="Обычный 2 2 3" xfId="57801"/>
    <cellStyle name="Обычный 2 2 4" xfId="57802"/>
    <cellStyle name="Обычный 2 20" xfId="57803"/>
    <cellStyle name="Обычный 2 21" xfId="57804"/>
    <cellStyle name="Обычный 2 22" xfId="57805"/>
    <cellStyle name="Обычный 2 23" xfId="57806"/>
    <cellStyle name="Обычный 2 24" xfId="57807"/>
    <cellStyle name="Обычный 2 25" xfId="57808"/>
    <cellStyle name="Обычный 2 26" xfId="57809"/>
    <cellStyle name="Обычный 2 27" xfId="57810"/>
    <cellStyle name="Обычный 2 28" xfId="57811"/>
    <cellStyle name="Обычный 2 29" xfId="57812"/>
    <cellStyle name="Обычный 2 3" xfId="57813"/>
    <cellStyle name="Обычный 2 3 2" xfId="59249"/>
    <cellStyle name="Обычный 2 30" xfId="57814"/>
    <cellStyle name="Обычный 2 31" xfId="57815"/>
    <cellStyle name="Обычный 2 32" xfId="57816"/>
    <cellStyle name="Обычный 2 33" xfId="57817"/>
    <cellStyle name="Обычный 2 34" xfId="57818"/>
    <cellStyle name="Обычный 2 35" xfId="57819"/>
    <cellStyle name="Обычный 2 36" xfId="57820"/>
    <cellStyle name="Обычный 2 37" xfId="57821"/>
    <cellStyle name="Обычный 2 38" xfId="57822"/>
    <cellStyle name="Обычный 2 39" xfId="57823"/>
    <cellStyle name="Обычный 2 4" xfId="57824"/>
    <cellStyle name="Обычный 2 40" xfId="57825"/>
    <cellStyle name="Обычный 2 41" xfId="57826"/>
    <cellStyle name="Обычный 2 42" xfId="57827"/>
    <cellStyle name="Обычный 2 43" xfId="57828"/>
    <cellStyle name="Обычный 2 44" xfId="57829"/>
    <cellStyle name="Обычный 2 45" xfId="57830"/>
    <cellStyle name="Обычный 2 46" xfId="57831"/>
    <cellStyle name="Обычный 2 47" xfId="57832"/>
    <cellStyle name="Обычный 2 48" xfId="57833"/>
    <cellStyle name="Обычный 2 49" xfId="57834"/>
    <cellStyle name="Обычный 2 5" xfId="57835"/>
    <cellStyle name="Обычный 2 50" xfId="57836"/>
    <cellStyle name="Обычный 2 51" xfId="57837"/>
    <cellStyle name="Обычный 2 52" xfId="57838"/>
    <cellStyle name="Обычный 2 53" xfId="57839"/>
    <cellStyle name="Обычный 2 54" xfId="57840"/>
    <cellStyle name="Обычный 2 55" xfId="57841"/>
    <cellStyle name="Обычный 2 56" xfId="57842"/>
    <cellStyle name="Обычный 2 57" xfId="57843"/>
    <cellStyle name="Обычный 2 58" xfId="57844"/>
    <cellStyle name="Обычный 2 59" xfId="57845"/>
    <cellStyle name="Обычный 2 6" xfId="57846"/>
    <cellStyle name="Обычный 2 6 2" xfId="57847"/>
    <cellStyle name="Обычный 2 60" xfId="57848"/>
    <cellStyle name="Обычный 2 61" xfId="57849"/>
    <cellStyle name="Обычный 2 62" xfId="57850"/>
    <cellStyle name="Обычный 2 63" xfId="57851"/>
    <cellStyle name="Обычный 2 64" xfId="57852"/>
    <cellStyle name="Обычный 2 65" xfId="57853"/>
    <cellStyle name="Обычный 2 66" xfId="57854"/>
    <cellStyle name="Обычный 2 67" xfId="57855"/>
    <cellStyle name="Обычный 2 68" xfId="57856"/>
    <cellStyle name="Обычный 2 69" xfId="57857"/>
    <cellStyle name="Обычный 2 7" xfId="57858"/>
    <cellStyle name="Обычный 2 70" xfId="57859"/>
    <cellStyle name="Обычный 2 71" xfId="57860"/>
    <cellStyle name="Обычный 2 72" xfId="57861"/>
    <cellStyle name="Обычный 2 73" xfId="57862"/>
    <cellStyle name="Обычный 2 74" xfId="57863"/>
    <cellStyle name="Обычный 2 75" xfId="57864"/>
    <cellStyle name="Обычный 2 76" xfId="57865"/>
    <cellStyle name="Обычный 2 77" xfId="57866"/>
    <cellStyle name="Обычный 2 78" xfId="57867"/>
    <cellStyle name="Обычный 2 79" xfId="57868"/>
    <cellStyle name="Обычный 2 8" xfId="57869"/>
    <cellStyle name="Обычный 2 80" xfId="57870"/>
    <cellStyle name="Обычный 2 81" xfId="57871"/>
    <cellStyle name="Обычный 2 82" xfId="57872"/>
    <cellStyle name="Обычный 2 83" xfId="57873"/>
    <cellStyle name="Обычный 2 84" xfId="57874"/>
    <cellStyle name="Обычный 2 85" xfId="57875"/>
    <cellStyle name="Обычный 2 86" xfId="57876"/>
    <cellStyle name="Обычный 2 87" xfId="57877"/>
    <cellStyle name="Обычный 2 88" xfId="57878"/>
    <cellStyle name="Обычный 2 89" xfId="57879"/>
    <cellStyle name="Обычный 2 9" xfId="57880"/>
    <cellStyle name="Обычный 2 90" xfId="57881"/>
    <cellStyle name="Обычный 2 91" xfId="57882"/>
    <cellStyle name="Обычный 2 92" xfId="57883"/>
    <cellStyle name="Обычный 2 93" xfId="57884"/>
    <cellStyle name="Обычный 2 94" xfId="57885"/>
    <cellStyle name="Обычный 2 95" xfId="57886"/>
    <cellStyle name="Обычный 2 96" xfId="57887"/>
    <cellStyle name="Обычный 2 97" xfId="57888"/>
    <cellStyle name="Обычный 2 98" xfId="57889"/>
    <cellStyle name="Обычный 2 99" xfId="57890"/>
    <cellStyle name="Обычный 2_npa105B" xfId="57891"/>
    <cellStyle name="Обычный 20" xfId="57892"/>
    <cellStyle name="Обычный 20 2" xfId="57893"/>
    <cellStyle name="Обычный 20 2 2" xfId="57894"/>
    <cellStyle name="Обычный 20 3" xfId="57895"/>
    <cellStyle name="Обычный 20 4" xfId="57896"/>
    <cellStyle name="Обычный 21" xfId="57897"/>
    <cellStyle name="Обычный 21 2" xfId="57898"/>
    <cellStyle name="Обычный 21 2 2" xfId="57899"/>
    <cellStyle name="Обычный 21 3" xfId="57900"/>
    <cellStyle name="Обычный 22" xfId="57901"/>
    <cellStyle name="Обычный 22 2" xfId="57902"/>
    <cellStyle name="Обычный 22 3" xfId="57903"/>
    <cellStyle name="Обычный 23" xfId="57904"/>
    <cellStyle name="Обычный 23 2" xfId="57905"/>
    <cellStyle name="Обычный 24" xfId="57906"/>
    <cellStyle name="Обычный 24 2" xfId="57907"/>
    <cellStyle name="Обычный 25" xfId="57908"/>
    <cellStyle name="Обычный 26" xfId="57909"/>
    <cellStyle name="Обычный 26 10" xfId="57910"/>
    <cellStyle name="Обычный 26 11" xfId="57911"/>
    <cellStyle name="Обычный 26 12" xfId="57912"/>
    <cellStyle name="Обычный 26 13" xfId="57913"/>
    <cellStyle name="Обычный 26 14" xfId="57914"/>
    <cellStyle name="Обычный 26 15" xfId="57915"/>
    <cellStyle name="Обычный 26 2" xfId="57916"/>
    <cellStyle name="Обычный 26 2 2" xfId="57917"/>
    <cellStyle name="Обычный 26 2 2 2" xfId="57918"/>
    <cellStyle name="Обычный 26 2 3" xfId="57919"/>
    <cellStyle name="Обычный 26 3" xfId="57920"/>
    <cellStyle name="Обычный 26 4" xfId="57921"/>
    <cellStyle name="Обычный 26 4 2" xfId="57922"/>
    <cellStyle name="Обычный 26 4 2 2" xfId="57923"/>
    <cellStyle name="Обычный 26 4 3" xfId="57924"/>
    <cellStyle name="Обычный 26 5" xfId="57925"/>
    <cellStyle name="Обычный 26 5 2" xfId="57926"/>
    <cellStyle name="Обычный 26 6" xfId="57927"/>
    <cellStyle name="Обычный 26 6 2" xfId="57928"/>
    <cellStyle name="Обычный 26 7" xfId="57929"/>
    <cellStyle name="Обычный 26 8" xfId="57930"/>
    <cellStyle name="Обычный 26 9" xfId="57931"/>
    <cellStyle name="Обычный 27" xfId="57932"/>
    <cellStyle name="Обычный 27 2" xfId="57933"/>
    <cellStyle name="Обычный 27 2 2" xfId="57934"/>
    <cellStyle name="Обычный 27 2 2 2" xfId="57935"/>
    <cellStyle name="Обычный 27 2 3" xfId="57936"/>
    <cellStyle name="Обычный 27 3" xfId="57937"/>
    <cellStyle name="Обычный 27 3 2" xfId="57938"/>
    <cellStyle name="Обычный 27 4" xfId="57939"/>
    <cellStyle name="Обычный 27 4 2" xfId="57940"/>
    <cellStyle name="Обычный 27 5" xfId="57941"/>
    <cellStyle name="Обычный 27 6" xfId="57942"/>
    <cellStyle name="Обычный 27 7" xfId="57943"/>
    <cellStyle name="Обычный 27 8" xfId="57944"/>
    <cellStyle name="Обычный 27 9" xfId="57945"/>
    <cellStyle name="Обычный 28" xfId="57946"/>
    <cellStyle name="Обычный 28 2" xfId="57947"/>
    <cellStyle name="Обычный 28 2 2" xfId="57948"/>
    <cellStyle name="Обычный 28 2 2 2" xfId="57949"/>
    <cellStyle name="Обычный 28 2 3" xfId="57950"/>
    <cellStyle name="Обычный 28 3" xfId="57951"/>
    <cellStyle name="Обычный 28 3 2" xfId="57952"/>
    <cellStyle name="Обычный 28 4" xfId="57953"/>
    <cellStyle name="Обычный 28 4 2" xfId="57954"/>
    <cellStyle name="Обычный 28 5" xfId="57955"/>
    <cellStyle name="Обычный 28 6" xfId="57956"/>
    <cellStyle name="Обычный 28 7" xfId="57957"/>
    <cellStyle name="Обычный 28 8" xfId="57958"/>
    <cellStyle name="Обычный 28 9" xfId="57959"/>
    <cellStyle name="Обычный 29" xfId="57960"/>
    <cellStyle name="Обычный 29 2" xfId="57961"/>
    <cellStyle name="Обычный 29 2 2" xfId="57962"/>
    <cellStyle name="Обычный 29 2 2 2" xfId="57963"/>
    <cellStyle name="Обычный 29 2 3" xfId="57964"/>
    <cellStyle name="Обычный 29 3" xfId="57965"/>
    <cellStyle name="Обычный 29 3 2" xfId="57966"/>
    <cellStyle name="Обычный 29 4" xfId="57967"/>
    <cellStyle name="Обычный 29 4 2" xfId="57968"/>
    <cellStyle name="Обычный 29 5" xfId="57969"/>
    <cellStyle name="Обычный 29 6" xfId="57970"/>
    <cellStyle name="Обычный 29 7" xfId="57971"/>
    <cellStyle name="Обычный 29 8" xfId="57972"/>
    <cellStyle name="Обычный 29 9" xfId="57973"/>
    <cellStyle name="Обычный 3" xfId="57974"/>
    <cellStyle name="Обычный 3 10" xfId="57975"/>
    <cellStyle name="Обычный 3 11" xfId="57976"/>
    <cellStyle name="Обычный 3 12" xfId="57977"/>
    <cellStyle name="Обычный 3 13" xfId="57978"/>
    <cellStyle name="Обычный 3 14" xfId="57979"/>
    <cellStyle name="Обычный 3 15" xfId="57980"/>
    <cellStyle name="Обычный 3 16" xfId="57981"/>
    <cellStyle name="Обычный 3 17" xfId="57982"/>
    <cellStyle name="Обычный 3 18" xfId="57983"/>
    <cellStyle name="Обычный 3 2" xfId="57984"/>
    <cellStyle name="Обычный 3 3" xfId="57985"/>
    <cellStyle name="Обычный 3 3 2" xfId="57986"/>
    <cellStyle name="Обычный 3 4" xfId="57987"/>
    <cellStyle name="Обычный 3 4 2" xfId="57988"/>
    <cellStyle name="Обычный 3 4 2 2" xfId="57989"/>
    <cellStyle name="Обычный 3 4 3" xfId="57990"/>
    <cellStyle name="Обычный 3 5" xfId="57991"/>
    <cellStyle name="Обычный 3 5 2" xfId="57992"/>
    <cellStyle name="Обычный 3 5 2 2" xfId="57993"/>
    <cellStyle name="Обычный 3 5 3" xfId="57994"/>
    <cellStyle name="Обычный 3 6" xfId="57995"/>
    <cellStyle name="Обычный 3 6 2" xfId="57996"/>
    <cellStyle name="Обычный 3 7" xfId="57997"/>
    <cellStyle name="Обычный 3 8" xfId="57998"/>
    <cellStyle name="Обычный 3 9" xfId="57999"/>
    <cellStyle name="Обычный 30" xfId="58000"/>
    <cellStyle name="Обычный 30 2" xfId="58001"/>
    <cellStyle name="Обычный 30 2 2" xfId="58002"/>
    <cellStyle name="Обычный 30 3" xfId="58003"/>
    <cellStyle name="Обычный 30 3 2" xfId="58004"/>
    <cellStyle name="Обычный 30 4" xfId="58005"/>
    <cellStyle name="Обычный 30 5" xfId="58006"/>
    <cellStyle name="Обычный 30 6" xfId="58007"/>
    <cellStyle name="Обычный 30 7" xfId="58008"/>
    <cellStyle name="Обычный 30 8" xfId="58009"/>
    <cellStyle name="Обычный 31" xfId="58010"/>
    <cellStyle name="Обычный 31 2" xfId="58011"/>
    <cellStyle name="Обычный 32" xfId="58012"/>
    <cellStyle name="Обычный 32 2" xfId="58013"/>
    <cellStyle name="Обычный 33" xfId="58014"/>
    <cellStyle name="Обычный 34" xfId="58015"/>
    <cellStyle name="Обычный 35" xfId="58016"/>
    <cellStyle name="Обычный 36" xfId="58017"/>
    <cellStyle name="Обычный 37" xfId="58018"/>
    <cellStyle name="Обычный 38" xfId="58019"/>
    <cellStyle name="Обычный 39" xfId="58020"/>
    <cellStyle name="Обычный 4" xfId="58021"/>
    <cellStyle name="Обычный 4 10" xfId="58022"/>
    <cellStyle name="Обычный 4 11" xfId="58023"/>
    <cellStyle name="Обычный 4 12" xfId="58024"/>
    <cellStyle name="Обычный 4 13" xfId="58025"/>
    <cellStyle name="Обычный 4 14" xfId="58026"/>
    <cellStyle name="Обычный 4 15" xfId="58027"/>
    <cellStyle name="Обычный 4 16" xfId="58028"/>
    <cellStyle name="Обычный 4 16 2" xfId="58029"/>
    <cellStyle name="Обычный 4 16 2 2" xfId="58030"/>
    <cellStyle name="Обычный 4 16 3" xfId="58031"/>
    <cellStyle name="Обычный 4 17" xfId="58032"/>
    <cellStyle name="Обычный 4 17 2" xfId="58033"/>
    <cellStyle name="Обычный 4 17 2 2" xfId="58034"/>
    <cellStyle name="Обычный 4 17 3" xfId="58035"/>
    <cellStyle name="Обычный 4 18" xfId="58036"/>
    <cellStyle name="Обычный 4 18 2" xfId="58037"/>
    <cellStyle name="Обычный 4 18 2 2" xfId="58038"/>
    <cellStyle name="Обычный 4 18 3" xfId="58039"/>
    <cellStyle name="Обычный 4 19" xfId="58040"/>
    <cellStyle name="Обычный 4 19 2" xfId="58041"/>
    <cellStyle name="Обычный 4 2" xfId="58042"/>
    <cellStyle name="Обычный 4 2 2" xfId="58043"/>
    <cellStyle name="Обычный 4 20" xfId="58044"/>
    <cellStyle name="Обычный 4 20 2" xfId="58045"/>
    <cellStyle name="Обычный 4 21" xfId="58046"/>
    <cellStyle name="Обычный 4 21 2" xfId="58047"/>
    <cellStyle name="Обычный 4 22" xfId="58048"/>
    <cellStyle name="Обычный 4 23" xfId="58049"/>
    <cellStyle name="Обычный 4 24" xfId="58050"/>
    <cellStyle name="Обычный 4 25" xfId="58051"/>
    <cellStyle name="Обычный 4 26" xfId="58052"/>
    <cellStyle name="Обычный 4 27" xfId="58053"/>
    <cellStyle name="Обычный 4 28" xfId="58054"/>
    <cellStyle name="Обычный 4 29" xfId="58055"/>
    <cellStyle name="Обычный 4 3" xfId="58056"/>
    <cellStyle name="Обычный 4 3 2" xfId="58057"/>
    <cellStyle name="Обычный 4 3 2 2" xfId="58058"/>
    <cellStyle name="Обычный 4 3 3" xfId="58059"/>
    <cellStyle name="Обычный 4 30" xfId="58060"/>
    <cellStyle name="Обычный 4 31" xfId="58061"/>
    <cellStyle name="Обычный 4 32" xfId="58062"/>
    <cellStyle name="Обычный 4 4" xfId="58063"/>
    <cellStyle name="Обычный 4 4 2" xfId="58064"/>
    <cellStyle name="Обычный 4 4 2 2" xfId="58065"/>
    <cellStyle name="Обычный 4 4 3" xfId="58066"/>
    <cellStyle name="Обычный 4 5" xfId="58067"/>
    <cellStyle name="Обычный 4 5 2" xfId="58068"/>
    <cellStyle name="Обычный 4 6" xfId="58069"/>
    <cellStyle name="Обычный 4 7" xfId="58070"/>
    <cellStyle name="Обычный 4 8" xfId="58071"/>
    <cellStyle name="Обычный 4 9" xfId="58072"/>
    <cellStyle name="Обычный 4_СМО" xfId="58073"/>
    <cellStyle name="Обычный 40" xfId="58074"/>
    <cellStyle name="Обычный 41" xfId="58075"/>
    <cellStyle name="Обычный 42" xfId="58076"/>
    <cellStyle name="Обычный 43" xfId="58077"/>
    <cellStyle name="Обычный 44" xfId="58078"/>
    <cellStyle name="Обычный 45" xfId="58079"/>
    <cellStyle name="Обычный 46" xfId="58080"/>
    <cellStyle name="Обычный 47" xfId="58081"/>
    <cellStyle name="Обычный 48" xfId="58082"/>
    <cellStyle name="Обычный 49" xfId="58083"/>
    <cellStyle name="Обычный 5" xfId="58084"/>
    <cellStyle name="Обычный 5 2" xfId="58085"/>
    <cellStyle name="Обычный 50" xfId="58086"/>
    <cellStyle name="Обычный 51" xfId="58087"/>
    <cellStyle name="Обычный 52" xfId="58088"/>
    <cellStyle name="Обычный 53" xfId="58089"/>
    <cellStyle name="Обычный 54" xfId="58090"/>
    <cellStyle name="Обычный 55" xfId="58091"/>
    <cellStyle name="Обычный 56" xfId="58092"/>
    <cellStyle name="Обычный 57" xfId="58093"/>
    <cellStyle name="Обычный 58" xfId="58094"/>
    <cellStyle name="Обычный 59" xfId="58095"/>
    <cellStyle name="Обычный 6" xfId="58096"/>
    <cellStyle name="Обычный 6 10" xfId="58097"/>
    <cellStyle name="Обычный 6 11" xfId="58098"/>
    <cellStyle name="Обычный 6 12" xfId="58099"/>
    <cellStyle name="Обычный 6 13" xfId="58100"/>
    <cellStyle name="Обычный 6 14" xfId="58101"/>
    <cellStyle name="Обычный 6 15" xfId="58102"/>
    <cellStyle name="Обычный 6 16" xfId="58103"/>
    <cellStyle name="Обычный 6 17" xfId="58104"/>
    <cellStyle name="Обычный 6 18" xfId="58105"/>
    <cellStyle name="Обычный 6 19" xfId="58106"/>
    <cellStyle name="Обычный 6 2" xfId="58107"/>
    <cellStyle name="Обычный 6 2 2" xfId="58108"/>
    <cellStyle name="Обычный 6 2 2 2" xfId="58109"/>
    <cellStyle name="Обычный 6 2 3" xfId="58110"/>
    <cellStyle name="Обычный 6 3" xfId="58111"/>
    <cellStyle name="Обычный 6 3 2" xfId="58112"/>
    <cellStyle name="Обычный 6 3 2 2" xfId="58113"/>
    <cellStyle name="Обычный 6 3 3" xfId="58114"/>
    <cellStyle name="Обычный 6 4" xfId="58115"/>
    <cellStyle name="Обычный 6 4 2" xfId="58116"/>
    <cellStyle name="Обычный 6 4 2 2" xfId="58117"/>
    <cellStyle name="Обычный 6 4 3" xfId="58118"/>
    <cellStyle name="Обычный 6 5" xfId="58119"/>
    <cellStyle name="Обычный 6 5 2" xfId="58120"/>
    <cellStyle name="Обычный 6 6" xfId="58121"/>
    <cellStyle name="Обычный 6 6 2" xfId="58122"/>
    <cellStyle name="Обычный 6 7" xfId="58123"/>
    <cellStyle name="Обычный 6 7 2" xfId="58124"/>
    <cellStyle name="Обычный 6 8" xfId="58125"/>
    <cellStyle name="Обычный 6 9" xfId="58126"/>
    <cellStyle name="Обычный 60" xfId="58127"/>
    <cellStyle name="Обычный 61" xfId="58128"/>
    <cellStyle name="Обычный 62" xfId="58129"/>
    <cellStyle name="Обычный 63" xfId="58130"/>
    <cellStyle name="Обычный 64" xfId="58131"/>
    <cellStyle name="Обычный 65" xfId="58132"/>
    <cellStyle name="Обычный 66" xfId="58133"/>
    <cellStyle name="Обычный 67" xfId="58134"/>
    <cellStyle name="Обычный 68" xfId="58135"/>
    <cellStyle name="Обычный 69" xfId="58136"/>
    <cellStyle name="Обычный 7" xfId="58137"/>
    <cellStyle name="Обычный 7 2" xfId="58138"/>
    <cellStyle name="Обычный 7 2 2" xfId="58139"/>
    <cellStyle name="Обычный 7 2 2 2" xfId="58140"/>
    <cellStyle name="Обычный 7 2 3" xfId="58141"/>
    <cellStyle name="Обычный 7 3" xfId="58142"/>
    <cellStyle name="Обычный 7 4" xfId="58143"/>
    <cellStyle name="Обычный 70" xfId="58144"/>
    <cellStyle name="Обычный 71" xfId="58145"/>
    <cellStyle name="Обычный 72" xfId="58146"/>
    <cellStyle name="Обычный 73" xfId="58147"/>
    <cellStyle name="Обычный 74" xfId="58148"/>
    <cellStyle name="Обычный 75" xfId="58149"/>
    <cellStyle name="Обычный 76" xfId="58150"/>
    <cellStyle name="Обычный 77" xfId="58151"/>
    <cellStyle name="Обычный 78" xfId="58152"/>
    <cellStyle name="Обычный 8" xfId="58153"/>
    <cellStyle name="Обычный 8 2" xfId="58154"/>
    <cellStyle name="Обычный 8 2 2" xfId="58155"/>
    <cellStyle name="Обычный 8 2 2 2" xfId="58156"/>
    <cellStyle name="Обычный 8 2 3" xfId="58157"/>
    <cellStyle name="Обычный 8 3" xfId="58158"/>
    <cellStyle name="Обычный 8 4" xfId="58159"/>
    <cellStyle name="Обычный 9" xfId="58160"/>
    <cellStyle name="Обычный 9 2" xfId="58161"/>
    <cellStyle name="Обычный 9 2 2" xfId="58162"/>
    <cellStyle name="Обычный 9 2 2 2" xfId="58163"/>
    <cellStyle name="Обычный 9 2 3" xfId="58164"/>
    <cellStyle name="Обычный 9 3" xfId="58165"/>
    <cellStyle name="Обычный 9 4" xfId="58166"/>
    <cellStyle name="Обычный 91" xfId="58167"/>
    <cellStyle name="Обычный 92" xfId="58168"/>
    <cellStyle name="Обычный 93" xfId="58169"/>
    <cellStyle name="Обычный 94" xfId="58170"/>
    <cellStyle name="Обычный 95" xfId="58171"/>
    <cellStyle name="Обычный 96" xfId="58172"/>
    <cellStyle name="Обычный 97" xfId="58173"/>
    <cellStyle name="Обычный 98" xfId="58174"/>
    <cellStyle name="Обычный 99" xfId="58175"/>
    <cellStyle name="Обычный_17.04.2007 Свод(общий)" xfId="59252"/>
    <cellStyle name="Обычный_Ежемесячный отчет 2004 г." xfId="59250"/>
    <cellStyle name="Обычный_Лист1" xfId="59251"/>
    <cellStyle name="Плохой 10" xfId="58176"/>
    <cellStyle name="Плохой 100" xfId="58177"/>
    <cellStyle name="Плохой 101" xfId="58178"/>
    <cellStyle name="Плохой 102" xfId="58179"/>
    <cellStyle name="Плохой 103" xfId="58180"/>
    <cellStyle name="Плохой 104" xfId="58181"/>
    <cellStyle name="Плохой 105" xfId="58182"/>
    <cellStyle name="Плохой 106" xfId="58183"/>
    <cellStyle name="Плохой 107" xfId="58184"/>
    <cellStyle name="Плохой 108" xfId="58185"/>
    <cellStyle name="Плохой 109" xfId="58186"/>
    <cellStyle name="Плохой 11" xfId="58187"/>
    <cellStyle name="Плохой 110" xfId="58188"/>
    <cellStyle name="Плохой 111" xfId="58189"/>
    <cellStyle name="Плохой 112" xfId="58190"/>
    <cellStyle name="Плохой 113" xfId="58191"/>
    <cellStyle name="Плохой 114" xfId="58192"/>
    <cellStyle name="Плохой 115" xfId="58193"/>
    <cellStyle name="Плохой 116" xfId="58194"/>
    <cellStyle name="Плохой 117" xfId="58195"/>
    <cellStyle name="Плохой 118" xfId="58196"/>
    <cellStyle name="Плохой 119" xfId="58197"/>
    <cellStyle name="Плохой 12" xfId="58198"/>
    <cellStyle name="Плохой 120" xfId="58199"/>
    <cellStyle name="Плохой 121" xfId="58200"/>
    <cellStyle name="Плохой 122" xfId="58201"/>
    <cellStyle name="Плохой 123" xfId="58202"/>
    <cellStyle name="Плохой 124" xfId="58203"/>
    <cellStyle name="Плохой 125" xfId="58204"/>
    <cellStyle name="Плохой 126" xfId="58205"/>
    <cellStyle name="Плохой 127" xfId="58206"/>
    <cellStyle name="Плохой 128" xfId="58207"/>
    <cellStyle name="Плохой 129" xfId="58208"/>
    <cellStyle name="Плохой 13" xfId="58209"/>
    <cellStyle name="Плохой 130" xfId="58210"/>
    <cellStyle name="Плохой 131" xfId="58211"/>
    <cellStyle name="Плохой 132" xfId="58212"/>
    <cellStyle name="Плохой 133" xfId="58213"/>
    <cellStyle name="Плохой 134" xfId="58214"/>
    <cellStyle name="Плохой 135" xfId="58215"/>
    <cellStyle name="Плохой 136" xfId="58216"/>
    <cellStyle name="Плохой 137" xfId="58217"/>
    <cellStyle name="Плохой 138" xfId="58218"/>
    <cellStyle name="Плохой 139" xfId="58219"/>
    <cellStyle name="Плохой 14" xfId="58220"/>
    <cellStyle name="Плохой 140" xfId="58221"/>
    <cellStyle name="Плохой 141" xfId="58222"/>
    <cellStyle name="Плохой 142" xfId="58223"/>
    <cellStyle name="Плохой 143" xfId="58224"/>
    <cellStyle name="Плохой 144" xfId="58225"/>
    <cellStyle name="Плохой 145" xfId="58226"/>
    <cellStyle name="Плохой 146" xfId="58227"/>
    <cellStyle name="Плохой 147" xfId="58228"/>
    <cellStyle name="Плохой 148" xfId="58229"/>
    <cellStyle name="Плохой 149" xfId="58230"/>
    <cellStyle name="Плохой 15" xfId="58231"/>
    <cellStyle name="Плохой 150" xfId="58232"/>
    <cellStyle name="Плохой 151" xfId="58233"/>
    <cellStyle name="Плохой 152" xfId="58234"/>
    <cellStyle name="Плохой 153" xfId="58235"/>
    <cellStyle name="Плохой 16" xfId="58236"/>
    <cellStyle name="Плохой 17" xfId="58237"/>
    <cellStyle name="Плохой 18" xfId="58238"/>
    <cellStyle name="Плохой 19" xfId="58239"/>
    <cellStyle name="Плохой 2" xfId="58240"/>
    <cellStyle name="Плохой 2 2" xfId="58241"/>
    <cellStyle name="Плохой 2 2 10" xfId="58242"/>
    <cellStyle name="Плохой 2 2 11" xfId="58243"/>
    <cellStyle name="Плохой 2 2 12" xfId="58244"/>
    <cellStyle name="Плохой 2 2 13" xfId="58245"/>
    <cellStyle name="Плохой 2 2 2" xfId="58246"/>
    <cellStyle name="Плохой 2 2 3" xfId="58247"/>
    <cellStyle name="Плохой 2 2 4" xfId="58248"/>
    <cellStyle name="Плохой 2 2 5" xfId="58249"/>
    <cellStyle name="Плохой 2 2 6" xfId="58250"/>
    <cellStyle name="Плохой 2 2 7" xfId="58251"/>
    <cellStyle name="Плохой 2 2 8" xfId="58252"/>
    <cellStyle name="Плохой 2 2 9" xfId="58253"/>
    <cellStyle name="Плохой 2 3" xfId="58254"/>
    <cellStyle name="Плохой 20" xfId="58255"/>
    <cellStyle name="Плохой 21" xfId="58256"/>
    <cellStyle name="Плохой 22" xfId="58257"/>
    <cellStyle name="Плохой 23" xfId="58258"/>
    <cellStyle name="Плохой 24" xfId="58259"/>
    <cellStyle name="Плохой 25" xfId="58260"/>
    <cellStyle name="Плохой 26" xfId="58261"/>
    <cellStyle name="Плохой 27" xfId="58262"/>
    <cellStyle name="Плохой 28" xfId="58263"/>
    <cellStyle name="Плохой 29" xfId="58264"/>
    <cellStyle name="Плохой 3" xfId="58265"/>
    <cellStyle name="Плохой 30" xfId="58266"/>
    <cellStyle name="Плохой 31" xfId="58267"/>
    <cellStyle name="Плохой 32" xfId="58268"/>
    <cellStyle name="Плохой 33" xfId="58269"/>
    <cellStyle name="Плохой 34" xfId="58270"/>
    <cellStyle name="Плохой 35" xfId="58271"/>
    <cellStyle name="Плохой 36" xfId="58272"/>
    <cellStyle name="Плохой 37" xfId="58273"/>
    <cellStyle name="Плохой 38" xfId="58274"/>
    <cellStyle name="Плохой 39" xfId="58275"/>
    <cellStyle name="Плохой 4" xfId="58276"/>
    <cellStyle name="Плохой 40" xfId="58277"/>
    <cellStyle name="Плохой 41" xfId="58278"/>
    <cellStyle name="Плохой 42" xfId="58279"/>
    <cellStyle name="Плохой 43" xfId="58280"/>
    <cellStyle name="Плохой 44" xfId="58281"/>
    <cellStyle name="Плохой 45" xfId="58282"/>
    <cellStyle name="Плохой 46" xfId="58283"/>
    <cellStyle name="Плохой 47" xfId="58284"/>
    <cellStyle name="Плохой 48" xfId="58285"/>
    <cellStyle name="Плохой 49" xfId="58286"/>
    <cellStyle name="Плохой 5" xfId="58287"/>
    <cellStyle name="Плохой 50" xfId="58288"/>
    <cellStyle name="Плохой 51" xfId="58289"/>
    <cellStyle name="Плохой 52" xfId="58290"/>
    <cellStyle name="Плохой 53" xfId="58291"/>
    <cellStyle name="Плохой 54" xfId="58292"/>
    <cellStyle name="Плохой 55" xfId="58293"/>
    <cellStyle name="Плохой 56" xfId="58294"/>
    <cellStyle name="Плохой 57" xfId="58295"/>
    <cellStyle name="Плохой 58" xfId="58296"/>
    <cellStyle name="Плохой 59" xfId="58297"/>
    <cellStyle name="Плохой 6" xfId="58298"/>
    <cellStyle name="Плохой 60" xfId="58299"/>
    <cellStyle name="Плохой 61" xfId="58300"/>
    <cellStyle name="Плохой 62" xfId="58301"/>
    <cellStyle name="Плохой 63" xfId="58302"/>
    <cellStyle name="Плохой 64" xfId="58303"/>
    <cellStyle name="Плохой 65" xfId="58304"/>
    <cellStyle name="Плохой 66" xfId="58305"/>
    <cellStyle name="Плохой 67" xfId="58306"/>
    <cellStyle name="Плохой 68" xfId="58307"/>
    <cellStyle name="Плохой 69" xfId="58308"/>
    <cellStyle name="Плохой 7" xfId="58309"/>
    <cellStyle name="Плохой 70" xfId="58310"/>
    <cellStyle name="Плохой 71" xfId="58311"/>
    <cellStyle name="Плохой 72" xfId="58312"/>
    <cellStyle name="Плохой 73" xfId="58313"/>
    <cellStyle name="Плохой 74" xfId="58314"/>
    <cellStyle name="Плохой 75" xfId="58315"/>
    <cellStyle name="Плохой 76" xfId="58316"/>
    <cellStyle name="Плохой 77" xfId="58317"/>
    <cellStyle name="Плохой 78" xfId="58318"/>
    <cellStyle name="Плохой 79" xfId="58319"/>
    <cellStyle name="Плохой 8" xfId="58320"/>
    <cellStyle name="Плохой 80" xfId="58321"/>
    <cellStyle name="Плохой 81" xfId="58322"/>
    <cellStyle name="Плохой 82" xfId="58323"/>
    <cellStyle name="Плохой 83" xfId="58324"/>
    <cellStyle name="Плохой 84" xfId="58325"/>
    <cellStyle name="Плохой 85" xfId="58326"/>
    <cellStyle name="Плохой 86" xfId="58327"/>
    <cellStyle name="Плохой 87" xfId="58328"/>
    <cellStyle name="Плохой 88" xfId="58329"/>
    <cellStyle name="Плохой 89" xfId="58330"/>
    <cellStyle name="Плохой 9" xfId="58331"/>
    <cellStyle name="Плохой 90" xfId="58332"/>
    <cellStyle name="Плохой 91" xfId="58333"/>
    <cellStyle name="Плохой 92" xfId="58334"/>
    <cellStyle name="Плохой 93" xfId="58335"/>
    <cellStyle name="Плохой 94" xfId="58336"/>
    <cellStyle name="Плохой 95" xfId="58337"/>
    <cellStyle name="Плохой 96" xfId="58338"/>
    <cellStyle name="Плохой 97" xfId="58339"/>
    <cellStyle name="Плохой 98" xfId="58340"/>
    <cellStyle name="Плохой 99" xfId="58341"/>
    <cellStyle name="Пояснение 10" xfId="58342"/>
    <cellStyle name="Пояснение 100" xfId="58343"/>
    <cellStyle name="Пояснение 101" xfId="58344"/>
    <cellStyle name="Пояснение 102" xfId="58345"/>
    <cellStyle name="Пояснение 103" xfId="58346"/>
    <cellStyle name="Пояснение 104" xfId="58347"/>
    <cellStyle name="Пояснение 105" xfId="58348"/>
    <cellStyle name="Пояснение 106" xfId="58349"/>
    <cellStyle name="Пояснение 107" xfId="58350"/>
    <cellStyle name="Пояснение 108" xfId="58351"/>
    <cellStyle name="Пояснение 109" xfId="58352"/>
    <cellStyle name="Пояснение 11" xfId="58353"/>
    <cellStyle name="Пояснение 110" xfId="58354"/>
    <cellStyle name="Пояснение 111" xfId="58355"/>
    <cellStyle name="Пояснение 112" xfId="58356"/>
    <cellStyle name="Пояснение 113" xfId="58357"/>
    <cellStyle name="Пояснение 114" xfId="58358"/>
    <cellStyle name="Пояснение 115" xfId="58359"/>
    <cellStyle name="Пояснение 116" xfId="58360"/>
    <cellStyle name="Пояснение 117" xfId="58361"/>
    <cellStyle name="Пояснение 118" xfId="58362"/>
    <cellStyle name="Пояснение 119" xfId="58363"/>
    <cellStyle name="Пояснение 12" xfId="58364"/>
    <cellStyle name="Пояснение 120" xfId="58365"/>
    <cellStyle name="Пояснение 121" xfId="58366"/>
    <cellStyle name="Пояснение 122" xfId="58367"/>
    <cellStyle name="Пояснение 123" xfId="58368"/>
    <cellStyle name="Пояснение 124" xfId="58369"/>
    <cellStyle name="Пояснение 125" xfId="58370"/>
    <cellStyle name="Пояснение 126" xfId="58371"/>
    <cellStyle name="Пояснение 127" xfId="58372"/>
    <cellStyle name="Пояснение 128" xfId="58373"/>
    <cellStyle name="Пояснение 129" xfId="58374"/>
    <cellStyle name="Пояснение 13" xfId="58375"/>
    <cellStyle name="Пояснение 130" xfId="58376"/>
    <cellStyle name="Пояснение 131" xfId="58377"/>
    <cellStyle name="Пояснение 132" xfId="58378"/>
    <cellStyle name="Пояснение 133" xfId="58379"/>
    <cellStyle name="Пояснение 134" xfId="58380"/>
    <cellStyle name="Пояснение 135" xfId="58381"/>
    <cellStyle name="Пояснение 136" xfId="58382"/>
    <cellStyle name="Пояснение 137" xfId="58383"/>
    <cellStyle name="Пояснение 138" xfId="58384"/>
    <cellStyle name="Пояснение 139" xfId="58385"/>
    <cellStyle name="Пояснение 14" xfId="58386"/>
    <cellStyle name="Пояснение 140" xfId="58387"/>
    <cellStyle name="Пояснение 141" xfId="58388"/>
    <cellStyle name="Пояснение 142" xfId="58389"/>
    <cellStyle name="Пояснение 143" xfId="58390"/>
    <cellStyle name="Пояснение 144" xfId="58391"/>
    <cellStyle name="Пояснение 145" xfId="58392"/>
    <cellStyle name="Пояснение 146" xfId="58393"/>
    <cellStyle name="Пояснение 147" xfId="58394"/>
    <cellStyle name="Пояснение 148" xfId="58395"/>
    <cellStyle name="Пояснение 149" xfId="58396"/>
    <cellStyle name="Пояснение 15" xfId="58397"/>
    <cellStyle name="Пояснение 150" xfId="58398"/>
    <cellStyle name="Пояснение 151" xfId="58399"/>
    <cellStyle name="Пояснение 152" xfId="58400"/>
    <cellStyle name="Пояснение 153" xfId="58401"/>
    <cellStyle name="Пояснение 16" xfId="58402"/>
    <cellStyle name="Пояснение 17" xfId="58403"/>
    <cellStyle name="Пояснение 18" xfId="58404"/>
    <cellStyle name="Пояснение 19" xfId="58405"/>
    <cellStyle name="Пояснение 2" xfId="58406"/>
    <cellStyle name="Пояснение 2 2" xfId="58407"/>
    <cellStyle name="Пояснение 2 2 10" xfId="58408"/>
    <cellStyle name="Пояснение 2 2 11" xfId="58409"/>
    <cellStyle name="Пояснение 2 2 12" xfId="58410"/>
    <cellStyle name="Пояснение 2 2 13" xfId="58411"/>
    <cellStyle name="Пояснение 2 2 2" xfId="58412"/>
    <cellStyle name="Пояснение 2 2 3" xfId="58413"/>
    <cellStyle name="Пояснение 2 2 4" xfId="58414"/>
    <cellStyle name="Пояснение 2 2 5" xfId="58415"/>
    <cellStyle name="Пояснение 2 2 6" xfId="58416"/>
    <cellStyle name="Пояснение 2 2 7" xfId="58417"/>
    <cellStyle name="Пояснение 2 2 8" xfId="58418"/>
    <cellStyle name="Пояснение 2 2 9" xfId="58419"/>
    <cellStyle name="Пояснение 2 3" xfId="58420"/>
    <cellStyle name="Пояснение 20" xfId="58421"/>
    <cellStyle name="Пояснение 21" xfId="58422"/>
    <cellStyle name="Пояснение 22" xfId="58423"/>
    <cellStyle name="Пояснение 23" xfId="58424"/>
    <cellStyle name="Пояснение 24" xfId="58425"/>
    <cellStyle name="Пояснение 25" xfId="58426"/>
    <cellStyle name="Пояснение 26" xfId="58427"/>
    <cellStyle name="Пояснение 27" xfId="58428"/>
    <cellStyle name="Пояснение 28" xfId="58429"/>
    <cellStyle name="Пояснение 29" xfId="58430"/>
    <cellStyle name="Пояснение 3" xfId="58431"/>
    <cellStyle name="Пояснение 30" xfId="58432"/>
    <cellStyle name="Пояснение 31" xfId="58433"/>
    <cellStyle name="Пояснение 32" xfId="58434"/>
    <cellStyle name="Пояснение 33" xfId="58435"/>
    <cellStyle name="Пояснение 34" xfId="58436"/>
    <cellStyle name="Пояснение 35" xfId="58437"/>
    <cellStyle name="Пояснение 36" xfId="58438"/>
    <cellStyle name="Пояснение 37" xfId="58439"/>
    <cellStyle name="Пояснение 38" xfId="58440"/>
    <cellStyle name="Пояснение 39" xfId="58441"/>
    <cellStyle name="Пояснение 4" xfId="58442"/>
    <cellStyle name="Пояснение 40" xfId="58443"/>
    <cellStyle name="Пояснение 41" xfId="58444"/>
    <cellStyle name="Пояснение 42" xfId="58445"/>
    <cellStyle name="Пояснение 43" xfId="58446"/>
    <cellStyle name="Пояснение 44" xfId="58447"/>
    <cellStyle name="Пояснение 45" xfId="58448"/>
    <cellStyle name="Пояснение 46" xfId="58449"/>
    <cellStyle name="Пояснение 47" xfId="58450"/>
    <cellStyle name="Пояснение 48" xfId="58451"/>
    <cellStyle name="Пояснение 49" xfId="58452"/>
    <cellStyle name="Пояснение 5" xfId="58453"/>
    <cellStyle name="Пояснение 50" xfId="58454"/>
    <cellStyle name="Пояснение 51" xfId="58455"/>
    <cellStyle name="Пояснение 52" xfId="58456"/>
    <cellStyle name="Пояснение 53" xfId="58457"/>
    <cellStyle name="Пояснение 54" xfId="58458"/>
    <cellStyle name="Пояснение 55" xfId="58459"/>
    <cellStyle name="Пояснение 56" xfId="58460"/>
    <cellStyle name="Пояснение 57" xfId="58461"/>
    <cellStyle name="Пояснение 58" xfId="58462"/>
    <cellStyle name="Пояснение 59" xfId="58463"/>
    <cellStyle name="Пояснение 6" xfId="58464"/>
    <cellStyle name="Пояснение 60" xfId="58465"/>
    <cellStyle name="Пояснение 61" xfId="58466"/>
    <cellStyle name="Пояснение 62" xfId="58467"/>
    <cellStyle name="Пояснение 63" xfId="58468"/>
    <cellStyle name="Пояснение 64" xfId="58469"/>
    <cellStyle name="Пояснение 65" xfId="58470"/>
    <cellStyle name="Пояснение 66" xfId="58471"/>
    <cellStyle name="Пояснение 67" xfId="58472"/>
    <cellStyle name="Пояснение 68" xfId="58473"/>
    <cellStyle name="Пояснение 69" xfId="58474"/>
    <cellStyle name="Пояснение 7" xfId="58475"/>
    <cellStyle name="Пояснение 70" xfId="58476"/>
    <cellStyle name="Пояснение 71" xfId="58477"/>
    <cellStyle name="Пояснение 72" xfId="58478"/>
    <cellStyle name="Пояснение 73" xfId="58479"/>
    <cellStyle name="Пояснение 74" xfId="58480"/>
    <cellStyle name="Пояснение 75" xfId="58481"/>
    <cellStyle name="Пояснение 76" xfId="58482"/>
    <cellStyle name="Пояснение 77" xfId="58483"/>
    <cellStyle name="Пояснение 78" xfId="58484"/>
    <cellStyle name="Пояснение 79" xfId="58485"/>
    <cellStyle name="Пояснение 8" xfId="58486"/>
    <cellStyle name="Пояснение 80" xfId="58487"/>
    <cellStyle name="Пояснение 81" xfId="58488"/>
    <cellStyle name="Пояснение 82" xfId="58489"/>
    <cellStyle name="Пояснение 83" xfId="58490"/>
    <cellStyle name="Пояснение 84" xfId="58491"/>
    <cellStyle name="Пояснение 85" xfId="58492"/>
    <cellStyle name="Пояснение 86" xfId="58493"/>
    <cellStyle name="Пояснение 87" xfId="58494"/>
    <cellStyle name="Пояснение 88" xfId="58495"/>
    <cellStyle name="Пояснение 89" xfId="58496"/>
    <cellStyle name="Пояснение 9" xfId="58497"/>
    <cellStyle name="Пояснение 90" xfId="58498"/>
    <cellStyle name="Пояснение 91" xfId="58499"/>
    <cellStyle name="Пояснение 92" xfId="58500"/>
    <cellStyle name="Пояснение 93" xfId="58501"/>
    <cellStyle name="Пояснение 94" xfId="58502"/>
    <cellStyle name="Пояснение 95" xfId="58503"/>
    <cellStyle name="Пояснение 96" xfId="58504"/>
    <cellStyle name="Пояснение 97" xfId="58505"/>
    <cellStyle name="Пояснение 98" xfId="58506"/>
    <cellStyle name="Пояснение 99" xfId="58507"/>
    <cellStyle name="Примечание 10" xfId="58508"/>
    <cellStyle name="Примечание 10 2" xfId="58509"/>
    <cellStyle name="Примечание 10 3" xfId="58510"/>
    <cellStyle name="Примечание 100" xfId="58511"/>
    <cellStyle name="Примечание 101" xfId="58512"/>
    <cellStyle name="Примечание 102" xfId="58513"/>
    <cellStyle name="Примечание 103" xfId="58514"/>
    <cellStyle name="Примечание 104" xfId="58515"/>
    <cellStyle name="Примечание 105" xfId="58516"/>
    <cellStyle name="Примечание 106" xfId="58517"/>
    <cellStyle name="Примечание 107" xfId="58518"/>
    <cellStyle name="Примечание 108" xfId="58519"/>
    <cellStyle name="Примечание 109" xfId="58520"/>
    <cellStyle name="Примечание 11" xfId="58521"/>
    <cellStyle name="Примечание 11 2" xfId="58522"/>
    <cellStyle name="Примечание 11 3" xfId="58523"/>
    <cellStyle name="Примечание 110" xfId="58524"/>
    <cellStyle name="Примечание 111" xfId="58525"/>
    <cellStyle name="Примечание 112" xfId="58526"/>
    <cellStyle name="Примечание 113" xfId="58527"/>
    <cellStyle name="Примечание 114" xfId="58528"/>
    <cellStyle name="Примечание 115" xfId="58529"/>
    <cellStyle name="Примечание 116" xfId="58530"/>
    <cellStyle name="Примечание 117" xfId="58531"/>
    <cellStyle name="Примечание 118" xfId="58532"/>
    <cellStyle name="Примечание 119" xfId="58533"/>
    <cellStyle name="Примечание 12" xfId="58534"/>
    <cellStyle name="Примечание 12 2" xfId="58535"/>
    <cellStyle name="Примечание 12 3" xfId="58536"/>
    <cellStyle name="Примечание 120" xfId="58537"/>
    <cellStyle name="Примечание 121" xfId="58538"/>
    <cellStyle name="Примечание 122" xfId="58539"/>
    <cellStyle name="Примечание 123" xfId="58540"/>
    <cellStyle name="Примечание 124" xfId="58541"/>
    <cellStyle name="Примечание 125" xfId="58542"/>
    <cellStyle name="Примечание 126" xfId="58543"/>
    <cellStyle name="Примечание 127" xfId="58544"/>
    <cellStyle name="Примечание 128" xfId="58545"/>
    <cellStyle name="Примечание 129" xfId="58546"/>
    <cellStyle name="Примечание 13" xfId="58547"/>
    <cellStyle name="Примечание 13 2" xfId="58548"/>
    <cellStyle name="Примечание 13 3" xfId="58549"/>
    <cellStyle name="Примечание 130" xfId="58550"/>
    <cellStyle name="Примечание 131" xfId="58551"/>
    <cellStyle name="Примечание 132" xfId="58552"/>
    <cellStyle name="Примечание 133" xfId="58553"/>
    <cellStyle name="Примечание 134" xfId="58554"/>
    <cellStyle name="Примечание 135" xfId="58555"/>
    <cellStyle name="Примечание 136" xfId="58556"/>
    <cellStyle name="Примечание 137" xfId="58557"/>
    <cellStyle name="Примечание 138" xfId="58558"/>
    <cellStyle name="Примечание 139" xfId="58559"/>
    <cellStyle name="Примечание 14" xfId="58560"/>
    <cellStyle name="Примечание 140" xfId="58561"/>
    <cellStyle name="Примечание 141" xfId="58562"/>
    <cellStyle name="Примечание 142" xfId="58563"/>
    <cellStyle name="Примечание 143" xfId="58564"/>
    <cellStyle name="Примечание 144" xfId="58565"/>
    <cellStyle name="Примечание 145" xfId="58566"/>
    <cellStyle name="Примечание 146" xfId="58567"/>
    <cellStyle name="Примечание 147" xfId="58568"/>
    <cellStyle name="Примечание 148" xfId="58569"/>
    <cellStyle name="Примечание 149" xfId="58570"/>
    <cellStyle name="Примечание 15" xfId="58571"/>
    <cellStyle name="Примечание 150" xfId="58572"/>
    <cellStyle name="Примечание 151" xfId="58573"/>
    <cellStyle name="Примечание 152" xfId="58574"/>
    <cellStyle name="Примечание 153" xfId="58575"/>
    <cellStyle name="Примечание 154" xfId="58576"/>
    <cellStyle name="Примечание 155" xfId="58577"/>
    <cellStyle name="Примечание 156" xfId="58578"/>
    <cellStyle name="Примечание 157" xfId="58579"/>
    <cellStyle name="Примечание 158" xfId="58580"/>
    <cellStyle name="Примечание 159" xfId="58581"/>
    <cellStyle name="Примечание 16" xfId="58582"/>
    <cellStyle name="Примечание 160" xfId="58583"/>
    <cellStyle name="Примечание 161" xfId="58584"/>
    <cellStyle name="Примечание 162" xfId="58585"/>
    <cellStyle name="Примечание 163" xfId="58586"/>
    <cellStyle name="Примечание 164" xfId="58587"/>
    <cellStyle name="Примечание 17" xfId="58588"/>
    <cellStyle name="Примечание 18" xfId="58589"/>
    <cellStyle name="Примечание 19" xfId="58590"/>
    <cellStyle name="Примечание 2" xfId="58591"/>
    <cellStyle name="Примечание 2 2" xfId="58592"/>
    <cellStyle name="Примечание 2 3" xfId="58593"/>
    <cellStyle name="Примечание 2 4" xfId="58594"/>
    <cellStyle name="Примечание 20" xfId="58595"/>
    <cellStyle name="Примечание 21" xfId="58596"/>
    <cellStyle name="Примечание 22" xfId="58597"/>
    <cellStyle name="Примечание 23" xfId="58598"/>
    <cellStyle name="Примечание 24" xfId="58599"/>
    <cellStyle name="Примечание 25" xfId="58600"/>
    <cellStyle name="Примечание 26" xfId="58601"/>
    <cellStyle name="Примечание 27" xfId="58602"/>
    <cellStyle name="Примечание 28" xfId="58603"/>
    <cellStyle name="Примечание 29" xfId="58604"/>
    <cellStyle name="Примечание 3" xfId="58605"/>
    <cellStyle name="Примечание 3 2" xfId="58606"/>
    <cellStyle name="Примечание 3 3" xfId="58607"/>
    <cellStyle name="Примечание 30" xfId="58608"/>
    <cellStyle name="Примечание 31" xfId="58609"/>
    <cellStyle name="Примечание 32" xfId="58610"/>
    <cellStyle name="Примечание 33" xfId="58611"/>
    <cellStyle name="Примечание 34" xfId="58612"/>
    <cellStyle name="Примечание 35" xfId="58613"/>
    <cellStyle name="Примечание 36" xfId="58614"/>
    <cellStyle name="Примечание 37" xfId="58615"/>
    <cellStyle name="Примечание 38" xfId="58616"/>
    <cellStyle name="Примечание 39" xfId="58617"/>
    <cellStyle name="Примечание 4" xfId="58618"/>
    <cellStyle name="Примечание 4 2" xfId="58619"/>
    <cellStyle name="Примечание 4 3" xfId="58620"/>
    <cellStyle name="Примечание 40" xfId="58621"/>
    <cellStyle name="Примечание 41" xfId="58622"/>
    <cellStyle name="Примечание 42" xfId="58623"/>
    <cellStyle name="Примечание 43" xfId="58624"/>
    <cellStyle name="Примечание 44" xfId="58625"/>
    <cellStyle name="Примечание 45" xfId="58626"/>
    <cellStyle name="Примечание 46" xfId="58627"/>
    <cellStyle name="Примечание 47" xfId="58628"/>
    <cellStyle name="Примечание 48" xfId="58629"/>
    <cellStyle name="Примечание 49" xfId="58630"/>
    <cellStyle name="Примечание 5" xfId="58631"/>
    <cellStyle name="Примечание 5 2" xfId="58632"/>
    <cellStyle name="Примечание 5 3" xfId="58633"/>
    <cellStyle name="Примечание 50" xfId="58634"/>
    <cellStyle name="Примечание 51" xfId="58635"/>
    <cellStyle name="Примечание 52" xfId="58636"/>
    <cellStyle name="Примечание 53" xfId="58637"/>
    <cellStyle name="Примечание 54" xfId="58638"/>
    <cellStyle name="Примечание 55" xfId="58639"/>
    <cellStyle name="Примечание 56" xfId="58640"/>
    <cellStyle name="Примечание 57" xfId="58641"/>
    <cellStyle name="Примечание 58" xfId="58642"/>
    <cellStyle name="Примечание 59" xfId="58643"/>
    <cellStyle name="Примечание 6" xfId="58644"/>
    <cellStyle name="Примечание 6 2" xfId="58645"/>
    <cellStyle name="Примечание 6 3" xfId="58646"/>
    <cellStyle name="Примечание 60" xfId="58647"/>
    <cellStyle name="Примечание 61" xfId="58648"/>
    <cellStyle name="Примечание 62" xfId="58649"/>
    <cellStyle name="Примечание 63" xfId="58650"/>
    <cellStyle name="Примечание 64" xfId="58651"/>
    <cellStyle name="Примечание 65" xfId="58652"/>
    <cellStyle name="Примечание 66" xfId="58653"/>
    <cellStyle name="Примечание 67" xfId="58654"/>
    <cellStyle name="Примечание 68" xfId="58655"/>
    <cellStyle name="Примечание 69" xfId="58656"/>
    <cellStyle name="Примечание 7" xfId="58657"/>
    <cellStyle name="Примечание 7 2" xfId="58658"/>
    <cellStyle name="Примечание 7 3" xfId="58659"/>
    <cellStyle name="Примечание 70" xfId="58660"/>
    <cellStyle name="Примечание 71" xfId="58661"/>
    <cellStyle name="Примечание 72" xfId="58662"/>
    <cellStyle name="Примечание 73" xfId="58663"/>
    <cellStyle name="Примечание 74" xfId="58664"/>
    <cellStyle name="Примечание 75" xfId="58665"/>
    <cellStyle name="Примечание 76" xfId="58666"/>
    <cellStyle name="Примечание 77" xfId="58667"/>
    <cellStyle name="Примечание 78" xfId="58668"/>
    <cellStyle name="Примечание 79" xfId="58669"/>
    <cellStyle name="Примечание 8" xfId="58670"/>
    <cellStyle name="Примечание 8 2" xfId="58671"/>
    <cellStyle name="Примечание 8 3" xfId="58672"/>
    <cellStyle name="Примечание 80" xfId="58673"/>
    <cellStyle name="Примечание 81" xfId="58674"/>
    <cellStyle name="Примечание 82" xfId="58675"/>
    <cellStyle name="Примечание 83" xfId="58676"/>
    <cellStyle name="Примечание 84" xfId="58677"/>
    <cellStyle name="Примечание 85" xfId="58678"/>
    <cellStyle name="Примечание 86" xfId="58679"/>
    <cellStyle name="Примечание 87" xfId="58680"/>
    <cellStyle name="Примечание 88" xfId="58681"/>
    <cellStyle name="Примечание 89" xfId="58682"/>
    <cellStyle name="Примечание 9" xfId="58683"/>
    <cellStyle name="Примечание 9 2" xfId="58684"/>
    <cellStyle name="Примечание 9 3" xfId="58685"/>
    <cellStyle name="Примечание 90" xfId="58686"/>
    <cellStyle name="Примечание 91" xfId="58687"/>
    <cellStyle name="Примечание 92" xfId="58688"/>
    <cellStyle name="Примечание 93" xfId="58689"/>
    <cellStyle name="Примечание 94" xfId="58690"/>
    <cellStyle name="Примечание 95" xfId="58691"/>
    <cellStyle name="Примечание 96" xfId="58692"/>
    <cellStyle name="Примечание 97" xfId="58693"/>
    <cellStyle name="Примечание 98" xfId="58694"/>
    <cellStyle name="Примечание 99" xfId="58695"/>
    <cellStyle name="Процентный 2" xfId="58696"/>
    <cellStyle name="Процентный 3" xfId="58697"/>
    <cellStyle name="Процентный 4" xfId="58698"/>
    <cellStyle name="Связанная ячейка 10" xfId="58699"/>
    <cellStyle name="Связанная ячейка 100" xfId="58700"/>
    <cellStyle name="Связанная ячейка 101" xfId="58701"/>
    <cellStyle name="Связанная ячейка 102" xfId="58702"/>
    <cellStyle name="Связанная ячейка 103" xfId="58703"/>
    <cellStyle name="Связанная ячейка 104" xfId="58704"/>
    <cellStyle name="Связанная ячейка 105" xfId="58705"/>
    <cellStyle name="Связанная ячейка 106" xfId="58706"/>
    <cellStyle name="Связанная ячейка 107" xfId="58707"/>
    <cellStyle name="Связанная ячейка 108" xfId="58708"/>
    <cellStyle name="Связанная ячейка 109" xfId="58709"/>
    <cellStyle name="Связанная ячейка 11" xfId="58710"/>
    <cellStyle name="Связанная ячейка 110" xfId="58711"/>
    <cellStyle name="Связанная ячейка 111" xfId="58712"/>
    <cellStyle name="Связанная ячейка 112" xfId="58713"/>
    <cellStyle name="Связанная ячейка 113" xfId="58714"/>
    <cellStyle name="Связанная ячейка 114" xfId="58715"/>
    <cellStyle name="Связанная ячейка 115" xfId="58716"/>
    <cellStyle name="Связанная ячейка 116" xfId="58717"/>
    <cellStyle name="Связанная ячейка 117" xfId="58718"/>
    <cellStyle name="Связанная ячейка 118" xfId="58719"/>
    <cellStyle name="Связанная ячейка 119" xfId="58720"/>
    <cellStyle name="Связанная ячейка 12" xfId="58721"/>
    <cellStyle name="Связанная ячейка 120" xfId="58722"/>
    <cellStyle name="Связанная ячейка 121" xfId="58723"/>
    <cellStyle name="Связанная ячейка 122" xfId="58724"/>
    <cellStyle name="Связанная ячейка 123" xfId="58725"/>
    <cellStyle name="Связанная ячейка 124" xfId="58726"/>
    <cellStyle name="Связанная ячейка 125" xfId="58727"/>
    <cellStyle name="Связанная ячейка 126" xfId="58728"/>
    <cellStyle name="Связанная ячейка 127" xfId="58729"/>
    <cellStyle name="Связанная ячейка 128" xfId="58730"/>
    <cellStyle name="Связанная ячейка 129" xfId="58731"/>
    <cellStyle name="Связанная ячейка 13" xfId="58732"/>
    <cellStyle name="Связанная ячейка 130" xfId="58733"/>
    <cellStyle name="Связанная ячейка 131" xfId="58734"/>
    <cellStyle name="Связанная ячейка 132" xfId="58735"/>
    <cellStyle name="Связанная ячейка 133" xfId="58736"/>
    <cellStyle name="Связанная ячейка 134" xfId="58737"/>
    <cellStyle name="Связанная ячейка 135" xfId="58738"/>
    <cellStyle name="Связанная ячейка 136" xfId="58739"/>
    <cellStyle name="Связанная ячейка 137" xfId="58740"/>
    <cellStyle name="Связанная ячейка 138" xfId="58741"/>
    <cellStyle name="Связанная ячейка 139" xfId="58742"/>
    <cellStyle name="Связанная ячейка 14" xfId="58743"/>
    <cellStyle name="Связанная ячейка 140" xfId="58744"/>
    <cellStyle name="Связанная ячейка 141" xfId="58745"/>
    <cellStyle name="Связанная ячейка 142" xfId="58746"/>
    <cellStyle name="Связанная ячейка 143" xfId="58747"/>
    <cellStyle name="Связанная ячейка 144" xfId="58748"/>
    <cellStyle name="Связанная ячейка 145" xfId="58749"/>
    <cellStyle name="Связанная ячейка 146" xfId="58750"/>
    <cellStyle name="Связанная ячейка 147" xfId="58751"/>
    <cellStyle name="Связанная ячейка 148" xfId="58752"/>
    <cellStyle name="Связанная ячейка 149" xfId="58753"/>
    <cellStyle name="Связанная ячейка 15" xfId="58754"/>
    <cellStyle name="Связанная ячейка 150" xfId="58755"/>
    <cellStyle name="Связанная ячейка 151" xfId="58756"/>
    <cellStyle name="Связанная ячейка 152" xfId="58757"/>
    <cellStyle name="Связанная ячейка 153" xfId="58758"/>
    <cellStyle name="Связанная ячейка 16" xfId="58759"/>
    <cellStyle name="Связанная ячейка 17" xfId="58760"/>
    <cellStyle name="Связанная ячейка 18" xfId="58761"/>
    <cellStyle name="Связанная ячейка 19" xfId="58762"/>
    <cellStyle name="Связанная ячейка 2" xfId="58763"/>
    <cellStyle name="Связанная ячейка 2 2" xfId="58764"/>
    <cellStyle name="Связанная ячейка 2 2 10" xfId="58765"/>
    <cellStyle name="Связанная ячейка 2 2 11" xfId="58766"/>
    <cellStyle name="Связанная ячейка 2 2 12" xfId="58767"/>
    <cellStyle name="Связанная ячейка 2 2 13" xfId="58768"/>
    <cellStyle name="Связанная ячейка 2 2 2" xfId="58769"/>
    <cellStyle name="Связанная ячейка 2 2 3" xfId="58770"/>
    <cellStyle name="Связанная ячейка 2 2 4" xfId="58771"/>
    <cellStyle name="Связанная ячейка 2 2 5" xfId="58772"/>
    <cellStyle name="Связанная ячейка 2 2 6" xfId="58773"/>
    <cellStyle name="Связанная ячейка 2 2 7" xfId="58774"/>
    <cellStyle name="Связанная ячейка 2 2 8" xfId="58775"/>
    <cellStyle name="Связанная ячейка 2 2 9" xfId="58776"/>
    <cellStyle name="Связанная ячейка 2 3" xfId="58777"/>
    <cellStyle name="Связанная ячейка 20" xfId="58778"/>
    <cellStyle name="Связанная ячейка 21" xfId="58779"/>
    <cellStyle name="Связанная ячейка 22" xfId="58780"/>
    <cellStyle name="Связанная ячейка 23" xfId="58781"/>
    <cellStyle name="Связанная ячейка 24" xfId="58782"/>
    <cellStyle name="Связанная ячейка 25" xfId="58783"/>
    <cellStyle name="Связанная ячейка 26" xfId="58784"/>
    <cellStyle name="Связанная ячейка 27" xfId="58785"/>
    <cellStyle name="Связанная ячейка 28" xfId="58786"/>
    <cellStyle name="Связанная ячейка 29" xfId="58787"/>
    <cellStyle name="Связанная ячейка 3" xfId="58788"/>
    <cellStyle name="Связанная ячейка 30" xfId="58789"/>
    <cellStyle name="Связанная ячейка 31" xfId="58790"/>
    <cellStyle name="Связанная ячейка 32" xfId="58791"/>
    <cellStyle name="Связанная ячейка 33" xfId="58792"/>
    <cellStyle name="Связанная ячейка 34" xfId="58793"/>
    <cellStyle name="Связанная ячейка 35" xfId="58794"/>
    <cellStyle name="Связанная ячейка 36" xfId="58795"/>
    <cellStyle name="Связанная ячейка 37" xfId="58796"/>
    <cellStyle name="Связанная ячейка 38" xfId="58797"/>
    <cellStyle name="Связанная ячейка 39" xfId="58798"/>
    <cellStyle name="Связанная ячейка 4" xfId="58799"/>
    <cellStyle name="Связанная ячейка 40" xfId="58800"/>
    <cellStyle name="Связанная ячейка 41" xfId="58801"/>
    <cellStyle name="Связанная ячейка 42" xfId="58802"/>
    <cellStyle name="Связанная ячейка 43" xfId="58803"/>
    <cellStyle name="Связанная ячейка 44" xfId="58804"/>
    <cellStyle name="Связанная ячейка 45" xfId="58805"/>
    <cellStyle name="Связанная ячейка 46" xfId="58806"/>
    <cellStyle name="Связанная ячейка 47" xfId="58807"/>
    <cellStyle name="Связанная ячейка 48" xfId="58808"/>
    <cellStyle name="Связанная ячейка 49" xfId="58809"/>
    <cellStyle name="Связанная ячейка 5" xfId="58810"/>
    <cellStyle name="Связанная ячейка 50" xfId="58811"/>
    <cellStyle name="Связанная ячейка 51" xfId="58812"/>
    <cellStyle name="Связанная ячейка 52" xfId="58813"/>
    <cellStyle name="Связанная ячейка 53" xfId="58814"/>
    <cellStyle name="Связанная ячейка 54" xfId="58815"/>
    <cellStyle name="Связанная ячейка 55" xfId="58816"/>
    <cellStyle name="Связанная ячейка 56" xfId="58817"/>
    <cellStyle name="Связанная ячейка 57" xfId="58818"/>
    <cellStyle name="Связанная ячейка 58" xfId="58819"/>
    <cellStyle name="Связанная ячейка 59" xfId="58820"/>
    <cellStyle name="Связанная ячейка 6" xfId="58821"/>
    <cellStyle name="Связанная ячейка 60" xfId="58822"/>
    <cellStyle name="Связанная ячейка 61" xfId="58823"/>
    <cellStyle name="Связанная ячейка 62" xfId="58824"/>
    <cellStyle name="Связанная ячейка 63" xfId="58825"/>
    <cellStyle name="Связанная ячейка 64" xfId="58826"/>
    <cellStyle name="Связанная ячейка 65" xfId="58827"/>
    <cellStyle name="Связанная ячейка 66" xfId="58828"/>
    <cellStyle name="Связанная ячейка 67" xfId="58829"/>
    <cellStyle name="Связанная ячейка 68" xfId="58830"/>
    <cellStyle name="Связанная ячейка 69" xfId="58831"/>
    <cellStyle name="Связанная ячейка 7" xfId="58832"/>
    <cellStyle name="Связанная ячейка 70" xfId="58833"/>
    <cellStyle name="Связанная ячейка 71" xfId="58834"/>
    <cellStyle name="Связанная ячейка 72" xfId="58835"/>
    <cellStyle name="Связанная ячейка 73" xfId="58836"/>
    <cellStyle name="Связанная ячейка 74" xfId="58837"/>
    <cellStyle name="Связанная ячейка 75" xfId="58838"/>
    <cellStyle name="Связанная ячейка 76" xfId="58839"/>
    <cellStyle name="Связанная ячейка 77" xfId="58840"/>
    <cellStyle name="Связанная ячейка 78" xfId="58841"/>
    <cellStyle name="Связанная ячейка 79" xfId="58842"/>
    <cellStyle name="Связанная ячейка 8" xfId="58843"/>
    <cellStyle name="Связанная ячейка 80" xfId="58844"/>
    <cellStyle name="Связанная ячейка 81" xfId="58845"/>
    <cellStyle name="Связанная ячейка 82" xfId="58846"/>
    <cellStyle name="Связанная ячейка 83" xfId="58847"/>
    <cellStyle name="Связанная ячейка 84" xfId="58848"/>
    <cellStyle name="Связанная ячейка 85" xfId="58849"/>
    <cellStyle name="Связанная ячейка 86" xfId="58850"/>
    <cellStyle name="Связанная ячейка 87" xfId="58851"/>
    <cellStyle name="Связанная ячейка 88" xfId="58852"/>
    <cellStyle name="Связанная ячейка 89" xfId="58853"/>
    <cellStyle name="Связанная ячейка 9" xfId="58854"/>
    <cellStyle name="Связанная ячейка 90" xfId="58855"/>
    <cellStyle name="Связанная ячейка 91" xfId="58856"/>
    <cellStyle name="Связанная ячейка 92" xfId="58857"/>
    <cellStyle name="Связанная ячейка 93" xfId="58858"/>
    <cellStyle name="Связанная ячейка 94" xfId="58859"/>
    <cellStyle name="Связанная ячейка 95" xfId="58860"/>
    <cellStyle name="Связанная ячейка 96" xfId="58861"/>
    <cellStyle name="Связанная ячейка 97" xfId="58862"/>
    <cellStyle name="Связанная ячейка 98" xfId="58863"/>
    <cellStyle name="Связанная ячейка 99" xfId="58864"/>
    <cellStyle name="Стиль 1" xfId="58865"/>
    <cellStyle name="Текст предупреждения 10" xfId="58866"/>
    <cellStyle name="Текст предупреждения 100" xfId="58867"/>
    <cellStyle name="Текст предупреждения 101" xfId="58868"/>
    <cellStyle name="Текст предупреждения 102" xfId="58869"/>
    <cellStyle name="Текст предупреждения 103" xfId="58870"/>
    <cellStyle name="Текст предупреждения 104" xfId="58871"/>
    <cellStyle name="Текст предупреждения 105" xfId="58872"/>
    <cellStyle name="Текст предупреждения 106" xfId="58873"/>
    <cellStyle name="Текст предупреждения 107" xfId="58874"/>
    <cellStyle name="Текст предупреждения 108" xfId="58875"/>
    <cellStyle name="Текст предупреждения 109" xfId="58876"/>
    <cellStyle name="Текст предупреждения 11" xfId="58877"/>
    <cellStyle name="Текст предупреждения 110" xfId="58878"/>
    <cellStyle name="Текст предупреждения 111" xfId="58879"/>
    <cellStyle name="Текст предупреждения 112" xfId="58880"/>
    <cellStyle name="Текст предупреждения 113" xfId="58881"/>
    <cellStyle name="Текст предупреждения 114" xfId="58882"/>
    <cellStyle name="Текст предупреждения 115" xfId="58883"/>
    <cellStyle name="Текст предупреждения 116" xfId="58884"/>
    <cellStyle name="Текст предупреждения 117" xfId="58885"/>
    <cellStyle name="Текст предупреждения 118" xfId="58886"/>
    <cellStyle name="Текст предупреждения 119" xfId="58887"/>
    <cellStyle name="Текст предупреждения 12" xfId="58888"/>
    <cellStyle name="Текст предупреждения 120" xfId="58889"/>
    <cellStyle name="Текст предупреждения 121" xfId="58890"/>
    <cellStyle name="Текст предупреждения 122" xfId="58891"/>
    <cellStyle name="Текст предупреждения 123" xfId="58892"/>
    <cellStyle name="Текст предупреждения 124" xfId="58893"/>
    <cellStyle name="Текст предупреждения 125" xfId="58894"/>
    <cellStyle name="Текст предупреждения 126" xfId="58895"/>
    <cellStyle name="Текст предупреждения 127" xfId="58896"/>
    <cellStyle name="Текст предупреждения 128" xfId="58897"/>
    <cellStyle name="Текст предупреждения 129" xfId="58898"/>
    <cellStyle name="Текст предупреждения 13" xfId="58899"/>
    <cellStyle name="Текст предупреждения 130" xfId="58900"/>
    <cellStyle name="Текст предупреждения 131" xfId="58901"/>
    <cellStyle name="Текст предупреждения 132" xfId="58902"/>
    <cellStyle name="Текст предупреждения 133" xfId="58903"/>
    <cellStyle name="Текст предупреждения 134" xfId="58904"/>
    <cellStyle name="Текст предупреждения 135" xfId="58905"/>
    <cellStyle name="Текст предупреждения 136" xfId="58906"/>
    <cellStyle name="Текст предупреждения 137" xfId="58907"/>
    <cellStyle name="Текст предупреждения 138" xfId="58908"/>
    <cellStyle name="Текст предупреждения 139" xfId="58909"/>
    <cellStyle name="Текст предупреждения 14" xfId="58910"/>
    <cellStyle name="Текст предупреждения 140" xfId="58911"/>
    <cellStyle name="Текст предупреждения 141" xfId="58912"/>
    <cellStyle name="Текст предупреждения 142" xfId="58913"/>
    <cellStyle name="Текст предупреждения 143" xfId="58914"/>
    <cellStyle name="Текст предупреждения 144" xfId="58915"/>
    <cellStyle name="Текст предупреждения 145" xfId="58916"/>
    <cellStyle name="Текст предупреждения 146" xfId="58917"/>
    <cellStyle name="Текст предупреждения 147" xfId="58918"/>
    <cellStyle name="Текст предупреждения 148" xfId="58919"/>
    <cellStyle name="Текст предупреждения 149" xfId="58920"/>
    <cellStyle name="Текст предупреждения 15" xfId="58921"/>
    <cellStyle name="Текст предупреждения 150" xfId="58922"/>
    <cellStyle name="Текст предупреждения 151" xfId="58923"/>
    <cellStyle name="Текст предупреждения 152" xfId="58924"/>
    <cellStyle name="Текст предупреждения 153" xfId="58925"/>
    <cellStyle name="Текст предупреждения 16" xfId="58926"/>
    <cellStyle name="Текст предупреждения 17" xfId="58927"/>
    <cellStyle name="Текст предупреждения 18" xfId="58928"/>
    <cellStyle name="Текст предупреждения 19" xfId="58929"/>
    <cellStyle name="Текст предупреждения 2" xfId="58930"/>
    <cellStyle name="Текст предупреждения 2 2" xfId="58931"/>
    <cellStyle name="Текст предупреждения 2 2 10" xfId="58932"/>
    <cellStyle name="Текст предупреждения 2 2 11" xfId="58933"/>
    <cellStyle name="Текст предупреждения 2 2 12" xfId="58934"/>
    <cellStyle name="Текст предупреждения 2 2 13" xfId="58935"/>
    <cellStyle name="Текст предупреждения 2 2 2" xfId="58936"/>
    <cellStyle name="Текст предупреждения 2 2 3" xfId="58937"/>
    <cellStyle name="Текст предупреждения 2 2 4" xfId="58938"/>
    <cellStyle name="Текст предупреждения 2 2 5" xfId="58939"/>
    <cellStyle name="Текст предупреждения 2 2 6" xfId="58940"/>
    <cellStyle name="Текст предупреждения 2 2 7" xfId="58941"/>
    <cellStyle name="Текст предупреждения 2 2 8" xfId="58942"/>
    <cellStyle name="Текст предупреждения 2 2 9" xfId="58943"/>
    <cellStyle name="Текст предупреждения 2 3" xfId="58944"/>
    <cellStyle name="Текст предупреждения 20" xfId="58945"/>
    <cellStyle name="Текст предупреждения 21" xfId="58946"/>
    <cellStyle name="Текст предупреждения 22" xfId="58947"/>
    <cellStyle name="Текст предупреждения 23" xfId="58948"/>
    <cellStyle name="Текст предупреждения 24" xfId="58949"/>
    <cellStyle name="Текст предупреждения 25" xfId="58950"/>
    <cellStyle name="Текст предупреждения 26" xfId="58951"/>
    <cellStyle name="Текст предупреждения 27" xfId="58952"/>
    <cellStyle name="Текст предупреждения 28" xfId="58953"/>
    <cellStyle name="Текст предупреждения 29" xfId="58954"/>
    <cellStyle name="Текст предупреждения 3" xfId="58955"/>
    <cellStyle name="Текст предупреждения 30" xfId="58956"/>
    <cellStyle name="Текст предупреждения 31" xfId="58957"/>
    <cellStyle name="Текст предупреждения 32" xfId="58958"/>
    <cellStyle name="Текст предупреждения 33" xfId="58959"/>
    <cellStyle name="Текст предупреждения 34" xfId="58960"/>
    <cellStyle name="Текст предупреждения 35" xfId="58961"/>
    <cellStyle name="Текст предупреждения 36" xfId="58962"/>
    <cellStyle name="Текст предупреждения 37" xfId="58963"/>
    <cellStyle name="Текст предупреждения 38" xfId="58964"/>
    <cellStyle name="Текст предупреждения 39" xfId="58965"/>
    <cellStyle name="Текст предупреждения 4" xfId="58966"/>
    <cellStyle name="Текст предупреждения 40" xfId="58967"/>
    <cellStyle name="Текст предупреждения 41" xfId="58968"/>
    <cellStyle name="Текст предупреждения 42" xfId="58969"/>
    <cellStyle name="Текст предупреждения 43" xfId="58970"/>
    <cellStyle name="Текст предупреждения 44" xfId="58971"/>
    <cellStyle name="Текст предупреждения 45" xfId="58972"/>
    <cellStyle name="Текст предупреждения 46" xfId="58973"/>
    <cellStyle name="Текст предупреждения 47" xfId="58974"/>
    <cellStyle name="Текст предупреждения 48" xfId="58975"/>
    <cellStyle name="Текст предупреждения 49" xfId="58976"/>
    <cellStyle name="Текст предупреждения 5" xfId="58977"/>
    <cellStyle name="Текст предупреждения 50" xfId="58978"/>
    <cellStyle name="Текст предупреждения 51" xfId="58979"/>
    <cellStyle name="Текст предупреждения 52" xfId="58980"/>
    <cellStyle name="Текст предупреждения 53" xfId="58981"/>
    <cellStyle name="Текст предупреждения 54" xfId="58982"/>
    <cellStyle name="Текст предупреждения 55" xfId="58983"/>
    <cellStyle name="Текст предупреждения 56" xfId="58984"/>
    <cellStyle name="Текст предупреждения 57" xfId="58985"/>
    <cellStyle name="Текст предупреждения 58" xfId="58986"/>
    <cellStyle name="Текст предупреждения 59" xfId="58987"/>
    <cellStyle name="Текст предупреждения 6" xfId="58988"/>
    <cellStyle name="Текст предупреждения 60" xfId="58989"/>
    <cellStyle name="Текст предупреждения 61" xfId="58990"/>
    <cellStyle name="Текст предупреждения 62" xfId="58991"/>
    <cellStyle name="Текст предупреждения 63" xfId="58992"/>
    <cellStyle name="Текст предупреждения 64" xfId="58993"/>
    <cellStyle name="Текст предупреждения 65" xfId="58994"/>
    <cellStyle name="Текст предупреждения 66" xfId="58995"/>
    <cellStyle name="Текст предупреждения 67" xfId="58996"/>
    <cellStyle name="Текст предупреждения 68" xfId="58997"/>
    <cellStyle name="Текст предупреждения 69" xfId="58998"/>
    <cellStyle name="Текст предупреждения 7" xfId="58999"/>
    <cellStyle name="Текст предупреждения 70" xfId="59000"/>
    <cellStyle name="Текст предупреждения 71" xfId="59001"/>
    <cellStyle name="Текст предупреждения 72" xfId="59002"/>
    <cellStyle name="Текст предупреждения 73" xfId="59003"/>
    <cellStyle name="Текст предупреждения 74" xfId="59004"/>
    <cellStyle name="Текст предупреждения 75" xfId="59005"/>
    <cellStyle name="Текст предупреждения 76" xfId="59006"/>
    <cellStyle name="Текст предупреждения 77" xfId="59007"/>
    <cellStyle name="Текст предупреждения 78" xfId="59008"/>
    <cellStyle name="Текст предупреждения 79" xfId="59009"/>
    <cellStyle name="Текст предупреждения 8" xfId="59010"/>
    <cellStyle name="Текст предупреждения 80" xfId="59011"/>
    <cellStyle name="Текст предупреждения 81" xfId="59012"/>
    <cellStyle name="Текст предупреждения 82" xfId="59013"/>
    <cellStyle name="Текст предупреждения 83" xfId="59014"/>
    <cellStyle name="Текст предупреждения 84" xfId="59015"/>
    <cellStyle name="Текст предупреждения 85" xfId="59016"/>
    <cellStyle name="Текст предупреждения 86" xfId="59017"/>
    <cellStyle name="Текст предупреждения 87" xfId="59018"/>
    <cellStyle name="Текст предупреждения 88" xfId="59019"/>
    <cellStyle name="Текст предупреждения 89" xfId="59020"/>
    <cellStyle name="Текст предупреждения 9" xfId="59021"/>
    <cellStyle name="Текст предупреждения 90" xfId="59022"/>
    <cellStyle name="Текст предупреждения 91" xfId="59023"/>
    <cellStyle name="Текст предупреждения 92" xfId="59024"/>
    <cellStyle name="Текст предупреждения 93" xfId="59025"/>
    <cellStyle name="Текст предупреждения 94" xfId="59026"/>
    <cellStyle name="Текст предупреждения 95" xfId="59027"/>
    <cellStyle name="Текст предупреждения 96" xfId="59028"/>
    <cellStyle name="Текст предупреждения 97" xfId="59029"/>
    <cellStyle name="Текст предупреждения 98" xfId="59030"/>
    <cellStyle name="Текст предупреждения 99" xfId="59031"/>
    <cellStyle name="Финансовый 10" xfId="59032"/>
    <cellStyle name="Финансовый 2" xfId="59033"/>
    <cellStyle name="Финансовый 2 10" xfId="59034"/>
    <cellStyle name="Финансовый 2 11" xfId="59035"/>
    <cellStyle name="Финансовый 2 12" xfId="59036"/>
    <cellStyle name="Финансовый 2 13" xfId="59037"/>
    <cellStyle name="Финансовый 2 14" xfId="59038"/>
    <cellStyle name="Финансовый 2 15" xfId="59039"/>
    <cellStyle name="Финансовый 2 16" xfId="59040"/>
    <cellStyle name="Финансовый 2 17" xfId="59041"/>
    <cellStyle name="Финансовый 2 2" xfId="59042"/>
    <cellStyle name="Финансовый 2 2 2" xfId="59043"/>
    <cellStyle name="Финансовый 2 2 2 2" xfId="59044"/>
    <cellStyle name="Финансовый 2 2 3" xfId="59045"/>
    <cellStyle name="Финансовый 2 3" xfId="59046"/>
    <cellStyle name="Финансовый 2 3 2" xfId="59047"/>
    <cellStyle name="Финансовый 2 3 2 2" xfId="59048"/>
    <cellStyle name="Финансовый 2 3 3" xfId="59049"/>
    <cellStyle name="Финансовый 2 4" xfId="59050"/>
    <cellStyle name="Финансовый 2 4 2" xfId="59051"/>
    <cellStyle name="Финансовый 2 4 2 2" xfId="59052"/>
    <cellStyle name="Финансовый 2 4 3" xfId="59053"/>
    <cellStyle name="Финансовый 2 5" xfId="59054"/>
    <cellStyle name="Финансовый 2 5 2" xfId="59055"/>
    <cellStyle name="Финансовый 2 6" xfId="59056"/>
    <cellStyle name="Финансовый 2 6 2" xfId="59057"/>
    <cellStyle name="Финансовый 2 7" xfId="59058"/>
    <cellStyle name="Финансовый 2 7 2" xfId="59059"/>
    <cellStyle name="Финансовый 2 8" xfId="59060"/>
    <cellStyle name="Финансовый 2 9" xfId="59061"/>
    <cellStyle name="Финансовый 3" xfId="59062"/>
    <cellStyle name="Финансовый 3 2" xfId="59063"/>
    <cellStyle name="Финансовый 3 2 2" xfId="59064"/>
    <cellStyle name="Финансовый 3 3" xfId="59065"/>
    <cellStyle name="Финансовый 3 4" xfId="59066"/>
    <cellStyle name="Финансовый 3 5" xfId="59067"/>
    <cellStyle name="Финансовый 3 6" xfId="59068"/>
    <cellStyle name="Финансовый 3 7" xfId="59069"/>
    <cellStyle name="Финансовый 3 8" xfId="59070"/>
    <cellStyle name="Финансовый 3 9" xfId="59071"/>
    <cellStyle name="Финансовый 4" xfId="59072"/>
    <cellStyle name="Финансовый 4 2" xfId="59073"/>
    <cellStyle name="Финансовый 4 3" xfId="59074"/>
    <cellStyle name="Финансовый 5" xfId="59075"/>
    <cellStyle name="Финансовый 5 2" xfId="59076"/>
    <cellStyle name="Финансовый 6" xfId="59077"/>
    <cellStyle name="Финансовый 6 2" xfId="59078"/>
    <cellStyle name="Финансовый 7" xfId="59079"/>
    <cellStyle name="Финансовый 8" xfId="59080"/>
    <cellStyle name="Финансовый 9" xfId="59081"/>
    <cellStyle name="Хороший 10" xfId="59082"/>
    <cellStyle name="Хороший 100" xfId="59083"/>
    <cellStyle name="Хороший 101" xfId="59084"/>
    <cellStyle name="Хороший 102" xfId="59085"/>
    <cellStyle name="Хороший 103" xfId="59086"/>
    <cellStyle name="Хороший 104" xfId="59087"/>
    <cellStyle name="Хороший 105" xfId="59088"/>
    <cellStyle name="Хороший 106" xfId="59089"/>
    <cellStyle name="Хороший 107" xfId="59090"/>
    <cellStyle name="Хороший 108" xfId="59091"/>
    <cellStyle name="Хороший 109" xfId="59092"/>
    <cellStyle name="Хороший 11" xfId="59093"/>
    <cellStyle name="Хороший 110" xfId="59094"/>
    <cellStyle name="Хороший 111" xfId="59095"/>
    <cellStyle name="Хороший 112" xfId="59096"/>
    <cellStyle name="Хороший 113" xfId="59097"/>
    <cellStyle name="Хороший 114" xfId="59098"/>
    <cellStyle name="Хороший 115" xfId="59099"/>
    <cellStyle name="Хороший 116" xfId="59100"/>
    <cellStyle name="Хороший 117" xfId="59101"/>
    <cellStyle name="Хороший 118" xfId="59102"/>
    <cellStyle name="Хороший 119" xfId="59103"/>
    <cellStyle name="Хороший 12" xfId="59104"/>
    <cellStyle name="Хороший 120" xfId="59105"/>
    <cellStyle name="Хороший 121" xfId="59106"/>
    <cellStyle name="Хороший 122" xfId="59107"/>
    <cellStyle name="Хороший 123" xfId="59108"/>
    <cellStyle name="Хороший 124" xfId="59109"/>
    <cellStyle name="Хороший 125" xfId="59110"/>
    <cellStyle name="Хороший 126" xfId="59111"/>
    <cellStyle name="Хороший 127" xfId="59112"/>
    <cellStyle name="Хороший 128" xfId="59113"/>
    <cellStyle name="Хороший 129" xfId="59114"/>
    <cellStyle name="Хороший 13" xfId="59115"/>
    <cellStyle name="Хороший 130" xfId="59116"/>
    <cellStyle name="Хороший 131" xfId="59117"/>
    <cellStyle name="Хороший 132" xfId="59118"/>
    <cellStyle name="Хороший 133" xfId="59119"/>
    <cellStyle name="Хороший 134" xfId="59120"/>
    <cellStyle name="Хороший 135" xfId="59121"/>
    <cellStyle name="Хороший 136" xfId="59122"/>
    <cellStyle name="Хороший 137" xfId="59123"/>
    <cellStyle name="Хороший 138" xfId="59124"/>
    <cellStyle name="Хороший 139" xfId="59125"/>
    <cellStyle name="Хороший 14" xfId="59126"/>
    <cellStyle name="Хороший 140" xfId="59127"/>
    <cellStyle name="Хороший 141" xfId="59128"/>
    <cellStyle name="Хороший 142" xfId="59129"/>
    <cellStyle name="Хороший 143" xfId="59130"/>
    <cellStyle name="Хороший 144" xfId="59131"/>
    <cellStyle name="Хороший 145" xfId="59132"/>
    <cellStyle name="Хороший 146" xfId="59133"/>
    <cellStyle name="Хороший 147" xfId="59134"/>
    <cellStyle name="Хороший 148" xfId="59135"/>
    <cellStyle name="Хороший 149" xfId="59136"/>
    <cellStyle name="Хороший 15" xfId="59137"/>
    <cellStyle name="Хороший 150" xfId="59138"/>
    <cellStyle name="Хороший 151" xfId="59139"/>
    <cellStyle name="Хороший 152" xfId="59140"/>
    <cellStyle name="Хороший 153" xfId="59141"/>
    <cellStyle name="Хороший 16" xfId="59142"/>
    <cellStyle name="Хороший 17" xfId="59143"/>
    <cellStyle name="Хороший 18" xfId="59144"/>
    <cellStyle name="Хороший 19" xfId="59145"/>
    <cellStyle name="Хороший 2" xfId="59146"/>
    <cellStyle name="Хороший 2 2" xfId="59147"/>
    <cellStyle name="Хороший 2 2 10" xfId="59148"/>
    <cellStyle name="Хороший 2 2 11" xfId="59149"/>
    <cellStyle name="Хороший 2 2 12" xfId="59150"/>
    <cellStyle name="Хороший 2 2 13" xfId="59151"/>
    <cellStyle name="Хороший 2 2 2" xfId="59152"/>
    <cellStyle name="Хороший 2 2 3" xfId="59153"/>
    <cellStyle name="Хороший 2 2 4" xfId="59154"/>
    <cellStyle name="Хороший 2 2 5" xfId="59155"/>
    <cellStyle name="Хороший 2 2 6" xfId="59156"/>
    <cellStyle name="Хороший 2 2 7" xfId="59157"/>
    <cellStyle name="Хороший 2 2 8" xfId="59158"/>
    <cellStyle name="Хороший 2 2 9" xfId="59159"/>
    <cellStyle name="Хороший 2 3" xfId="59160"/>
    <cellStyle name="Хороший 20" xfId="59161"/>
    <cellStyle name="Хороший 21" xfId="59162"/>
    <cellStyle name="Хороший 22" xfId="59163"/>
    <cellStyle name="Хороший 23" xfId="59164"/>
    <cellStyle name="Хороший 24" xfId="59165"/>
    <cellStyle name="Хороший 25" xfId="59166"/>
    <cellStyle name="Хороший 26" xfId="59167"/>
    <cellStyle name="Хороший 27" xfId="59168"/>
    <cellStyle name="Хороший 28" xfId="59169"/>
    <cellStyle name="Хороший 29" xfId="59170"/>
    <cellStyle name="Хороший 3" xfId="59171"/>
    <cellStyle name="Хороший 30" xfId="59172"/>
    <cellStyle name="Хороший 31" xfId="59173"/>
    <cellStyle name="Хороший 32" xfId="59174"/>
    <cellStyle name="Хороший 33" xfId="59175"/>
    <cellStyle name="Хороший 34" xfId="59176"/>
    <cellStyle name="Хороший 35" xfId="59177"/>
    <cellStyle name="Хороший 36" xfId="59178"/>
    <cellStyle name="Хороший 37" xfId="59179"/>
    <cellStyle name="Хороший 38" xfId="59180"/>
    <cellStyle name="Хороший 39" xfId="59181"/>
    <cellStyle name="Хороший 4" xfId="59182"/>
    <cellStyle name="Хороший 40" xfId="59183"/>
    <cellStyle name="Хороший 41" xfId="59184"/>
    <cellStyle name="Хороший 42" xfId="59185"/>
    <cellStyle name="Хороший 43" xfId="59186"/>
    <cellStyle name="Хороший 44" xfId="59187"/>
    <cellStyle name="Хороший 45" xfId="59188"/>
    <cellStyle name="Хороший 46" xfId="59189"/>
    <cellStyle name="Хороший 47" xfId="59190"/>
    <cellStyle name="Хороший 48" xfId="59191"/>
    <cellStyle name="Хороший 49" xfId="59192"/>
    <cellStyle name="Хороший 5" xfId="59193"/>
    <cellStyle name="Хороший 50" xfId="59194"/>
    <cellStyle name="Хороший 51" xfId="59195"/>
    <cellStyle name="Хороший 52" xfId="59196"/>
    <cellStyle name="Хороший 53" xfId="59197"/>
    <cellStyle name="Хороший 54" xfId="59198"/>
    <cellStyle name="Хороший 55" xfId="59199"/>
    <cellStyle name="Хороший 56" xfId="59200"/>
    <cellStyle name="Хороший 57" xfId="59201"/>
    <cellStyle name="Хороший 58" xfId="59202"/>
    <cellStyle name="Хороший 59" xfId="59203"/>
    <cellStyle name="Хороший 6" xfId="59204"/>
    <cellStyle name="Хороший 60" xfId="59205"/>
    <cellStyle name="Хороший 61" xfId="59206"/>
    <cellStyle name="Хороший 62" xfId="59207"/>
    <cellStyle name="Хороший 63" xfId="59208"/>
    <cellStyle name="Хороший 64" xfId="59209"/>
    <cellStyle name="Хороший 65" xfId="59210"/>
    <cellStyle name="Хороший 66" xfId="59211"/>
    <cellStyle name="Хороший 67" xfId="59212"/>
    <cellStyle name="Хороший 68" xfId="59213"/>
    <cellStyle name="Хороший 69" xfId="59214"/>
    <cellStyle name="Хороший 7" xfId="59215"/>
    <cellStyle name="Хороший 70" xfId="59216"/>
    <cellStyle name="Хороший 71" xfId="59217"/>
    <cellStyle name="Хороший 72" xfId="59218"/>
    <cellStyle name="Хороший 73" xfId="59219"/>
    <cellStyle name="Хороший 74" xfId="59220"/>
    <cellStyle name="Хороший 75" xfId="59221"/>
    <cellStyle name="Хороший 76" xfId="59222"/>
    <cellStyle name="Хороший 77" xfId="59223"/>
    <cellStyle name="Хороший 78" xfId="59224"/>
    <cellStyle name="Хороший 79" xfId="59225"/>
    <cellStyle name="Хороший 8" xfId="59226"/>
    <cellStyle name="Хороший 80" xfId="59227"/>
    <cellStyle name="Хороший 81" xfId="59228"/>
    <cellStyle name="Хороший 82" xfId="59229"/>
    <cellStyle name="Хороший 83" xfId="59230"/>
    <cellStyle name="Хороший 84" xfId="59231"/>
    <cellStyle name="Хороший 85" xfId="59232"/>
    <cellStyle name="Хороший 86" xfId="59233"/>
    <cellStyle name="Хороший 87" xfId="59234"/>
    <cellStyle name="Хороший 88" xfId="59235"/>
    <cellStyle name="Хороший 89" xfId="59236"/>
    <cellStyle name="Хороший 9" xfId="59237"/>
    <cellStyle name="Хороший 90" xfId="59238"/>
    <cellStyle name="Хороший 91" xfId="59239"/>
    <cellStyle name="Хороший 92" xfId="59240"/>
    <cellStyle name="Хороший 93" xfId="59241"/>
    <cellStyle name="Хороший 94" xfId="59242"/>
    <cellStyle name="Хороший 95" xfId="59243"/>
    <cellStyle name="Хороший 96" xfId="59244"/>
    <cellStyle name="Хороший 97" xfId="59245"/>
    <cellStyle name="Хороший 98" xfId="59246"/>
    <cellStyle name="Хороший 99" xfId="59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="90" zoomScaleNormal="90" workbookViewId="0">
      <pane xSplit="2" ySplit="5" topLeftCell="F87" activePane="bottomRight" state="frozen"/>
      <selection pane="topRight" activeCell="C1" sqref="C1"/>
      <selection pane="bottomLeft" activeCell="A7" sqref="A7"/>
      <selection pane="bottomRight" activeCell="F119" sqref="F119"/>
    </sheetView>
  </sheetViews>
  <sheetFormatPr defaultRowHeight="12.75" x14ac:dyDescent="0.2"/>
  <cols>
    <col min="1" max="1" width="4.42578125" style="18" customWidth="1"/>
    <col min="2" max="2" width="52.42578125" style="16" customWidth="1"/>
    <col min="3" max="3" width="10.5703125" style="16" customWidth="1"/>
    <col min="4" max="4" width="10" style="17" customWidth="1"/>
    <col min="5" max="5" width="11.85546875" style="17" customWidth="1"/>
    <col min="6" max="6" width="11.140625" style="17" customWidth="1"/>
    <col min="7" max="7" width="12.85546875" style="17" customWidth="1"/>
    <col min="8" max="8" width="12.42578125" style="17" customWidth="1"/>
    <col min="9" max="9" width="12.7109375" style="17" customWidth="1"/>
    <col min="10" max="16384" width="9.140625" style="16"/>
  </cols>
  <sheetData>
    <row r="1" spans="1:9" ht="23.25" customHeight="1" x14ac:dyDescent="0.2">
      <c r="A1" s="307" t="s">
        <v>221</v>
      </c>
      <c r="B1" s="308"/>
      <c r="C1" s="308"/>
      <c r="D1" s="308"/>
      <c r="E1" s="308"/>
      <c r="F1" s="308"/>
      <c r="G1" s="308"/>
      <c r="H1" s="308"/>
      <c r="I1" s="308"/>
    </row>
    <row r="2" spans="1:9" ht="17.25" customHeight="1" x14ac:dyDescent="0.2">
      <c r="A2" s="29"/>
      <c r="F2" s="309" t="s">
        <v>222</v>
      </c>
      <c r="G2" s="309"/>
      <c r="H2" s="309"/>
      <c r="I2" s="309"/>
    </row>
    <row r="3" spans="1:9" ht="17.25" customHeight="1" x14ac:dyDescent="0.2">
      <c r="A3" s="310" t="s">
        <v>7</v>
      </c>
      <c r="B3" s="310" t="s">
        <v>0</v>
      </c>
      <c r="C3" s="310" t="s">
        <v>168</v>
      </c>
      <c r="D3" s="311" t="s">
        <v>223</v>
      </c>
      <c r="E3" s="217" t="s">
        <v>224</v>
      </c>
      <c r="F3" s="313" t="s">
        <v>225</v>
      </c>
      <c r="G3" s="315" t="s">
        <v>224</v>
      </c>
      <c r="H3" s="316"/>
      <c r="I3" s="311" t="s">
        <v>226</v>
      </c>
    </row>
    <row r="4" spans="1:9" s="31" customFormat="1" ht="50.25" customHeight="1" x14ac:dyDescent="0.25">
      <c r="A4" s="310"/>
      <c r="B4" s="310"/>
      <c r="C4" s="310"/>
      <c r="D4" s="312"/>
      <c r="E4" s="30" t="s">
        <v>227</v>
      </c>
      <c r="F4" s="314"/>
      <c r="G4" s="30" t="s">
        <v>228</v>
      </c>
      <c r="H4" s="30" t="s">
        <v>227</v>
      </c>
      <c r="I4" s="317"/>
    </row>
    <row r="5" spans="1:9" x14ac:dyDescent="0.2">
      <c r="A5" s="216">
        <v>1</v>
      </c>
      <c r="B5" s="216">
        <v>2</v>
      </c>
      <c r="C5" s="216">
        <v>3</v>
      </c>
      <c r="D5" s="30">
        <v>4</v>
      </c>
      <c r="E5" s="216">
        <v>5</v>
      </c>
      <c r="F5" s="30">
        <v>6</v>
      </c>
      <c r="G5" s="216">
        <v>7</v>
      </c>
      <c r="H5" s="30">
        <v>8</v>
      </c>
      <c r="I5" s="216">
        <v>9</v>
      </c>
    </row>
    <row r="6" spans="1:9" x14ac:dyDescent="0.2">
      <c r="A6" s="32">
        <v>1</v>
      </c>
      <c r="B6" s="33" t="s">
        <v>12</v>
      </c>
      <c r="C6" s="34">
        <f>D6+F6+I6</f>
        <v>9268</v>
      </c>
      <c r="D6" s="34"/>
      <c r="E6" s="34"/>
      <c r="F6" s="34">
        <f>9269-1</f>
        <v>9268</v>
      </c>
      <c r="G6" s="34"/>
      <c r="H6" s="34">
        <f>42-41</f>
        <v>1</v>
      </c>
      <c r="I6" s="34"/>
    </row>
    <row r="7" spans="1:9" x14ac:dyDescent="0.2">
      <c r="A7" s="32">
        <f>A6+1</f>
        <v>2</v>
      </c>
      <c r="B7" s="33" t="s">
        <v>13</v>
      </c>
      <c r="C7" s="34">
        <f t="shared" ref="C7:C71" si="0">D7+F7+I7</f>
        <v>8206</v>
      </c>
      <c r="D7" s="34"/>
      <c r="E7" s="34"/>
      <c r="F7" s="34">
        <v>8206</v>
      </c>
      <c r="G7" s="34"/>
      <c r="H7" s="34">
        <v>43</v>
      </c>
      <c r="I7" s="34"/>
    </row>
    <row r="8" spans="1:9" x14ac:dyDescent="0.2">
      <c r="A8" s="318">
        <f>A7+1</f>
        <v>3</v>
      </c>
      <c r="B8" s="33" t="s">
        <v>57</v>
      </c>
      <c r="C8" s="34">
        <f t="shared" si="0"/>
        <v>23261</v>
      </c>
      <c r="D8" s="34">
        <f>133-20</f>
        <v>113</v>
      </c>
      <c r="E8" s="34"/>
      <c r="F8" s="34">
        <f>23384+155-113+20-28-270</f>
        <v>23148</v>
      </c>
      <c r="G8" s="34">
        <f>627-113</f>
        <v>514</v>
      </c>
      <c r="H8" s="34">
        <f>1966-270</f>
        <v>1696</v>
      </c>
      <c r="I8" s="34"/>
    </row>
    <row r="9" spans="1:9" ht="25.5" x14ac:dyDescent="0.2">
      <c r="A9" s="319"/>
      <c r="B9" s="35" t="s">
        <v>58</v>
      </c>
      <c r="C9" s="34">
        <f t="shared" si="0"/>
        <v>1493</v>
      </c>
      <c r="D9" s="34"/>
      <c r="E9" s="34"/>
      <c r="F9" s="36">
        <v>1493</v>
      </c>
      <c r="G9" s="34"/>
      <c r="H9" s="34"/>
      <c r="I9" s="34"/>
    </row>
    <row r="10" spans="1:9" x14ac:dyDescent="0.2">
      <c r="A10" s="32">
        <f>A8+1</f>
        <v>4</v>
      </c>
      <c r="B10" s="33" t="s">
        <v>59</v>
      </c>
      <c r="C10" s="34">
        <f t="shared" si="0"/>
        <v>5483</v>
      </c>
      <c r="D10" s="34"/>
      <c r="E10" s="34"/>
      <c r="F10" s="34">
        <v>5483</v>
      </c>
      <c r="G10" s="34"/>
      <c r="H10" s="34">
        <v>5</v>
      </c>
      <c r="I10" s="34"/>
    </row>
    <row r="11" spans="1:9" ht="12.75" customHeight="1" x14ac:dyDescent="0.2">
      <c r="A11" s="32">
        <f t="shared" ref="A11:A31" si="1">A10+1</f>
        <v>5</v>
      </c>
      <c r="B11" s="33" t="s">
        <v>60</v>
      </c>
      <c r="C11" s="34">
        <f t="shared" si="0"/>
        <v>2417</v>
      </c>
      <c r="D11" s="34"/>
      <c r="E11" s="34"/>
      <c r="F11" s="34">
        <v>2417</v>
      </c>
      <c r="G11" s="34"/>
      <c r="H11" s="34"/>
      <c r="I11" s="34"/>
    </row>
    <row r="12" spans="1:9" x14ac:dyDescent="0.2">
      <c r="A12" s="32">
        <f t="shared" si="1"/>
        <v>6</v>
      </c>
      <c r="B12" s="33" t="s">
        <v>61</v>
      </c>
      <c r="C12" s="34">
        <f t="shared" si="0"/>
        <v>1946</v>
      </c>
      <c r="D12" s="34"/>
      <c r="E12" s="34"/>
      <c r="F12" s="34">
        <v>1946</v>
      </c>
      <c r="G12" s="34"/>
      <c r="H12" s="34">
        <f>17-3</f>
        <v>14</v>
      </c>
      <c r="I12" s="34"/>
    </row>
    <row r="13" spans="1:9" x14ac:dyDescent="0.2">
      <c r="A13" s="32">
        <f t="shared" si="1"/>
        <v>7</v>
      </c>
      <c r="B13" s="33" t="s">
        <v>62</v>
      </c>
      <c r="C13" s="34">
        <f t="shared" si="0"/>
        <v>2146</v>
      </c>
      <c r="D13" s="34"/>
      <c r="E13" s="34"/>
      <c r="F13" s="34">
        <v>2146</v>
      </c>
      <c r="G13" s="34"/>
      <c r="H13" s="34">
        <f>8+1</f>
        <v>9</v>
      </c>
      <c r="I13" s="34"/>
    </row>
    <row r="14" spans="1:9" x14ac:dyDescent="0.2">
      <c r="A14" s="32">
        <f t="shared" si="1"/>
        <v>8</v>
      </c>
      <c r="B14" s="33" t="s">
        <v>63</v>
      </c>
      <c r="C14" s="34">
        <f t="shared" si="0"/>
        <v>2583</v>
      </c>
      <c r="D14" s="34"/>
      <c r="E14" s="34"/>
      <c r="F14" s="34">
        <v>2583</v>
      </c>
      <c r="G14" s="34"/>
      <c r="H14" s="34">
        <v>0</v>
      </c>
      <c r="I14" s="34"/>
    </row>
    <row r="15" spans="1:9" x14ac:dyDescent="0.2">
      <c r="A15" s="32">
        <f t="shared" si="1"/>
        <v>9</v>
      </c>
      <c r="B15" s="33" t="s">
        <v>64</v>
      </c>
      <c r="C15" s="34">
        <f t="shared" si="0"/>
        <v>2109</v>
      </c>
      <c r="D15" s="34"/>
      <c r="E15" s="34"/>
      <c r="F15" s="34">
        <v>2109</v>
      </c>
      <c r="G15" s="34"/>
      <c r="H15" s="34"/>
      <c r="I15" s="34"/>
    </row>
    <row r="16" spans="1:9" x14ac:dyDescent="0.2">
      <c r="A16" s="32">
        <f t="shared" si="1"/>
        <v>10</v>
      </c>
      <c r="B16" s="33" t="s">
        <v>65</v>
      </c>
      <c r="C16" s="34">
        <f t="shared" si="0"/>
        <v>3113</v>
      </c>
      <c r="D16" s="34"/>
      <c r="E16" s="34"/>
      <c r="F16" s="34">
        <v>3113</v>
      </c>
      <c r="G16" s="34"/>
      <c r="H16" s="34">
        <v>1</v>
      </c>
      <c r="I16" s="34"/>
    </row>
    <row r="17" spans="1:9" x14ac:dyDescent="0.2">
      <c r="A17" s="32">
        <f t="shared" si="1"/>
        <v>11</v>
      </c>
      <c r="B17" s="33" t="s">
        <v>66</v>
      </c>
      <c r="C17" s="34">
        <f t="shared" si="0"/>
        <v>2241</v>
      </c>
      <c r="D17" s="34"/>
      <c r="E17" s="34"/>
      <c r="F17" s="34">
        <v>2241</v>
      </c>
      <c r="G17" s="34"/>
      <c r="H17" s="34"/>
      <c r="I17" s="34"/>
    </row>
    <row r="18" spans="1:9" x14ac:dyDescent="0.2">
      <c r="A18" s="32">
        <f t="shared" si="1"/>
        <v>12</v>
      </c>
      <c r="B18" s="33" t="s">
        <v>67</v>
      </c>
      <c r="C18" s="34">
        <f t="shared" si="0"/>
        <v>2824</v>
      </c>
      <c r="D18" s="34"/>
      <c r="E18" s="34"/>
      <c r="F18" s="34">
        <v>2824</v>
      </c>
      <c r="G18" s="34"/>
      <c r="H18" s="34">
        <v>14</v>
      </c>
      <c r="I18" s="34"/>
    </row>
    <row r="19" spans="1:9" x14ac:dyDescent="0.2">
      <c r="A19" s="32">
        <f t="shared" si="1"/>
        <v>13</v>
      </c>
      <c r="B19" s="33" t="s">
        <v>70</v>
      </c>
      <c r="C19" s="34">
        <f t="shared" si="0"/>
        <v>10061</v>
      </c>
      <c r="D19" s="34"/>
      <c r="E19" s="34"/>
      <c r="F19" s="34">
        <f>9866+195</f>
        <v>10061</v>
      </c>
      <c r="G19" s="34">
        <v>193</v>
      </c>
      <c r="H19" s="34">
        <f>169+19</f>
        <v>188</v>
      </c>
      <c r="I19" s="34"/>
    </row>
    <row r="20" spans="1:9" x14ac:dyDescent="0.2">
      <c r="A20" s="32">
        <f t="shared" si="1"/>
        <v>14</v>
      </c>
      <c r="B20" s="33" t="s">
        <v>16</v>
      </c>
      <c r="C20" s="34">
        <f t="shared" si="0"/>
        <v>6660</v>
      </c>
      <c r="D20" s="34"/>
      <c r="E20" s="34"/>
      <c r="F20" s="34">
        <v>6660</v>
      </c>
      <c r="G20" s="34"/>
      <c r="H20" s="34"/>
      <c r="I20" s="34"/>
    </row>
    <row r="21" spans="1:9" x14ac:dyDescent="0.2">
      <c r="A21" s="32">
        <f t="shared" si="1"/>
        <v>15</v>
      </c>
      <c r="B21" s="33" t="s">
        <v>10</v>
      </c>
      <c r="C21" s="34">
        <f t="shared" si="0"/>
        <v>19134</v>
      </c>
      <c r="D21" s="34"/>
      <c r="E21" s="34"/>
      <c r="F21" s="34">
        <f>19174-40</f>
        <v>19134</v>
      </c>
      <c r="G21" s="34">
        <v>312</v>
      </c>
      <c r="H21" s="34">
        <f>619-100</f>
        <v>519</v>
      </c>
      <c r="I21" s="34"/>
    </row>
    <row r="22" spans="1:9" x14ac:dyDescent="0.2">
      <c r="A22" s="32">
        <f t="shared" si="1"/>
        <v>16</v>
      </c>
      <c r="B22" s="33" t="s">
        <v>11</v>
      </c>
      <c r="C22" s="34">
        <f t="shared" si="0"/>
        <v>9552</v>
      </c>
      <c r="D22" s="34"/>
      <c r="E22" s="34"/>
      <c r="F22" s="34">
        <v>9552</v>
      </c>
      <c r="G22" s="34"/>
      <c r="H22" s="34">
        <f>112+1</f>
        <v>113</v>
      </c>
      <c r="I22" s="34"/>
    </row>
    <row r="23" spans="1:9" x14ac:dyDescent="0.2">
      <c r="A23" s="32">
        <f t="shared" si="1"/>
        <v>17</v>
      </c>
      <c r="B23" s="33" t="s">
        <v>71</v>
      </c>
      <c r="C23" s="34">
        <f t="shared" si="0"/>
        <v>2409</v>
      </c>
      <c r="D23" s="34"/>
      <c r="E23" s="34"/>
      <c r="F23" s="34">
        <v>2409</v>
      </c>
      <c r="G23" s="34"/>
      <c r="H23" s="34"/>
      <c r="I23" s="34"/>
    </row>
    <row r="24" spans="1:9" x14ac:dyDescent="0.2">
      <c r="A24" s="32">
        <f t="shared" si="1"/>
        <v>18</v>
      </c>
      <c r="B24" s="33" t="s">
        <v>72</v>
      </c>
      <c r="C24" s="34">
        <f t="shared" si="0"/>
        <v>3272</v>
      </c>
      <c r="D24" s="34"/>
      <c r="E24" s="34"/>
      <c r="F24" s="34">
        <v>3272</v>
      </c>
      <c r="G24" s="34"/>
      <c r="H24" s="34"/>
      <c r="I24" s="34"/>
    </row>
    <row r="25" spans="1:9" x14ac:dyDescent="0.2">
      <c r="A25" s="32">
        <f t="shared" si="1"/>
        <v>19</v>
      </c>
      <c r="B25" s="33" t="s">
        <v>73</v>
      </c>
      <c r="C25" s="34">
        <f t="shared" si="0"/>
        <v>4328</v>
      </c>
      <c r="D25" s="34"/>
      <c r="E25" s="34"/>
      <c r="F25" s="34">
        <v>4328</v>
      </c>
      <c r="G25" s="34"/>
      <c r="H25" s="34">
        <v>1</v>
      </c>
      <c r="I25" s="34"/>
    </row>
    <row r="26" spans="1:9" x14ac:dyDescent="0.2">
      <c r="A26" s="32">
        <f t="shared" si="1"/>
        <v>20</v>
      </c>
      <c r="B26" s="33" t="s">
        <v>74</v>
      </c>
      <c r="C26" s="34">
        <f>D26+F26+I26</f>
        <v>1835</v>
      </c>
      <c r="D26" s="34"/>
      <c r="E26" s="34"/>
      <c r="F26" s="34">
        <f>1785+50</f>
        <v>1835</v>
      </c>
      <c r="G26" s="34"/>
      <c r="H26" s="34">
        <v>4</v>
      </c>
      <c r="I26" s="34"/>
    </row>
    <row r="27" spans="1:9" x14ac:dyDescent="0.2">
      <c r="A27" s="32">
        <f t="shared" si="1"/>
        <v>21</v>
      </c>
      <c r="B27" s="33" t="s">
        <v>75</v>
      </c>
      <c r="C27" s="34">
        <f t="shared" si="0"/>
        <v>1728</v>
      </c>
      <c r="D27" s="34"/>
      <c r="E27" s="34"/>
      <c r="F27" s="34">
        <v>1728</v>
      </c>
      <c r="G27" s="34"/>
      <c r="H27" s="34"/>
      <c r="I27" s="34"/>
    </row>
    <row r="28" spans="1:9" x14ac:dyDescent="0.2">
      <c r="A28" s="32">
        <f t="shared" si="1"/>
        <v>22</v>
      </c>
      <c r="B28" s="33" t="s">
        <v>54</v>
      </c>
      <c r="C28" s="34">
        <f t="shared" si="0"/>
        <v>27010</v>
      </c>
      <c r="D28" s="34">
        <f>900-39-17-11-1</f>
        <v>832</v>
      </c>
      <c r="E28" s="34">
        <v>52</v>
      </c>
      <c r="F28" s="34">
        <f>26936-4-28+257-36-777+11-182+1</f>
        <v>26178</v>
      </c>
      <c r="G28" s="34"/>
      <c r="H28" s="34">
        <f>3603-182</f>
        <v>3421</v>
      </c>
      <c r="I28" s="34"/>
    </row>
    <row r="29" spans="1:9" x14ac:dyDescent="0.2">
      <c r="A29" s="32">
        <f t="shared" si="1"/>
        <v>23</v>
      </c>
      <c r="B29" s="33" t="s">
        <v>76</v>
      </c>
      <c r="C29" s="34">
        <f t="shared" si="0"/>
        <v>3330</v>
      </c>
      <c r="D29" s="34"/>
      <c r="E29" s="34"/>
      <c r="F29" s="34">
        <v>3330</v>
      </c>
      <c r="G29" s="34">
        <v>627</v>
      </c>
      <c r="H29" s="34"/>
      <c r="I29" s="34"/>
    </row>
    <row r="30" spans="1:9" x14ac:dyDescent="0.2">
      <c r="A30" s="32">
        <f t="shared" si="1"/>
        <v>24</v>
      </c>
      <c r="B30" s="33" t="s">
        <v>77</v>
      </c>
      <c r="C30" s="34">
        <f t="shared" si="0"/>
        <v>12263</v>
      </c>
      <c r="D30" s="34"/>
      <c r="E30" s="34"/>
      <c r="F30" s="34">
        <f>12253+10</f>
        <v>12263</v>
      </c>
      <c r="G30" s="34"/>
      <c r="H30" s="34">
        <f>34+1</f>
        <v>35</v>
      </c>
      <c r="I30" s="34"/>
    </row>
    <row r="31" spans="1:9" x14ac:dyDescent="0.2">
      <c r="A31" s="310">
        <f t="shared" si="1"/>
        <v>25</v>
      </c>
      <c r="B31" s="33" t="s">
        <v>78</v>
      </c>
      <c r="C31" s="34">
        <f t="shared" si="0"/>
        <v>2769</v>
      </c>
      <c r="D31" s="34"/>
      <c r="E31" s="34"/>
      <c r="F31" s="34">
        <v>2769</v>
      </c>
      <c r="G31" s="34"/>
      <c r="H31" s="34"/>
      <c r="I31" s="34"/>
    </row>
    <row r="32" spans="1:9" s="38" customFormat="1" ht="37.5" customHeight="1" x14ac:dyDescent="0.2">
      <c r="A32" s="310"/>
      <c r="B32" s="37" t="s">
        <v>79</v>
      </c>
      <c r="C32" s="34">
        <f t="shared" si="0"/>
        <v>791</v>
      </c>
      <c r="D32" s="36"/>
      <c r="E32" s="36"/>
      <c r="F32" s="36">
        <v>791</v>
      </c>
      <c r="G32" s="36"/>
      <c r="H32" s="36"/>
      <c r="I32" s="36"/>
    </row>
    <row r="33" spans="1:9" ht="26.25" customHeight="1" x14ac:dyDescent="0.2">
      <c r="A33" s="32">
        <f>A31+1</f>
        <v>26</v>
      </c>
      <c r="B33" s="39" t="s">
        <v>229</v>
      </c>
      <c r="C33" s="34">
        <f t="shared" si="0"/>
        <v>3868</v>
      </c>
      <c r="D33" s="34"/>
      <c r="E33" s="34"/>
      <c r="F33" s="34">
        <v>3868</v>
      </c>
      <c r="G33" s="34"/>
      <c r="H33" s="34"/>
      <c r="I33" s="34"/>
    </row>
    <row r="34" spans="1:9" x14ac:dyDescent="0.2">
      <c r="A34" s="32">
        <f>A33+1</f>
        <v>27</v>
      </c>
      <c r="B34" s="33" t="s">
        <v>81</v>
      </c>
      <c r="C34" s="34">
        <f t="shared" si="0"/>
        <v>5763</v>
      </c>
      <c r="D34" s="34"/>
      <c r="E34" s="34"/>
      <c r="F34" s="34">
        <v>5763</v>
      </c>
      <c r="G34" s="34"/>
      <c r="H34" s="34"/>
      <c r="I34" s="34"/>
    </row>
    <row r="35" spans="1:9" x14ac:dyDescent="0.2">
      <c r="A35" s="32">
        <f>A34+1</f>
        <v>28</v>
      </c>
      <c r="B35" s="33" t="s">
        <v>83</v>
      </c>
      <c r="C35" s="34">
        <f t="shared" si="0"/>
        <v>729</v>
      </c>
      <c r="D35" s="34"/>
      <c r="E35" s="34"/>
      <c r="F35" s="34">
        <v>729</v>
      </c>
      <c r="G35" s="34"/>
      <c r="H35" s="34"/>
      <c r="I35" s="34"/>
    </row>
    <row r="36" spans="1:9" x14ac:dyDescent="0.2">
      <c r="A36" s="320">
        <f>A35+1</f>
        <v>29</v>
      </c>
      <c r="B36" s="33" t="s">
        <v>84</v>
      </c>
      <c r="C36" s="34">
        <f t="shared" si="0"/>
        <v>12318</v>
      </c>
      <c r="D36" s="34">
        <f>15+5</f>
        <v>20</v>
      </c>
      <c r="E36" s="34"/>
      <c r="F36" s="34">
        <f>11035-5+227+3150-3150+280+400+391+10-40</f>
        <v>12298</v>
      </c>
      <c r="G36" s="34"/>
      <c r="H36" s="34">
        <f>1061-143</f>
        <v>918</v>
      </c>
      <c r="I36" s="34"/>
    </row>
    <row r="37" spans="1:9" s="38" customFormat="1" ht="25.5" x14ac:dyDescent="0.2">
      <c r="A37" s="321"/>
      <c r="B37" s="37" t="s">
        <v>85</v>
      </c>
      <c r="C37" s="34">
        <f t="shared" si="0"/>
        <v>3226</v>
      </c>
      <c r="D37" s="36"/>
      <c r="E37" s="36"/>
      <c r="F37" s="36">
        <v>3226</v>
      </c>
      <c r="G37" s="36"/>
      <c r="H37" s="36"/>
      <c r="I37" s="36"/>
    </row>
    <row r="38" spans="1:9" s="38" customFormat="1" ht="25.5" x14ac:dyDescent="0.2">
      <c r="A38" s="317"/>
      <c r="B38" s="40" t="s">
        <v>230</v>
      </c>
      <c r="C38" s="34">
        <f t="shared" si="0"/>
        <v>2750</v>
      </c>
      <c r="D38" s="36"/>
      <c r="E38" s="36"/>
      <c r="F38" s="36">
        <f>0+3150-400+391-391</f>
        <v>2750</v>
      </c>
      <c r="G38" s="36"/>
      <c r="H38" s="36"/>
      <c r="I38" s="36"/>
    </row>
    <row r="39" spans="1:9" x14ac:dyDescent="0.2">
      <c r="A39" s="32">
        <f>A36+1</f>
        <v>30</v>
      </c>
      <c r="B39" s="33" t="s">
        <v>87</v>
      </c>
      <c r="C39" s="34">
        <f t="shared" si="0"/>
        <v>755</v>
      </c>
      <c r="D39" s="34"/>
      <c r="E39" s="34"/>
      <c r="F39" s="34">
        <v>755</v>
      </c>
      <c r="G39" s="34"/>
      <c r="H39" s="34"/>
      <c r="I39" s="34"/>
    </row>
    <row r="40" spans="1:9" x14ac:dyDescent="0.2">
      <c r="A40" s="320">
        <f>A39+1</f>
        <v>31</v>
      </c>
      <c r="B40" s="33" t="s">
        <v>88</v>
      </c>
      <c r="C40" s="34">
        <f t="shared" si="0"/>
        <v>11408</v>
      </c>
      <c r="D40" s="34">
        <v>32</v>
      </c>
      <c r="E40" s="34">
        <v>0</v>
      </c>
      <c r="F40" s="34">
        <f>11316+77+62-79</f>
        <v>11376</v>
      </c>
      <c r="G40" s="34">
        <f>312-79</f>
        <v>233</v>
      </c>
      <c r="H40" s="34">
        <f>846+2</f>
        <v>848</v>
      </c>
      <c r="I40" s="34"/>
    </row>
    <row r="41" spans="1:9" s="38" customFormat="1" ht="25.5" x14ac:dyDescent="0.2">
      <c r="A41" s="322"/>
      <c r="B41" s="37" t="s">
        <v>231</v>
      </c>
      <c r="C41" s="34">
        <f t="shared" si="0"/>
        <v>1209</v>
      </c>
      <c r="D41" s="36"/>
      <c r="E41" s="36"/>
      <c r="F41" s="36">
        <v>1209</v>
      </c>
      <c r="G41" s="36"/>
      <c r="H41" s="36"/>
      <c r="I41" s="36"/>
    </row>
    <row r="42" spans="1:9" x14ac:dyDescent="0.2">
      <c r="A42" s="32">
        <f>A40+1</f>
        <v>32</v>
      </c>
      <c r="B42" s="33" t="s">
        <v>18</v>
      </c>
      <c r="C42" s="34">
        <f t="shared" si="0"/>
        <v>11135</v>
      </c>
      <c r="D42" s="34"/>
      <c r="E42" s="34"/>
      <c r="F42" s="34">
        <f>11145-10</f>
        <v>11135</v>
      </c>
      <c r="G42" s="34"/>
      <c r="H42" s="34">
        <f>44+8</f>
        <v>52</v>
      </c>
      <c r="I42" s="34"/>
    </row>
    <row r="43" spans="1:9" x14ac:dyDescent="0.2">
      <c r="A43" s="32">
        <f t="shared" ref="A43:A106" si="2">A42+1</f>
        <v>33</v>
      </c>
      <c r="B43" s="33" t="s">
        <v>19</v>
      </c>
      <c r="C43" s="34">
        <f t="shared" si="0"/>
        <v>10934</v>
      </c>
      <c r="D43" s="34"/>
      <c r="E43" s="34"/>
      <c r="F43" s="34">
        <f>10898+98-62</f>
        <v>10934</v>
      </c>
      <c r="G43" s="34"/>
      <c r="H43" s="34">
        <f>437+1</f>
        <v>438</v>
      </c>
      <c r="I43" s="34"/>
    </row>
    <row r="44" spans="1:9" x14ac:dyDescent="0.2">
      <c r="A44" s="32">
        <f t="shared" si="2"/>
        <v>34</v>
      </c>
      <c r="B44" s="33" t="s">
        <v>90</v>
      </c>
      <c r="C44" s="34">
        <f t="shared" si="0"/>
        <v>3088</v>
      </c>
      <c r="D44" s="34"/>
      <c r="E44" s="34"/>
      <c r="F44" s="34">
        <v>3088</v>
      </c>
      <c r="G44" s="34"/>
      <c r="H44" s="34">
        <f>1-1</f>
        <v>0</v>
      </c>
      <c r="I44" s="34"/>
    </row>
    <row r="45" spans="1:9" x14ac:dyDescent="0.2">
      <c r="A45" s="32">
        <f t="shared" si="2"/>
        <v>35</v>
      </c>
      <c r="B45" s="33" t="s">
        <v>91</v>
      </c>
      <c r="C45" s="34">
        <f t="shared" si="0"/>
        <v>3436</v>
      </c>
      <c r="D45" s="34"/>
      <c r="E45" s="34"/>
      <c r="F45" s="34">
        <v>3436</v>
      </c>
      <c r="G45" s="34"/>
      <c r="H45" s="34"/>
      <c r="I45" s="34"/>
    </row>
    <row r="46" spans="1:9" x14ac:dyDescent="0.2">
      <c r="A46" s="32">
        <f t="shared" si="2"/>
        <v>36</v>
      </c>
      <c r="B46" s="33" t="s">
        <v>92</v>
      </c>
      <c r="C46" s="34">
        <f t="shared" si="0"/>
        <v>3529</v>
      </c>
      <c r="D46" s="34"/>
      <c r="E46" s="34"/>
      <c r="F46" s="34">
        <v>3529</v>
      </c>
      <c r="G46" s="34"/>
      <c r="H46" s="34"/>
      <c r="I46" s="34"/>
    </row>
    <row r="47" spans="1:9" x14ac:dyDescent="0.2">
      <c r="A47" s="32">
        <f t="shared" si="2"/>
        <v>37</v>
      </c>
      <c r="B47" s="33" t="s">
        <v>93</v>
      </c>
      <c r="C47" s="34">
        <f t="shared" si="0"/>
        <v>2164</v>
      </c>
      <c r="D47" s="34"/>
      <c r="E47" s="34"/>
      <c r="F47" s="34">
        <v>2164</v>
      </c>
      <c r="G47" s="34"/>
      <c r="H47" s="34"/>
      <c r="I47" s="34"/>
    </row>
    <row r="48" spans="1:9" x14ac:dyDescent="0.2">
      <c r="A48" s="32">
        <f t="shared" si="2"/>
        <v>38</v>
      </c>
      <c r="B48" s="33" t="s">
        <v>94</v>
      </c>
      <c r="C48" s="34">
        <f t="shared" si="0"/>
        <v>2949</v>
      </c>
      <c r="D48" s="34"/>
      <c r="E48" s="34"/>
      <c r="F48" s="34">
        <f>2949</f>
        <v>2949</v>
      </c>
      <c r="G48" s="34"/>
      <c r="H48" s="34">
        <f>5-5</f>
        <v>0</v>
      </c>
      <c r="I48" s="34"/>
    </row>
    <row r="49" spans="1:9" x14ac:dyDescent="0.2">
      <c r="A49" s="32">
        <f t="shared" si="2"/>
        <v>39</v>
      </c>
      <c r="B49" s="33" t="s">
        <v>95</v>
      </c>
      <c r="C49" s="34">
        <f t="shared" si="0"/>
        <v>1687</v>
      </c>
      <c r="D49" s="34"/>
      <c r="E49" s="34"/>
      <c r="F49" s="34">
        <v>1687</v>
      </c>
      <c r="G49" s="34"/>
      <c r="H49" s="34"/>
      <c r="I49" s="34"/>
    </row>
    <row r="50" spans="1:9" x14ac:dyDescent="0.2">
      <c r="A50" s="32">
        <f t="shared" si="2"/>
        <v>40</v>
      </c>
      <c r="B50" s="33" t="s">
        <v>96</v>
      </c>
      <c r="C50" s="34">
        <f t="shared" si="0"/>
        <v>2759</v>
      </c>
      <c r="D50" s="34"/>
      <c r="E50" s="34"/>
      <c r="F50" s="34">
        <f>6300-3150-391</f>
        <v>2759</v>
      </c>
      <c r="G50" s="34"/>
      <c r="H50" s="34"/>
      <c r="I50" s="34"/>
    </row>
    <row r="51" spans="1:9" x14ac:dyDescent="0.2">
      <c r="A51" s="32">
        <f t="shared" si="2"/>
        <v>41</v>
      </c>
      <c r="B51" s="33" t="s">
        <v>232</v>
      </c>
      <c r="C51" s="34">
        <f t="shared" si="0"/>
        <v>989</v>
      </c>
      <c r="D51" s="34">
        <f>208+39+17+13</f>
        <v>277</v>
      </c>
      <c r="E51" s="34">
        <f>10-2</f>
        <v>8</v>
      </c>
      <c r="F51" s="34">
        <f>657+4+28-13+36</f>
        <v>712</v>
      </c>
      <c r="G51" s="34"/>
      <c r="H51" s="34">
        <f>62+6</f>
        <v>68</v>
      </c>
      <c r="I51" s="34"/>
    </row>
    <row r="52" spans="1:9" x14ac:dyDescent="0.2">
      <c r="A52" s="32">
        <f t="shared" si="2"/>
        <v>42</v>
      </c>
      <c r="B52" s="33" t="s">
        <v>20</v>
      </c>
      <c r="C52" s="34">
        <f t="shared" si="0"/>
        <v>16091</v>
      </c>
      <c r="D52" s="34"/>
      <c r="E52" s="34"/>
      <c r="F52" s="34">
        <f>16051+40</f>
        <v>16091</v>
      </c>
      <c r="G52" s="34"/>
      <c r="H52" s="34">
        <f>411+1</f>
        <v>412</v>
      </c>
      <c r="I52" s="34"/>
    </row>
    <row r="53" spans="1:9" x14ac:dyDescent="0.2">
      <c r="A53" s="32">
        <f t="shared" si="2"/>
        <v>43</v>
      </c>
      <c r="B53" s="41" t="s">
        <v>9</v>
      </c>
      <c r="C53" s="34">
        <f t="shared" si="0"/>
        <v>14262</v>
      </c>
      <c r="D53" s="34"/>
      <c r="E53" s="34"/>
      <c r="F53" s="34">
        <f>14282+20-40</f>
        <v>14262</v>
      </c>
      <c r="G53" s="34"/>
      <c r="H53" s="34">
        <f>509-160</f>
        <v>349</v>
      </c>
      <c r="I53" s="34"/>
    </row>
    <row r="54" spans="1:9" x14ac:dyDescent="0.2">
      <c r="A54" s="32">
        <f t="shared" si="2"/>
        <v>44</v>
      </c>
      <c r="B54" s="33" t="s">
        <v>99</v>
      </c>
      <c r="C54" s="34">
        <f t="shared" si="0"/>
        <v>17970</v>
      </c>
      <c r="D54" s="34"/>
      <c r="E54" s="34"/>
      <c r="F54" s="34">
        <f>17963+80-73</f>
        <v>17970</v>
      </c>
      <c r="G54" s="34">
        <v>627</v>
      </c>
      <c r="H54" s="34">
        <f>1469-278</f>
        <v>1191</v>
      </c>
      <c r="I54" s="34"/>
    </row>
    <row r="55" spans="1:9" x14ac:dyDescent="0.2">
      <c r="A55" s="32">
        <f t="shared" si="2"/>
        <v>45</v>
      </c>
      <c r="B55" s="33" t="s">
        <v>100</v>
      </c>
      <c r="C55" s="34">
        <f t="shared" si="0"/>
        <v>4505</v>
      </c>
      <c r="D55" s="34"/>
      <c r="E55" s="34"/>
      <c r="F55" s="34">
        <v>4505</v>
      </c>
      <c r="G55" s="34"/>
      <c r="H55" s="34"/>
      <c r="I55" s="34"/>
    </row>
    <row r="56" spans="1:9" x14ac:dyDescent="0.2">
      <c r="A56" s="32">
        <f t="shared" si="2"/>
        <v>46</v>
      </c>
      <c r="B56" s="33" t="s">
        <v>101</v>
      </c>
      <c r="C56" s="34">
        <f t="shared" si="0"/>
        <v>3159</v>
      </c>
      <c r="D56" s="34"/>
      <c r="E56" s="34"/>
      <c r="F56" s="34">
        <v>3159</v>
      </c>
      <c r="G56" s="34"/>
      <c r="H56" s="34">
        <v>2</v>
      </c>
      <c r="I56" s="34"/>
    </row>
    <row r="57" spans="1:9" x14ac:dyDescent="0.2">
      <c r="A57" s="32">
        <f t="shared" si="2"/>
        <v>47</v>
      </c>
      <c r="B57" s="33" t="s">
        <v>102</v>
      </c>
      <c r="C57" s="34">
        <f t="shared" si="0"/>
        <v>2456</v>
      </c>
      <c r="D57" s="34"/>
      <c r="E57" s="34"/>
      <c r="F57" s="34">
        <v>2456</v>
      </c>
      <c r="G57" s="34"/>
      <c r="H57" s="34"/>
      <c r="I57" s="34"/>
    </row>
    <row r="58" spans="1:9" x14ac:dyDescent="0.2">
      <c r="A58" s="32">
        <f t="shared" si="2"/>
        <v>48</v>
      </c>
      <c r="B58" s="33" t="s">
        <v>103</v>
      </c>
      <c r="C58" s="34">
        <f t="shared" si="0"/>
        <v>3699</v>
      </c>
      <c r="D58" s="34"/>
      <c r="E58" s="34"/>
      <c r="F58" s="34">
        <v>3699</v>
      </c>
      <c r="G58" s="34"/>
      <c r="H58" s="34"/>
      <c r="I58" s="34"/>
    </row>
    <row r="59" spans="1:9" x14ac:dyDescent="0.2">
      <c r="A59" s="32">
        <f t="shared" si="2"/>
        <v>49</v>
      </c>
      <c r="B59" s="33" t="s">
        <v>104</v>
      </c>
      <c r="C59" s="34">
        <f t="shared" si="0"/>
        <v>1706</v>
      </c>
      <c r="D59" s="34"/>
      <c r="E59" s="34"/>
      <c r="F59" s="34">
        <v>1706</v>
      </c>
      <c r="G59" s="34"/>
      <c r="H59" s="34"/>
      <c r="I59" s="34"/>
    </row>
    <row r="60" spans="1:9" x14ac:dyDescent="0.2">
      <c r="A60" s="32">
        <f t="shared" si="2"/>
        <v>50</v>
      </c>
      <c r="B60" s="33" t="s">
        <v>105</v>
      </c>
      <c r="C60" s="34">
        <f t="shared" si="0"/>
        <v>3252</v>
      </c>
      <c r="D60" s="34"/>
      <c r="E60" s="34"/>
      <c r="F60" s="34">
        <v>3252</v>
      </c>
      <c r="G60" s="34"/>
      <c r="H60" s="34">
        <v>3</v>
      </c>
      <c r="I60" s="34"/>
    </row>
    <row r="61" spans="1:9" x14ac:dyDescent="0.2">
      <c r="A61" s="32">
        <f t="shared" si="2"/>
        <v>51</v>
      </c>
      <c r="B61" s="33" t="s">
        <v>106</v>
      </c>
      <c r="C61" s="34">
        <f t="shared" si="0"/>
        <v>4512</v>
      </c>
      <c r="D61" s="34"/>
      <c r="E61" s="34"/>
      <c r="F61" s="34">
        <v>4512</v>
      </c>
      <c r="G61" s="34"/>
      <c r="H61" s="34">
        <v>9</v>
      </c>
      <c r="I61" s="34"/>
    </row>
    <row r="62" spans="1:9" x14ac:dyDescent="0.2">
      <c r="A62" s="32">
        <f t="shared" si="2"/>
        <v>52</v>
      </c>
      <c r="B62" s="33" t="s">
        <v>107</v>
      </c>
      <c r="C62" s="34">
        <f t="shared" si="0"/>
        <v>2711</v>
      </c>
      <c r="D62" s="34"/>
      <c r="E62" s="34"/>
      <c r="F62" s="34">
        <v>2711</v>
      </c>
      <c r="G62" s="34"/>
      <c r="H62" s="34">
        <v>58</v>
      </c>
      <c r="I62" s="34"/>
    </row>
    <row r="63" spans="1:9" x14ac:dyDescent="0.2">
      <c r="A63" s="32">
        <f t="shared" si="2"/>
        <v>53</v>
      </c>
      <c r="B63" s="33" t="s">
        <v>124</v>
      </c>
      <c r="C63" s="34">
        <f t="shared" si="0"/>
        <v>9669</v>
      </c>
      <c r="D63" s="34"/>
      <c r="E63" s="34"/>
      <c r="F63" s="34">
        <v>9669</v>
      </c>
      <c r="G63" s="34"/>
      <c r="H63" s="34">
        <f>90-34</f>
        <v>56</v>
      </c>
      <c r="I63" s="34"/>
    </row>
    <row r="64" spans="1:9" x14ac:dyDescent="0.2">
      <c r="A64" s="32">
        <f t="shared" si="2"/>
        <v>54</v>
      </c>
      <c r="B64" s="33" t="s">
        <v>125</v>
      </c>
      <c r="C64" s="34">
        <f t="shared" si="0"/>
        <v>3592</v>
      </c>
      <c r="D64" s="34"/>
      <c r="E64" s="34"/>
      <c r="F64" s="34">
        <v>3592</v>
      </c>
      <c r="G64" s="34">
        <v>623</v>
      </c>
      <c r="H64" s="34"/>
      <c r="I64" s="34"/>
    </row>
    <row r="65" spans="1:9" x14ac:dyDescent="0.2">
      <c r="A65" s="32">
        <f t="shared" si="2"/>
        <v>55</v>
      </c>
      <c r="B65" s="33" t="s">
        <v>126</v>
      </c>
      <c r="C65" s="34">
        <f t="shared" si="0"/>
        <v>17555</v>
      </c>
      <c r="D65" s="34"/>
      <c r="E65" s="34"/>
      <c r="F65" s="34">
        <v>17555</v>
      </c>
      <c r="G65" s="34"/>
      <c r="H65" s="34">
        <f>16+1</f>
        <v>17</v>
      </c>
      <c r="I65" s="34"/>
    </row>
    <row r="66" spans="1:9" x14ac:dyDescent="0.2">
      <c r="A66" s="32">
        <f t="shared" si="2"/>
        <v>56</v>
      </c>
      <c r="B66" s="33" t="s">
        <v>127</v>
      </c>
      <c r="C66" s="34">
        <f t="shared" si="0"/>
        <v>927</v>
      </c>
      <c r="D66" s="34"/>
      <c r="E66" s="34"/>
      <c r="F66" s="34">
        <v>927</v>
      </c>
      <c r="G66" s="34"/>
      <c r="H66" s="34"/>
      <c r="I66" s="34"/>
    </row>
    <row r="67" spans="1:9" x14ac:dyDescent="0.2">
      <c r="A67" s="32">
        <f t="shared" si="2"/>
        <v>57</v>
      </c>
      <c r="B67" s="33" t="s">
        <v>128</v>
      </c>
      <c r="C67" s="34">
        <f t="shared" si="0"/>
        <v>6734</v>
      </c>
      <c r="D67" s="34">
        <v>200</v>
      </c>
      <c r="E67" s="34"/>
      <c r="F67" s="34">
        <v>6534</v>
      </c>
      <c r="G67" s="34">
        <v>623</v>
      </c>
      <c r="H67" s="34"/>
      <c r="I67" s="34"/>
    </row>
    <row r="68" spans="1:9" x14ac:dyDescent="0.2">
      <c r="A68" s="32">
        <f t="shared" si="2"/>
        <v>58</v>
      </c>
      <c r="B68" s="33" t="s">
        <v>129</v>
      </c>
      <c r="C68" s="34">
        <f t="shared" si="0"/>
        <v>927</v>
      </c>
      <c r="D68" s="34"/>
      <c r="E68" s="34"/>
      <c r="F68" s="34">
        <v>927</v>
      </c>
      <c r="G68" s="34"/>
      <c r="H68" s="34"/>
      <c r="I68" s="34"/>
    </row>
    <row r="69" spans="1:9" x14ac:dyDescent="0.2">
      <c r="A69" s="32">
        <f t="shared" si="2"/>
        <v>59</v>
      </c>
      <c r="B69" s="33" t="s">
        <v>130</v>
      </c>
      <c r="C69" s="34">
        <f t="shared" si="0"/>
        <v>12144</v>
      </c>
      <c r="D69" s="34">
        <f>277</f>
        <v>277</v>
      </c>
      <c r="E69" s="34"/>
      <c r="F69" s="34">
        <f>11863+4</f>
        <v>11867</v>
      </c>
      <c r="G69" s="34">
        <v>627</v>
      </c>
      <c r="H69" s="34">
        <f>68-1</f>
        <v>67</v>
      </c>
      <c r="I69" s="34"/>
    </row>
    <row r="70" spans="1:9" x14ac:dyDescent="0.2">
      <c r="A70" s="32">
        <f t="shared" si="2"/>
        <v>60</v>
      </c>
      <c r="B70" s="33" t="s">
        <v>131</v>
      </c>
      <c r="C70" s="34">
        <f t="shared" si="0"/>
        <v>14276</v>
      </c>
      <c r="D70" s="34">
        <v>442</v>
      </c>
      <c r="E70" s="34"/>
      <c r="F70" s="34">
        <f>13693+141</f>
        <v>13834</v>
      </c>
      <c r="G70" s="34">
        <v>652</v>
      </c>
      <c r="H70" s="34"/>
      <c r="I70" s="34"/>
    </row>
    <row r="71" spans="1:9" x14ac:dyDescent="0.2">
      <c r="A71" s="32">
        <f t="shared" si="2"/>
        <v>61</v>
      </c>
      <c r="B71" s="33" t="s">
        <v>53</v>
      </c>
      <c r="C71" s="34">
        <f t="shared" si="0"/>
        <v>13686</v>
      </c>
      <c r="D71" s="34">
        <f>490+175+4+74</f>
        <v>743</v>
      </c>
      <c r="E71" s="34"/>
      <c r="F71" s="34">
        <f>13021-4-74</f>
        <v>12943</v>
      </c>
      <c r="G71" s="34">
        <v>1300</v>
      </c>
      <c r="H71" s="34">
        <f>335+6</f>
        <v>341</v>
      </c>
      <c r="I71" s="34"/>
    </row>
    <row r="72" spans="1:9" ht="14.25" customHeight="1" x14ac:dyDescent="0.2">
      <c r="A72" s="32">
        <f t="shared" si="2"/>
        <v>62</v>
      </c>
      <c r="B72" s="33" t="s">
        <v>132</v>
      </c>
      <c r="C72" s="34">
        <f t="shared" ref="C72:C111" si="3">D72+F72+I72</f>
        <v>9302</v>
      </c>
      <c r="D72" s="34">
        <v>20</v>
      </c>
      <c r="E72" s="34"/>
      <c r="F72" s="34">
        <v>9282</v>
      </c>
      <c r="G72" s="34"/>
      <c r="H72" s="34"/>
      <c r="I72" s="34"/>
    </row>
    <row r="73" spans="1:9" x14ac:dyDescent="0.2">
      <c r="A73" s="32">
        <f t="shared" si="2"/>
        <v>63</v>
      </c>
      <c r="B73" s="33" t="s">
        <v>22</v>
      </c>
      <c r="C73" s="34">
        <f t="shared" si="3"/>
        <v>21220</v>
      </c>
      <c r="D73" s="34">
        <f>1593-24</f>
        <v>1569</v>
      </c>
      <c r="E73" s="34">
        <f>150-5</f>
        <v>145</v>
      </c>
      <c r="F73" s="34">
        <f>19927+24-300</f>
        <v>19651</v>
      </c>
      <c r="G73" s="34">
        <v>623</v>
      </c>
      <c r="H73" s="34">
        <f>3422-400</f>
        <v>3022</v>
      </c>
      <c r="I73" s="34"/>
    </row>
    <row r="74" spans="1:9" x14ac:dyDescent="0.2">
      <c r="A74" s="32">
        <f t="shared" si="2"/>
        <v>64</v>
      </c>
      <c r="B74" s="42" t="s">
        <v>233</v>
      </c>
      <c r="C74" s="34">
        <f t="shared" si="3"/>
        <v>2800</v>
      </c>
      <c r="D74" s="34"/>
      <c r="E74" s="34"/>
      <c r="F74" s="34">
        <v>2800</v>
      </c>
      <c r="G74" s="34"/>
      <c r="H74" s="34"/>
      <c r="I74" s="34"/>
    </row>
    <row r="75" spans="1:9" x14ac:dyDescent="0.2">
      <c r="A75" s="32">
        <f t="shared" si="2"/>
        <v>65</v>
      </c>
      <c r="B75" s="33" t="s">
        <v>134</v>
      </c>
      <c r="C75" s="34">
        <f t="shared" si="3"/>
        <v>2001</v>
      </c>
      <c r="D75" s="34"/>
      <c r="E75" s="34"/>
      <c r="F75" s="34">
        <v>2001</v>
      </c>
      <c r="G75" s="34"/>
      <c r="H75" s="34"/>
      <c r="I75" s="34"/>
    </row>
    <row r="76" spans="1:9" x14ac:dyDescent="0.2">
      <c r="A76" s="32">
        <f t="shared" si="2"/>
        <v>66</v>
      </c>
      <c r="B76" s="33" t="s">
        <v>135</v>
      </c>
      <c r="C76" s="34">
        <f t="shared" si="3"/>
        <v>2278</v>
      </c>
      <c r="D76" s="34"/>
      <c r="E76" s="34"/>
      <c r="F76" s="34">
        <v>2278</v>
      </c>
      <c r="G76" s="34"/>
      <c r="H76" s="34"/>
      <c r="I76" s="34"/>
    </row>
    <row r="77" spans="1:9" x14ac:dyDescent="0.2">
      <c r="A77" s="32">
        <f t="shared" si="2"/>
        <v>67</v>
      </c>
      <c r="B77" s="33" t="s">
        <v>30</v>
      </c>
      <c r="C77" s="34">
        <f t="shared" si="3"/>
        <v>5425</v>
      </c>
      <c r="D77" s="34"/>
      <c r="E77" s="34"/>
      <c r="F77" s="34">
        <v>5425</v>
      </c>
      <c r="G77" s="34"/>
      <c r="H77" s="34">
        <f>28+2</f>
        <v>30</v>
      </c>
      <c r="I77" s="34"/>
    </row>
    <row r="78" spans="1:9" x14ac:dyDescent="0.2">
      <c r="A78" s="32">
        <f t="shared" si="2"/>
        <v>68</v>
      </c>
      <c r="B78" s="33" t="s">
        <v>136</v>
      </c>
      <c r="C78" s="34">
        <f t="shared" si="3"/>
        <v>2766</v>
      </c>
      <c r="D78" s="34"/>
      <c r="E78" s="34"/>
      <c r="F78" s="34">
        <v>2766</v>
      </c>
      <c r="G78" s="34"/>
      <c r="H78" s="34">
        <f>3-3</f>
        <v>0</v>
      </c>
      <c r="I78" s="34"/>
    </row>
    <row r="79" spans="1:9" x14ac:dyDescent="0.2">
      <c r="A79" s="32">
        <f t="shared" si="2"/>
        <v>69</v>
      </c>
      <c r="B79" s="33" t="s">
        <v>137</v>
      </c>
      <c r="C79" s="34">
        <f t="shared" si="3"/>
        <v>3741</v>
      </c>
      <c r="D79" s="34"/>
      <c r="E79" s="34"/>
      <c r="F79" s="34">
        <v>3741</v>
      </c>
      <c r="G79" s="34"/>
      <c r="H79" s="34">
        <v>36</v>
      </c>
      <c r="I79" s="34"/>
    </row>
    <row r="80" spans="1:9" x14ac:dyDescent="0.2">
      <c r="A80" s="32">
        <f t="shared" si="2"/>
        <v>70</v>
      </c>
      <c r="B80" s="33" t="s">
        <v>138</v>
      </c>
      <c r="C80" s="34">
        <f t="shared" si="3"/>
        <v>3599</v>
      </c>
      <c r="D80" s="34"/>
      <c r="E80" s="34"/>
      <c r="F80" s="34">
        <v>3599</v>
      </c>
      <c r="G80" s="34"/>
      <c r="H80" s="34"/>
      <c r="I80" s="34"/>
    </row>
    <row r="81" spans="1:9" x14ac:dyDescent="0.2">
      <c r="A81" s="32">
        <f t="shared" si="2"/>
        <v>71</v>
      </c>
      <c r="B81" s="33" t="s">
        <v>139</v>
      </c>
      <c r="C81" s="34">
        <f t="shared" si="3"/>
        <v>4766</v>
      </c>
      <c r="D81" s="34"/>
      <c r="E81" s="34"/>
      <c r="F81" s="34">
        <v>4766</v>
      </c>
      <c r="G81" s="34"/>
      <c r="H81" s="34">
        <f>31+3</f>
        <v>34</v>
      </c>
      <c r="I81" s="34"/>
    </row>
    <row r="82" spans="1:9" x14ac:dyDescent="0.2">
      <c r="A82" s="32">
        <f t="shared" si="2"/>
        <v>72</v>
      </c>
      <c r="B82" s="33" t="s">
        <v>140</v>
      </c>
      <c r="C82" s="34">
        <f t="shared" si="3"/>
        <v>1789</v>
      </c>
      <c r="D82" s="34"/>
      <c r="E82" s="34"/>
      <c r="F82" s="34">
        <v>1789</v>
      </c>
      <c r="G82" s="34"/>
      <c r="H82" s="34"/>
      <c r="I82" s="34"/>
    </row>
    <row r="83" spans="1:9" x14ac:dyDescent="0.2">
      <c r="A83" s="32">
        <f t="shared" si="2"/>
        <v>73</v>
      </c>
      <c r="B83" s="33" t="s">
        <v>141</v>
      </c>
      <c r="C83" s="34">
        <f t="shared" si="3"/>
        <v>2584</v>
      </c>
      <c r="D83" s="34"/>
      <c r="E83" s="34"/>
      <c r="F83" s="34">
        <v>2584</v>
      </c>
      <c r="G83" s="34"/>
      <c r="H83" s="34">
        <v>19</v>
      </c>
      <c r="I83" s="34"/>
    </row>
    <row r="84" spans="1:9" x14ac:dyDescent="0.2">
      <c r="A84" s="32">
        <f t="shared" si="2"/>
        <v>74</v>
      </c>
      <c r="B84" s="33" t="s">
        <v>142</v>
      </c>
      <c r="C84" s="34">
        <f t="shared" si="3"/>
        <v>3635</v>
      </c>
      <c r="D84" s="34"/>
      <c r="E84" s="34"/>
      <c r="F84" s="34">
        <v>3635</v>
      </c>
      <c r="G84" s="34"/>
      <c r="H84" s="34">
        <f>145+53</f>
        <v>198</v>
      </c>
      <c r="I84" s="34"/>
    </row>
    <row r="85" spans="1:9" x14ac:dyDescent="0.2">
      <c r="A85" s="32">
        <f t="shared" si="2"/>
        <v>75</v>
      </c>
      <c r="B85" s="33" t="s">
        <v>15</v>
      </c>
      <c r="C85" s="34">
        <f t="shared" si="3"/>
        <v>5299</v>
      </c>
      <c r="D85" s="34">
        <f>238+2+2</f>
        <v>242</v>
      </c>
      <c r="E85" s="34"/>
      <c r="F85" s="34">
        <f>4971-2+90-2</f>
        <v>5057</v>
      </c>
      <c r="G85" s="34">
        <v>312</v>
      </c>
      <c r="H85" s="34">
        <f>385+9</f>
        <v>394</v>
      </c>
      <c r="I85" s="34"/>
    </row>
    <row r="86" spans="1:9" x14ac:dyDescent="0.2">
      <c r="A86" s="32">
        <f t="shared" si="2"/>
        <v>76</v>
      </c>
      <c r="B86" s="33" t="s">
        <v>143</v>
      </c>
      <c r="C86" s="34">
        <f t="shared" si="3"/>
        <v>2103</v>
      </c>
      <c r="D86" s="34"/>
      <c r="E86" s="34"/>
      <c r="F86" s="34">
        <v>2103</v>
      </c>
      <c r="G86" s="34"/>
      <c r="H86" s="34">
        <v>8</v>
      </c>
      <c r="I86" s="34"/>
    </row>
    <row r="87" spans="1:9" x14ac:dyDescent="0.2">
      <c r="A87" s="32">
        <f t="shared" si="2"/>
        <v>77</v>
      </c>
      <c r="B87" s="33" t="s">
        <v>144</v>
      </c>
      <c r="C87" s="34">
        <f t="shared" si="3"/>
        <v>3033</v>
      </c>
      <c r="D87" s="34"/>
      <c r="E87" s="34"/>
      <c r="F87" s="34">
        <v>3033</v>
      </c>
      <c r="G87" s="34"/>
      <c r="H87" s="34"/>
      <c r="I87" s="34"/>
    </row>
    <row r="88" spans="1:9" x14ac:dyDescent="0.2">
      <c r="A88" s="32">
        <f t="shared" si="2"/>
        <v>78</v>
      </c>
      <c r="B88" s="33" t="s">
        <v>145</v>
      </c>
      <c r="C88" s="34">
        <f t="shared" si="3"/>
        <v>4426</v>
      </c>
      <c r="D88" s="34"/>
      <c r="E88" s="34"/>
      <c r="F88" s="34">
        <v>4426</v>
      </c>
      <c r="G88" s="34"/>
      <c r="H88" s="34">
        <f>6-3</f>
        <v>3</v>
      </c>
      <c r="I88" s="34"/>
    </row>
    <row r="89" spans="1:9" x14ac:dyDescent="0.2">
      <c r="A89" s="32">
        <f t="shared" si="2"/>
        <v>79</v>
      </c>
      <c r="B89" s="33" t="s">
        <v>146</v>
      </c>
      <c r="C89" s="34">
        <f t="shared" si="3"/>
        <v>2244</v>
      </c>
      <c r="D89" s="34"/>
      <c r="E89" s="34"/>
      <c r="F89" s="34">
        <v>2244</v>
      </c>
      <c r="G89" s="34"/>
      <c r="H89" s="34"/>
      <c r="I89" s="34"/>
    </row>
    <row r="90" spans="1:9" ht="16.5" customHeight="1" x14ac:dyDescent="0.2">
      <c r="A90" s="32">
        <f t="shared" si="2"/>
        <v>80</v>
      </c>
      <c r="B90" s="39" t="s">
        <v>234</v>
      </c>
      <c r="C90" s="34">
        <f t="shared" si="3"/>
        <v>7641</v>
      </c>
      <c r="D90" s="34"/>
      <c r="E90" s="34"/>
      <c r="F90" s="34">
        <f>7611+30</f>
        <v>7641</v>
      </c>
      <c r="G90" s="34">
        <v>522</v>
      </c>
      <c r="H90" s="34">
        <f>0+1</f>
        <v>1</v>
      </c>
      <c r="I90" s="34"/>
    </row>
    <row r="91" spans="1:9" x14ac:dyDescent="0.2">
      <c r="A91" s="32">
        <f t="shared" si="2"/>
        <v>81</v>
      </c>
      <c r="B91" s="33" t="s">
        <v>235</v>
      </c>
      <c r="C91" s="34">
        <f t="shared" si="3"/>
        <v>329</v>
      </c>
      <c r="D91" s="34">
        <f>240</f>
        <v>240</v>
      </c>
      <c r="E91" s="34"/>
      <c r="F91" s="34">
        <f>59+30</f>
        <v>89</v>
      </c>
      <c r="G91" s="34"/>
      <c r="H91" s="34"/>
      <c r="I91" s="34"/>
    </row>
    <row r="92" spans="1:9" x14ac:dyDescent="0.2">
      <c r="A92" s="32">
        <f t="shared" si="2"/>
        <v>82</v>
      </c>
      <c r="B92" s="33" t="s">
        <v>236</v>
      </c>
      <c r="C92" s="34">
        <f t="shared" si="3"/>
        <v>17</v>
      </c>
      <c r="D92" s="34"/>
      <c r="E92" s="34"/>
      <c r="F92" s="34">
        <v>17</v>
      </c>
      <c r="G92" s="34"/>
      <c r="H92" s="34"/>
      <c r="I92" s="34"/>
    </row>
    <row r="93" spans="1:9" x14ac:dyDescent="0.2">
      <c r="A93" s="32">
        <f t="shared" si="2"/>
        <v>83</v>
      </c>
      <c r="B93" s="43" t="s">
        <v>149</v>
      </c>
      <c r="C93" s="34">
        <f t="shared" si="3"/>
        <v>17</v>
      </c>
      <c r="D93" s="34"/>
      <c r="E93" s="34"/>
      <c r="F93" s="34">
        <v>17</v>
      </c>
      <c r="G93" s="34"/>
      <c r="H93" s="34"/>
      <c r="I93" s="34"/>
    </row>
    <row r="94" spans="1:9" ht="15" customHeight="1" x14ac:dyDescent="0.2">
      <c r="A94" s="32">
        <f t="shared" si="2"/>
        <v>84</v>
      </c>
      <c r="B94" s="44" t="s">
        <v>237</v>
      </c>
      <c r="C94" s="34">
        <f t="shared" si="3"/>
        <v>3693</v>
      </c>
      <c r="D94" s="34"/>
      <c r="E94" s="34"/>
      <c r="F94" s="34"/>
      <c r="G94" s="34"/>
      <c r="H94" s="34"/>
      <c r="I94" s="34">
        <v>3693</v>
      </c>
    </row>
    <row r="95" spans="1:9" x14ac:dyDescent="0.2">
      <c r="A95" s="32">
        <f t="shared" si="2"/>
        <v>85</v>
      </c>
      <c r="B95" s="42" t="s">
        <v>238</v>
      </c>
      <c r="C95" s="34">
        <f t="shared" si="3"/>
        <v>1942</v>
      </c>
      <c r="D95" s="34"/>
      <c r="E95" s="34"/>
      <c r="F95" s="34"/>
      <c r="G95" s="34"/>
      <c r="H95" s="34"/>
      <c r="I95" s="34">
        <v>1942</v>
      </c>
    </row>
    <row r="96" spans="1:9" x14ac:dyDescent="0.2">
      <c r="A96" s="32">
        <f t="shared" si="2"/>
        <v>86</v>
      </c>
      <c r="B96" s="33" t="s">
        <v>239</v>
      </c>
      <c r="C96" s="34">
        <f t="shared" si="3"/>
        <v>17</v>
      </c>
      <c r="D96" s="34"/>
      <c r="E96" s="34"/>
      <c r="F96" s="34">
        <v>17</v>
      </c>
      <c r="G96" s="34"/>
      <c r="H96" s="34"/>
      <c r="I96" s="34"/>
    </row>
    <row r="97" spans="1:9" x14ac:dyDescent="0.2">
      <c r="A97" s="32">
        <f t="shared" si="2"/>
        <v>87</v>
      </c>
      <c r="B97" s="50" t="s">
        <v>240</v>
      </c>
      <c r="C97" s="34">
        <f t="shared" si="3"/>
        <v>27439</v>
      </c>
      <c r="D97" s="34">
        <f>2434-45+10+7+14+5+1</f>
        <v>2426</v>
      </c>
      <c r="E97" s="34">
        <v>97</v>
      </c>
      <c r="F97" s="34">
        <f>24889+45-10+20-7-14-5-1+96</f>
        <v>25013</v>
      </c>
      <c r="G97" s="34">
        <f>831+96</f>
        <v>927</v>
      </c>
      <c r="H97" s="34">
        <f>603+29</f>
        <v>632</v>
      </c>
      <c r="I97" s="34"/>
    </row>
    <row r="98" spans="1:9" x14ac:dyDescent="0.2">
      <c r="A98" s="32">
        <f t="shared" si="2"/>
        <v>88</v>
      </c>
      <c r="B98" s="50" t="s">
        <v>217</v>
      </c>
      <c r="C98" s="34">
        <f t="shared" si="3"/>
        <v>21372</v>
      </c>
      <c r="D98" s="34">
        <f>1224+1</f>
        <v>1225</v>
      </c>
      <c r="E98" s="34">
        <f>1224+1</f>
        <v>1225</v>
      </c>
      <c r="F98" s="34">
        <f>18426+777+182-1+763</f>
        <v>20147</v>
      </c>
      <c r="G98" s="34"/>
      <c r="H98" s="34">
        <f>16955+182+787</f>
        <v>17924</v>
      </c>
      <c r="I98" s="34"/>
    </row>
    <row r="99" spans="1:9" x14ac:dyDescent="0.2">
      <c r="A99" s="32">
        <f t="shared" si="2"/>
        <v>89</v>
      </c>
      <c r="B99" s="44" t="s">
        <v>24</v>
      </c>
      <c r="C99" s="34">
        <f t="shared" si="3"/>
        <v>12316</v>
      </c>
      <c r="D99" s="34">
        <f>3088+230</f>
        <v>3318</v>
      </c>
      <c r="E99" s="34"/>
      <c r="F99" s="34">
        <f>8498+500</f>
        <v>8998</v>
      </c>
      <c r="G99" s="34">
        <v>624</v>
      </c>
      <c r="H99" s="34"/>
      <c r="I99" s="34"/>
    </row>
    <row r="100" spans="1:9" x14ac:dyDescent="0.2">
      <c r="A100" s="32">
        <f t="shared" si="2"/>
        <v>90</v>
      </c>
      <c r="B100" s="44" t="s">
        <v>241</v>
      </c>
      <c r="C100" s="34">
        <f t="shared" si="3"/>
        <v>16318</v>
      </c>
      <c r="D100" s="34">
        <f>927+18-6+4</f>
        <v>943</v>
      </c>
      <c r="E100" s="34">
        <f>105+1</f>
        <v>106</v>
      </c>
      <c r="F100" s="34">
        <f>17517-535-1450-141-18+6-4</f>
        <v>15375</v>
      </c>
      <c r="G100" s="34">
        <v>240</v>
      </c>
      <c r="H100" s="34">
        <f>434+88</f>
        <v>522</v>
      </c>
      <c r="I100" s="34"/>
    </row>
    <row r="101" spans="1:9" x14ac:dyDescent="0.2">
      <c r="A101" s="32">
        <f t="shared" si="2"/>
        <v>91</v>
      </c>
      <c r="B101" s="44" t="s">
        <v>154</v>
      </c>
      <c r="C101" s="34">
        <f t="shared" si="3"/>
        <v>12051</v>
      </c>
      <c r="D101" s="34">
        <v>2424</v>
      </c>
      <c r="E101" s="34"/>
      <c r="F101" s="34">
        <f>9822-195</f>
        <v>9627</v>
      </c>
      <c r="G101" s="34"/>
      <c r="H101" s="34"/>
      <c r="I101" s="34"/>
    </row>
    <row r="102" spans="1:9" x14ac:dyDescent="0.2">
      <c r="A102" s="32">
        <f t="shared" si="2"/>
        <v>92</v>
      </c>
      <c r="B102" s="44" t="s">
        <v>155</v>
      </c>
      <c r="C102" s="34">
        <f t="shared" si="3"/>
        <v>5366</v>
      </c>
      <c r="D102" s="34">
        <v>52</v>
      </c>
      <c r="E102" s="34"/>
      <c r="F102" s="34">
        <v>5314</v>
      </c>
      <c r="G102" s="34"/>
      <c r="H102" s="34"/>
      <c r="I102" s="34"/>
    </row>
    <row r="103" spans="1:9" x14ac:dyDescent="0.2">
      <c r="A103" s="32">
        <f t="shared" si="2"/>
        <v>93</v>
      </c>
      <c r="B103" s="44" t="s">
        <v>26</v>
      </c>
      <c r="C103" s="34">
        <f t="shared" si="3"/>
        <v>22914</v>
      </c>
      <c r="D103" s="34">
        <f>660-13-25</f>
        <v>622</v>
      </c>
      <c r="E103" s="34"/>
      <c r="F103" s="34">
        <f>22254+13+25</f>
        <v>22292</v>
      </c>
      <c r="G103" s="34"/>
      <c r="H103" s="34"/>
      <c r="I103" s="34"/>
    </row>
    <row r="104" spans="1:9" x14ac:dyDescent="0.2">
      <c r="A104" s="32">
        <f t="shared" si="2"/>
        <v>94</v>
      </c>
      <c r="B104" s="45" t="s">
        <v>27</v>
      </c>
      <c r="C104" s="34">
        <f t="shared" si="3"/>
        <v>5424</v>
      </c>
      <c r="D104" s="34">
        <v>216</v>
      </c>
      <c r="E104" s="34"/>
      <c r="F104" s="34">
        <v>5208</v>
      </c>
      <c r="G104" s="34">
        <v>1350</v>
      </c>
      <c r="H104" s="34"/>
      <c r="I104" s="34"/>
    </row>
    <row r="105" spans="1:9" x14ac:dyDescent="0.2">
      <c r="A105" s="32">
        <f t="shared" si="2"/>
        <v>95</v>
      </c>
      <c r="B105" s="45" t="s">
        <v>28</v>
      </c>
      <c r="C105" s="34">
        <f t="shared" si="3"/>
        <v>25054</v>
      </c>
      <c r="D105" s="34">
        <f>1101-2-5</f>
        <v>1094</v>
      </c>
      <c r="E105" s="34">
        <v>0</v>
      </c>
      <c r="F105" s="34">
        <v>23960</v>
      </c>
      <c r="G105" s="34">
        <f>1246+65</f>
        <v>1311</v>
      </c>
      <c r="H105" s="34">
        <f>329-105</f>
        <v>224</v>
      </c>
      <c r="I105" s="34"/>
    </row>
    <row r="106" spans="1:9" x14ac:dyDescent="0.2">
      <c r="A106" s="318">
        <f t="shared" si="2"/>
        <v>96</v>
      </c>
      <c r="B106" s="45" t="s">
        <v>29</v>
      </c>
      <c r="C106" s="34">
        <f>D106+F106+I106</f>
        <v>22518</v>
      </c>
      <c r="D106" s="34">
        <f>1254-29-8-4+1</f>
        <v>1214</v>
      </c>
      <c r="E106" s="34"/>
      <c r="F106" s="34">
        <f>21126-4+29+8+4+95-1+48-1</f>
        <v>21304</v>
      </c>
      <c r="G106" s="34">
        <v>800</v>
      </c>
      <c r="H106" s="34">
        <f>1198+22</f>
        <v>1220</v>
      </c>
      <c r="I106" s="34"/>
    </row>
    <row r="107" spans="1:9" s="38" customFormat="1" ht="25.5" x14ac:dyDescent="0.2">
      <c r="A107" s="323"/>
      <c r="B107" s="37" t="s">
        <v>242</v>
      </c>
      <c r="C107" s="34">
        <f t="shared" si="3"/>
        <v>2163</v>
      </c>
      <c r="D107" s="36"/>
      <c r="E107" s="36"/>
      <c r="F107" s="36">
        <f>2258-95</f>
        <v>2163</v>
      </c>
      <c r="G107" s="36"/>
      <c r="H107" s="36"/>
      <c r="I107" s="36"/>
    </row>
    <row r="108" spans="1:9" x14ac:dyDescent="0.2">
      <c r="A108" s="32">
        <f>A106+1</f>
        <v>97</v>
      </c>
      <c r="B108" s="45" t="s">
        <v>243</v>
      </c>
      <c r="C108" s="34">
        <f t="shared" si="3"/>
        <v>15841</v>
      </c>
      <c r="D108" s="34"/>
      <c r="E108" s="34"/>
      <c r="F108" s="34">
        <v>15841</v>
      </c>
      <c r="G108" s="34"/>
      <c r="H108" s="34"/>
      <c r="I108" s="34"/>
    </row>
    <row r="109" spans="1:9" ht="14.25" customHeight="1" x14ac:dyDescent="0.2">
      <c r="A109" s="32">
        <v>98</v>
      </c>
      <c r="B109" s="46" t="s">
        <v>244</v>
      </c>
      <c r="C109" s="34">
        <f t="shared" si="3"/>
        <v>792</v>
      </c>
      <c r="D109" s="34"/>
      <c r="E109" s="34"/>
      <c r="F109" s="34">
        <v>792</v>
      </c>
      <c r="G109" s="34"/>
      <c r="H109" s="34"/>
      <c r="I109" s="34"/>
    </row>
    <row r="110" spans="1:9" x14ac:dyDescent="0.2">
      <c r="A110" s="32">
        <v>99</v>
      </c>
      <c r="B110" s="44" t="s">
        <v>245</v>
      </c>
      <c r="C110" s="34">
        <f t="shared" si="3"/>
        <v>1010</v>
      </c>
      <c r="D110" s="34">
        <v>300</v>
      </c>
      <c r="E110" s="34"/>
      <c r="F110" s="34">
        <f>710</f>
        <v>710</v>
      </c>
      <c r="G110" s="34"/>
      <c r="H110" s="34"/>
      <c r="I110" s="34"/>
    </row>
    <row r="111" spans="1:9" x14ac:dyDescent="0.2">
      <c r="A111" s="32"/>
      <c r="B111" s="51" t="s">
        <v>246</v>
      </c>
      <c r="C111" s="34">
        <f t="shared" si="3"/>
        <v>15460</v>
      </c>
      <c r="D111" s="34">
        <f>133-133</f>
        <v>0</v>
      </c>
      <c r="E111" s="34"/>
      <c r="F111" s="52">
        <v>15460</v>
      </c>
      <c r="G111" s="34">
        <f>113-82</f>
        <v>31</v>
      </c>
      <c r="H111" s="34">
        <f>1080+120</f>
        <v>1200</v>
      </c>
      <c r="I111" s="34"/>
    </row>
    <row r="112" spans="1:9" x14ac:dyDescent="0.2">
      <c r="A112" s="47"/>
      <c r="B112" s="48" t="s">
        <v>166</v>
      </c>
      <c r="C112" s="49">
        <f t="shared" ref="C112:I112" si="4">SUM(C6:C111)</f>
        <v>713466</v>
      </c>
      <c r="D112" s="49">
        <f t="shared" si="4"/>
        <v>18841</v>
      </c>
      <c r="E112" s="49">
        <f t="shared" si="4"/>
        <v>1633</v>
      </c>
      <c r="F112" s="49">
        <f t="shared" si="4"/>
        <v>688990</v>
      </c>
      <c r="G112" s="49">
        <f t="shared" si="4"/>
        <v>13071</v>
      </c>
      <c r="H112" s="49">
        <f t="shared" si="4"/>
        <v>36360</v>
      </c>
      <c r="I112" s="49">
        <f t="shared" si="4"/>
        <v>5635</v>
      </c>
    </row>
  </sheetData>
  <mergeCells count="14">
    <mergeCell ref="A8:A9"/>
    <mergeCell ref="A31:A32"/>
    <mergeCell ref="A36:A38"/>
    <mergeCell ref="A40:A41"/>
    <mergeCell ref="A106:A107"/>
    <mergeCell ref="A1:I1"/>
    <mergeCell ref="F2:I2"/>
    <mergeCell ref="A3:A4"/>
    <mergeCell ref="B3:B4"/>
    <mergeCell ref="C3:C4"/>
    <mergeCell ref="D3:D4"/>
    <mergeCell ref="F3:F4"/>
    <mergeCell ref="G3:H3"/>
    <mergeCell ref="I3:I4"/>
  </mergeCells>
  <pageMargins left="0.39370078740157483" right="0" top="0.59055118110236227" bottom="0.59055118110236227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9" sqref="E39"/>
    </sheetView>
  </sheetViews>
  <sheetFormatPr defaultRowHeight="12" x14ac:dyDescent="0.2"/>
  <cols>
    <col min="1" max="1" width="29.42578125" style="5" customWidth="1"/>
    <col min="2" max="2" width="7.85546875" style="5" customWidth="1"/>
    <col min="3" max="3" width="9.42578125" style="5" customWidth="1"/>
    <col min="4" max="4" width="9.140625" style="5" customWidth="1"/>
    <col min="5" max="5" width="9.42578125" style="5" customWidth="1"/>
    <col min="6" max="6" width="10.5703125" style="5" customWidth="1"/>
    <col min="7" max="7" width="9.7109375" style="5" customWidth="1"/>
    <col min="8" max="8" width="8.85546875" style="5" customWidth="1"/>
    <col min="9" max="9" width="9.42578125" style="5" customWidth="1"/>
    <col min="10" max="10" width="11.28515625" style="5" customWidth="1"/>
    <col min="11" max="11" width="10" style="5" customWidth="1"/>
    <col min="12" max="12" width="9.28515625" style="5" customWidth="1"/>
    <col min="13" max="13" width="11.42578125" style="5" customWidth="1"/>
    <col min="14" max="16384" width="9.140625" style="5"/>
  </cols>
  <sheetData>
    <row r="1" spans="1:16" ht="18.75" x14ac:dyDescent="0.2">
      <c r="A1" s="428" t="s">
        <v>184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6" x14ac:dyDescent="0.2">
      <c r="A2" s="20"/>
      <c r="B2" s="20"/>
      <c r="C2" s="20"/>
      <c r="D2" s="20"/>
      <c r="E2" s="20"/>
      <c r="F2" s="20"/>
      <c r="G2" s="20"/>
      <c r="H2" s="20"/>
      <c r="M2" s="21" t="s">
        <v>185</v>
      </c>
    </row>
    <row r="3" spans="1:16" s="11" customFormat="1" ht="11.25" customHeight="1" x14ac:dyDescent="0.2">
      <c r="A3" s="333" t="s">
        <v>0</v>
      </c>
      <c r="B3" s="426" t="s">
        <v>5</v>
      </c>
      <c r="C3" s="430" t="s">
        <v>5</v>
      </c>
      <c r="D3" s="431"/>
      <c r="E3" s="431"/>
      <c r="F3" s="432"/>
      <c r="G3" s="433" t="s">
        <v>186</v>
      </c>
      <c r="H3" s="434"/>
      <c r="I3" s="434"/>
      <c r="J3" s="435"/>
      <c r="K3" s="436" t="s">
        <v>187</v>
      </c>
      <c r="L3" s="436"/>
      <c r="M3" s="436"/>
    </row>
    <row r="4" spans="1:16" s="11" customFormat="1" ht="12.75" customHeight="1" x14ac:dyDescent="0.2">
      <c r="A4" s="333"/>
      <c r="B4" s="429"/>
      <c r="C4" s="437" t="s">
        <v>188</v>
      </c>
      <c r="D4" s="438"/>
      <c r="E4" s="439"/>
      <c r="F4" s="333" t="s">
        <v>189</v>
      </c>
      <c r="G4" s="440" t="s">
        <v>188</v>
      </c>
      <c r="H4" s="440"/>
      <c r="I4" s="440"/>
      <c r="J4" s="333" t="s">
        <v>189</v>
      </c>
      <c r="K4" s="440" t="s">
        <v>188</v>
      </c>
      <c r="L4" s="440"/>
      <c r="M4" s="333" t="s">
        <v>189</v>
      </c>
    </row>
    <row r="5" spans="1:16" s="11" customFormat="1" ht="12.75" customHeight="1" x14ac:dyDescent="0.2">
      <c r="A5" s="333"/>
      <c r="B5" s="429"/>
      <c r="C5" s="333" t="s">
        <v>190</v>
      </c>
      <c r="D5" s="333" t="s">
        <v>191</v>
      </c>
      <c r="E5" s="333" t="s">
        <v>192</v>
      </c>
      <c r="F5" s="333"/>
      <c r="G5" s="333" t="s">
        <v>190</v>
      </c>
      <c r="H5" s="426" t="s">
        <v>191</v>
      </c>
      <c r="I5" s="426" t="s">
        <v>192</v>
      </c>
      <c r="J5" s="333"/>
      <c r="K5" s="333" t="s">
        <v>190</v>
      </c>
      <c r="L5" s="333" t="s">
        <v>191</v>
      </c>
      <c r="M5" s="333"/>
    </row>
    <row r="6" spans="1:16" s="11" customFormat="1" ht="38.25" customHeight="1" x14ac:dyDescent="0.2">
      <c r="A6" s="333"/>
      <c r="B6" s="427"/>
      <c r="C6" s="333"/>
      <c r="D6" s="333"/>
      <c r="E6" s="333"/>
      <c r="F6" s="333"/>
      <c r="G6" s="333"/>
      <c r="H6" s="427"/>
      <c r="I6" s="427"/>
      <c r="J6" s="333"/>
      <c r="K6" s="333"/>
      <c r="L6" s="333"/>
      <c r="M6" s="333"/>
    </row>
    <row r="7" spans="1:16" x14ac:dyDescent="0.2">
      <c r="A7" s="22" t="s">
        <v>10</v>
      </c>
      <c r="B7" s="19">
        <f>C7+D7+E7+F7</f>
        <v>23951</v>
      </c>
      <c r="C7" s="19">
        <f t="shared" ref="C7:D22" si="0">G7+K7</f>
        <v>7191</v>
      </c>
      <c r="D7" s="19">
        <f t="shared" si="0"/>
        <v>7191</v>
      </c>
      <c r="E7" s="19">
        <f t="shared" ref="E7:E40" si="1">I7</f>
        <v>4779</v>
      </c>
      <c r="F7" s="19">
        <f t="shared" ref="F7:F40" si="2">J7+M7</f>
        <v>4790</v>
      </c>
      <c r="G7" s="23">
        <v>4779</v>
      </c>
      <c r="H7" s="23">
        <v>4779</v>
      </c>
      <c r="I7" s="23">
        <v>4779</v>
      </c>
      <c r="J7" s="23">
        <v>3584</v>
      </c>
      <c r="K7" s="23">
        <v>2412</v>
      </c>
      <c r="L7" s="23">
        <v>2412</v>
      </c>
      <c r="M7" s="23">
        <v>1206</v>
      </c>
      <c r="P7" s="199"/>
    </row>
    <row r="8" spans="1:16" x14ac:dyDescent="0.2">
      <c r="A8" s="22" t="s">
        <v>12</v>
      </c>
      <c r="B8" s="19">
        <f t="shared" ref="B8:B40" si="3">C8+D8+E8+F8</f>
        <v>23979</v>
      </c>
      <c r="C8" s="19">
        <f t="shared" si="0"/>
        <v>7475</v>
      </c>
      <c r="D8" s="19">
        <f t="shared" si="0"/>
        <v>7347</v>
      </c>
      <c r="E8" s="19">
        <f t="shared" si="1"/>
        <v>5767</v>
      </c>
      <c r="F8" s="19">
        <f t="shared" si="2"/>
        <v>3390</v>
      </c>
      <c r="G8" s="23">
        <v>5751</v>
      </c>
      <c r="H8" s="23">
        <v>5623</v>
      </c>
      <c r="I8" s="23">
        <v>5767</v>
      </c>
      <c r="J8" s="23">
        <v>2600</v>
      </c>
      <c r="K8" s="23">
        <v>1724</v>
      </c>
      <c r="L8" s="23">
        <v>1724</v>
      </c>
      <c r="M8" s="28">
        <v>790</v>
      </c>
    </row>
    <row r="9" spans="1:16" x14ac:dyDescent="0.2">
      <c r="A9" s="22" t="s">
        <v>13</v>
      </c>
      <c r="B9" s="19">
        <f t="shared" si="3"/>
        <v>9956</v>
      </c>
      <c r="C9" s="19">
        <f t="shared" si="0"/>
        <v>3000</v>
      </c>
      <c r="D9" s="19">
        <f t="shared" si="0"/>
        <v>3000</v>
      </c>
      <c r="E9" s="19">
        <f t="shared" si="1"/>
        <v>1962</v>
      </c>
      <c r="F9" s="19">
        <f t="shared" si="2"/>
        <v>1994</v>
      </c>
      <c r="G9" s="23">
        <v>1962</v>
      </c>
      <c r="H9" s="23">
        <v>1962</v>
      </c>
      <c r="I9" s="23">
        <v>1962</v>
      </c>
      <c r="J9" s="23">
        <v>1474</v>
      </c>
      <c r="K9" s="23">
        <v>1038</v>
      </c>
      <c r="L9" s="23">
        <v>1038</v>
      </c>
      <c r="M9" s="28">
        <v>520</v>
      </c>
    </row>
    <row r="10" spans="1:16" x14ac:dyDescent="0.2">
      <c r="A10" s="22" t="s">
        <v>18</v>
      </c>
      <c r="B10" s="19">
        <f t="shared" si="3"/>
        <v>6665</v>
      </c>
      <c r="C10" s="19">
        <f t="shared" si="0"/>
        <v>1485</v>
      </c>
      <c r="D10" s="19">
        <f t="shared" si="0"/>
        <v>2412</v>
      </c>
      <c r="E10" s="19">
        <f t="shared" si="1"/>
        <v>1121</v>
      </c>
      <c r="F10" s="19">
        <f t="shared" si="2"/>
        <v>1647</v>
      </c>
      <c r="G10" s="23">
        <v>1119</v>
      </c>
      <c r="H10" s="23">
        <v>1760</v>
      </c>
      <c r="I10" s="23">
        <v>1121</v>
      </c>
      <c r="J10" s="23">
        <v>1322</v>
      </c>
      <c r="K10" s="28">
        <v>366</v>
      </c>
      <c r="L10" s="28">
        <v>652</v>
      </c>
      <c r="M10" s="28">
        <v>325</v>
      </c>
    </row>
    <row r="11" spans="1:16" x14ac:dyDescent="0.2">
      <c r="A11" s="22" t="s">
        <v>193</v>
      </c>
      <c r="B11" s="19">
        <f t="shared" si="3"/>
        <v>20400</v>
      </c>
      <c r="C11" s="19">
        <f t="shared" si="0"/>
        <v>7315</v>
      </c>
      <c r="D11" s="19">
        <f t="shared" si="0"/>
        <v>4245</v>
      </c>
      <c r="E11" s="19">
        <f t="shared" si="1"/>
        <v>5987</v>
      </c>
      <c r="F11" s="19">
        <f t="shared" si="2"/>
        <v>2853</v>
      </c>
      <c r="G11" s="23">
        <v>5987</v>
      </c>
      <c r="H11" s="23">
        <v>2917</v>
      </c>
      <c r="I11" s="23">
        <v>5987</v>
      </c>
      <c r="J11" s="23">
        <v>2189</v>
      </c>
      <c r="K11" s="23">
        <v>1328</v>
      </c>
      <c r="L11" s="23">
        <v>1328</v>
      </c>
      <c r="M11" s="28">
        <v>664</v>
      </c>
    </row>
    <row r="12" spans="1:16" x14ac:dyDescent="0.2">
      <c r="A12" s="22" t="s">
        <v>15</v>
      </c>
      <c r="B12" s="19">
        <f>C12+D12+E12+F12</f>
        <v>21837</v>
      </c>
      <c r="C12" s="19">
        <f t="shared" si="0"/>
        <v>7152</v>
      </c>
      <c r="D12" s="19">
        <f t="shared" si="0"/>
        <v>6986</v>
      </c>
      <c r="E12" s="19">
        <f t="shared" si="1"/>
        <v>5457</v>
      </c>
      <c r="F12" s="19">
        <f t="shared" si="2"/>
        <v>2242</v>
      </c>
      <c r="G12" s="23">
        <f>5341</f>
        <v>5341</v>
      </c>
      <c r="H12" s="23">
        <f>5175</f>
        <v>5175</v>
      </c>
      <c r="I12" s="23">
        <v>5457</v>
      </c>
      <c r="J12" s="23">
        <v>1646</v>
      </c>
      <c r="K12" s="23">
        <f>1811</f>
        <v>1811</v>
      </c>
      <c r="L12" s="23">
        <f>1811</f>
        <v>1811</v>
      </c>
      <c r="M12" s="28">
        <v>596</v>
      </c>
    </row>
    <row r="13" spans="1:16" x14ac:dyDescent="0.2">
      <c r="A13" s="22" t="s">
        <v>194</v>
      </c>
      <c r="B13" s="19">
        <f t="shared" si="3"/>
        <v>36428</v>
      </c>
      <c r="C13" s="19">
        <f t="shared" si="0"/>
        <v>11341</v>
      </c>
      <c r="D13" s="19">
        <f t="shared" si="0"/>
        <v>11057</v>
      </c>
      <c r="E13" s="19">
        <f t="shared" si="1"/>
        <v>8496</v>
      </c>
      <c r="F13" s="19">
        <f t="shared" si="2"/>
        <v>5534</v>
      </c>
      <c r="G13" s="23">
        <v>8646</v>
      </c>
      <c r="H13" s="23">
        <v>8362</v>
      </c>
      <c r="I13" s="23">
        <v>8496</v>
      </c>
      <c r="J13" s="23">
        <v>4288</v>
      </c>
      <c r="K13" s="23">
        <v>2695</v>
      </c>
      <c r="L13" s="23">
        <v>2695</v>
      </c>
      <c r="M13" s="23">
        <v>1246</v>
      </c>
    </row>
    <row r="14" spans="1:16" x14ac:dyDescent="0.2">
      <c r="A14" s="22" t="s">
        <v>195</v>
      </c>
      <c r="B14" s="19">
        <f t="shared" si="3"/>
        <v>20717</v>
      </c>
      <c r="C14" s="19">
        <f t="shared" si="0"/>
        <v>4913</v>
      </c>
      <c r="D14" s="19">
        <f t="shared" si="0"/>
        <v>6929</v>
      </c>
      <c r="E14" s="19">
        <f t="shared" si="1"/>
        <v>4127</v>
      </c>
      <c r="F14" s="19">
        <f t="shared" si="2"/>
        <v>4748</v>
      </c>
      <c r="G14" s="23">
        <v>3435</v>
      </c>
      <c r="H14" s="23">
        <v>5120</v>
      </c>
      <c r="I14" s="23">
        <v>4127</v>
      </c>
      <c r="J14" s="23">
        <v>3843</v>
      </c>
      <c r="K14" s="23">
        <v>1478</v>
      </c>
      <c r="L14" s="23">
        <v>1809</v>
      </c>
      <c r="M14" s="28">
        <v>905</v>
      </c>
    </row>
    <row r="15" spans="1:16" x14ac:dyDescent="0.2">
      <c r="A15" s="22" t="s">
        <v>196</v>
      </c>
      <c r="B15" s="19">
        <f t="shared" si="3"/>
        <v>16786</v>
      </c>
      <c r="C15" s="19">
        <f t="shared" si="0"/>
        <v>5179</v>
      </c>
      <c r="D15" s="19">
        <f t="shared" si="0"/>
        <v>5001</v>
      </c>
      <c r="E15" s="19">
        <f t="shared" si="1"/>
        <v>3285</v>
      </c>
      <c r="F15" s="19">
        <f t="shared" si="2"/>
        <v>3321</v>
      </c>
      <c r="G15" s="23">
        <v>3463</v>
      </c>
      <c r="H15" s="23">
        <v>3285</v>
      </c>
      <c r="I15" s="23">
        <v>3285</v>
      </c>
      <c r="J15" s="23">
        <v>2463</v>
      </c>
      <c r="K15" s="23">
        <v>1716</v>
      </c>
      <c r="L15" s="23">
        <v>1716</v>
      </c>
      <c r="M15" s="28">
        <v>858</v>
      </c>
    </row>
    <row r="16" spans="1:16" ht="24" x14ac:dyDescent="0.2">
      <c r="A16" s="24" t="s">
        <v>197</v>
      </c>
      <c r="B16" s="19">
        <f t="shared" si="3"/>
        <v>38714</v>
      </c>
      <c r="C16" s="19">
        <f t="shared" si="0"/>
        <v>11193</v>
      </c>
      <c r="D16" s="19">
        <f t="shared" si="0"/>
        <v>9331</v>
      </c>
      <c r="E16" s="19">
        <f t="shared" si="1"/>
        <v>11193</v>
      </c>
      <c r="F16" s="19">
        <f t="shared" si="2"/>
        <v>6997</v>
      </c>
      <c r="G16" s="23">
        <v>11193</v>
      </c>
      <c r="H16" s="23">
        <v>9331</v>
      </c>
      <c r="I16" s="23">
        <v>11193</v>
      </c>
      <c r="J16" s="23">
        <v>6997</v>
      </c>
      <c r="K16" s="28">
        <v>0</v>
      </c>
      <c r="L16" s="28">
        <v>0</v>
      </c>
      <c r="M16" s="28">
        <v>0</v>
      </c>
    </row>
    <row r="17" spans="1:13" x14ac:dyDescent="0.2">
      <c r="A17" s="22" t="s">
        <v>198</v>
      </c>
      <c r="B17" s="19">
        <f t="shared" si="3"/>
        <v>11946</v>
      </c>
      <c r="C17" s="19">
        <f t="shared" si="0"/>
        <v>5634</v>
      </c>
      <c r="D17" s="19">
        <f t="shared" si="0"/>
        <v>4208</v>
      </c>
      <c r="E17" s="19">
        <f t="shared" si="1"/>
        <v>0</v>
      </c>
      <c r="F17" s="19">
        <f t="shared" si="2"/>
        <v>2104</v>
      </c>
      <c r="G17" s="28">
        <v>0</v>
      </c>
      <c r="H17" s="28">
        <v>0</v>
      </c>
      <c r="I17" s="28">
        <v>0</v>
      </c>
      <c r="J17" s="28">
        <v>0</v>
      </c>
      <c r="K17" s="23">
        <v>5634</v>
      </c>
      <c r="L17" s="23">
        <v>4208</v>
      </c>
      <c r="M17" s="23">
        <v>2104</v>
      </c>
    </row>
    <row r="18" spans="1:13" x14ac:dyDescent="0.2">
      <c r="A18" s="22" t="s">
        <v>199</v>
      </c>
      <c r="B18" s="19">
        <f t="shared" si="3"/>
        <v>38466</v>
      </c>
      <c r="C18" s="19">
        <f t="shared" si="0"/>
        <v>10830</v>
      </c>
      <c r="D18" s="19">
        <f t="shared" si="0"/>
        <v>10830</v>
      </c>
      <c r="E18" s="19">
        <f t="shared" si="1"/>
        <v>9110</v>
      </c>
      <c r="F18" s="19">
        <f t="shared" si="2"/>
        <v>7696</v>
      </c>
      <c r="G18" s="23">
        <v>9110</v>
      </c>
      <c r="H18" s="23">
        <v>9110</v>
      </c>
      <c r="I18" s="23">
        <v>9110</v>
      </c>
      <c r="J18" s="23">
        <v>6835</v>
      </c>
      <c r="K18" s="23">
        <v>1720</v>
      </c>
      <c r="L18" s="23">
        <v>1720</v>
      </c>
      <c r="M18" s="28">
        <v>861</v>
      </c>
    </row>
    <row r="19" spans="1:13" x14ac:dyDescent="0.2">
      <c r="A19" s="22" t="s">
        <v>20</v>
      </c>
      <c r="B19" s="19">
        <f t="shared" si="3"/>
        <v>4414</v>
      </c>
      <c r="C19" s="19">
        <f t="shared" si="0"/>
        <v>1763</v>
      </c>
      <c r="D19" s="19">
        <f t="shared" si="0"/>
        <v>1763</v>
      </c>
      <c r="E19" s="19">
        <f t="shared" si="1"/>
        <v>0</v>
      </c>
      <c r="F19" s="19">
        <f t="shared" si="2"/>
        <v>888</v>
      </c>
      <c r="G19" s="28">
        <v>0</v>
      </c>
      <c r="H19" s="28">
        <v>0</v>
      </c>
      <c r="I19" s="28">
        <v>0</v>
      </c>
      <c r="J19" s="28">
        <v>0</v>
      </c>
      <c r="K19" s="23">
        <v>1763</v>
      </c>
      <c r="L19" s="23">
        <v>1763</v>
      </c>
      <c r="M19" s="28">
        <v>888</v>
      </c>
    </row>
    <row r="20" spans="1:13" ht="24" x14ac:dyDescent="0.2">
      <c r="A20" s="24" t="s">
        <v>200</v>
      </c>
      <c r="B20" s="19">
        <f t="shared" si="3"/>
        <v>12756</v>
      </c>
      <c r="C20" s="19">
        <f>G20+K20</f>
        <v>5101</v>
      </c>
      <c r="D20" s="19">
        <f>H20+L20</f>
        <v>5101</v>
      </c>
      <c r="E20" s="19">
        <f>I20</f>
        <v>0</v>
      </c>
      <c r="F20" s="19">
        <f>J20+M20</f>
        <v>2554</v>
      </c>
      <c r="G20" s="28">
        <v>0</v>
      </c>
      <c r="H20" s="28">
        <v>0</v>
      </c>
      <c r="I20" s="28">
        <v>0</v>
      </c>
      <c r="J20" s="28">
        <v>0</v>
      </c>
      <c r="K20" s="23">
        <v>5101</v>
      </c>
      <c r="L20" s="23">
        <v>5101</v>
      </c>
      <c r="M20" s="23">
        <v>2554</v>
      </c>
    </row>
    <row r="21" spans="1:13" x14ac:dyDescent="0.2">
      <c r="A21" s="24" t="s">
        <v>201</v>
      </c>
      <c r="B21" s="19">
        <f t="shared" si="3"/>
        <v>14587</v>
      </c>
      <c r="C21" s="19">
        <f t="shared" si="0"/>
        <v>3889</v>
      </c>
      <c r="D21" s="19">
        <f t="shared" si="0"/>
        <v>3889</v>
      </c>
      <c r="E21" s="19">
        <f t="shared" si="1"/>
        <v>3889</v>
      </c>
      <c r="F21" s="19">
        <f t="shared" si="2"/>
        <v>2920</v>
      </c>
      <c r="G21" s="23">
        <v>3889</v>
      </c>
      <c r="H21" s="23">
        <v>3889</v>
      </c>
      <c r="I21" s="23">
        <v>3889</v>
      </c>
      <c r="J21" s="23">
        <v>2920</v>
      </c>
      <c r="K21" s="28">
        <v>0</v>
      </c>
      <c r="L21" s="28">
        <v>0</v>
      </c>
      <c r="M21" s="28">
        <v>0</v>
      </c>
    </row>
    <row r="22" spans="1:13" x14ac:dyDescent="0.2">
      <c r="A22" s="24" t="s">
        <v>202</v>
      </c>
      <c r="B22" s="19">
        <f t="shared" si="3"/>
        <v>22392</v>
      </c>
      <c r="C22" s="19">
        <f t="shared" si="0"/>
        <v>5973</v>
      </c>
      <c r="D22" s="19">
        <f t="shared" si="0"/>
        <v>5973</v>
      </c>
      <c r="E22" s="19">
        <f t="shared" si="1"/>
        <v>5973</v>
      </c>
      <c r="F22" s="19">
        <f t="shared" si="2"/>
        <v>4473</v>
      </c>
      <c r="G22" s="23">
        <v>5973</v>
      </c>
      <c r="H22" s="23">
        <v>5973</v>
      </c>
      <c r="I22" s="23">
        <v>5973</v>
      </c>
      <c r="J22" s="23">
        <v>4473</v>
      </c>
      <c r="K22" s="28">
        <v>0</v>
      </c>
      <c r="L22" s="28">
        <v>0</v>
      </c>
      <c r="M22" s="28">
        <v>0</v>
      </c>
    </row>
    <row r="23" spans="1:13" x14ac:dyDescent="0.2">
      <c r="A23" s="24" t="s">
        <v>203</v>
      </c>
      <c r="B23" s="19">
        <f t="shared" si="3"/>
        <v>14781</v>
      </c>
      <c r="C23" s="19">
        <f t="shared" ref="C23:D38" si="4">G23+K23</f>
        <v>3941</v>
      </c>
      <c r="D23" s="19">
        <f t="shared" si="4"/>
        <v>3941</v>
      </c>
      <c r="E23" s="19">
        <f t="shared" si="1"/>
        <v>3941</v>
      </c>
      <c r="F23" s="19">
        <f t="shared" si="2"/>
        <v>2958</v>
      </c>
      <c r="G23" s="23">
        <v>3941</v>
      </c>
      <c r="H23" s="23">
        <v>3941</v>
      </c>
      <c r="I23" s="23">
        <v>3941</v>
      </c>
      <c r="J23" s="23">
        <v>2958</v>
      </c>
      <c r="K23" s="28">
        <v>0</v>
      </c>
      <c r="L23" s="28">
        <v>0</v>
      </c>
      <c r="M23" s="28">
        <v>0</v>
      </c>
    </row>
    <row r="24" spans="1:13" x14ac:dyDescent="0.2">
      <c r="A24" s="24" t="s">
        <v>204</v>
      </c>
      <c r="B24" s="19">
        <f t="shared" si="3"/>
        <v>11581</v>
      </c>
      <c r="C24" s="19">
        <f>G24+K24</f>
        <v>3406</v>
      </c>
      <c r="D24" s="19">
        <f>H24+L24</f>
        <v>3426</v>
      </c>
      <c r="E24" s="19">
        <f>I24</f>
        <v>2435</v>
      </c>
      <c r="F24" s="19">
        <f>J24+M24</f>
        <v>2314</v>
      </c>
      <c r="G24" s="23">
        <v>2415</v>
      </c>
      <c r="H24" s="23">
        <v>2435</v>
      </c>
      <c r="I24" s="23">
        <v>2435</v>
      </c>
      <c r="J24" s="23">
        <v>1824</v>
      </c>
      <c r="K24" s="28">
        <v>991</v>
      </c>
      <c r="L24" s="28">
        <v>991</v>
      </c>
      <c r="M24" s="28">
        <v>490</v>
      </c>
    </row>
    <row r="25" spans="1:13" x14ac:dyDescent="0.2">
      <c r="A25" s="24" t="s">
        <v>205</v>
      </c>
      <c r="B25" s="19">
        <f t="shared" si="3"/>
        <v>8666</v>
      </c>
      <c r="C25" s="19">
        <f>G25+K25</f>
        <v>2568</v>
      </c>
      <c r="D25" s="19">
        <f>H25+L25</f>
        <v>2568</v>
      </c>
      <c r="E25" s="19">
        <f>I25</f>
        <v>1984</v>
      </c>
      <c r="F25" s="19">
        <f>J25+M25</f>
        <v>1546</v>
      </c>
      <c r="G25" s="23">
        <v>1984</v>
      </c>
      <c r="H25" s="23">
        <v>1984</v>
      </c>
      <c r="I25" s="23">
        <v>1984</v>
      </c>
      <c r="J25" s="23">
        <v>1320</v>
      </c>
      <c r="K25" s="28">
        <v>584</v>
      </c>
      <c r="L25" s="28">
        <v>584</v>
      </c>
      <c r="M25" s="28">
        <v>226</v>
      </c>
    </row>
    <row r="26" spans="1:13" x14ac:dyDescent="0.2">
      <c r="A26" s="24" t="s">
        <v>206</v>
      </c>
      <c r="B26" s="19">
        <f t="shared" si="3"/>
        <v>8117</v>
      </c>
      <c r="C26" s="19">
        <f t="shared" si="4"/>
        <v>3245</v>
      </c>
      <c r="D26" s="19">
        <f t="shared" si="4"/>
        <v>3245</v>
      </c>
      <c r="E26" s="19">
        <f t="shared" si="1"/>
        <v>0</v>
      </c>
      <c r="F26" s="19">
        <f t="shared" si="2"/>
        <v>1627</v>
      </c>
      <c r="G26" s="28">
        <v>0</v>
      </c>
      <c r="H26" s="28">
        <v>0</v>
      </c>
      <c r="I26" s="28">
        <v>0</v>
      </c>
      <c r="J26" s="28">
        <v>0</v>
      </c>
      <c r="K26" s="23">
        <v>3245</v>
      </c>
      <c r="L26" s="23">
        <v>3245</v>
      </c>
      <c r="M26" s="23">
        <v>1627</v>
      </c>
    </row>
    <row r="27" spans="1:13" x14ac:dyDescent="0.2">
      <c r="A27" s="24" t="s">
        <v>21</v>
      </c>
      <c r="B27" s="19">
        <f t="shared" si="3"/>
        <v>15675</v>
      </c>
      <c r="C27" s="19">
        <f t="shared" si="4"/>
        <v>4181</v>
      </c>
      <c r="D27" s="19">
        <f t="shared" si="4"/>
        <v>4181</v>
      </c>
      <c r="E27" s="19">
        <f t="shared" si="1"/>
        <v>4181</v>
      </c>
      <c r="F27" s="19">
        <f t="shared" si="2"/>
        <v>3132</v>
      </c>
      <c r="G27" s="23">
        <v>4181</v>
      </c>
      <c r="H27" s="23">
        <v>4181</v>
      </c>
      <c r="I27" s="23">
        <v>4181</v>
      </c>
      <c r="J27" s="23">
        <v>3132</v>
      </c>
      <c r="K27" s="28">
        <v>0</v>
      </c>
      <c r="L27" s="28">
        <v>0</v>
      </c>
      <c r="M27" s="28">
        <v>0</v>
      </c>
    </row>
    <row r="28" spans="1:13" x14ac:dyDescent="0.2">
      <c r="A28" s="24" t="s">
        <v>157</v>
      </c>
      <c r="B28" s="19">
        <f t="shared" si="3"/>
        <v>18736</v>
      </c>
      <c r="C28" s="19">
        <f t="shared" si="4"/>
        <v>5308</v>
      </c>
      <c r="D28" s="19">
        <f t="shared" si="4"/>
        <v>5308</v>
      </c>
      <c r="E28" s="19">
        <f t="shared" si="1"/>
        <v>4374</v>
      </c>
      <c r="F28" s="19">
        <f t="shared" si="2"/>
        <v>3746</v>
      </c>
      <c r="G28" s="23">
        <f>4170+161+43</f>
        <v>4374</v>
      </c>
      <c r="H28" s="23">
        <f>4170+161+43</f>
        <v>4374</v>
      </c>
      <c r="I28" s="23">
        <f>4170+161+43</f>
        <v>4374</v>
      </c>
      <c r="J28" s="23">
        <f>3124+122+31</f>
        <v>3277</v>
      </c>
      <c r="K28" s="28">
        <f>845+33+56</f>
        <v>934</v>
      </c>
      <c r="L28" s="28">
        <f>845+33+56</f>
        <v>934</v>
      </c>
      <c r="M28" s="28">
        <f>424+17+28</f>
        <v>469</v>
      </c>
    </row>
    <row r="29" spans="1:13" x14ac:dyDescent="0.2">
      <c r="A29" s="24" t="s">
        <v>134</v>
      </c>
      <c r="B29" s="19">
        <f t="shared" si="3"/>
        <v>1170</v>
      </c>
      <c r="C29" s="19">
        <f t="shared" si="4"/>
        <v>1170</v>
      </c>
      <c r="D29" s="19">
        <f t="shared" si="4"/>
        <v>0</v>
      </c>
      <c r="E29" s="19">
        <f t="shared" si="1"/>
        <v>0</v>
      </c>
      <c r="F29" s="19">
        <f t="shared" si="2"/>
        <v>0</v>
      </c>
      <c r="G29" s="23">
        <v>1170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x14ac:dyDescent="0.2">
      <c r="A30" s="24" t="s">
        <v>145</v>
      </c>
      <c r="B30" s="19">
        <f t="shared" si="3"/>
        <v>20</v>
      </c>
      <c r="C30" s="19">
        <f t="shared" si="4"/>
        <v>20</v>
      </c>
      <c r="D30" s="19">
        <f t="shared" si="4"/>
        <v>0</v>
      </c>
      <c r="E30" s="19">
        <f t="shared" si="1"/>
        <v>0</v>
      </c>
      <c r="F30" s="19">
        <f t="shared" si="2"/>
        <v>0</v>
      </c>
      <c r="G30" s="28">
        <v>20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</row>
    <row r="31" spans="1:13" x14ac:dyDescent="0.2">
      <c r="A31" s="24" t="s">
        <v>207</v>
      </c>
      <c r="B31" s="19">
        <f t="shared" si="3"/>
        <v>92</v>
      </c>
      <c r="C31" s="19">
        <f t="shared" si="4"/>
        <v>92</v>
      </c>
      <c r="D31" s="19">
        <f t="shared" si="4"/>
        <v>0</v>
      </c>
      <c r="E31" s="19">
        <f t="shared" si="1"/>
        <v>0</v>
      </c>
      <c r="F31" s="19">
        <f t="shared" si="2"/>
        <v>0</v>
      </c>
      <c r="G31" s="28">
        <v>92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</row>
    <row r="32" spans="1:13" x14ac:dyDescent="0.2">
      <c r="A32" s="24" t="s">
        <v>73</v>
      </c>
      <c r="B32" s="19">
        <f t="shared" si="3"/>
        <v>437</v>
      </c>
      <c r="C32" s="19">
        <f t="shared" si="4"/>
        <v>437</v>
      </c>
      <c r="D32" s="19">
        <f t="shared" si="4"/>
        <v>0</v>
      </c>
      <c r="E32" s="19">
        <f t="shared" si="1"/>
        <v>0</v>
      </c>
      <c r="F32" s="19">
        <f t="shared" si="2"/>
        <v>0</v>
      </c>
      <c r="G32" s="28">
        <v>437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x14ac:dyDescent="0.2">
      <c r="A33" s="24" t="s">
        <v>74</v>
      </c>
      <c r="B33" s="19">
        <f t="shared" si="3"/>
        <v>1470</v>
      </c>
      <c r="C33" s="19">
        <f t="shared" si="4"/>
        <v>807</v>
      </c>
      <c r="D33" s="19">
        <f t="shared" si="4"/>
        <v>0</v>
      </c>
      <c r="E33" s="19">
        <f t="shared" si="1"/>
        <v>663</v>
      </c>
      <c r="F33" s="19">
        <f t="shared" si="2"/>
        <v>0</v>
      </c>
      <c r="G33" s="28">
        <v>807</v>
      </c>
      <c r="H33" s="28">
        <v>0</v>
      </c>
      <c r="I33" s="28">
        <v>663</v>
      </c>
      <c r="J33" s="28">
        <v>0</v>
      </c>
      <c r="K33" s="28">
        <v>0</v>
      </c>
      <c r="L33" s="28">
        <v>0</v>
      </c>
      <c r="M33" s="28">
        <v>0</v>
      </c>
    </row>
    <row r="34" spans="1:13" x14ac:dyDescent="0.2">
      <c r="A34" s="200" t="s">
        <v>102</v>
      </c>
      <c r="B34" s="25">
        <f t="shared" si="3"/>
        <v>524</v>
      </c>
      <c r="C34" s="19">
        <f t="shared" si="4"/>
        <v>524</v>
      </c>
      <c r="D34" s="19">
        <f t="shared" si="4"/>
        <v>0</v>
      </c>
      <c r="E34" s="19">
        <f t="shared" si="1"/>
        <v>0</v>
      </c>
      <c r="F34" s="19">
        <f t="shared" si="2"/>
        <v>0</v>
      </c>
      <c r="G34" s="28">
        <v>524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x14ac:dyDescent="0.2">
      <c r="A35" s="200" t="s">
        <v>104</v>
      </c>
      <c r="B35" s="25">
        <f t="shared" si="3"/>
        <v>223</v>
      </c>
      <c r="C35" s="19">
        <f t="shared" si="4"/>
        <v>223</v>
      </c>
      <c r="D35" s="19">
        <f t="shared" si="4"/>
        <v>0</v>
      </c>
      <c r="E35" s="19">
        <f t="shared" si="1"/>
        <v>0</v>
      </c>
      <c r="F35" s="19">
        <f t="shared" si="2"/>
        <v>0</v>
      </c>
      <c r="G35" s="28">
        <v>223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 x14ac:dyDescent="0.2">
      <c r="A36" s="200" t="s">
        <v>105</v>
      </c>
      <c r="B36" s="25">
        <f t="shared" si="3"/>
        <v>0</v>
      </c>
      <c r="C36" s="19">
        <f t="shared" si="4"/>
        <v>0</v>
      </c>
      <c r="D36" s="19">
        <f t="shared" si="4"/>
        <v>0</v>
      </c>
      <c r="E36" s="19">
        <f t="shared" si="1"/>
        <v>0</v>
      </c>
      <c r="F36" s="19">
        <f t="shared" si="2"/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</row>
    <row r="37" spans="1:13" x14ac:dyDescent="0.2">
      <c r="A37" s="200" t="s">
        <v>208</v>
      </c>
      <c r="B37" s="25">
        <f t="shared" si="3"/>
        <v>250</v>
      </c>
      <c r="C37" s="19">
        <f t="shared" si="4"/>
        <v>250</v>
      </c>
      <c r="D37" s="19">
        <f t="shared" si="4"/>
        <v>0</v>
      </c>
      <c r="E37" s="19">
        <f t="shared" si="1"/>
        <v>0</v>
      </c>
      <c r="F37" s="19">
        <f t="shared" si="2"/>
        <v>0</v>
      </c>
      <c r="G37" s="28">
        <v>190</v>
      </c>
      <c r="H37" s="28">
        <v>0</v>
      </c>
      <c r="I37" s="28">
        <v>0</v>
      </c>
      <c r="J37" s="28">
        <v>0</v>
      </c>
      <c r="K37" s="28">
        <v>60</v>
      </c>
      <c r="L37" s="28">
        <v>0</v>
      </c>
      <c r="M37" s="28">
        <v>0</v>
      </c>
    </row>
    <row r="38" spans="1:13" x14ac:dyDescent="0.2">
      <c r="A38" s="200" t="s">
        <v>75</v>
      </c>
      <c r="B38" s="25">
        <f t="shared" si="3"/>
        <v>194</v>
      </c>
      <c r="C38" s="19">
        <f t="shared" si="4"/>
        <v>194</v>
      </c>
      <c r="D38" s="19">
        <f t="shared" si="4"/>
        <v>0</v>
      </c>
      <c r="E38" s="19">
        <f t="shared" si="1"/>
        <v>0</v>
      </c>
      <c r="F38" s="19">
        <f t="shared" si="2"/>
        <v>0</v>
      </c>
      <c r="G38" s="28">
        <v>146</v>
      </c>
      <c r="H38" s="28">
        <v>0</v>
      </c>
      <c r="I38" s="28">
        <v>0</v>
      </c>
      <c r="J38" s="28">
        <v>0</v>
      </c>
      <c r="K38" s="28">
        <v>48</v>
      </c>
      <c r="L38" s="28">
        <v>0</v>
      </c>
      <c r="M38" s="28">
        <v>0</v>
      </c>
    </row>
    <row r="39" spans="1:13" x14ac:dyDescent="0.2">
      <c r="A39" s="200" t="s">
        <v>72</v>
      </c>
      <c r="B39" s="25">
        <f t="shared" si="3"/>
        <v>260</v>
      </c>
      <c r="C39" s="19">
        <f t="shared" ref="C39:D40" si="5">G39+K39</f>
        <v>260</v>
      </c>
      <c r="D39" s="19">
        <f t="shared" si="5"/>
        <v>0</v>
      </c>
      <c r="E39" s="19">
        <f t="shared" si="1"/>
        <v>0</v>
      </c>
      <c r="F39" s="19">
        <f t="shared" si="2"/>
        <v>0</v>
      </c>
      <c r="G39" s="28">
        <v>190</v>
      </c>
      <c r="H39" s="28">
        <v>0</v>
      </c>
      <c r="I39" s="28">
        <v>0</v>
      </c>
      <c r="J39" s="28">
        <v>0</v>
      </c>
      <c r="K39" s="28">
        <v>70</v>
      </c>
      <c r="L39" s="28">
        <v>0</v>
      </c>
      <c r="M39" s="28">
        <v>0</v>
      </c>
    </row>
    <row r="40" spans="1:13" x14ac:dyDescent="0.2">
      <c r="A40" s="200" t="s">
        <v>106</v>
      </c>
      <c r="B40" s="25">
        <f t="shared" si="3"/>
        <v>542</v>
      </c>
      <c r="C40" s="19">
        <f t="shared" si="5"/>
        <v>542</v>
      </c>
      <c r="D40" s="19">
        <f t="shared" si="5"/>
        <v>0</v>
      </c>
      <c r="E40" s="19">
        <f t="shared" si="1"/>
        <v>0</v>
      </c>
      <c r="F40" s="19">
        <f t="shared" si="2"/>
        <v>0</v>
      </c>
      <c r="G40" s="28">
        <v>542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</row>
    <row r="41" spans="1:13" s="201" customFormat="1" x14ac:dyDescent="0.25">
      <c r="A41" s="26" t="s">
        <v>8</v>
      </c>
      <c r="B41" s="9">
        <f>SUM(B7:B40)</f>
        <v>406732</v>
      </c>
      <c r="C41" s="9">
        <f t="shared" ref="C41:M41" si="6">SUM(C7:C40)</f>
        <v>126602</v>
      </c>
      <c r="D41" s="9">
        <f t="shared" si="6"/>
        <v>117932</v>
      </c>
      <c r="E41" s="9">
        <f t="shared" si="6"/>
        <v>88724</v>
      </c>
      <c r="F41" s="9">
        <f t="shared" si="6"/>
        <v>73474</v>
      </c>
      <c r="G41" s="27">
        <f t="shared" si="6"/>
        <v>91884</v>
      </c>
      <c r="H41" s="27">
        <f t="shared" si="6"/>
        <v>84201</v>
      </c>
      <c r="I41" s="27">
        <f t="shared" si="6"/>
        <v>88724</v>
      </c>
      <c r="J41" s="27">
        <f t="shared" si="6"/>
        <v>57145</v>
      </c>
      <c r="K41" s="27">
        <f t="shared" si="6"/>
        <v>34718</v>
      </c>
      <c r="L41" s="27">
        <f t="shared" si="6"/>
        <v>33731</v>
      </c>
      <c r="M41" s="27">
        <f t="shared" si="6"/>
        <v>16329</v>
      </c>
    </row>
    <row r="42" spans="1:13" s="199" customFormat="1" x14ac:dyDescent="0.2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1:13" s="199" customFormat="1" x14ac:dyDescent="0.2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1:13" x14ac:dyDescent="0.2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</row>
    <row r="45" spans="1:13" x14ac:dyDescent="0.2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</row>
    <row r="48" spans="1:13" x14ac:dyDescent="0.2"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</row>
  </sheetData>
  <mergeCells count="20">
    <mergeCell ref="K5:K6"/>
    <mergeCell ref="L5:L6"/>
    <mergeCell ref="A1:M1"/>
    <mergeCell ref="A3:A6"/>
    <mergeCell ref="B3:B6"/>
    <mergeCell ref="C3:F3"/>
    <mergeCell ref="G3:J3"/>
    <mergeCell ref="K3:M3"/>
    <mergeCell ref="C4:E4"/>
    <mergeCell ref="F4:F6"/>
    <mergeCell ref="G4:I4"/>
    <mergeCell ref="J4:J6"/>
    <mergeCell ref="K4:L4"/>
    <mergeCell ref="M4:M6"/>
    <mergeCell ref="C5:C6"/>
    <mergeCell ref="D5:D6"/>
    <mergeCell ref="E5:E6"/>
    <mergeCell ref="G5:G6"/>
    <mergeCell ref="H5:H6"/>
    <mergeCell ref="I5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zoomScale="112" zoomScaleNormal="112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168" sqref="A168:XFD173"/>
    </sheetView>
  </sheetViews>
  <sheetFormatPr defaultRowHeight="15" x14ac:dyDescent="0.25"/>
  <cols>
    <col min="1" max="1" width="4.28515625" style="120" customWidth="1"/>
    <col min="2" max="2" width="21.42578125" style="11" customWidth="1"/>
    <col min="3" max="3" width="8.28515625" style="120" customWidth="1"/>
    <col min="4" max="4" width="7" style="120" customWidth="1"/>
    <col min="5" max="5" width="18" style="120" customWidth="1"/>
    <col min="6" max="6" width="10.85546875" style="120" customWidth="1"/>
    <col min="7" max="7" width="9.7109375" style="120" customWidth="1"/>
    <col min="8" max="8" width="8.5703125" style="120" customWidth="1"/>
    <col min="9" max="9" width="8.42578125" style="120" customWidth="1"/>
    <col min="10" max="10" width="7.42578125" style="120" customWidth="1"/>
    <col min="11" max="11" width="8" style="120" customWidth="1"/>
    <col min="12" max="12" width="12.5703125" style="120" customWidth="1"/>
    <col min="13" max="13" width="11" style="120" customWidth="1"/>
    <col min="14" max="14" width="8.5703125" style="120" customWidth="1"/>
    <col min="15" max="16384" width="9.140625" style="120"/>
  </cols>
  <sheetData>
    <row r="1" spans="1:24" x14ac:dyDescent="0.25">
      <c r="A1" s="423" t="s">
        <v>430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24" ht="15.75" x14ac:dyDescent="0.25">
      <c r="A2" s="121"/>
    </row>
    <row r="3" spans="1:24" s="123" customFormat="1" x14ac:dyDescent="0.25">
      <c r="A3" s="443" t="s">
        <v>7</v>
      </c>
      <c r="B3" s="443" t="s">
        <v>209</v>
      </c>
      <c r="C3" s="443" t="s">
        <v>432</v>
      </c>
      <c r="D3" s="443" t="s">
        <v>452</v>
      </c>
      <c r="E3" s="443"/>
      <c r="F3" s="443"/>
      <c r="G3" s="443"/>
      <c r="H3" s="443"/>
      <c r="I3" s="443"/>
      <c r="J3" s="443" t="s">
        <v>453</v>
      </c>
      <c r="K3" s="443"/>
      <c r="L3" s="443"/>
      <c r="M3" s="443"/>
    </row>
    <row r="4" spans="1:24" s="123" customFormat="1" x14ac:dyDescent="0.25">
      <c r="A4" s="443"/>
      <c r="B4" s="443"/>
      <c r="C4" s="443"/>
      <c r="D4" s="443" t="s">
        <v>166</v>
      </c>
      <c r="E4" s="443" t="s">
        <v>321</v>
      </c>
      <c r="F4" s="443"/>
      <c r="G4" s="443"/>
      <c r="H4" s="443"/>
      <c r="I4" s="443"/>
      <c r="J4" s="443" t="s">
        <v>166</v>
      </c>
      <c r="K4" s="443" t="s">
        <v>321</v>
      </c>
      <c r="L4" s="443"/>
      <c r="M4" s="443"/>
    </row>
    <row r="5" spans="1:24" s="178" customFormat="1" ht="23.25" customHeight="1" x14ac:dyDescent="0.25">
      <c r="A5" s="443"/>
      <c r="B5" s="443"/>
      <c r="C5" s="443"/>
      <c r="D5" s="443"/>
      <c r="E5" s="442" t="s">
        <v>454</v>
      </c>
      <c r="F5" s="442"/>
      <c r="G5" s="442" t="s">
        <v>455</v>
      </c>
      <c r="H5" s="442" t="s">
        <v>456</v>
      </c>
      <c r="I5" s="442" t="s">
        <v>457</v>
      </c>
      <c r="J5" s="443"/>
      <c r="K5" s="442" t="s">
        <v>458</v>
      </c>
      <c r="L5" s="442" t="s">
        <v>459</v>
      </c>
      <c r="M5" s="442" t="s">
        <v>460</v>
      </c>
    </row>
    <row r="6" spans="1:24" s="178" customFormat="1" ht="41.25" x14ac:dyDescent="0.25">
      <c r="A6" s="443"/>
      <c r="B6" s="443"/>
      <c r="C6" s="443"/>
      <c r="D6" s="443"/>
      <c r="E6" s="179" t="s">
        <v>461</v>
      </c>
      <c r="F6" s="179" t="s">
        <v>462</v>
      </c>
      <c r="G6" s="442"/>
      <c r="H6" s="442"/>
      <c r="I6" s="442"/>
      <c r="J6" s="443"/>
      <c r="K6" s="442"/>
      <c r="L6" s="442"/>
      <c r="M6" s="442"/>
    </row>
    <row r="7" spans="1:24" s="123" customFormat="1" x14ac:dyDescent="0.2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  <c r="J7" s="174">
        <v>10</v>
      </c>
      <c r="K7" s="174">
        <v>11</v>
      </c>
      <c r="L7" s="174">
        <v>12</v>
      </c>
      <c r="M7" s="174">
        <v>13</v>
      </c>
    </row>
    <row r="8" spans="1:24" s="126" customFormat="1" ht="12" x14ac:dyDescent="0.2">
      <c r="A8" s="175">
        <v>1</v>
      </c>
      <c r="B8" s="124" t="s">
        <v>12</v>
      </c>
      <c r="C8" s="125">
        <f>D8+J8</f>
        <v>161994</v>
      </c>
      <c r="D8" s="149">
        <v>108548</v>
      </c>
      <c r="E8" s="180">
        <v>34712</v>
      </c>
      <c r="F8" s="148">
        <v>10668</v>
      </c>
      <c r="G8" s="148">
        <v>2032</v>
      </c>
      <c r="H8" s="148">
        <v>37157</v>
      </c>
      <c r="I8" s="148">
        <v>23979</v>
      </c>
      <c r="J8" s="149">
        <v>53446</v>
      </c>
      <c r="K8" s="149">
        <v>21107</v>
      </c>
      <c r="L8" s="149">
        <v>11190</v>
      </c>
      <c r="M8" s="149">
        <v>21149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1:24" s="126" customFormat="1" ht="16.5" x14ac:dyDescent="0.2">
      <c r="A9" s="175">
        <v>2</v>
      </c>
      <c r="B9" s="124" t="s">
        <v>332</v>
      </c>
      <c r="C9" s="125">
        <f t="shared" ref="C9:C73" si="0">D9+J9</f>
        <v>6000</v>
      </c>
      <c r="D9" s="151">
        <v>0</v>
      </c>
      <c r="E9" s="180">
        <v>0</v>
      </c>
      <c r="F9" s="150">
        <v>0</v>
      </c>
      <c r="G9" s="150">
        <v>0</v>
      </c>
      <c r="H9" s="150">
        <v>0</v>
      </c>
      <c r="I9" s="150">
        <v>0</v>
      </c>
      <c r="J9" s="149">
        <v>6000</v>
      </c>
      <c r="K9" s="149">
        <v>2682</v>
      </c>
      <c r="L9" s="149">
        <v>3318</v>
      </c>
      <c r="M9" s="151">
        <v>0</v>
      </c>
      <c r="N9" s="128"/>
    </row>
    <row r="10" spans="1:24" s="128" customFormat="1" ht="12" x14ac:dyDescent="0.2">
      <c r="A10" s="175">
        <v>3</v>
      </c>
      <c r="B10" s="127" t="s">
        <v>13</v>
      </c>
      <c r="C10" s="125">
        <f t="shared" si="0"/>
        <v>158822</v>
      </c>
      <c r="D10" s="149">
        <v>93444</v>
      </c>
      <c r="E10" s="180">
        <v>31327</v>
      </c>
      <c r="F10" s="148">
        <v>11145</v>
      </c>
      <c r="G10" s="148">
        <v>3065</v>
      </c>
      <c r="H10" s="148">
        <v>37951</v>
      </c>
      <c r="I10" s="148">
        <v>9956</v>
      </c>
      <c r="J10" s="149">
        <v>65378</v>
      </c>
      <c r="K10" s="149">
        <v>44869</v>
      </c>
      <c r="L10" s="149">
        <v>4529</v>
      </c>
      <c r="M10" s="149">
        <v>15980</v>
      </c>
    </row>
    <row r="11" spans="1:24" s="128" customFormat="1" ht="12" x14ac:dyDescent="0.2">
      <c r="A11" s="175">
        <v>4</v>
      </c>
      <c r="B11" s="127" t="s">
        <v>333</v>
      </c>
      <c r="C11" s="125">
        <f t="shared" si="0"/>
        <v>5340</v>
      </c>
      <c r="D11" s="151">
        <v>0</v>
      </c>
      <c r="E11" s="180">
        <v>0</v>
      </c>
      <c r="F11" s="150">
        <v>0</v>
      </c>
      <c r="G11" s="150">
        <v>0</v>
      </c>
      <c r="H11" s="150">
        <v>0</v>
      </c>
      <c r="I11" s="150">
        <v>0</v>
      </c>
      <c r="J11" s="149">
        <v>5340</v>
      </c>
      <c r="K11" s="149">
        <v>3195</v>
      </c>
      <c r="L11" s="151">
        <v>382</v>
      </c>
      <c r="M11" s="149">
        <v>1763</v>
      </c>
    </row>
    <row r="12" spans="1:24" s="128" customFormat="1" ht="12" x14ac:dyDescent="0.2">
      <c r="A12" s="441">
        <v>5</v>
      </c>
      <c r="B12" s="129" t="s">
        <v>57</v>
      </c>
      <c r="C12" s="125">
        <f t="shared" si="0"/>
        <v>409397</v>
      </c>
      <c r="D12" s="149">
        <v>268169</v>
      </c>
      <c r="E12" s="180">
        <v>111557</v>
      </c>
      <c r="F12" s="148">
        <v>26986</v>
      </c>
      <c r="G12" s="148">
        <v>8202</v>
      </c>
      <c r="H12" s="148">
        <v>84996</v>
      </c>
      <c r="I12" s="148">
        <v>36428</v>
      </c>
      <c r="J12" s="149">
        <v>141228</v>
      </c>
      <c r="K12" s="149">
        <v>84614</v>
      </c>
      <c r="L12" s="149">
        <v>1338</v>
      </c>
      <c r="M12" s="149">
        <v>55276</v>
      </c>
    </row>
    <row r="13" spans="1:24" s="128" customFormat="1" ht="33" x14ac:dyDescent="0.2">
      <c r="A13" s="441"/>
      <c r="B13" s="130" t="s">
        <v>334</v>
      </c>
      <c r="C13" s="125">
        <f t="shared" si="0"/>
        <v>47434</v>
      </c>
      <c r="D13" s="149">
        <v>25057</v>
      </c>
      <c r="E13" s="180">
        <v>9471</v>
      </c>
      <c r="F13" s="148">
        <v>3536</v>
      </c>
      <c r="G13" s="148">
        <v>1094</v>
      </c>
      <c r="H13" s="148">
        <v>10956</v>
      </c>
      <c r="I13" s="150">
        <v>0</v>
      </c>
      <c r="J13" s="149">
        <v>22377</v>
      </c>
      <c r="K13" s="149">
        <v>10176</v>
      </c>
      <c r="L13" s="149">
        <v>3993</v>
      </c>
      <c r="M13" s="149">
        <v>8208</v>
      </c>
    </row>
    <row r="14" spans="1:24" s="128" customFormat="1" ht="12" x14ac:dyDescent="0.2">
      <c r="A14" s="175">
        <v>6</v>
      </c>
      <c r="B14" s="127" t="s">
        <v>59</v>
      </c>
      <c r="C14" s="125">
        <f t="shared" si="0"/>
        <v>122570</v>
      </c>
      <c r="D14" s="149">
        <v>71396</v>
      </c>
      <c r="E14" s="180">
        <v>30539</v>
      </c>
      <c r="F14" s="148">
        <v>9671</v>
      </c>
      <c r="G14" s="148">
        <v>2741</v>
      </c>
      <c r="H14" s="148">
        <v>28445</v>
      </c>
      <c r="I14" s="150">
        <v>0</v>
      </c>
      <c r="J14" s="149">
        <v>51174</v>
      </c>
      <c r="K14" s="149">
        <v>36369</v>
      </c>
      <c r="L14" s="151">
        <v>415</v>
      </c>
      <c r="M14" s="149">
        <v>14390</v>
      </c>
    </row>
    <row r="15" spans="1:24" s="128" customFormat="1" ht="12" x14ac:dyDescent="0.2">
      <c r="A15" s="175">
        <v>7</v>
      </c>
      <c r="B15" s="127" t="s">
        <v>60</v>
      </c>
      <c r="C15" s="125">
        <f t="shared" si="0"/>
        <v>50269</v>
      </c>
      <c r="D15" s="149">
        <v>33293</v>
      </c>
      <c r="E15" s="180">
        <v>15356</v>
      </c>
      <c r="F15" s="148">
        <v>4369</v>
      </c>
      <c r="G15" s="148">
        <v>1139</v>
      </c>
      <c r="H15" s="148">
        <v>12429</v>
      </c>
      <c r="I15" s="150">
        <v>0</v>
      </c>
      <c r="J15" s="149">
        <v>16976</v>
      </c>
      <c r="K15" s="149">
        <v>11705</v>
      </c>
      <c r="L15" s="151">
        <v>0</v>
      </c>
      <c r="M15" s="149">
        <v>5271</v>
      </c>
    </row>
    <row r="16" spans="1:24" s="128" customFormat="1" ht="12" x14ac:dyDescent="0.2">
      <c r="A16" s="175">
        <v>8</v>
      </c>
      <c r="B16" s="127" t="s">
        <v>61</v>
      </c>
      <c r="C16" s="125">
        <f t="shared" si="0"/>
        <v>55598</v>
      </c>
      <c r="D16" s="149">
        <v>33807</v>
      </c>
      <c r="E16" s="180">
        <v>15500</v>
      </c>
      <c r="F16" s="148">
        <v>4412</v>
      </c>
      <c r="G16" s="148">
        <v>1051</v>
      </c>
      <c r="H16" s="148">
        <v>12844</v>
      </c>
      <c r="I16" s="150">
        <v>0</v>
      </c>
      <c r="J16" s="149">
        <v>21791</v>
      </c>
      <c r="K16" s="149">
        <v>15603</v>
      </c>
      <c r="L16" s="151">
        <v>0</v>
      </c>
      <c r="M16" s="149">
        <v>6188</v>
      </c>
    </row>
    <row r="17" spans="1:13" s="128" customFormat="1" ht="12" x14ac:dyDescent="0.2">
      <c r="A17" s="175">
        <v>9</v>
      </c>
      <c r="B17" s="127" t="s">
        <v>62</v>
      </c>
      <c r="C17" s="125">
        <f t="shared" si="0"/>
        <v>59091</v>
      </c>
      <c r="D17" s="149">
        <v>34665</v>
      </c>
      <c r="E17" s="180">
        <v>14396</v>
      </c>
      <c r="F17" s="148">
        <v>4917</v>
      </c>
      <c r="G17" s="148">
        <v>1465</v>
      </c>
      <c r="H17" s="148">
        <v>13887</v>
      </c>
      <c r="I17" s="150">
        <v>0</v>
      </c>
      <c r="J17" s="149">
        <v>24426</v>
      </c>
      <c r="K17" s="149">
        <v>15953</v>
      </c>
      <c r="L17" s="151">
        <v>0</v>
      </c>
      <c r="M17" s="149">
        <v>8473</v>
      </c>
    </row>
    <row r="18" spans="1:13" s="128" customFormat="1" ht="12" x14ac:dyDescent="0.2">
      <c r="A18" s="175">
        <v>10</v>
      </c>
      <c r="B18" s="127" t="s">
        <v>63</v>
      </c>
      <c r="C18" s="125">
        <f t="shared" si="0"/>
        <v>60373</v>
      </c>
      <c r="D18" s="149">
        <v>35541</v>
      </c>
      <c r="E18" s="180">
        <v>14568</v>
      </c>
      <c r="F18" s="148">
        <v>4962</v>
      </c>
      <c r="G18" s="148">
        <v>1316</v>
      </c>
      <c r="H18" s="148">
        <v>14695</v>
      </c>
      <c r="I18" s="150">
        <v>0</v>
      </c>
      <c r="J18" s="149">
        <v>24832</v>
      </c>
      <c r="K18" s="149">
        <v>18054</v>
      </c>
      <c r="L18" s="149">
        <v>1626</v>
      </c>
      <c r="M18" s="149">
        <v>5152</v>
      </c>
    </row>
    <row r="19" spans="1:13" s="128" customFormat="1" ht="12" x14ac:dyDescent="0.2">
      <c r="A19" s="175">
        <v>11</v>
      </c>
      <c r="B19" s="129" t="s">
        <v>64</v>
      </c>
      <c r="C19" s="125">
        <f t="shared" si="0"/>
        <v>63719</v>
      </c>
      <c r="D19" s="149">
        <v>37344</v>
      </c>
      <c r="E19" s="180">
        <v>15621</v>
      </c>
      <c r="F19" s="148">
        <v>4729</v>
      </c>
      <c r="G19" s="148">
        <v>1321</v>
      </c>
      <c r="H19" s="148">
        <v>15673</v>
      </c>
      <c r="I19" s="150">
        <v>0</v>
      </c>
      <c r="J19" s="149">
        <v>26375</v>
      </c>
      <c r="K19" s="149">
        <v>14094</v>
      </c>
      <c r="L19" s="151">
        <v>0</v>
      </c>
      <c r="M19" s="149">
        <v>12281</v>
      </c>
    </row>
    <row r="20" spans="1:13" s="128" customFormat="1" ht="12" x14ac:dyDescent="0.2">
      <c r="A20" s="175">
        <v>12</v>
      </c>
      <c r="B20" s="127" t="s">
        <v>65</v>
      </c>
      <c r="C20" s="125">
        <f t="shared" si="0"/>
        <v>59367</v>
      </c>
      <c r="D20" s="149">
        <v>37984</v>
      </c>
      <c r="E20" s="180">
        <v>17372</v>
      </c>
      <c r="F20" s="148">
        <v>4823</v>
      </c>
      <c r="G20" s="148">
        <v>1220</v>
      </c>
      <c r="H20" s="148">
        <v>14569</v>
      </c>
      <c r="I20" s="150">
        <v>0</v>
      </c>
      <c r="J20" s="149">
        <v>21383</v>
      </c>
      <c r="K20" s="149">
        <v>10763</v>
      </c>
      <c r="L20" s="151">
        <v>0</v>
      </c>
      <c r="M20" s="149">
        <v>10620</v>
      </c>
    </row>
    <row r="21" spans="1:13" s="128" customFormat="1" ht="12" x14ac:dyDescent="0.2">
      <c r="A21" s="175">
        <v>13</v>
      </c>
      <c r="B21" s="129" t="s">
        <v>66</v>
      </c>
      <c r="C21" s="125">
        <f t="shared" si="0"/>
        <v>73321</v>
      </c>
      <c r="D21" s="149">
        <v>42225</v>
      </c>
      <c r="E21" s="180">
        <v>15897</v>
      </c>
      <c r="F21" s="148">
        <v>6002</v>
      </c>
      <c r="G21" s="148">
        <v>3276</v>
      </c>
      <c r="H21" s="148">
        <v>17050</v>
      </c>
      <c r="I21" s="150">
        <v>0</v>
      </c>
      <c r="J21" s="149">
        <v>31096</v>
      </c>
      <c r="K21" s="149">
        <v>13454</v>
      </c>
      <c r="L21" s="149">
        <v>5334</v>
      </c>
      <c r="M21" s="149">
        <v>12308</v>
      </c>
    </row>
    <row r="22" spans="1:13" s="128" customFormat="1" ht="12" x14ac:dyDescent="0.2">
      <c r="A22" s="175">
        <v>14</v>
      </c>
      <c r="B22" s="127" t="s">
        <v>67</v>
      </c>
      <c r="C22" s="125">
        <f t="shared" si="0"/>
        <v>53052</v>
      </c>
      <c r="D22" s="149">
        <v>33211</v>
      </c>
      <c r="E22" s="180">
        <v>12711</v>
      </c>
      <c r="F22" s="148">
        <v>4782</v>
      </c>
      <c r="G22" s="148">
        <v>1341</v>
      </c>
      <c r="H22" s="148">
        <v>14377</v>
      </c>
      <c r="I22" s="150">
        <v>0</v>
      </c>
      <c r="J22" s="149">
        <v>19841</v>
      </c>
      <c r="K22" s="149">
        <v>8171</v>
      </c>
      <c r="L22" s="151">
        <v>0</v>
      </c>
      <c r="M22" s="149">
        <v>11670</v>
      </c>
    </row>
    <row r="23" spans="1:13" s="128" customFormat="1" ht="12" x14ac:dyDescent="0.2">
      <c r="A23" s="175">
        <v>16</v>
      </c>
      <c r="B23" s="127" t="s">
        <v>463</v>
      </c>
      <c r="C23" s="125">
        <f t="shared" si="0"/>
        <v>25</v>
      </c>
      <c r="D23" s="151">
        <v>0</v>
      </c>
      <c r="E23" s="180">
        <v>0</v>
      </c>
      <c r="F23" s="150">
        <v>0</v>
      </c>
      <c r="G23" s="150">
        <v>0</v>
      </c>
      <c r="H23" s="150">
        <v>0</v>
      </c>
      <c r="I23" s="150">
        <v>0</v>
      </c>
      <c r="J23" s="151">
        <v>25</v>
      </c>
      <c r="K23" s="151">
        <v>16</v>
      </c>
      <c r="L23" s="151">
        <v>0</v>
      </c>
      <c r="M23" s="151">
        <v>9</v>
      </c>
    </row>
    <row r="24" spans="1:13" s="128" customFormat="1" ht="12" x14ac:dyDescent="0.2">
      <c r="A24" s="175">
        <v>17</v>
      </c>
      <c r="B24" s="127" t="s">
        <v>338</v>
      </c>
      <c r="C24" s="125">
        <f t="shared" si="0"/>
        <v>4</v>
      </c>
      <c r="D24" s="151">
        <v>0</v>
      </c>
      <c r="E24" s="180">
        <v>0</v>
      </c>
      <c r="F24" s="150">
        <v>0</v>
      </c>
      <c r="G24" s="150">
        <v>0</v>
      </c>
      <c r="H24" s="150">
        <v>0</v>
      </c>
      <c r="I24" s="150">
        <v>0</v>
      </c>
      <c r="J24" s="151">
        <v>4</v>
      </c>
      <c r="K24" s="151">
        <v>4</v>
      </c>
      <c r="L24" s="151">
        <v>0</v>
      </c>
      <c r="M24" s="151">
        <v>0</v>
      </c>
    </row>
    <row r="25" spans="1:13" s="128" customFormat="1" ht="12" x14ac:dyDescent="0.2">
      <c r="A25" s="175">
        <v>19</v>
      </c>
      <c r="B25" s="127" t="s">
        <v>445</v>
      </c>
      <c r="C25" s="125">
        <f t="shared" si="0"/>
        <v>100</v>
      </c>
      <c r="D25" s="151">
        <v>0</v>
      </c>
      <c r="E25" s="180">
        <v>0</v>
      </c>
      <c r="F25" s="150">
        <v>0</v>
      </c>
      <c r="G25" s="150">
        <v>0</v>
      </c>
      <c r="H25" s="150">
        <v>0</v>
      </c>
      <c r="I25" s="150">
        <v>0</v>
      </c>
      <c r="J25" s="151">
        <v>100</v>
      </c>
      <c r="K25" s="151">
        <v>100</v>
      </c>
      <c r="L25" s="151">
        <v>0</v>
      </c>
      <c r="M25" s="151">
        <v>0</v>
      </c>
    </row>
    <row r="26" spans="1:13" s="128" customFormat="1" ht="12" x14ac:dyDescent="0.2">
      <c r="A26" s="175">
        <v>20</v>
      </c>
      <c r="B26" s="127" t="s">
        <v>196</v>
      </c>
      <c r="C26" s="125">
        <f t="shared" si="0"/>
        <v>159291</v>
      </c>
      <c r="D26" s="149">
        <v>100586</v>
      </c>
      <c r="E26" s="180">
        <v>31721</v>
      </c>
      <c r="F26" s="148">
        <v>10617</v>
      </c>
      <c r="G26" s="148">
        <v>2472</v>
      </c>
      <c r="H26" s="148">
        <v>38990</v>
      </c>
      <c r="I26" s="148">
        <v>16786</v>
      </c>
      <c r="J26" s="149">
        <v>58705</v>
      </c>
      <c r="K26" s="149">
        <v>34341</v>
      </c>
      <c r="L26" s="149">
        <v>3128</v>
      </c>
      <c r="M26" s="149">
        <v>21236</v>
      </c>
    </row>
    <row r="27" spans="1:13" s="128" customFormat="1" ht="16.5" x14ac:dyDescent="0.2">
      <c r="A27" s="175">
        <v>21</v>
      </c>
      <c r="B27" s="131" t="s">
        <v>346</v>
      </c>
      <c r="C27" s="125">
        <f t="shared" si="0"/>
        <v>9821</v>
      </c>
      <c r="D27" s="151">
        <v>0</v>
      </c>
      <c r="E27" s="180">
        <v>0</v>
      </c>
      <c r="F27" s="150">
        <v>0</v>
      </c>
      <c r="G27" s="150">
        <v>0</v>
      </c>
      <c r="H27" s="150">
        <v>0</v>
      </c>
      <c r="I27" s="150">
        <v>0</v>
      </c>
      <c r="J27" s="149">
        <v>9821</v>
      </c>
      <c r="K27" s="149">
        <v>4640</v>
      </c>
      <c r="L27" s="149">
        <v>4161</v>
      </c>
      <c r="M27" s="149">
        <v>1020</v>
      </c>
    </row>
    <row r="28" spans="1:13" s="128" customFormat="1" ht="12" x14ac:dyDescent="0.2">
      <c r="A28" s="175">
        <v>22</v>
      </c>
      <c r="B28" s="127" t="s">
        <v>16</v>
      </c>
      <c r="C28" s="125">
        <f t="shared" si="0"/>
        <v>150290</v>
      </c>
      <c r="D28" s="149">
        <v>92139</v>
      </c>
      <c r="E28" s="180">
        <v>43061</v>
      </c>
      <c r="F28" s="148">
        <v>10116</v>
      </c>
      <c r="G28" s="148">
        <v>2461</v>
      </c>
      <c r="H28" s="148">
        <v>36251</v>
      </c>
      <c r="I28" s="150">
        <v>250</v>
      </c>
      <c r="J28" s="149">
        <v>58151</v>
      </c>
      <c r="K28" s="149">
        <v>32881</v>
      </c>
      <c r="L28" s="149">
        <v>6976</v>
      </c>
      <c r="M28" s="149">
        <v>18294</v>
      </c>
    </row>
    <row r="29" spans="1:13" s="128" customFormat="1" ht="12" x14ac:dyDescent="0.2">
      <c r="A29" s="175">
        <v>23</v>
      </c>
      <c r="B29" s="127" t="s">
        <v>10</v>
      </c>
      <c r="C29" s="125">
        <f t="shared" si="0"/>
        <v>297746</v>
      </c>
      <c r="D29" s="149">
        <v>185443</v>
      </c>
      <c r="E29" s="180">
        <v>72023</v>
      </c>
      <c r="F29" s="148">
        <v>20316</v>
      </c>
      <c r="G29" s="148">
        <v>4203</v>
      </c>
      <c r="H29" s="148">
        <v>64950</v>
      </c>
      <c r="I29" s="148">
        <v>23951</v>
      </c>
      <c r="J29" s="149">
        <v>112303</v>
      </c>
      <c r="K29" s="149">
        <v>36964</v>
      </c>
      <c r="L29" s="149">
        <v>20800</v>
      </c>
      <c r="M29" s="149">
        <v>54539</v>
      </c>
    </row>
    <row r="30" spans="1:13" s="128" customFormat="1" ht="12" x14ac:dyDescent="0.2">
      <c r="A30" s="175">
        <v>24</v>
      </c>
      <c r="B30" s="127" t="s">
        <v>11</v>
      </c>
      <c r="C30" s="125">
        <f t="shared" si="0"/>
        <v>196953</v>
      </c>
      <c r="D30" s="149">
        <v>122158</v>
      </c>
      <c r="E30" s="180">
        <v>54856</v>
      </c>
      <c r="F30" s="148">
        <v>14801</v>
      </c>
      <c r="G30" s="148">
        <v>6711</v>
      </c>
      <c r="H30" s="148">
        <v>45698</v>
      </c>
      <c r="I30" s="150">
        <v>92</v>
      </c>
      <c r="J30" s="149">
        <v>74795</v>
      </c>
      <c r="K30" s="149">
        <v>41117</v>
      </c>
      <c r="L30" s="149">
        <v>13655</v>
      </c>
      <c r="M30" s="149">
        <v>20023</v>
      </c>
    </row>
    <row r="31" spans="1:13" s="128" customFormat="1" ht="12" x14ac:dyDescent="0.2">
      <c r="A31" s="175">
        <v>25</v>
      </c>
      <c r="B31" s="127" t="s">
        <v>347</v>
      </c>
      <c r="C31" s="125">
        <f t="shared" si="0"/>
        <v>40998</v>
      </c>
      <c r="D31" s="149">
        <v>21414</v>
      </c>
      <c r="E31" s="180">
        <v>8979</v>
      </c>
      <c r="F31" s="148">
        <v>2975</v>
      </c>
      <c r="G31" s="150">
        <v>884</v>
      </c>
      <c r="H31" s="148">
        <v>8576</v>
      </c>
      <c r="I31" s="150">
        <v>0</v>
      </c>
      <c r="J31" s="149">
        <v>19584</v>
      </c>
      <c r="K31" s="149">
        <v>11840</v>
      </c>
      <c r="L31" s="149">
        <v>3141</v>
      </c>
      <c r="M31" s="149">
        <v>4603</v>
      </c>
    </row>
    <row r="32" spans="1:13" s="128" customFormat="1" ht="12" x14ac:dyDescent="0.2">
      <c r="A32" s="175">
        <v>26</v>
      </c>
      <c r="B32" s="127" t="s">
        <v>72</v>
      </c>
      <c r="C32" s="125">
        <f t="shared" si="0"/>
        <v>68375</v>
      </c>
      <c r="D32" s="149">
        <v>42844</v>
      </c>
      <c r="E32" s="180">
        <v>16178</v>
      </c>
      <c r="F32" s="148">
        <v>5899</v>
      </c>
      <c r="G32" s="148">
        <v>1568</v>
      </c>
      <c r="H32" s="148">
        <v>18939</v>
      </c>
      <c r="I32" s="150">
        <v>260</v>
      </c>
      <c r="J32" s="149">
        <v>25531</v>
      </c>
      <c r="K32" s="149">
        <v>14710</v>
      </c>
      <c r="L32" s="149">
        <v>2897</v>
      </c>
      <c r="M32" s="149">
        <v>7924</v>
      </c>
    </row>
    <row r="33" spans="1:13" s="128" customFormat="1" ht="12" x14ac:dyDescent="0.2">
      <c r="A33" s="175">
        <v>27</v>
      </c>
      <c r="B33" s="127" t="s">
        <v>73</v>
      </c>
      <c r="C33" s="125">
        <f t="shared" si="0"/>
        <v>94943</v>
      </c>
      <c r="D33" s="149">
        <v>66496</v>
      </c>
      <c r="E33" s="180">
        <v>30957</v>
      </c>
      <c r="F33" s="148">
        <v>7751</v>
      </c>
      <c r="G33" s="148">
        <v>2355</v>
      </c>
      <c r="H33" s="148">
        <v>24996</v>
      </c>
      <c r="I33" s="150">
        <v>437</v>
      </c>
      <c r="J33" s="149">
        <v>28447</v>
      </c>
      <c r="K33" s="149">
        <v>15947</v>
      </c>
      <c r="L33" s="149">
        <v>1000</v>
      </c>
      <c r="M33" s="149">
        <v>11500</v>
      </c>
    </row>
    <row r="34" spans="1:13" s="128" customFormat="1" ht="12" x14ac:dyDescent="0.2">
      <c r="A34" s="175">
        <v>28</v>
      </c>
      <c r="B34" s="127" t="s">
        <v>74</v>
      </c>
      <c r="C34" s="125">
        <f t="shared" si="0"/>
        <v>41822</v>
      </c>
      <c r="D34" s="149">
        <v>29539</v>
      </c>
      <c r="E34" s="180">
        <v>13347</v>
      </c>
      <c r="F34" s="148">
        <v>3101</v>
      </c>
      <c r="G34" s="150">
        <v>890</v>
      </c>
      <c r="H34" s="148">
        <v>10731</v>
      </c>
      <c r="I34" s="148">
        <v>1470</v>
      </c>
      <c r="J34" s="149">
        <v>12283</v>
      </c>
      <c r="K34" s="149">
        <v>5424</v>
      </c>
      <c r="L34" s="149">
        <v>3723</v>
      </c>
      <c r="M34" s="149">
        <v>3136</v>
      </c>
    </row>
    <row r="35" spans="1:13" s="128" customFormat="1" ht="12" x14ac:dyDescent="0.2">
      <c r="A35" s="175">
        <v>29</v>
      </c>
      <c r="B35" s="127" t="s">
        <v>75</v>
      </c>
      <c r="C35" s="125">
        <f t="shared" si="0"/>
        <v>32583</v>
      </c>
      <c r="D35" s="149">
        <v>23079</v>
      </c>
      <c r="E35" s="180">
        <v>9789</v>
      </c>
      <c r="F35" s="148">
        <v>3253</v>
      </c>
      <c r="G35" s="150">
        <v>891</v>
      </c>
      <c r="H35" s="148">
        <v>8952</v>
      </c>
      <c r="I35" s="150">
        <v>194</v>
      </c>
      <c r="J35" s="149">
        <v>9504</v>
      </c>
      <c r="K35" s="149">
        <v>5029</v>
      </c>
      <c r="L35" s="151">
        <v>211</v>
      </c>
      <c r="M35" s="149">
        <v>4264</v>
      </c>
    </row>
    <row r="36" spans="1:13" s="128" customFormat="1" ht="12" x14ac:dyDescent="0.2">
      <c r="A36" s="175">
        <v>30</v>
      </c>
      <c r="B36" s="127" t="s">
        <v>350</v>
      </c>
      <c r="C36" s="125">
        <f t="shared" si="0"/>
        <v>2</v>
      </c>
      <c r="D36" s="151">
        <v>0</v>
      </c>
      <c r="E36" s="180">
        <v>0</v>
      </c>
      <c r="F36" s="150">
        <v>0</v>
      </c>
      <c r="G36" s="150">
        <v>0</v>
      </c>
      <c r="H36" s="150">
        <v>0</v>
      </c>
      <c r="I36" s="150">
        <v>0</v>
      </c>
      <c r="J36" s="151">
        <v>2</v>
      </c>
      <c r="K36" s="151">
        <v>1</v>
      </c>
      <c r="L36" s="151">
        <v>0</v>
      </c>
      <c r="M36" s="151">
        <v>1</v>
      </c>
    </row>
    <row r="37" spans="1:13" s="128" customFormat="1" ht="12" x14ac:dyDescent="0.2">
      <c r="A37" s="175">
        <v>31</v>
      </c>
      <c r="B37" s="127" t="s">
        <v>211</v>
      </c>
      <c r="C37" s="125">
        <f t="shared" si="0"/>
        <v>118570</v>
      </c>
      <c r="D37" s="149">
        <v>68186</v>
      </c>
      <c r="E37" s="180">
        <v>16511</v>
      </c>
      <c r="F37" s="148">
        <v>13140</v>
      </c>
      <c r="G37" s="148">
        <v>3879</v>
      </c>
      <c r="H37" s="148">
        <v>34656</v>
      </c>
      <c r="I37" s="150">
        <v>0</v>
      </c>
      <c r="J37" s="149">
        <v>50384</v>
      </c>
      <c r="K37" s="149">
        <v>36300</v>
      </c>
      <c r="L37" s="149">
        <v>2502</v>
      </c>
      <c r="M37" s="149">
        <v>11582</v>
      </c>
    </row>
    <row r="38" spans="1:13" s="128" customFormat="1" ht="16.5" x14ac:dyDescent="0.2">
      <c r="A38" s="175">
        <v>32</v>
      </c>
      <c r="B38" s="127" t="s">
        <v>197</v>
      </c>
      <c r="C38" s="125">
        <f t="shared" si="0"/>
        <v>156835</v>
      </c>
      <c r="D38" s="149">
        <v>111412</v>
      </c>
      <c r="E38" s="180">
        <v>18172</v>
      </c>
      <c r="F38" s="148">
        <v>13837</v>
      </c>
      <c r="G38" s="148">
        <v>4163</v>
      </c>
      <c r="H38" s="148">
        <v>36526</v>
      </c>
      <c r="I38" s="148">
        <v>38714</v>
      </c>
      <c r="J38" s="149">
        <v>45423</v>
      </c>
      <c r="K38" s="149">
        <v>27887</v>
      </c>
      <c r="L38" s="149">
        <v>1672</v>
      </c>
      <c r="M38" s="149">
        <v>15864</v>
      </c>
    </row>
    <row r="39" spans="1:13" s="128" customFormat="1" ht="16.5" x14ac:dyDescent="0.2">
      <c r="A39" s="175">
        <v>33</v>
      </c>
      <c r="B39" s="127" t="s">
        <v>351</v>
      </c>
      <c r="C39" s="125">
        <f t="shared" si="0"/>
        <v>131295</v>
      </c>
      <c r="D39" s="149">
        <v>75782</v>
      </c>
      <c r="E39" s="180">
        <v>19918</v>
      </c>
      <c r="F39" s="148">
        <v>13614</v>
      </c>
      <c r="G39" s="148">
        <v>3679</v>
      </c>
      <c r="H39" s="148">
        <v>38571</v>
      </c>
      <c r="I39" s="150">
        <v>0</v>
      </c>
      <c r="J39" s="149">
        <v>55513</v>
      </c>
      <c r="K39" s="149">
        <v>26546</v>
      </c>
      <c r="L39" s="149">
        <v>11591</v>
      </c>
      <c r="M39" s="149">
        <v>17376</v>
      </c>
    </row>
    <row r="40" spans="1:13" s="128" customFormat="1" ht="16.5" x14ac:dyDescent="0.2">
      <c r="A40" s="441">
        <v>34</v>
      </c>
      <c r="B40" s="127" t="s">
        <v>352</v>
      </c>
      <c r="C40" s="125">
        <f t="shared" si="0"/>
        <v>84565</v>
      </c>
      <c r="D40" s="149">
        <v>48161</v>
      </c>
      <c r="E40" s="180">
        <v>20708</v>
      </c>
      <c r="F40" s="148">
        <v>5538</v>
      </c>
      <c r="G40" s="148">
        <v>1708</v>
      </c>
      <c r="H40" s="148">
        <v>20207</v>
      </c>
      <c r="I40" s="150">
        <v>0</v>
      </c>
      <c r="J40" s="149">
        <v>36404</v>
      </c>
      <c r="K40" s="149">
        <v>11303</v>
      </c>
      <c r="L40" s="149">
        <v>6543</v>
      </c>
      <c r="M40" s="149">
        <v>18558</v>
      </c>
    </row>
    <row r="41" spans="1:13" s="128" customFormat="1" ht="33" x14ac:dyDescent="0.2">
      <c r="A41" s="441"/>
      <c r="B41" s="130" t="s">
        <v>353</v>
      </c>
      <c r="C41" s="125">
        <f t="shared" si="0"/>
        <v>108888</v>
      </c>
      <c r="D41" s="149">
        <v>64359</v>
      </c>
      <c r="E41" s="180">
        <v>29050</v>
      </c>
      <c r="F41" s="148">
        <v>7627</v>
      </c>
      <c r="G41" s="148">
        <v>2496</v>
      </c>
      <c r="H41" s="148">
        <v>25186</v>
      </c>
      <c r="I41" s="150">
        <v>0</v>
      </c>
      <c r="J41" s="149">
        <v>44529</v>
      </c>
      <c r="K41" s="149">
        <v>13429</v>
      </c>
      <c r="L41" s="149">
        <v>11282</v>
      </c>
      <c r="M41" s="149">
        <v>19818</v>
      </c>
    </row>
    <row r="42" spans="1:13" s="128" customFormat="1" ht="16.5" x14ac:dyDescent="0.2">
      <c r="A42" s="175">
        <v>35</v>
      </c>
      <c r="B42" s="127" t="s">
        <v>446</v>
      </c>
      <c r="C42" s="125">
        <f t="shared" si="0"/>
        <v>1600</v>
      </c>
      <c r="D42" s="151">
        <v>0</v>
      </c>
      <c r="E42" s="180">
        <v>0</v>
      </c>
      <c r="F42" s="150">
        <v>0</v>
      </c>
      <c r="G42" s="150">
        <v>0</v>
      </c>
      <c r="H42" s="150">
        <v>0</v>
      </c>
      <c r="I42" s="150">
        <v>0</v>
      </c>
      <c r="J42" s="149">
        <v>1600</v>
      </c>
      <c r="K42" s="149">
        <v>1600</v>
      </c>
      <c r="L42" s="151">
        <v>0</v>
      </c>
      <c r="M42" s="151">
        <v>0</v>
      </c>
    </row>
    <row r="43" spans="1:13" s="128" customFormat="1" ht="16.5" x14ac:dyDescent="0.2">
      <c r="A43" s="175">
        <v>36</v>
      </c>
      <c r="B43" s="127" t="s">
        <v>354</v>
      </c>
      <c r="C43" s="125">
        <f t="shared" si="0"/>
        <v>126421</v>
      </c>
      <c r="D43" s="149">
        <v>75517</v>
      </c>
      <c r="E43" s="180">
        <v>35163</v>
      </c>
      <c r="F43" s="150">
        <v>295</v>
      </c>
      <c r="G43" s="150">
        <v>0</v>
      </c>
      <c r="H43" s="148">
        <v>28113</v>
      </c>
      <c r="I43" s="148">
        <v>11946</v>
      </c>
      <c r="J43" s="149">
        <v>50904</v>
      </c>
      <c r="K43" s="149">
        <v>8249</v>
      </c>
      <c r="L43" s="149">
        <v>4500</v>
      </c>
      <c r="M43" s="149">
        <v>38155</v>
      </c>
    </row>
    <row r="44" spans="1:13" s="128" customFormat="1" ht="16.5" x14ac:dyDescent="0.2">
      <c r="A44" s="175">
        <v>37</v>
      </c>
      <c r="B44" s="127" t="s">
        <v>355</v>
      </c>
      <c r="C44" s="125">
        <f t="shared" si="0"/>
        <v>12000</v>
      </c>
      <c r="D44" s="151">
        <v>0</v>
      </c>
      <c r="E44" s="180">
        <v>0</v>
      </c>
      <c r="F44" s="150">
        <v>0</v>
      </c>
      <c r="G44" s="150">
        <v>0</v>
      </c>
      <c r="H44" s="150">
        <v>0</v>
      </c>
      <c r="I44" s="150">
        <v>0</v>
      </c>
      <c r="J44" s="149">
        <v>12000</v>
      </c>
      <c r="K44" s="149">
        <v>9900</v>
      </c>
      <c r="L44" s="149">
        <v>2000</v>
      </c>
      <c r="M44" s="151">
        <v>100</v>
      </c>
    </row>
    <row r="45" spans="1:13" s="128" customFormat="1" ht="12" x14ac:dyDescent="0.2">
      <c r="A45" s="175">
        <v>38</v>
      </c>
      <c r="B45" s="127" t="s">
        <v>356</v>
      </c>
      <c r="C45" s="125">
        <f t="shared" si="0"/>
        <v>10266</v>
      </c>
      <c r="D45" s="151">
        <v>0</v>
      </c>
      <c r="E45" s="180">
        <v>0</v>
      </c>
      <c r="F45" s="150">
        <v>0</v>
      </c>
      <c r="G45" s="150">
        <v>0</v>
      </c>
      <c r="H45" s="150">
        <v>0</v>
      </c>
      <c r="I45" s="150">
        <v>0</v>
      </c>
      <c r="J45" s="149">
        <v>10266</v>
      </c>
      <c r="K45" s="149">
        <v>8306</v>
      </c>
      <c r="L45" s="151">
        <v>0</v>
      </c>
      <c r="M45" s="149">
        <v>1960</v>
      </c>
    </row>
    <row r="46" spans="1:13" s="128" customFormat="1" ht="12" x14ac:dyDescent="0.2">
      <c r="A46" s="441">
        <v>39</v>
      </c>
      <c r="B46" s="127" t="s">
        <v>195</v>
      </c>
      <c r="C46" s="125">
        <f t="shared" si="0"/>
        <v>215933</v>
      </c>
      <c r="D46" s="149">
        <v>136198</v>
      </c>
      <c r="E46" s="180">
        <v>17723</v>
      </c>
      <c r="F46" s="148">
        <v>26907</v>
      </c>
      <c r="G46" s="148">
        <v>7156</v>
      </c>
      <c r="H46" s="148">
        <v>63695</v>
      </c>
      <c r="I46" s="148">
        <v>20717</v>
      </c>
      <c r="J46" s="149">
        <v>79735</v>
      </c>
      <c r="K46" s="149">
        <v>53255</v>
      </c>
      <c r="L46" s="149">
        <v>9684</v>
      </c>
      <c r="M46" s="149">
        <v>16796</v>
      </c>
    </row>
    <row r="47" spans="1:13" s="128" customFormat="1" ht="33" x14ac:dyDescent="0.2">
      <c r="A47" s="441"/>
      <c r="B47" s="130" t="s">
        <v>357</v>
      </c>
      <c r="C47" s="125">
        <f t="shared" si="0"/>
        <v>89800</v>
      </c>
      <c r="D47" s="149">
        <v>70297</v>
      </c>
      <c r="E47" s="180">
        <v>54930</v>
      </c>
      <c r="F47" s="150">
        <v>235</v>
      </c>
      <c r="G47" s="150">
        <v>0</v>
      </c>
      <c r="H47" s="148">
        <v>15132</v>
      </c>
      <c r="I47" s="150">
        <v>0</v>
      </c>
      <c r="J47" s="149">
        <v>19503</v>
      </c>
      <c r="K47" s="149">
        <v>2707</v>
      </c>
      <c r="L47" s="149">
        <v>1000</v>
      </c>
      <c r="M47" s="149">
        <v>15796</v>
      </c>
    </row>
    <row r="48" spans="1:13" s="128" customFormat="1" ht="24.75" x14ac:dyDescent="0.2">
      <c r="A48" s="441"/>
      <c r="B48" s="130" t="s">
        <v>447</v>
      </c>
      <c r="C48" s="125">
        <f t="shared" si="0"/>
        <v>7650</v>
      </c>
      <c r="D48" s="151">
        <v>0</v>
      </c>
      <c r="E48" s="180">
        <v>0</v>
      </c>
      <c r="F48" s="150">
        <v>0</v>
      </c>
      <c r="G48" s="150">
        <v>0</v>
      </c>
      <c r="H48" s="150">
        <v>0</v>
      </c>
      <c r="I48" s="150">
        <v>0</v>
      </c>
      <c r="J48" s="149">
        <v>7650</v>
      </c>
      <c r="K48" s="149">
        <v>5093</v>
      </c>
      <c r="L48" s="151">
        <v>0</v>
      </c>
      <c r="M48" s="149">
        <v>2557</v>
      </c>
    </row>
    <row r="49" spans="1:14" s="132" customFormat="1" ht="16.5" x14ac:dyDescent="0.2">
      <c r="A49" s="175">
        <v>40</v>
      </c>
      <c r="B49" s="127" t="s">
        <v>358</v>
      </c>
      <c r="C49" s="125">
        <f t="shared" si="0"/>
        <v>16800</v>
      </c>
      <c r="D49" s="151">
        <v>0</v>
      </c>
      <c r="E49" s="180">
        <v>0</v>
      </c>
      <c r="F49" s="150">
        <v>0</v>
      </c>
      <c r="G49" s="150">
        <v>0</v>
      </c>
      <c r="H49" s="150">
        <v>0</v>
      </c>
      <c r="I49" s="150">
        <v>0</v>
      </c>
      <c r="J49" s="149">
        <v>16800</v>
      </c>
      <c r="K49" s="149">
        <v>6241</v>
      </c>
      <c r="L49" s="149">
        <v>8456</v>
      </c>
      <c r="M49" s="149">
        <v>2103</v>
      </c>
      <c r="N49" s="128"/>
    </row>
    <row r="50" spans="1:14" s="128" customFormat="1" ht="12" x14ac:dyDescent="0.2">
      <c r="A50" s="175">
        <v>41</v>
      </c>
      <c r="B50" s="127" t="s">
        <v>359</v>
      </c>
      <c r="C50" s="125">
        <f t="shared" si="0"/>
        <v>11900</v>
      </c>
      <c r="D50" s="151">
        <v>0</v>
      </c>
      <c r="E50" s="180">
        <v>0</v>
      </c>
      <c r="F50" s="150">
        <v>0</v>
      </c>
      <c r="G50" s="150">
        <v>0</v>
      </c>
      <c r="H50" s="150">
        <v>0</v>
      </c>
      <c r="I50" s="150">
        <v>0</v>
      </c>
      <c r="J50" s="149">
        <v>11900</v>
      </c>
      <c r="K50" s="149">
        <v>8089</v>
      </c>
      <c r="L50" s="151">
        <v>0</v>
      </c>
      <c r="M50" s="149">
        <v>3811</v>
      </c>
    </row>
    <row r="51" spans="1:14" s="128" customFormat="1" ht="12" x14ac:dyDescent="0.2">
      <c r="A51" s="441">
        <v>42</v>
      </c>
      <c r="B51" s="127" t="s">
        <v>193</v>
      </c>
      <c r="C51" s="125">
        <f t="shared" si="0"/>
        <v>175759</v>
      </c>
      <c r="D51" s="149">
        <v>106588</v>
      </c>
      <c r="E51" s="180">
        <v>34704</v>
      </c>
      <c r="F51" s="148">
        <v>11206</v>
      </c>
      <c r="G51" s="148">
        <v>1683</v>
      </c>
      <c r="H51" s="148">
        <v>38595</v>
      </c>
      <c r="I51" s="148">
        <v>20400</v>
      </c>
      <c r="J51" s="149">
        <v>69171</v>
      </c>
      <c r="K51" s="149">
        <v>45408</v>
      </c>
      <c r="L51" s="149">
        <v>4107</v>
      </c>
      <c r="M51" s="149">
        <v>19656</v>
      </c>
    </row>
    <row r="52" spans="1:14" s="128" customFormat="1" ht="33" x14ac:dyDescent="0.2">
      <c r="A52" s="441"/>
      <c r="B52" s="130" t="s">
        <v>360</v>
      </c>
      <c r="C52" s="125">
        <f t="shared" si="0"/>
        <v>60425</v>
      </c>
      <c r="D52" s="149">
        <v>32923</v>
      </c>
      <c r="E52" s="180">
        <v>11751</v>
      </c>
      <c r="F52" s="148">
        <v>4658</v>
      </c>
      <c r="G52" s="148">
        <v>1336</v>
      </c>
      <c r="H52" s="148">
        <v>15178</v>
      </c>
      <c r="I52" s="150">
        <v>0</v>
      </c>
      <c r="J52" s="149">
        <v>27502</v>
      </c>
      <c r="K52" s="149">
        <v>20589</v>
      </c>
      <c r="L52" s="151">
        <v>50</v>
      </c>
      <c r="M52" s="149">
        <v>6863</v>
      </c>
    </row>
    <row r="53" spans="1:14" s="128" customFormat="1" ht="12" x14ac:dyDescent="0.2">
      <c r="A53" s="175">
        <v>43</v>
      </c>
      <c r="B53" s="127" t="s">
        <v>18</v>
      </c>
      <c r="C53" s="125">
        <f t="shared" si="0"/>
        <v>217089</v>
      </c>
      <c r="D53" s="149">
        <v>122094</v>
      </c>
      <c r="E53" s="180">
        <v>38521</v>
      </c>
      <c r="F53" s="148">
        <v>18149</v>
      </c>
      <c r="G53" s="148">
        <v>4767</v>
      </c>
      <c r="H53" s="148">
        <v>53992</v>
      </c>
      <c r="I53" s="148">
        <v>6665</v>
      </c>
      <c r="J53" s="149">
        <v>94995</v>
      </c>
      <c r="K53" s="149">
        <v>44197</v>
      </c>
      <c r="L53" s="149">
        <v>23045</v>
      </c>
      <c r="M53" s="149">
        <v>27753</v>
      </c>
    </row>
    <row r="54" spans="1:14" s="128" customFormat="1" ht="12" x14ac:dyDescent="0.2">
      <c r="A54" s="175">
        <v>44</v>
      </c>
      <c r="B54" s="127" t="s">
        <v>19</v>
      </c>
      <c r="C54" s="125">
        <f t="shared" si="0"/>
        <v>232858</v>
      </c>
      <c r="D54" s="149">
        <v>142688</v>
      </c>
      <c r="E54" s="180">
        <v>67674</v>
      </c>
      <c r="F54" s="148">
        <v>17814</v>
      </c>
      <c r="G54" s="148">
        <v>4435</v>
      </c>
      <c r="H54" s="148">
        <v>52765</v>
      </c>
      <c r="I54" s="150">
        <v>0</v>
      </c>
      <c r="J54" s="149">
        <v>90170</v>
      </c>
      <c r="K54" s="149">
        <v>59329</v>
      </c>
      <c r="L54" s="149">
        <v>1650</v>
      </c>
      <c r="M54" s="149">
        <v>29191</v>
      </c>
    </row>
    <row r="55" spans="1:14" s="128" customFormat="1" ht="12" x14ac:dyDescent="0.2">
      <c r="A55" s="175">
        <v>45</v>
      </c>
      <c r="B55" s="127" t="s">
        <v>90</v>
      </c>
      <c r="C55" s="125">
        <f t="shared" si="0"/>
        <v>60324</v>
      </c>
      <c r="D55" s="149">
        <v>39004</v>
      </c>
      <c r="E55" s="180">
        <v>15776</v>
      </c>
      <c r="F55" s="148">
        <v>5451</v>
      </c>
      <c r="G55" s="148">
        <v>1395</v>
      </c>
      <c r="H55" s="148">
        <v>16382</v>
      </c>
      <c r="I55" s="150">
        <v>0</v>
      </c>
      <c r="J55" s="149">
        <v>21320</v>
      </c>
      <c r="K55" s="149">
        <v>10249</v>
      </c>
      <c r="L55" s="149">
        <v>2031</v>
      </c>
      <c r="M55" s="149">
        <v>9040</v>
      </c>
    </row>
    <row r="56" spans="1:14" s="128" customFormat="1" ht="12" x14ac:dyDescent="0.2">
      <c r="A56" s="175">
        <v>46</v>
      </c>
      <c r="B56" s="127" t="s">
        <v>91</v>
      </c>
      <c r="C56" s="125">
        <f t="shared" si="0"/>
        <v>84314</v>
      </c>
      <c r="D56" s="149">
        <v>50240</v>
      </c>
      <c r="E56" s="180">
        <v>23521</v>
      </c>
      <c r="F56" s="148">
        <v>5509</v>
      </c>
      <c r="G56" s="148">
        <v>1109</v>
      </c>
      <c r="H56" s="148">
        <v>20101</v>
      </c>
      <c r="I56" s="150">
        <v>0</v>
      </c>
      <c r="J56" s="149">
        <v>34074</v>
      </c>
      <c r="K56" s="149">
        <v>18514</v>
      </c>
      <c r="L56" s="151">
        <v>525</v>
      </c>
      <c r="M56" s="149">
        <v>15035</v>
      </c>
    </row>
    <row r="57" spans="1:14" s="132" customFormat="1" ht="12" x14ac:dyDescent="0.2">
      <c r="A57" s="175">
        <v>47</v>
      </c>
      <c r="B57" s="127" t="s">
        <v>92</v>
      </c>
      <c r="C57" s="125">
        <f t="shared" si="0"/>
        <v>68704</v>
      </c>
      <c r="D57" s="149">
        <v>39056</v>
      </c>
      <c r="E57" s="180">
        <v>13456</v>
      </c>
      <c r="F57" s="148">
        <v>5998</v>
      </c>
      <c r="G57" s="148">
        <v>1201</v>
      </c>
      <c r="H57" s="148">
        <v>18401</v>
      </c>
      <c r="I57" s="150">
        <v>0</v>
      </c>
      <c r="J57" s="149">
        <v>29648</v>
      </c>
      <c r="K57" s="149">
        <v>16899</v>
      </c>
      <c r="L57" s="149">
        <v>3869</v>
      </c>
      <c r="M57" s="149">
        <v>8880</v>
      </c>
      <c r="N57" s="128"/>
    </row>
    <row r="58" spans="1:14" s="128" customFormat="1" ht="12" x14ac:dyDescent="0.2">
      <c r="A58" s="175">
        <v>48</v>
      </c>
      <c r="B58" s="127" t="s">
        <v>93</v>
      </c>
      <c r="C58" s="125">
        <f t="shared" si="0"/>
        <v>51746</v>
      </c>
      <c r="D58" s="149">
        <v>34511</v>
      </c>
      <c r="E58" s="180">
        <v>16718</v>
      </c>
      <c r="F58" s="148">
        <v>4589</v>
      </c>
      <c r="G58" s="148">
        <v>1122</v>
      </c>
      <c r="H58" s="148">
        <v>12082</v>
      </c>
      <c r="I58" s="150">
        <v>0</v>
      </c>
      <c r="J58" s="149">
        <v>17235</v>
      </c>
      <c r="K58" s="149">
        <v>9828</v>
      </c>
      <c r="L58" s="151">
        <v>262</v>
      </c>
      <c r="M58" s="149">
        <v>7145</v>
      </c>
    </row>
    <row r="59" spans="1:14" s="128" customFormat="1" ht="12" x14ac:dyDescent="0.2">
      <c r="A59" s="175">
        <v>49</v>
      </c>
      <c r="B59" s="127" t="s">
        <v>94</v>
      </c>
      <c r="C59" s="125">
        <f t="shared" si="0"/>
        <v>84853</v>
      </c>
      <c r="D59" s="149">
        <v>47004</v>
      </c>
      <c r="E59" s="180">
        <v>16682</v>
      </c>
      <c r="F59" s="148">
        <v>7378</v>
      </c>
      <c r="G59" s="148">
        <v>1993</v>
      </c>
      <c r="H59" s="148">
        <v>20951</v>
      </c>
      <c r="I59" s="150">
        <v>0</v>
      </c>
      <c r="J59" s="149">
        <v>37849</v>
      </c>
      <c r="K59" s="149">
        <v>26030</v>
      </c>
      <c r="L59" s="151">
        <v>0</v>
      </c>
      <c r="M59" s="149">
        <v>11819</v>
      </c>
    </row>
    <row r="60" spans="1:14" s="132" customFormat="1" ht="12" x14ac:dyDescent="0.2">
      <c r="A60" s="175">
        <v>50</v>
      </c>
      <c r="B60" s="127" t="s">
        <v>95</v>
      </c>
      <c r="C60" s="125">
        <f t="shared" si="0"/>
        <v>40184</v>
      </c>
      <c r="D60" s="149">
        <v>23555</v>
      </c>
      <c r="E60" s="180">
        <v>9562</v>
      </c>
      <c r="F60" s="148">
        <v>3589</v>
      </c>
      <c r="G60" s="150">
        <v>821</v>
      </c>
      <c r="H60" s="148">
        <v>9583</v>
      </c>
      <c r="I60" s="150">
        <v>0</v>
      </c>
      <c r="J60" s="149">
        <v>16629</v>
      </c>
      <c r="K60" s="149">
        <v>11302</v>
      </c>
      <c r="L60" s="149">
        <v>1000</v>
      </c>
      <c r="M60" s="149">
        <v>4327</v>
      </c>
      <c r="N60" s="128"/>
    </row>
    <row r="61" spans="1:14" s="128" customFormat="1" ht="12" x14ac:dyDescent="0.2">
      <c r="A61" s="175">
        <v>51</v>
      </c>
      <c r="B61" s="133" t="s">
        <v>448</v>
      </c>
      <c r="C61" s="125">
        <f t="shared" si="0"/>
        <v>14738</v>
      </c>
      <c r="D61" s="149">
        <v>8706</v>
      </c>
      <c r="E61" s="180">
        <v>883</v>
      </c>
      <c r="F61" s="148">
        <v>2189</v>
      </c>
      <c r="G61" s="150">
        <v>515</v>
      </c>
      <c r="H61" s="148">
        <v>5119</v>
      </c>
      <c r="I61" s="150">
        <v>0</v>
      </c>
      <c r="J61" s="149">
        <v>6032</v>
      </c>
      <c r="K61" s="149">
        <v>3578</v>
      </c>
      <c r="L61" s="151">
        <v>520</v>
      </c>
      <c r="M61" s="149">
        <v>1934</v>
      </c>
    </row>
    <row r="62" spans="1:14" s="128" customFormat="1" ht="16.5" x14ac:dyDescent="0.2">
      <c r="A62" s="175">
        <v>52</v>
      </c>
      <c r="B62" s="127" t="s">
        <v>96</v>
      </c>
      <c r="C62" s="125">
        <f t="shared" si="0"/>
        <v>7208</v>
      </c>
      <c r="D62" s="151">
        <v>0</v>
      </c>
      <c r="E62" s="180">
        <v>0</v>
      </c>
      <c r="F62" s="150">
        <v>0</v>
      </c>
      <c r="G62" s="150">
        <v>0</v>
      </c>
      <c r="H62" s="150">
        <v>0</v>
      </c>
      <c r="I62" s="150">
        <v>0</v>
      </c>
      <c r="J62" s="149">
        <v>7208</v>
      </c>
      <c r="K62" s="149">
        <v>4651</v>
      </c>
      <c r="L62" s="151">
        <v>0</v>
      </c>
      <c r="M62" s="149">
        <v>2557</v>
      </c>
    </row>
    <row r="63" spans="1:14" s="128" customFormat="1" ht="12" x14ac:dyDescent="0.2">
      <c r="A63" s="175">
        <v>53</v>
      </c>
      <c r="B63" s="127" t="s">
        <v>362</v>
      </c>
      <c r="C63" s="125">
        <f t="shared" si="0"/>
        <v>31692</v>
      </c>
      <c r="D63" s="149">
        <v>10138</v>
      </c>
      <c r="E63" s="180">
        <v>0</v>
      </c>
      <c r="F63" s="150">
        <v>0</v>
      </c>
      <c r="G63" s="150">
        <v>0</v>
      </c>
      <c r="H63" s="148">
        <v>10138</v>
      </c>
      <c r="I63" s="150">
        <v>0</v>
      </c>
      <c r="J63" s="149">
        <v>21554</v>
      </c>
      <c r="K63" s="149">
        <v>15116</v>
      </c>
      <c r="L63" s="149">
        <v>1000</v>
      </c>
      <c r="M63" s="149">
        <v>5438</v>
      </c>
    </row>
    <row r="64" spans="1:14" s="128" customFormat="1" ht="12" x14ac:dyDescent="0.2">
      <c r="A64" s="175">
        <v>54</v>
      </c>
      <c r="B64" s="124" t="s">
        <v>20</v>
      </c>
      <c r="C64" s="125">
        <f t="shared" si="0"/>
        <v>328725</v>
      </c>
      <c r="D64" s="149">
        <v>197839</v>
      </c>
      <c r="E64" s="180">
        <v>78285</v>
      </c>
      <c r="F64" s="148">
        <v>26118</v>
      </c>
      <c r="G64" s="148">
        <v>7380</v>
      </c>
      <c r="H64" s="148">
        <v>81642</v>
      </c>
      <c r="I64" s="148">
        <v>4414</v>
      </c>
      <c r="J64" s="149">
        <v>130886</v>
      </c>
      <c r="K64" s="149">
        <v>81929</v>
      </c>
      <c r="L64" s="149">
        <v>12112</v>
      </c>
      <c r="M64" s="149">
        <v>36845</v>
      </c>
    </row>
    <row r="65" spans="1:13" s="128" customFormat="1" ht="12" x14ac:dyDescent="0.2">
      <c r="A65" s="175">
        <v>55</v>
      </c>
      <c r="B65" s="127" t="s">
        <v>9</v>
      </c>
      <c r="C65" s="125">
        <f t="shared" si="0"/>
        <v>233875</v>
      </c>
      <c r="D65" s="149">
        <v>126130</v>
      </c>
      <c r="E65" s="180">
        <v>45904</v>
      </c>
      <c r="F65" s="148">
        <v>18466</v>
      </c>
      <c r="G65" s="148">
        <v>3858</v>
      </c>
      <c r="H65" s="148">
        <v>57902</v>
      </c>
      <c r="I65" s="150">
        <v>0</v>
      </c>
      <c r="J65" s="149">
        <v>107745</v>
      </c>
      <c r="K65" s="149">
        <v>69229</v>
      </c>
      <c r="L65" s="149">
        <v>2699</v>
      </c>
      <c r="M65" s="149">
        <v>35817</v>
      </c>
    </row>
    <row r="66" spans="1:13" s="128" customFormat="1" ht="12" x14ac:dyDescent="0.2">
      <c r="A66" s="175">
        <v>56</v>
      </c>
      <c r="B66" s="124" t="s">
        <v>212</v>
      </c>
      <c r="C66" s="125">
        <f t="shared" si="0"/>
        <v>289683</v>
      </c>
      <c r="D66" s="149">
        <v>186134</v>
      </c>
      <c r="E66" s="180">
        <v>56085</v>
      </c>
      <c r="F66" s="148">
        <v>20041</v>
      </c>
      <c r="G66" s="148">
        <v>5846</v>
      </c>
      <c r="H66" s="148">
        <v>65696</v>
      </c>
      <c r="I66" s="148">
        <v>38466</v>
      </c>
      <c r="J66" s="149">
        <v>103549</v>
      </c>
      <c r="K66" s="149">
        <v>62238</v>
      </c>
      <c r="L66" s="149">
        <v>2729</v>
      </c>
      <c r="M66" s="149">
        <v>38582</v>
      </c>
    </row>
    <row r="67" spans="1:13" s="128" customFormat="1" ht="16.5" x14ac:dyDescent="0.2">
      <c r="A67" s="175">
        <v>57</v>
      </c>
      <c r="B67" s="124" t="s">
        <v>365</v>
      </c>
      <c r="C67" s="125">
        <f t="shared" si="0"/>
        <v>11200</v>
      </c>
      <c r="D67" s="151">
        <v>0</v>
      </c>
      <c r="E67" s="180">
        <v>0</v>
      </c>
      <c r="F67" s="150">
        <v>0</v>
      </c>
      <c r="G67" s="150">
        <v>0</v>
      </c>
      <c r="H67" s="150">
        <v>0</v>
      </c>
      <c r="I67" s="150">
        <v>0</v>
      </c>
      <c r="J67" s="149">
        <v>11200</v>
      </c>
      <c r="K67" s="149">
        <v>6279</v>
      </c>
      <c r="L67" s="149">
        <v>3844</v>
      </c>
      <c r="M67" s="149">
        <v>1077</v>
      </c>
    </row>
    <row r="68" spans="1:13" s="128" customFormat="1" ht="12" x14ac:dyDescent="0.2">
      <c r="A68" s="175">
        <v>58</v>
      </c>
      <c r="B68" s="127" t="s">
        <v>100</v>
      </c>
      <c r="C68" s="125">
        <f t="shared" si="0"/>
        <v>106989</v>
      </c>
      <c r="D68" s="149">
        <v>60903</v>
      </c>
      <c r="E68" s="180">
        <v>25526</v>
      </c>
      <c r="F68" s="148">
        <v>8040</v>
      </c>
      <c r="G68" s="148">
        <v>2149</v>
      </c>
      <c r="H68" s="148">
        <v>25188</v>
      </c>
      <c r="I68" s="150">
        <v>0</v>
      </c>
      <c r="J68" s="149">
        <v>46086</v>
      </c>
      <c r="K68" s="149">
        <v>29380</v>
      </c>
      <c r="L68" s="151">
        <v>20</v>
      </c>
      <c r="M68" s="149">
        <v>16686</v>
      </c>
    </row>
    <row r="69" spans="1:13" s="128" customFormat="1" ht="12" x14ac:dyDescent="0.2">
      <c r="A69" s="175">
        <v>59</v>
      </c>
      <c r="B69" s="124" t="s">
        <v>101</v>
      </c>
      <c r="C69" s="125">
        <f t="shared" si="0"/>
        <v>69307</v>
      </c>
      <c r="D69" s="149">
        <v>39640</v>
      </c>
      <c r="E69" s="180">
        <v>14960</v>
      </c>
      <c r="F69" s="148">
        <v>6043</v>
      </c>
      <c r="G69" s="148">
        <v>1758</v>
      </c>
      <c r="H69" s="148">
        <v>16879</v>
      </c>
      <c r="I69" s="150">
        <v>0</v>
      </c>
      <c r="J69" s="149">
        <v>29667</v>
      </c>
      <c r="K69" s="149">
        <v>17098</v>
      </c>
      <c r="L69" s="149">
        <v>2272</v>
      </c>
      <c r="M69" s="149">
        <v>10297</v>
      </c>
    </row>
    <row r="70" spans="1:13" s="128" customFormat="1" ht="12" x14ac:dyDescent="0.2">
      <c r="A70" s="175">
        <v>60</v>
      </c>
      <c r="B70" s="127" t="s">
        <v>102</v>
      </c>
      <c r="C70" s="125">
        <f t="shared" si="0"/>
        <v>51938</v>
      </c>
      <c r="D70" s="149">
        <v>32189</v>
      </c>
      <c r="E70" s="180">
        <v>11756</v>
      </c>
      <c r="F70" s="148">
        <v>5146</v>
      </c>
      <c r="G70" s="148">
        <v>1135</v>
      </c>
      <c r="H70" s="148">
        <v>13628</v>
      </c>
      <c r="I70" s="150">
        <v>524</v>
      </c>
      <c r="J70" s="149">
        <v>19749</v>
      </c>
      <c r="K70" s="149">
        <v>14933</v>
      </c>
      <c r="L70" s="151">
        <v>0</v>
      </c>
      <c r="M70" s="149">
        <v>4816</v>
      </c>
    </row>
    <row r="71" spans="1:13" s="128" customFormat="1" ht="12" x14ac:dyDescent="0.2">
      <c r="A71" s="175">
        <v>61</v>
      </c>
      <c r="B71" s="124" t="s">
        <v>103</v>
      </c>
      <c r="C71" s="125">
        <f t="shared" si="0"/>
        <v>79938</v>
      </c>
      <c r="D71" s="149">
        <v>45339</v>
      </c>
      <c r="E71" s="180">
        <v>17285</v>
      </c>
      <c r="F71" s="148">
        <v>6350</v>
      </c>
      <c r="G71" s="148">
        <v>1848</v>
      </c>
      <c r="H71" s="148">
        <v>19856</v>
      </c>
      <c r="I71" s="150">
        <v>0</v>
      </c>
      <c r="J71" s="149">
        <v>34599</v>
      </c>
      <c r="K71" s="149">
        <v>18354</v>
      </c>
      <c r="L71" s="151">
        <v>150</v>
      </c>
      <c r="M71" s="149">
        <v>16095</v>
      </c>
    </row>
    <row r="72" spans="1:13" s="128" customFormat="1" ht="12" x14ac:dyDescent="0.2">
      <c r="A72" s="175">
        <v>62</v>
      </c>
      <c r="B72" s="127" t="s">
        <v>104</v>
      </c>
      <c r="C72" s="125">
        <f t="shared" si="0"/>
        <v>36501</v>
      </c>
      <c r="D72" s="149">
        <v>21987</v>
      </c>
      <c r="E72" s="180">
        <v>8794</v>
      </c>
      <c r="F72" s="148">
        <v>3235</v>
      </c>
      <c r="G72" s="148">
        <v>1048</v>
      </c>
      <c r="H72" s="148">
        <v>8687</v>
      </c>
      <c r="I72" s="150">
        <v>223</v>
      </c>
      <c r="J72" s="149">
        <v>14514</v>
      </c>
      <c r="K72" s="149">
        <v>10631</v>
      </c>
      <c r="L72" s="151">
        <v>760</v>
      </c>
      <c r="M72" s="149">
        <v>3123</v>
      </c>
    </row>
    <row r="73" spans="1:13" s="128" customFormat="1" ht="12" x14ac:dyDescent="0.2">
      <c r="A73" s="175">
        <v>63</v>
      </c>
      <c r="B73" s="127" t="s">
        <v>105</v>
      </c>
      <c r="C73" s="125">
        <f t="shared" si="0"/>
        <v>67115</v>
      </c>
      <c r="D73" s="149">
        <v>38239</v>
      </c>
      <c r="E73" s="180">
        <v>13899</v>
      </c>
      <c r="F73" s="148">
        <v>5993</v>
      </c>
      <c r="G73" s="148">
        <v>1847</v>
      </c>
      <c r="H73" s="148">
        <v>16500</v>
      </c>
      <c r="I73" s="150">
        <v>0</v>
      </c>
      <c r="J73" s="149">
        <v>28876</v>
      </c>
      <c r="K73" s="149">
        <v>16883</v>
      </c>
      <c r="L73" s="149">
        <v>3037</v>
      </c>
      <c r="M73" s="149">
        <v>8956</v>
      </c>
    </row>
    <row r="74" spans="1:13" s="128" customFormat="1" ht="12" x14ac:dyDescent="0.2">
      <c r="A74" s="175">
        <v>64</v>
      </c>
      <c r="B74" s="127" t="s">
        <v>106</v>
      </c>
      <c r="C74" s="125">
        <f t="shared" ref="C74:C137" si="1">D74+J74</f>
        <v>109905</v>
      </c>
      <c r="D74" s="149">
        <v>69419</v>
      </c>
      <c r="E74" s="180">
        <v>33306</v>
      </c>
      <c r="F74" s="148">
        <v>8864</v>
      </c>
      <c r="G74" s="148">
        <v>2114</v>
      </c>
      <c r="H74" s="148">
        <v>24593</v>
      </c>
      <c r="I74" s="150">
        <v>542</v>
      </c>
      <c r="J74" s="149">
        <v>40486</v>
      </c>
      <c r="K74" s="149">
        <v>29601</v>
      </c>
      <c r="L74" s="149">
        <v>2861</v>
      </c>
      <c r="M74" s="149">
        <v>8024</v>
      </c>
    </row>
    <row r="75" spans="1:13" s="128" customFormat="1" ht="12" x14ac:dyDescent="0.2">
      <c r="A75" s="175">
        <v>65</v>
      </c>
      <c r="B75" s="124" t="s">
        <v>107</v>
      </c>
      <c r="C75" s="125">
        <f t="shared" si="1"/>
        <v>47759</v>
      </c>
      <c r="D75" s="149">
        <v>27531</v>
      </c>
      <c r="E75" s="180">
        <v>8415</v>
      </c>
      <c r="F75" s="148">
        <v>4615</v>
      </c>
      <c r="G75" s="150">
        <v>998</v>
      </c>
      <c r="H75" s="148">
        <v>13503</v>
      </c>
      <c r="I75" s="150">
        <v>0</v>
      </c>
      <c r="J75" s="149">
        <v>20228</v>
      </c>
      <c r="K75" s="149">
        <v>11122</v>
      </c>
      <c r="L75" s="149">
        <v>1000</v>
      </c>
      <c r="M75" s="149">
        <v>8106</v>
      </c>
    </row>
    <row r="76" spans="1:13" s="128" customFormat="1" ht="16.5" x14ac:dyDescent="0.2">
      <c r="A76" s="175">
        <v>66</v>
      </c>
      <c r="B76" s="127" t="s">
        <v>366</v>
      </c>
      <c r="C76" s="125">
        <f t="shared" si="1"/>
        <v>36</v>
      </c>
      <c r="D76" s="151">
        <v>0</v>
      </c>
      <c r="E76" s="180">
        <v>0</v>
      </c>
      <c r="F76" s="150">
        <v>0</v>
      </c>
      <c r="G76" s="150">
        <v>0</v>
      </c>
      <c r="H76" s="150">
        <v>0</v>
      </c>
      <c r="I76" s="150">
        <v>0</v>
      </c>
      <c r="J76" s="151">
        <v>36</v>
      </c>
      <c r="K76" s="151">
        <v>26</v>
      </c>
      <c r="L76" s="151">
        <v>0</v>
      </c>
      <c r="M76" s="151">
        <v>10</v>
      </c>
    </row>
    <row r="77" spans="1:13" s="128" customFormat="1" ht="12" x14ac:dyDescent="0.2">
      <c r="A77" s="175">
        <v>67</v>
      </c>
      <c r="B77" s="127" t="s">
        <v>367</v>
      </c>
      <c r="C77" s="125">
        <f t="shared" si="1"/>
        <v>100</v>
      </c>
      <c r="D77" s="151">
        <v>0</v>
      </c>
      <c r="E77" s="180">
        <v>0</v>
      </c>
      <c r="F77" s="150">
        <v>0</v>
      </c>
      <c r="G77" s="150">
        <v>0</v>
      </c>
      <c r="H77" s="150">
        <v>0</v>
      </c>
      <c r="I77" s="150">
        <v>0</v>
      </c>
      <c r="J77" s="151">
        <v>100</v>
      </c>
      <c r="K77" s="151">
        <v>63</v>
      </c>
      <c r="L77" s="151">
        <v>0</v>
      </c>
      <c r="M77" s="151">
        <v>37</v>
      </c>
    </row>
    <row r="78" spans="1:13" s="128" customFormat="1" ht="12" x14ac:dyDescent="0.2">
      <c r="A78" s="175">
        <v>68</v>
      </c>
      <c r="B78" s="127" t="s">
        <v>369</v>
      </c>
      <c r="C78" s="125">
        <f t="shared" si="1"/>
        <v>85</v>
      </c>
      <c r="D78" s="151">
        <v>0</v>
      </c>
      <c r="E78" s="180">
        <v>0</v>
      </c>
      <c r="F78" s="150">
        <v>0</v>
      </c>
      <c r="G78" s="150">
        <v>0</v>
      </c>
      <c r="H78" s="150">
        <v>0</v>
      </c>
      <c r="I78" s="150">
        <v>0</v>
      </c>
      <c r="J78" s="151">
        <v>85</v>
      </c>
      <c r="K78" s="151">
        <v>79</v>
      </c>
      <c r="L78" s="151">
        <v>0</v>
      </c>
      <c r="M78" s="151">
        <v>6</v>
      </c>
    </row>
    <row r="79" spans="1:13" s="128" customFormat="1" ht="16.5" x14ac:dyDescent="0.2">
      <c r="A79" s="175">
        <v>69</v>
      </c>
      <c r="B79" s="127" t="s">
        <v>370</v>
      </c>
      <c r="C79" s="125">
        <f t="shared" si="1"/>
        <v>11</v>
      </c>
      <c r="D79" s="151">
        <v>0</v>
      </c>
      <c r="E79" s="180">
        <v>0</v>
      </c>
      <c r="F79" s="150">
        <v>0</v>
      </c>
      <c r="G79" s="150">
        <v>0</v>
      </c>
      <c r="H79" s="150">
        <v>0</v>
      </c>
      <c r="I79" s="150">
        <v>0</v>
      </c>
      <c r="J79" s="151">
        <v>11</v>
      </c>
      <c r="K79" s="151">
        <v>3</v>
      </c>
      <c r="L79" s="151">
        <v>0</v>
      </c>
      <c r="M79" s="151">
        <v>8</v>
      </c>
    </row>
    <row r="80" spans="1:13" s="128" customFormat="1" ht="16.5" x14ac:dyDescent="0.2">
      <c r="A80" s="175">
        <v>70</v>
      </c>
      <c r="B80" s="134" t="s">
        <v>372</v>
      </c>
      <c r="C80" s="125">
        <f t="shared" si="1"/>
        <v>151908</v>
      </c>
      <c r="D80" s="149">
        <v>96888</v>
      </c>
      <c r="E80" s="180">
        <v>72805</v>
      </c>
      <c r="F80" s="150">
        <v>270</v>
      </c>
      <c r="G80" s="150">
        <v>0</v>
      </c>
      <c r="H80" s="148">
        <v>23813</v>
      </c>
      <c r="I80" s="150">
        <v>0</v>
      </c>
      <c r="J80" s="149">
        <v>55020</v>
      </c>
      <c r="K80" s="149">
        <v>29939</v>
      </c>
      <c r="L80" s="151">
        <v>0</v>
      </c>
      <c r="M80" s="149">
        <v>25081</v>
      </c>
    </row>
    <row r="81" spans="1:13" s="128" customFormat="1" ht="16.5" x14ac:dyDescent="0.2">
      <c r="A81" s="175">
        <v>71</v>
      </c>
      <c r="B81" s="134" t="s">
        <v>373</v>
      </c>
      <c r="C81" s="125">
        <f t="shared" si="1"/>
        <v>141060</v>
      </c>
      <c r="D81" s="149">
        <v>89970</v>
      </c>
      <c r="E81" s="180">
        <v>69106</v>
      </c>
      <c r="F81" s="150">
        <v>418</v>
      </c>
      <c r="G81" s="150">
        <v>0</v>
      </c>
      <c r="H81" s="148">
        <v>20446</v>
      </c>
      <c r="I81" s="150">
        <v>0</v>
      </c>
      <c r="J81" s="149">
        <v>51090</v>
      </c>
      <c r="K81" s="149">
        <v>35182</v>
      </c>
      <c r="L81" s="151">
        <v>0</v>
      </c>
      <c r="M81" s="149">
        <v>15908</v>
      </c>
    </row>
    <row r="82" spans="1:13" s="128" customFormat="1" ht="16.5" x14ac:dyDescent="0.2">
      <c r="A82" s="175">
        <v>72</v>
      </c>
      <c r="B82" s="134" t="s">
        <v>374</v>
      </c>
      <c r="C82" s="125">
        <f t="shared" si="1"/>
        <v>178746</v>
      </c>
      <c r="D82" s="149">
        <v>113371</v>
      </c>
      <c r="E82" s="180">
        <v>85902</v>
      </c>
      <c r="F82" s="150">
        <v>75</v>
      </c>
      <c r="G82" s="150">
        <v>0</v>
      </c>
      <c r="H82" s="148">
        <v>27394</v>
      </c>
      <c r="I82" s="150">
        <v>0</v>
      </c>
      <c r="J82" s="149">
        <v>65375</v>
      </c>
      <c r="K82" s="149">
        <v>39558</v>
      </c>
      <c r="L82" s="151">
        <v>415</v>
      </c>
      <c r="M82" s="149">
        <v>25402</v>
      </c>
    </row>
    <row r="83" spans="1:13" s="128" customFormat="1" ht="16.5" x14ac:dyDescent="0.2">
      <c r="A83" s="175">
        <v>73</v>
      </c>
      <c r="B83" s="134" t="s">
        <v>200</v>
      </c>
      <c r="C83" s="125">
        <f t="shared" si="1"/>
        <v>224310</v>
      </c>
      <c r="D83" s="149">
        <v>165104</v>
      </c>
      <c r="E83" s="180">
        <v>118484</v>
      </c>
      <c r="F83" s="150">
        <v>352</v>
      </c>
      <c r="G83" s="150">
        <v>0</v>
      </c>
      <c r="H83" s="148">
        <v>33512</v>
      </c>
      <c r="I83" s="148">
        <v>12756</v>
      </c>
      <c r="J83" s="149">
        <v>59206</v>
      </c>
      <c r="K83" s="149">
        <v>9733</v>
      </c>
      <c r="L83" s="151">
        <v>0</v>
      </c>
      <c r="M83" s="149">
        <v>49473</v>
      </c>
    </row>
    <row r="84" spans="1:13" s="128" customFormat="1" ht="16.5" x14ac:dyDescent="0.2">
      <c r="A84" s="175">
        <v>74</v>
      </c>
      <c r="B84" s="134" t="s">
        <v>375</v>
      </c>
      <c r="C84" s="125">
        <f t="shared" si="1"/>
        <v>94975</v>
      </c>
      <c r="D84" s="149">
        <v>59933</v>
      </c>
      <c r="E84" s="180">
        <v>46905</v>
      </c>
      <c r="F84" s="150">
        <v>105</v>
      </c>
      <c r="G84" s="150">
        <v>0</v>
      </c>
      <c r="H84" s="148">
        <v>12923</v>
      </c>
      <c r="I84" s="150">
        <v>0</v>
      </c>
      <c r="J84" s="149">
        <v>35042</v>
      </c>
      <c r="K84" s="149">
        <v>20084</v>
      </c>
      <c r="L84" s="151">
        <v>0</v>
      </c>
      <c r="M84" s="149">
        <v>14958</v>
      </c>
    </row>
    <row r="85" spans="1:13" s="128" customFormat="1" ht="16.5" x14ac:dyDescent="0.2">
      <c r="A85" s="175">
        <v>75</v>
      </c>
      <c r="B85" s="134" t="s">
        <v>376</v>
      </c>
      <c r="C85" s="125">
        <f t="shared" si="1"/>
        <v>36413</v>
      </c>
      <c r="D85" s="151">
        <v>0</v>
      </c>
      <c r="E85" s="180">
        <v>0</v>
      </c>
      <c r="F85" s="150">
        <v>0</v>
      </c>
      <c r="G85" s="150">
        <v>0</v>
      </c>
      <c r="H85" s="150">
        <v>0</v>
      </c>
      <c r="I85" s="150">
        <v>0</v>
      </c>
      <c r="J85" s="149">
        <v>36413</v>
      </c>
      <c r="K85" s="149">
        <v>23813</v>
      </c>
      <c r="L85" s="149">
        <v>12500</v>
      </c>
      <c r="M85" s="151">
        <v>100</v>
      </c>
    </row>
    <row r="86" spans="1:13" s="128" customFormat="1" ht="16.5" x14ac:dyDescent="0.2">
      <c r="A86" s="175">
        <v>76</v>
      </c>
      <c r="B86" s="134" t="s">
        <v>377</v>
      </c>
      <c r="C86" s="125">
        <f t="shared" si="1"/>
        <v>31369</v>
      </c>
      <c r="D86" s="151">
        <v>0</v>
      </c>
      <c r="E86" s="180">
        <v>0</v>
      </c>
      <c r="F86" s="150">
        <v>0</v>
      </c>
      <c r="G86" s="150">
        <v>0</v>
      </c>
      <c r="H86" s="150">
        <v>0</v>
      </c>
      <c r="I86" s="150">
        <v>0</v>
      </c>
      <c r="J86" s="149">
        <v>31369</v>
      </c>
      <c r="K86" s="149">
        <v>16156</v>
      </c>
      <c r="L86" s="149">
        <v>14504</v>
      </c>
      <c r="M86" s="151">
        <v>709</v>
      </c>
    </row>
    <row r="87" spans="1:13" s="128" customFormat="1" ht="12" x14ac:dyDescent="0.2">
      <c r="A87" s="175">
        <v>77</v>
      </c>
      <c r="B87" s="134" t="s">
        <v>378</v>
      </c>
      <c r="C87" s="125">
        <f t="shared" si="1"/>
        <v>120108</v>
      </c>
      <c r="D87" s="149">
        <v>83311</v>
      </c>
      <c r="E87" s="180">
        <v>21596</v>
      </c>
      <c r="F87" s="148">
        <v>13167</v>
      </c>
      <c r="G87" s="148">
        <v>1852</v>
      </c>
      <c r="H87" s="148">
        <v>46696</v>
      </c>
      <c r="I87" s="150">
        <v>0</v>
      </c>
      <c r="J87" s="149">
        <v>36797</v>
      </c>
      <c r="K87" s="149">
        <v>26642</v>
      </c>
      <c r="L87" s="151">
        <v>350</v>
      </c>
      <c r="M87" s="149">
        <v>9805</v>
      </c>
    </row>
    <row r="88" spans="1:13" s="128" customFormat="1" ht="12" x14ac:dyDescent="0.2">
      <c r="A88" s="175">
        <v>78</v>
      </c>
      <c r="B88" s="134" t="s">
        <v>201</v>
      </c>
      <c r="C88" s="125">
        <f t="shared" si="1"/>
        <v>90337</v>
      </c>
      <c r="D88" s="149">
        <v>65560</v>
      </c>
      <c r="E88" s="180">
        <v>11053</v>
      </c>
      <c r="F88" s="148">
        <v>10625</v>
      </c>
      <c r="G88" s="148">
        <v>3167</v>
      </c>
      <c r="H88" s="148">
        <v>26128</v>
      </c>
      <c r="I88" s="148">
        <v>14587</v>
      </c>
      <c r="J88" s="149">
        <v>24777</v>
      </c>
      <c r="K88" s="149">
        <v>17979</v>
      </c>
      <c r="L88" s="151">
        <v>0</v>
      </c>
      <c r="M88" s="149">
        <v>6798</v>
      </c>
    </row>
    <row r="89" spans="1:13" s="128" customFormat="1" ht="12" x14ac:dyDescent="0.2">
      <c r="A89" s="175">
        <v>79</v>
      </c>
      <c r="B89" s="134" t="s">
        <v>379</v>
      </c>
      <c r="C89" s="125">
        <f t="shared" si="1"/>
        <v>77825</v>
      </c>
      <c r="D89" s="149">
        <v>51204</v>
      </c>
      <c r="E89" s="180">
        <v>13434</v>
      </c>
      <c r="F89" s="148">
        <v>9919</v>
      </c>
      <c r="G89" s="148">
        <v>2729</v>
      </c>
      <c r="H89" s="148">
        <v>25122</v>
      </c>
      <c r="I89" s="150">
        <v>0</v>
      </c>
      <c r="J89" s="149">
        <v>26621</v>
      </c>
      <c r="K89" s="149">
        <v>21303</v>
      </c>
      <c r="L89" s="151">
        <v>0</v>
      </c>
      <c r="M89" s="149">
        <v>5318</v>
      </c>
    </row>
    <row r="90" spans="1:13" s="128" customFormat="1" ht="12" x14ac:dyDescent="0.2">
      <c r="A90" s="175">
        <v>80</v>
      </c>
      <c r="B90" s="134" t="s">
        <v>202</v>
      </c>
      <c r="C90" s="125">
        <f t="shared" si="1"/>
        <v>84767</v>
      </c>
      <c r="D90" s="149">
        <v>64173</v>
      </c>
      <c r="E90" s="180">
        <v>12524</v>
      </c>
      <c r="F90" s="148">
        <v>7949</v>
      </c>
      <c r="G90" s="148">
        <v>1751</v>
      </c>
      <c r="H90" s="148">
        <v>19557</v>
      </c>
      <c r="I90" s="148">
        <v>22392</v>
      </c>
      <c r="J90" s="149">
        <v>20594</v>
      </c>
      <c r="K90" s="149">
        <v>13027</v>
      </c>
      <c r="L90" s="151">
        <v>0</v>
      </c>
      <c r="M90" s="149">
        <v>7567</v>
      </c>
    </row>
    <row r="91" spans="1:13" s="128" customFormat="1" ht="12" x14ac:dyDescent="0.2">
      <c r="A91" s="175">
        <v>81</v>
      </c>
      <c r="B91" s="134" t="s">
        <v>306</v>
      </c>
      <c r="C91" s="125">
        <f t="shared" si="1"/>
        <v>156662</v>
      </c>
      <c r="D91" s="149">
        <v>79451</v>
      </c>
      <c r="E91" s="180">
        <v>9588</v>
      </c>
      <c r="F91" s="148">
        <v>16887</v>
      </c>
      <c r="G91" s="148">
        <v>4848</v>
      </c>
      <c r="H91" s="148">
        <v>48128</v>
      </c>
      <c r="I91" s="150">
        <v>0</v>
      </c>
      <c r="J91" s="149">
        <v>77211</v>
      </c>
      <c r="K91" s="149">
        <v>49444</v>
      </c>
      <c r="L91" s="151">
        <v>0</v>
      </c>
      <c r="M91" s="149">
        <v>27767</v>
      </c>
    </row>
    <row r="92" spans="1:13" s="128" customFormat="1" ht="12" x14ac:dyDescent="0.2">
      <c r="A92" s="175">
        <v>82</v>
      </c>
      <c r="B92" s="134" t="s">
        <v>380</v>
      </c>
      <c r="C92" s="125">
        <f t="shared" si="1"/>
        <v>90489</v>
      </c>
      <c r="D92" s="149">
        <v>51872</v>
      </c>
      <c r="E92" s="180">
        <v>13315</v>
      </c>
      <c r="F92" s="148">
        <v>10113</v>
      </c>
      <c r="G92" s="148">
        <v>2794</v>
      </c>
      <c r="H92" s="148">
        <v>25650</v>
      </c>
      <c r="I92" s="150">
        <v>0</v>
      </c>
      <c r="J92" s="149">
        <v>38617</v>
      </c>
      <c r="K92" s="149">
        <v>27285</v>
      </c>
      <c r="L92" s="151">
        <v>0</v>
      </c>
      <c r="M92" s="149">
        <v>11332</v>
      </c>
    </row>
    <row r="93" spans="1:13" s="128" customFormat="1" ht="12" x14ac:dyDescent="0.2">
      <c r="A93" s="175">
        <v>83</v>
      </c>
      <c r="B93" s="134" t="s">
        <v>203</v>
      </c>
      <c r="C93" s="125">
        <f t="shared" si="1"/>
        <v>98660</v>
      </c>
      <c r="D93" s="149">
        <v>66307</v>
      </c>
      <c r="E93" s="180">
        <v>9025</v>
      </c>
      <c r="F93" s="148">
        <v>10776</v>
      </c>
      <c r="G93" s="148">
        <v>2720</v>
      </c>
      <c r="H93" s="148">
        <v>29005</v>
      </c>
      <c r="I93" s="148">
        <v>14781</v>
      </c>
      <c r="J93" s="149">
        <v>32353</v>
      </c>
      <c r="K93" s="149">
        <v>22571</v>
      </c>
      <c r="L93" s="151">
        <v>0</v>
      </c>
      <c r="M93" s="149">
        <v>9782</v>
      </c>
    </row>
    <row r="94" spans="1:13" s="128" customFormat="1" ht="12" x14ac:dyDescent="0.2">
      <c r="A94" s="175">
        <v>84</v>
      </c>
      <c r="B94" s="134" t="s">
        <v>381</v>
      </c>
      <c r="C94" s="125">
        <f t="shared" si="1"/>
        <v>54953</v>
      </c>
      <c r="D94" s="149">
        <v>36673</v>
      </c>
      <c r="E94" s="180">
        <v>10623</v>
      </c>
      <c r="F94" s="148">
        <v>6544</v>
      </c>
      <c r="G94" s="148">
        <v>1802</v>
      </c>
      <c r="H94" s="148">
        <v>17704</v>
      </c>
      <c r="I94" s="150">
        <v>0</v>
      </c>
      <c r="J94" s="149">
        <v>18280</v>
      </c>
      <c r="K94" s="149">
        <v>13137</v>
      </c>
      <c r="L94" s="151">
        <v>0</v>
      </c>
      <c r="M94" s="149">
        <v>5143</v>
      </c>
    </row>
    <row r="95" spans="1:13" s="128" customFormat="1" ht="12" x14ac:dyDescent="0.2">
      <c r="A95" s="175">
        <v>85</v>
      </c>
      <c r="B95" s="134" t="s">
        <v>382</v>
      </c>
      <c r="C95" s="125">
        <f t="shared" si="1"/>
        <v>171391</v>
      </c>
      <c r="D95" s="149">
        <v>91091</v>
      </c>
      <c r="E95" s="180">
        <v>17099</v>
      </c>
      <c r="F95" s="148">
        <v>19313</v>
      </c>
      <c r="G95" s="148">
        <v>5991</v>
      </c>
      <c r="H95" s="148">
        <v>48688</v>
      </c>
      <c r="I95" s="150">
        <v>0</v>
      </c>
      <c r="J95" s="149">
        <v>80300</v>
      </c>
      <c r="K95" s="149">
        <v>51687</v>
      </c>
      <c r="L95" s="151">
        <v>0</v>
      </c>
      <c r="M95" s="149">
        <v>28613</v>
      </c>
    </row>
    <row r="96" spans="1:13" s="128" customFormat="1" ht="12" x14ac:dyDescent="0.2">
      <c r="A96" s="175">
        <v>86</v>
      </c>
      <c r="B96" s="134" t="s">
        <v>383</v>
      </c>
      <c r="C96" s="125">
        <f t="shared" si="1"/>
        <v>60685</v>
      </c>
      <c r="D96" s="149">
        <v>38190</v>
      </c>
      <c r="E96" s="180">
        <v>5441</v>
      </c>
      <c r="F96" s="148">
        <v>8577</v>
      </c>
      <c r="G96" s="148">
        <v>2014</v>
      </c>
      <c r="H96" s="148">
        <v>22158</v>
      </c>
      <c r="I96" s="150">
        <v>0</v>
      </c>
      <c r="J96" s="149">
        <v>22495</v>
      </c>
      <c r="K96" s="149">
        <v>15490</v>
      </c>
      <c r="L96" s="151">
        <v>0</v>
      </c>
      <c r="M96" s="149">
        <v>7005</v>
      </c>
    </row>
    <row r="97" spans="1:13" s="128" customFormat="1" ht="12" x14ac:dyDescent="0.2">
      <c r="A97" s="175">
        <v>87</v>
      </c>
      <c r="B97" s="134" t="s">
        <v>384</v>
      </c>
      <c r="C97" s="125">
        <f t="shared" si="1"/>
        <v>66104</v>
      </c>
      <c r="D97" s="149">
        <v>38690</v>
      </c>
      <c r="E97" s="180">
        <v>7487</v>
      </c>
      <c r="F97" s="148">
        <v>7672</v>
      </c>
      <c r="G97" s="148">
        <v>2106</v>
      </c>
      <c r="H97" s="148">
        <v>21425</v>
      </c>
      <c r="I97" s="150">
        <v>0</v>
      </c>
      <c r="J97" s="149">
        <v>27414</v>
      </c>
      <c r="K97" s="149">
        <v>16258</v>
      </c>
      <c r="L97" s="151">
        <v>0</v>
      </c>
      <c r="M97" s="149">
        <v>11156</v>
      </c>
    </row>
    <row r="98" spans="1:13" s="128" customFormat="1" ht="16.5" x14ac:dyDescent="0.2">
      <c r="A98" s="175">
        <v>88</v>
      </c>
      <c r="B98" s="134" t="s">
        <v>385</v>
      </c>
      <c r="C98" s="125">
        <f t="shared" si="1"/>
        <v>2646</v>
      </c>
      <c r="D98" s="151">
        <v>0</v>
      </c>
      <c r="E98" s="180">
        <v>0</v>
      </c>
      <c r="F98" s="150">
        <v>0</v>
      </c>
      <c r="G98" s="150">
        <v>0</v>
      </c>
      <c r="H98" s="150">
        <v>0</v>
      </c>
      <c r="I98" s="150">
        <v>0</v>
      </c>
      <c r="J98" s="149">
        <v>2646</v>
      </c>
      <c r="K98" s="149">
        <v>2252</v>
      </c>
      <c r="L98" s="151">
        <v>0</v>
      </c>
      <c r="M98" s="151">
        <v>394</v>
      </c>
    </row>
    <row r="99" spans="1:13" s="128" customFormat="1" ht="16.5" x14ac:dyDescent="0.2">
      <c r="A99" s="175">
        <v>89</v>
      </c>
      <c r="B99" s="134" t="s">
        <v>386</v>
      </c>
      <c r="C99" s="125">
        <f t="shared" si="1"/>
        <v>3086</v>
      </c>
      <c r="D99" s="151">
        <v>0</v>
      </c>
      <c r="E99" s="180">
        <v>0</v>
      </c>
      <c r="F99" s="150">
        <v>0</v>
      </c>
      <c r="G99" s="150">
        <v>0</v>
      </c>
      <c r="H99" s="150">
        <v>0</v>
      </c>
      <c r="I99" s="150">
        <v>0</v>
      </c>
      <c r="J99" s="149">
        <v>3086</v>
      </c>
      <c r="K99" s="149">
        <v>2106</v>
      </c>
      <c r="L99" s="151">
        <v>0</v>
      </c>
      <c r="M99" s="151">
        <v>980</v>
      </c>
    </row>
    <row r="100" spans="1:13" s="128" customFormat="1" ht="16.5" x14ac:dyDescent="0.2">
      <c r="A100" s="175">
        <v>90</v>
      </c>
      <c r="B100" s="134" t="s">
        <v>387</v>
      </c>
      <c r="C100" s="125">
        <f t="shared" si="1"/>
        <v>3661</v>
      </c>
      <c r="D100" s="151">
        <v>0</v>
      </c>
      <c r="E100" s="180">
        <v>0</v>
      </c>
      <c r="F100" s="150">
        <v>0</v>
      </c>
      <c r="G100" s="150">
        <v>0</v>
      </c>
      <c r="H100" s="150">
        <v>0</v>
      </c>
      <c r="I100" s="150">
        <v>0</v>
      </c>
      <c r="J100" s="149">
        <v>3661</v>
      </c>
      <c r="K100" s="149">
        <v>3564</v>
      </c>
      <c r="L100" s="151">
        <v>0</v>
      </c>
      <c r="M100" s="151">
        <v>97</v>
      </c>
    </row>
    <row r="101" spans="1:13" s="128" customFormat="1" ht="16.5" x14ac:dyDescent="0.2">
      <c r="A101" s="175">
        <v>91</v>
      </c>
      <c r="B101" s="134" t="s">
        <v>388</v>
      </c>
      <c r="C101" s="125">
        <f t="shared" si="1"/>
        <v>2971</v>
      </c>
      <c r="D101" s="151">
        <v>0</v>
      </c>
      <c r="E101" s="180">
        <v>0</v>
      </c>
      <c r="F101" s="150">
        <v>0</v>
      </c>
      <c r="G101" s="150">
        <v>0</v>
      </c>
      <c r="H101" s="150">
        <v>0</v>
      </c>
      <c r="I101" s="150">
        <v>0</v>
      </c>
      <c r="J101" s="149">
        <v>2971</v>
      </c>
      <c r="K101" s="149">
        <v>2830</v>
      </c>
      <c r="L101" s="151">
        <v>0</v>
      </c>
      <c r="M101" s="151">
        <v>141</v>
      </c>
    </row>
    <row r="102" spans="1:13" s="128" customFormat="1" ht="16.5" x14ac:dyDescent="0.2">
      <c r="A102" s="175">
        <v>92</v>
      </c>
      <c r="B102" s="134" t="s">
        <v>389</v>
      </c>
      <c r="C102" s="125">
        <f t="shared" si="1"/>
        <v>13089</v>
      </c>
      <c r="D102" s="151">
        <v>0</v>
      </c>
      <c r="E102" s="180">
        <v>0</v>
      </c>
      <c r="F102" s="150">
        <v>0</v>
      </c>
      <c r="G102" s="150">
        <v>0</v>
      </c>
      <c r="H102" s="150">
        <v>0</v>
      </c>
      <c r="I102" s="150">
        <v>0</v>
      </c>
      <c r="J102" s="149">
        <v>13089</v>
      </c>
      <c r="K102" s="149">
        <v>5926</v>
      </c>
      <c r="L102" s="149">
        <v>6434</v>
      </c>
      <c r="M102" s="151">
        <v>729</v>
      </c>
    </row>
    <row r="103" spans="1:13" s="128" customFormat="1" ht="16.5" x14ac:dyDescent="0.2">
      <c r="A103" s="175">
        <v>93</v>
      </c>
      <c r="B103" s="134" t="s">
        <v>390</v>
      </c>
      <c r="C103" s="125">
        <f t="shared" si="1"/>
        <v>2707</v>
      </c>
      <c r="D103" s="151">
        <v>0</v>
      </c>
      <c r="E103" s="180">
        <v>0</v>
      </c>
      <c r="F103" s="150">
        <v>0</v>
      </c>
      <c r="G103" s="150">
        <v>0</v>
      </c>
      <c r="H103" s="150">
        <v>0</v>
      </c>
      <c r="I103" s="150">
        <v>0</v>
      </c>
      <c r="J103" s="149">
        <v>2707</v>
      </c>
      <c r="K103" s="149">
        <v>2280</v>
      </c>
      <c r="L103" s="151">
        <v>249</v>
      </c>
      <c r="M103" s="151">
        <v>178</v>
      </c>
    </row>
    <row r="104" spans="1:13" s="128" customFormat="1" ht="16.5" x14ac:dyDescent="0.2">
      <c r="A104" s="175">
        <v>94</v>
      </c>
      <c r="B104" s="134" t="s">
        <v>391</v>
      </c>
      <c r="C104" s="125">
        <f t="shared" si="1"/>
        <v>2344</v>
      </c>
      <c r="D104" s="151">
        <v>0</v>
      </c>
      <c r="E104" s="180">
        <v>0</v>
      </c>
      <c r="F104" s="150">
        <v>0</v>
      </c>
      <c r="G104" s="150">
        <v>0</v>
      </c>
      <c r="H104" s="150">
        <v>0</v>
      </c>
      <c r="I104" s="150">
        <v>0</v>
      </c>
      <c r="J104" s="149">
        <v>2344</v>
      </c>
      <c r="K104" s="149">
        <v>2296</v>
      </c>
      <c r="L104" s="151">
        <v>0</v>
      </c>
      <c r="M104" s="151">
        <v>48</v>
      </c>
    </row>
    <row r="105" spans="1:13" s="128" customFormat="1" ht="12" x14ac:dyDescent="0.2">
      <c r="A105" s="175">
        <v>95</v>
      </c>
      <c r="B105" s="134" t="s">
        <v>213</v>
      </c>
      <c r="C105" s="125">
        <f t="shared" si="1"/>
        <v>166952</v>
      </c>
      <c r="D105" s="149">
        <v>119396</v>
      </c>
      <c r="E105" s="180">
        <v>53307</v>
      </c>
      <c r="F105" s="148">
        <v>11082</v>
      </c>
      <c r="G105" s="148">
        <v>2790</v>
      </c>
      <c r="H105" s="148">
        <v>40636</v>
      </c>
      <c r="I105" s="148">
        <v>11581</v>
      </c>
      <c r="J105" s="149">
        <v>47556</v>
      </c>
      <c r="K105" s="149">
        <v>26789</v>
      </c>
      <c r="L105" s="151">
        <v>20</v>
      </c>
      <c r="M105" s="149">
        <v>20747</v>
      </c>
    </row>
    <row r="106" spans="1:13" s="128" customFormat="1" ht="12" x14ac:dyDescent="0.2">
      <c r="A106" s="175">
        <v>96</v>
      </c>
      <c r="B106" s="134" t="s">
        <v>392</v>
      </c>
      <c r="C106" s="125">
        <f t="shared" si="1"/>
        <v>106491</v>
      </c>
      <c r="D106" s="149">
        <v>52826</v>
      </c>
      <c r="E106" s="180">
        <v>10693</v>
      </c>
      <c r="F106" s="148">
        <v>12001</v>
      </c>
      <c r="G106" s="148">
        <v>2036</v>
      </c>
      <c r="H106" s="148">
        <v>28096</v>
      </c>
      <c r="I106" s="150">
        <v>0</v>
      </c>
      <c r="J106" s="149">
        <v>53665</v>
      </c>
      <c r="K106" s="149">
        <v>47750</v>
      </c>
      <c r="L106" s="151">
        <v>360</v>
      </c>
      <c r="M106" s="149">
        <v>5555</v>
      </c>
    </row>
    <row r="107" spans="1:13" s="128" customFormat="1" ht="12" x14ac:dyDescent="0.2">
      <c r="A107" s="175">
        <v>97</v>
      </c>
      <c r="B107" s="134" t="s">
        <v>220</v>
      </c>
      <c r="C107" s="125">
        <f t="shared" si="1"/>
        <v>84282</v>
      </c>
      <c r="D107" s="149">
        <v>42900</v>
      </c>
      <c r="E107" s="180">
        <v>5949</v>
      </c>
      <c r="F107" s="148">
        <v>9275</v>
      </c>
      <c r="G107" s="148">
        <v>2961</v>
      </c>
      <c r="H107" s="148">
        <v>24715</v>
      </c>
      <c r="I107" s="150">
        <v>0</v>
      </c>
      <c r="J107" s="149">
        <v>41382</v>
      </c>
      <c r="K107" s="149">
        <v>24154</v>
      </c>
      <c r="L107" s="149">
        <v>4633</v>
      </c>
      <c r="M107" s="149">
        <v>12595</v>
      </c>
    </row>
    <row r="108" spans="1:13" s="128" customFormat="1" ht="12" x14ac:dyDescent="0.2">
      <c r="A108" s="175">
        <v>98</v>
      </c>
      <c r="B108" s="134" t="s">
        <v>393</v>
      </c>
      <c r="C108" s="125">
        <f t="shared" si="1"/>
        <v>48139</v>
      </c>
      <c r="D108" s="149">
        <v>25619</v>
      </c>
      <c r="E108" s="180">
        <v>4707</v>
      </c>
      <c r="F108" s="148">
        <v>5336</v>
      </c>
      <c r="G108" s="148">
        <v>1566</v>
      </c>
      <c r="H108" s="148">
        <v>14010</v>
      </c>
      <c r="I108" s="150">
        <v>0</v>
      </c>
      <c r="J108" s="149">
        <v>22520</v>
      </c>
      <c r="K108" s="149">
        <v>18802</v>
      </c>
      <c r="L108" s="151">
        <v>0</v>
      </c>
      <c r="M108" s="149">
        <v>3718</v>
      </c>
    </row>
    <row r="109" spans="1:13" s="128" customFormat="1" ht="12" x14ac:dyDescent="0.2">
      <c r="A109" s="175">
        <v>99</v>
      </c>
      <c r="B109" s="134" t="s">
        <v>205</v>
      </c>
      <c r="C109" s="125">
        <f t="shared" si="1"/>
        <v>27914</v>
      </c>
      <c r="D109" s="149">
        <v>19201</v>
      </c>
      <c r="E109" s="180">
        <v>1526</v>
      </c>
      <c r="F109" s="148">
        <v>2108</v>
      </c>
      <c r="G109" s="150">
        <v>523</v>
      </c>
      <c r="H109" s="148">
        <v>6378</v>
      </c>
      <c r="I109" s="148">
        <v>8666</v>
      </c>
      <c r="J109" s="149">
        <v>8713</v>
      </c>
      <c r="K109" s="149">
        <v>5538</v>
      </c>
      <c r="L109" s="151">
        <v>25</v>
      </c>
      <c r="M109" s="149">
        <v>3150</v>
      </c>
    </row>
    <row r="110" spans="1:13" s="128" customFormat="1" ht="12" x14ac:dyDescent="0.2">
      <c r="A110" s="175">
        <v>100</v>
      </c>
      <c r="B110" s="134" t="s">
        <v>394</v>
      </c>
      <c r="C110" s="125">
        <f t="shared" si="1"/>
        <v>38862</v>
      </c>
      <c r="D110" s="149">
        <v>17543</v>
      </c>
      <c r="E110" s="180">
        <v>1400</v>
      </c>
      <c r="F110" s="148">
        <v>3534</v>
      </c>
      <c r="G110" s="150">
        <v>681</v>
      </c>
      <c r="H110" s="148">
        <v>11928</v>
      </c>
      <c r="I110" s="150">
        <v>0</v>
      </c>
      <c r="J110" s="149">
        <v>21319</v>
      </c>
      <c r="K110" s="149">
        <v>9589</v>
      </c>
      <c r="L110" s="149">
        <v>4224</v>
      </c>
      <c r="M110" s="149">
        <v>7506</v>
      </c>
    </row>
    <row r="111" spans="1:13" s="128" customFormat="1" ht="12" x14ac:dyDescent="0.2">
      <c r="A111" s="175">
        <v>101</v>
      </c>
      <c r="B111" s="134" t="s">
        <v>214</v>
      </c>
      <c r="C111" s="125">
        <f t="shared" si="1"/>
        <v>246663</v>
      </c>
      <c r="D111" s="149">
        <v>111042</v>
      </c>
      <c r="E111" s="180">
        <v>7838</v>
      </c>
      <c r="F111" s="148">
        <v>25723</v>
      </c>
      <c r="G111" s="148">
        <v>4259</v>
      </c>
      <c r="H111" s="148">
        <v>73222</v>
      </c>
      <c r="I111" s="150">
        <v>0</v>
      </c>
      <c r="J111" s="149">
        <v>135621</v>
      </c>
      <c r="K111" s="149">
        <v>105749</v>
      </c>
      <c r="L111" s="149">
        <v>3056</v>
      </c>
      <c r="M111" s="149">
        <v>26816</v>
      </c>
    </row>
    <row r="112" spans="1:13" s="128" customFormat="1" ht="12" x14ac:dyDescent="0.2">
      <c r="A112" s="175">
        <v>102</v>
      </c>
      <c r="B112" s="134" t="s">
        <v>206</v>
      </c>
      <c r="C112" s="125">
        <f t="shared" si="1"/>
        <v>139749</v>
      </c>
      <c r="D112" s="149">
        <v>100408</v>
      </c>
      <c r="E112" s="180">
        <v>71821</v>
      </c>
      <c r="F112" s="150">
        <v>482</v>
      </c>
      <c r="G112" s="150">
        <v>0</v>
      </c>
      <c r="H112" s="148">
        <v>19988</v>
      </c>
      <c r="I112" s="148">
        <v>8117</v>
      </c>
      <c r="J112" s="149">
        <v>39341</v>
      </c>
      <c r="K112" s="149">
        <v>13988</v>
      </c>
      <c r="L112" s="151">
        <v>0</v>
      </c>
      <c r="M112" s="149">
        <v>25353</v>
      </c>
    </row>
    <row r="113" spans="1:13" s="128" customFormat="1" ht="12" x14ac:dyDescent="0.2">
      <c r="A113" s="175">
        <v>103</v>
      </c>
      <c r="B113" s="134" t="s">
        <v>21</v>
      </c>
      <c r="C113" s="125">
        <f t="shared" si="1"/>
        <v>112143</v>
      </c>
      <c r="D113" s="149">
        <v>59029</v>
      </c>
      <c r="E113" s="180">
        <v>7096</v>
      </c>
      <c r="F113" s="148">
        <v>7150</v>
      </c>
      <c r="G113" s="148">
        <v>1607</v>
      </c>
      <c r="H113" s="148">
        <v>27501</v>
      </c>
      <c r="I113" s="148">
        <v>15675</v>
      </c>
      <c r="J113" s="149">
        <v>53114</v>
      </c>
      <c r="K113" s="149">
        <v>44627</v>
      </c>
      <c r="L113" s="151">
        <v>0</v>
      </c>
      <c r="M113" s="149">
        <v>8487</v>
      </c>
    </row>
    <row r="114" spans="1:13" s="128" customFormat="1" ht="12" x14ac:dyDescent="0.2">
      <c r="A114" s="175">
        <v>104</v>
      </c>
      <c r="B114" s="134" t="s">
        <v>310</v>
      </c>
      <c r="C114" s="125">
        <f t="shared" si="1"/>
        <v>44588</v>
      </c>
      <c r="D114" s="149">
        <v>20184</v>
      </c>
      <c r="E114" s="180">
        <v>0</v>
      </c>
      <c r="F114" s="150">
        <v>0</v>
      </c>
      <c r="G114" s="150">
        <v>0</v>
      </c>
      <c r="H114" s="148">
        <v>20184</v>
      </c>
      <c r="I114" s="150">
        <v>0</v>
      </c>
      <c r="J114" s="149">
        <v>24404</v>
      </c>
      <c r="K114" s="149">
        <v>15301</v>
      </c>
      <c r="L114" s="151">
        <v>0</v>
      </c>
      <c r="M114" s="149">
        <v>9103</v>
      </c>
    </row>
    <row r="115" spans="1:13" s="128" customFormat="1" ht="12" x14ac:dyDescent="0.2">
      <c r="A115" s="441">
        <v>105</v>
      </c>
      <c r="B115" s="134" t="s">
        <v>22</v>
      </c>
      <c r="C115" s="125">
        <f t="shared" si="1"/>
        <v>28393</v>
      </c>
      <c r="D115" s="149">
        <v>1933</v>
      </c>
      <c r="E115" s="180">
        <v>184</v>
      </c>
      <c r="F115" s="150">
        <v>904</v>
      </c>
      <c r="G115" s="150">
        <v>38</v>
      </c>
      <c r="H115" s="150">
        <v>807</v>
      </c>
      <c r="I115" s="150">
        <v>0</v>
      </c>
      <c r="J115" s="149">
        <v>26460</v>
      </c>
      <c r="K115" s="149">
        <v>26363</v>
      </c>
      <c r="L115" s="151">
        <v>0</v>
      </c>
      <c r="M115" s="151">
        <v>97</v>
      </c>
    </row>
    <row r="116" spans="1:13" s="128" customFormat="1" ht="16.5" x14ac:dyDescent="0.2">
      <c r="A116" s="441"/>
      <c r="B116" s="134" t="s">
        <v>395</v>
      </c>
      <c r="C116" s="125">
        <f t="shared" si="1"/>
        <v>3600</v>
      </c>
      <c r="D116" s="151">
        <v>0</v>
      </c>
      <c r="E116" s="180">
        <v>0</v>
      </c>
      <c r="F116" s="150">
        <v>0</v>
      </c>
      <c r="G116" s="150">
        <v>0</v>
      </c>
      <c r="H116" s="150">
        <v>0</v>
      </c>
      <c r="I116" s="150">
        <v>0</v>
      </c>
      <c r="J116" s="149">
        <v>3600</v>
      </c>
      <c r="K116" s="149">
        <v>2843</v>
      </c>
      <c r="L116" s="151">
        <v>0</v>
      </c>
      <c r="M116" s="151">
        <v>757</v>
      </c>
    </row>
    <row r="117" spans="1:13" s="128" customFormat="1" ht="16.5" x14ac:dyDescent="0.2">
      <c r="A117" s="175">
        <v>106</v>
      </c>
      <c r="B117" s="134" t="s">
        <v>396</v>
      </c>
      <c r="C117" s="125">
        <f t="shared" si="1"/>
        <v>8362</v>
      </c>
      <c r="D117" s="151">
        <v>0</v>
      </c>
      <c r="E117" s="180">
        <v>0</v>
      </c>
      <c r="F117" s="150">
        <v>0</v>
      </c>
      <c r="G117" s="150">
        <v>0</v>
      </c>
      <c r="H117" s="150">
        <v>0</v>
      </c>
      <c r="I117" s="150">
        <v>0</v>
      </c>
      <c r="J117" s="149">
        <v>8362</v>
      </c>
      <c r="K117" s="149">
        <v>7413</v>
      </c>
      <c r="L117" s="151">
        <v>0</v>
      </c>
      <c r="M117" s="151">
        <v>949</v>
      </c>
    </row>
    <row r="118" spans="1:13" s="128" customFormat="1" ht="12" x14ac:dyDescent="0.2">
      <c r="A118" s="175">
        <v>107</v>
      </c>
      <c r="B118" s="127" t="s">
        <v>397</v>
      </c>
      <c r="C118" s="125">
        <f t="shared" si="1"/>
        <v>11360</v>
      </c>
      <c r="D118" s="149">
        <v>6960</v>
      </c>
      <c r="E118" s="180">
        <v>1251</v>
      </c>
      <c r="F118" s="148">
        <v>1444</v>
      </c>
      <c r="G118" s="150">
        <v>233</v>
      </c>
      <c r="H118" s="148">
        <v>4032</v>
      </c>
      <c r="I118" s="150">
        <v>0</v>
      </c>
      <c r="J118" s="149">
        <v>4400</v>
      </c>
      <c r="K118" s="149">
        <v>2611</v>
      </c>
      <c r="L118" s="151">
        <v>0</v>
      </c>
      <c r="M118" s="149">
        <v>1789</v>
      </c>
    </row>
    <row r="119" spans="1:13" s="128" customFormat="1" ht="12" x14ac:dyDescent="0.2">
      <c r="A119" s="175">
        <v>108</v>
      </c>
      <c r="B119" s="124" t="s">
        <v>134</v>
      </c>
      <c r="C119" s="125">
        <f t="shared" si="1"/>
        <v>44807</v>
      </c>
      <c r="D119" s="149">
        <v>29173</v>
      </c>
      <c r="E119" s="180">
        <v>12705</v>
      </c>
      <c r="F119" s="148">
        <v>3492</v>
      </c>
      <c r="G119" s="150">
        <v>749</v>
      </c>
      <c r="H119" s="148">
        <v>11057</v>
      </c>
      <c r="I119" s="148">
        <v>1170</v>
      </c>
      <c r="J119" s="149">
        <v>15634</v>
      </c>
      <c r="K119" s="149">
        <v>8517</v>
      </c>
      <c r="L119" s="151">
        <v>0</v>
      </c>
      <c r="M119" s="149">
        <v>7117</v>
      </c>
    </row>
    <row r="120" spans="1:13" s="128" customFormat="1" ht="12" x14ac:dyDescent="0.2">
      <c r="A120" s="175">
        <v>109</v>
      </c>
      <c r="B120" s="127" t="s">
        <v>135</v>
      </c>
      <c r="C120" s="125">
        <f t="shared" si="1"/>
        <v>44486</v>
      </c>
      <c r="D120" s="149">
        <v>30196</v>
      </c>
      <c r="E120" s="180">
        <v>14396</v>
      </c>
      <c r="F120" s="148">
        <v>3724</v>
      </c>
      <c r="G120" s="150">
        <v>855</v>
      </c>
      <c r="H120" s="148">
        <v>11221</v>
      </c>
      <c r="I120" s="150">
        <v>0</v>
      </c>
      <c r="J120" s="149">
        <v>14290</v>
      </c>
      <c r="K120" s="149">
        <v>8232</v>
      </c>
      <c r="L120" s="151">
        <v>690</v>
      </c>
      <c r="M120" s="149">
        <v>5368</v>
      </c>
    </row>
    <row r="121" spans="1:13" s="128" customFormat="1" ht="12" x14ac:dyDescent="0.2">
      <c r="A121" s="175">
        <v>110</v>
      </c>
      <c r="B121" s="124" t="s">
        <v>30</v>
      </c>
      <c r="C121" s="125">
        <f t="shared" si="1"/>
        <v>124313</v>
      </c>
      <c r="D121" s="149">
        <v>67325</v>
      </c>
      <c r="E121" s="180">
        <v>25308</v>
      </c>
      <c r="F121" s="148">
        <v>8379</v>
      </c>
      <c r="G121" s="148">
        <v>1795</v>
      </c>
      <c r="H121" s="148">
        <v>31843</v>
      </c>
      <c r="I121" s="150">
        <v>0</v>
      </c>
      <c r="J121" s="149">
        <v>56988</v>
      </c>
      <c r="K121" s="149">
        <v>32784</v>
      </c>
      <c r="L121" s="149">
        <v>4521</v>
      </c>
      <c r="M121" s="149">
        <v>19683</v>
      </c>
    </row>
    <row r="122" spans="1:13" s="128" customFormat="1" ht="12" x14ac:dyDescent="0.2">
      <c r="A122" s="175">
        <v>111</v>
      </c>
      <c r="B122" s="127" t="s">
        <v>136</v>
      </c>
      <c r="C122" s="125">
        <f t="shared" si="1"/>
        <v>58154</v>
      </c>
      <c r="D122" s="149">
        <v>35904</v>
      </c>
      <c r="E122" s="180">
        <v>16607</v>
      </c>
      <c r="F122" s="148">
        <v>4625</v>
      </c>
      <c r="G122" s="150">
        <v>911</v>
      </c>
      <c r="H122" s="148">
        <v>13761</v>
      </c>
      <c r="I122" s="150">
        <v>0</v>
      </c>
      <c r="J122" s="149">
        <v>22250</v>
      </c>
      <c r="K122" s="149">
        <v>12220</v>
      </c>
      <c r="L122" s="149">
        <v>2260</v>
      </c>
      <c r="M122" s="149">
        <v>7770</v>
      </c>
    </row>
    <row r="123" spans="1:13" s="128" customFormat="1" ht="12" x14ac:dyDescent="0.2">
      <c r="A123" s="175">
        <v>112</v>
      </c>
      <c r="B123" s="127" t="s">
        <v>137</v>
      </c>
      <c r="C123" s="125">
        <f t="shared" si="1"/>
        <v>75523</v>
      </c>
      <c r="D123" s="149">
        <v>42257</v>
      </c>
      <c r="E123" s="180">
        <v>17777</v>
      </c>
      <c r="F123" s="148">
        <v>6064</v>
      </c>
      <c r="G123" s="148">
        <v>1574</v>
      </c>
      <c r="H123" s="148">
        <v>16842</v>
      </c>
      <c r="I123" s="150">
        <v>0</v>
      </c>
      <c r="J123" s="149">
        <v>33266</v>
      </c>
      <c r="K123" s="149">
        <v>13614</v>
      </c>
      <c r="L123" s="149">
        <v>7755</v>
      </c>
      <c r="M123" s="149">
        <v>11897</v>
      </c>
    </row>
    <row r="124" spans="1:13" s="128" customFormat="1" ht="12" x14ac:dyDescent="0.2">
      <c r="A124" s="175">
        <v>113</v>
      </c>
      <c r="B124" s="124" t="s">
        <v>138</v>
      </c>
      <c r="C124" s="125">
        <f t="shared" si="1"/>
        <v>134968</v>
      </c>
      <c r="D124" s="149">
        <v>77952</v>
      </c>
      <c r="E124" s="180">
        <v>33061</v>
      </c>
      <c r="F124" s="148">
        <v>9709</v>
      </c>
      <c r="G124" s="148">
        <v>2502</v>
      </c>
      <c r="H124" s="148">
        <v>32680</v>
      </c>
      <c r="I124" s="150">
        <v>0</v>
      </c>
      <c r="J124" s="149">
        <v>57016</v>
      </c>
      <c r="K124" s="149">
        <v>27335</v>
      </c>
      <c r="L124" s="149">
        <v>7392</v>
      </c>
      <c r="M124" s="149">
        <v>22289</v>
      </c>
    </row>
    <row r="125" spans="1:13" s="128" customFormat="1" ht="12" x14ac:dyDescent="0.2">
      <c r="A125" s="175">
        <v>114</v>
      </c>
      <c r="B125" s="124" t="s">
        <v>139</v>
      </c>
      <c r="C125" s="125">
        <f t="shared" si="1"/>
        <v>121557</v>
      </c>
      <c r="D125" s="149">
        <v>60309</v>
      </c>
      <c r="E125" s="180">
        <v>21154</v>
      </c>
      <c r="F125" s="148">
        <v>8449</v>
      </c>
      <c r="G125" s="148">
        <v>2153</v>
      </c>
      <c r="H125" s="148">
        <v>28553</v>
      </c>
      <c r="I125" s="150">
        <v>0</v>
      </c>
      <c r="J125" s="149">
        <v>61248</v>
      </c>
      <c r="K125" s="149">
        <v>39182</v>
      </c>
      <c r="L125" s="149">
        <v>2957</v>
      </c>
      <c r="M125" s="149">
        <v>19109</v>
      </c>
    </row>
    <row r="126" spans="1:13" s="128" customFormat="1" ht="12" x14ac:dyDescent="0.2">
      <c r="A126" s="175">
        <v>115</v>
      </c>
      <c r="B126" s="127" t="s">
        <v>140</v>
      </c>
      <c r="C126" s="125">
        <f t="shared" si="1"/>
        <v>41147</v>
      </c>
      <c r="D126" s="149">
        <v>25350</v>
      </c>
      <c r="E126" s="180">
        <v>10524</v>
      </c>
      <c r="F126" s="148">
        <v>3550</v>
      </c>
      <c r="G126" s="150">
        <v>918</v>
      </c>
      <c r="H126" s="148">
        <v>10358</v>
      </c>
      <c r="I126" s="150">
        <v>0</v>
      </c>
      <c r="J126" s="149">
        <v>15797</v>
      </c>
      <c r="K126" s="149">
        <v>5643</v>
      </c>
      <c r="L126" s="149">
        <v>1211</v>
      </c>
      <c r="M126" s="149">
        <v>8943</v>
      </c>
    </row>
    <row r="127" spans="1:13" s="128" customFormat="1" ht="12" x14ac:dyDescent="0.2">
      <c r="A127" s="175">
        <v>116</v>
      </c>
      <c r="B127" s="124" t="s">
        <v>141</v>
      </c>
      <c r="C127" s="125">
        <f t="shared" si="1"/>
        <v>67159</v>
      </c>
      <c r="D127" s="149">
        <v>40214</v>
      </c>
      <c r="E127" s="180">
        <v>16654</v>
      </c>
      <c r="F127" s="148">
        <v>5803</v>
      </c>
      <c r="G127" s="148">
        <v>1481</v>
      </c>
      <c r="H127" s="148">
        <v>16276</v>
      </c>
      <c r="I127" s="150">
        <v>0</v>
      </c>
      <c r="J127" s="149">
        <v>26945</v>
      </c>
      <c r="K127" s="149">
        <v>21247</v>
      </c>
      <c r="L127" s="151">
        <v>17</v>
      </c>
      <c r="M127" s="149">
        <v>5681</v>
      </c>
    </row>
    <row r="128" spans="1:13" s="128" customFormat="1" ht="12" x14ac:dyDescent="0.2">
      <c r="A128" s="175">
        <v>117</v>
      </c>
      <c r="B128" s="127" t="s">
        <v>142</v>
      </c>
      <c r="C128" s="125">
        <f t="shared" si="1"/>
        <v>62516</v>
      </c>
      <c r="D128" s="149">
        <v>37875</v>
      </c>
      <c r="E128" s="180">
        <v>15680</v>
      </c>
      <c r="F128" s="148">
        <v>5279</v>
      </c>
      <c r="G128" s="148">
        <v>1396</v>
      </c>
      <c r="H128" s="148">
        <v>15520</v>
      </c>
      <c r="I128" s="150">
        <v>0</v>
      </c>
      <c r="J128" s="149">
        <v>24641</v>
      </c>
      <c r="K128" s="149">
        <v>9818</v>
      </c>
      <c r="L128" s="149">
        <v>4427</v>
      </c>
      <c r="M128" s="149">
        <v>10396</v>
      </c>
    </row>
    <row r="129" spans="1:14" s="128" customFormat="1" ht="12" x14ac:dyDescent="0.2">
      <c r="A129" s="175">
        <v>118</v>
      </c>
      <c r="B129" s="127" t="s">
        <v>15</v>
      </c>
      <c r="C129" s="125">
        <f t="shared" si="1"/>
        <v>99610</v>
      </c>
      <c r="D129" s="149">
        <v>64494</v>
      </c>
      <c r="E129" s="180">
        <v>17220</v>
      </c>
      <c r="F129" s="148">
        <v>5318</v>
      </c>
      <c r="G129" s="148">
        <v>1339</v>
      </c>
      <c r="H129" s="148">
        <v>18780</v>
      </c>
      <c r="I129" s="148">
        <v>21837</v>
      </c>
      <c r="J129" s="149">
        <v>35116</v>
      </c>
      <c r="K129" s="149">
        <v>21246</v>
      </c>
      <c r="L129" s="149">
        <v>3974</v>
      </c>
      <c r="M129" s="149">
        <v>9896</v>
      </c>
    </row>
    <row r="130" spans="1:14" s="128" customFormat="1" ht="12" x14ac:dyDescent="0.2">
      <c r="A130" s="175">
        <v>119</v>
      </c>
      <c r="B130" s="124" t="s">
        <v>143</v>
      </c>
      <c r="C130" s="125">
        <f t="shared" si="1"/>
        <v>48043</v>
      </c>
      <c r="D130" s="149">
        <v>29229</v>
      </c>
      <c r="E130" s="180">
        <v>11755</v>
      </c>
      <c r="F130" s="148">
        <v>4274</v>
      </c>
      <c r="G130" s="148">
        <v>1201</v>
      </c>
      <c r="H130" s="148">
        <v>11999</v>
      </c>
      <c r="I130" s="150">
        <v>0</v>
      </c>
      <c r="J130" s="149">
        <v>18814</v>
      </c>
      <c r="K130" s="149">
        <v>7752</v>
      </c>
      <c r="L130" s="149">
        <v>7009</v>
      </c>
      <c r="M130" s="149">
        <v>4053</v>
      </c>
    </row>
    <row r="131" spans="1:14" s="128" customFormat="1" ht="12" x14ac:dyDescent="0.2">
      <c r="A131" s="175">
        <v>120</v>
      </c>
      <c r="B131" s="127" t="s">
        <v>144</v>
      </c>
      <c r="C131" s="125">
        <f t="shared" si="1"/>
        <v>74142</v>
      </c>
      <c r="D131" s="149">
        <v>44326</v>
      </c>
      <c r="E131" s="180">
        <v>18595</v>
      </c>
      <c r="F131" s="148">
        <v>6304</v>
      </c>
      <c r="G131" s="148">
        <v>1685</v>
      </c>
      <c r="H131" s="148">
        <v>17742</v>
      </c>
      <c r="I131" s="150">
        <v>0</v>
      </c>
      <c r="J131" s="149">
        <v>29816</v>
      </c>
      <c r="K131" s="149">
        <v>19753</v>
      </c>
      <c r="L131" s="151">
        <v>0</v>
      </c>
      <c r="M131" s="149">
        <v>10063</v>
      </c>
    </row>
    <row r="132" spans="1:14" s="128" customFormat="1" ht="12" x14ac:dyDescent="0.2">
      <c r="A132" s="175">
        <v>121</v>
      </c>
      <c r="B132" s="127" t="s">
        <v>145</v>
      </c>
      <c r="C132" s="125">
        <f t="shared" si="1"/>
        <v>121256</v>
      </c>
      <c r="D132" s="149">
        <v>78086</v>
      </c>
      <c r="E132" s="180">
        <v>35907</v>
      </c>
      <c r="F132" s="148">
        <v>10044</v>
      </c>
      <c r="G132" s="148">
        <v>2463</v>
      </c>
      <c r="H132" s="148">
        <v>29652</v>
      </c>
      <c r="I132" s="150">
        <v>20</v>
      </c>
      <c r="J132" s="149">
        <v>43170</v>
      </c>
      <c r="K132" s="149">
        <v>13075</v>
      </c>
      <c r="L132" s="149">
        <v>11524</v>
      </c>
      <c r="M132" s="149">
        <v>18571</v>
      </c>
    </row>
    <row r="133" spans="1:14" s="128" customFormat="1" ht="12" x14ac:dyDescent="0.2">
      <c r="A133" s="175">
        <v>122</v>
      </c>
      <c r="B133" s="127" t="s">
        <v>146</v>
      </c>
      <c r="C133" s="125">
        <f t="shared" si="1"/>
        <v>53355</v>
      </c>
      <c r="D133" s="149">
        <v>32146</v>
      </c>
      <c r="E133" s="180">
        <v>11868</v>
      </c>
      <c r="F133" s="148">
        <v>4905</v>
      </c>
      <c r="G133" s="148">
        <v>1199</v>
      </c>
      <c r="H133" s="148">
        <v>14174</v>
      </c>
      <c r="I133" s="150">
        <v>0</v>
      </c>
      <c r="J133" s="149">
        <v>21209</v>
      </c>
      <c r="K133" s="149">
        <v>8892</v>
      </c>
      <c r="L133" s="149">
        <v>5359</v>
      </c>
      <c r="M133" s="149">
        <v>6958</v>
      </c>
    </row>
    <row r="134" spans="1:14" s="128" customFormat="1" ht="12" x14ac:dyDescent="0.2">
      <c r="A134" s="175">
        <v>123</v>
      </c>
      <c r="B134" s="133" t="s">
        <v>215</v>
      </c>
      <c r="C134" s="125">
        <f t="shared" si="1"/>
        <v>50570</v>
      </c>
      <c r="D134" s="149">
        <v>20860</v>
      </c>
      <c r="E134" s="180">
        <v>3782</v>
      </c>
      <c r="F134" s="148">
        <v>3994</v>
      </c>
      <c r="G134" s="150">
        <v>989</v>
      </c>
      <c r="H134" s="148">
        <v>12095</v>
      </c>
      <c r="I134" s="150">
        <v>0</v>
      </c>
      <c r="J134" s="149">
        <v>29710</v>
      </c>
      <c r="K134" s="149">
        <v>28037</v>
      </c>
      <c r="L134" s="151">
        <v>0</v>
      </c>
      <c r="M134" s="149">
        <v>1673</v>
      </c>
    </row>
    <row r="135" spans="1:14" s="128" customFormat="1" ht="12" x14ac:dyDescent="0.2">
      <c r="A135" s="175">
        <v>124</v>
      </c>
      <c r="B135" s="134" t="s">
        <v>401</v>
      </c>
      <c r="C135" s="125">
        <f t="shared" si="1"/>
        <v>25</v>
      </c>
      <c r="D135" s="151">
        <v>0</v>
      </c>
      <c r="E135" s="180">
        <v>0</v>
      </c>
      <c r="F135" s="150">
        <v>0</v>
      </c>
      <c r="G135" s="150">
        <v>0</v>
      </c>
      <c r="H135" s="150">
        <v>0</v>
      </c>
      <c r="I135" s="150">
        <v>0</v>
      </c>
      <c r="J135" s="151">
        <v>25</v>
      </c>
      <c r="K135" s="151">
        <v>25</v>
      </c>
      <c r="L135" s="151">
        <v>0</v>
      </c>
      <c r="M135" s="151">
        <v>0</v>
      </c>
    </row>
    <row r="136" spans="1:14" s="128" customFormat="1" ht="12" x14ac:dyDescent="0.2">
      <c r="A136" s="175">
        <v>125</v>
      </c>
      <c r="B136" s="127" t="s">
        <v>402</v>
      </c>
      <c r="C136" s="125">
        <f t="shared" si="1"/>
        <v>1</v>
      </c>
      <c r="D136" s="151">
        <v>0</v>
      </c>
      <c r="E136" s="180">
        <v>0</v>
      </c>
      <c r="F136" s="150">
        <v>0</v>
      </c>
      <c r="G136" s="150">
        <v>0</v>
      </c>
      <c r="H136" s="150">
        <v>0</v>
      </c>
      <c r="I136" s="150">
        <v>0</v>
      </c>
      <c r="J136" s="151">
        <v>1</v>
      </c>
      <c r="K136" s="151">
        <v>0</v>
      </c>
      <c r="L136" s="151">
        <v>0</v>
      </c>
      <c r="M136" s="151">
        <v>1</v>
      </c>
    </row>
    <row r="137" spans="1:14" s="137" customFormat="1" ht="12" x14ac:dyDescent="0.2">
      <c r="A137" s="175">
        <v>126</v>
      </c>
      <c r="B137" s="124" t="s">
        <v>404</v>
      </c>
      <c r="C137" s="125">
        <f t="shared" si="1"/>
        <v>100</v>
      </c>
      <c r="D137" s="151">
        <v>0</v>
      </c>
      <c r="E137" s="180">
        <v>0</v>
      </c>
      <c r="F137" s="150">
        <v>0</v>
      </c>
      <c r="G137" s="150">
        <v>0</v>
      </c>
      <c r="H137" s="150">
        <v>0</v>
      </c>
      <c r="I137" s="150">
        <v>0</v>
      </c>
      <c r="J137" s="151">
        <v>100</v>
      </c>
      <c r="K137" s="151">
        <v>94</v>
      </c>
      <c r="L137" s="151">
        <v>0</v>
      </c>
      <c r="M137" s="151">
        <v>6</v>
      </c>
      <c r="N137" s="128"/>
    </row>
    <row r="138" spans="1:14" x14ac:dyDescent="0.25">
      <c r="A138" s="175">
        <v>127</v>
      </c>
      <c r="B138" s="127" t="s">
        <v>407</v>
      </c>
      <c r="C138" s="125">
        <f t="shared" ref="C138:C165" si="2">D138+J138</f>
        <v>50</v>
      </c>
      <c r="D138" s="151">
        <v>0</v>
      </c>
      <c r="E138" s="180">
        <v>0</v>
      </c>
      <c r="F138" s="150">
        <v>0</v>
      </c>
      <c r="G138" s="150">
        <v>0</v>
      </c>
      <c r="H138" s="150">
        <v>0</v>
      </c>
      <c r="I138" s="150">
        <v>0</v>
      </c>
      <c r="J138" s="151">
        <v>50</v>
      </c>
      <c r="K138" s="151">
        <v>50</v>
      </c>
      <c r="L138" s="151">
        <v>0</v>
      </c>
      <c r="M138" s="151">
        <v>0</v>
      </c>
      <c r="N138" s="128"/>
    </row>
    <row r="139" spans="1:14" ht="16.5" x14ac:dyDescent="0.25">
      <c r="A139" s="175">
        <v>128</v>
      </c>
      <c r="B139" s="127" t="s">
        <v>450</v>
      </c>
      <c r="C139" s="125">
        <f t="shared" si="2"/>
        <v>40</v>
      </c>
      <c r="D139" s="151">
        <v>0</v>
      </c>
      <c r="E139" s="180">
        <v>0</v>
      </c>
      <c r="F139" s="150">
        <v>0</v>
      </c>
      <c r="G139" s="150">
        <v>0</v>
      </c>
      <c r="H139" s="150">
        <v>0</v>
      </c>
      <c r="I139" s="150">
        <v>0</v>
      </c>
      <c r="J139" s="151">
        <v>40</v>
      </c>
      <c r="K139" s="151">
        <v>40</v>
      </c>
      <c r="L139" s="151">
        <v>0</v>
      </c>
      <c r="M139" s="151">
        <v>0</v>
      </c>
      <c r="N139" s="128"/>
    </row>
    <row r="140" spans="1:14" x14ac:dyDescent="0.25">
      <c r="A140" s="175">
        <v>129</v>
      </c>
      <c r="B140" s="127" t="s">
        <v>410</v>
      </c>
      <c r="C140" s="125">
        <f t="shared" si="2"/>
        <v>32</v>
      </c>
      <c r="D140" s="151">
        <v>0</v>
      </c>
      <c r="E140" s="180">
        <v>0</v>
      </c>
      <c r="F140" s="150">
        <v>0</v>
      </c>
      <c r="G140" s="150">
        <v>0</v>
      </c>
      <c r="H140" s="150">
        <v>0</v>
      </c>
      <c r="I140" s="150">
        <v>0</v>
      </c>
      <c r="J140" s="151">
        <v>32</v>
      </c>
      <c r="K140" s="151">
        <v>22</v>
      </c>
      <c r="L140" s="151">
        <v>0</v>
      </c>
      <c r="M140" s="151">
        <v>10</v>
      </c>
      <c r="N140" s="128"/>
    </row>
    <row r="141" spans="1:14" ht="16.5" x14ac:dyDescent="0.25">
      <c r="A141" s="175">
        <v>130</v>
      </c>
      <c r="B141" s="127" t="s">
        <v>412</v>
      </c>
      <c r="C141" s="125">
        <f t="shared" si="2"/>
        <v>25</v>
      </c>
      <c r="D141" s="151">
        <v>0</v>
      </c>
      <c r="E141" s="180">
        <v>0</v>
      </c>
      <c r="F141" s="150">
        <v>0</v>
      </c>
      <c r="G141" s="150">
        <v>0</v>
      </c>
      <c r="H141" s="150">
        <v>0</v>
      </c>
      <c r="I141" s="150">
        <v>0</v>
      </c>
      <c r="J141" s="151">
        <v>25</v>
      </c>
      <c r="K141" s="151">
        <v>17</v>
      </c>
      <c r="L141" s="151">
        <v>0</v>
      </c>
      <c r="M141" s="151">
        <v>8</v>
      </c>
      <c r="N141" s="128"/>
    </row>
    <row r="142" spans="1:14" x14ac:dyDescent="0.25">
      <c r="A142" s="175">
        <v>131</v>
      </c>
      <c r="B142" s="127" t="s">
        <v>149</v>
      </c>
      <c r="C142" s="125">
        <f t="shared" si="2"/>
        <v>382</v>
      </c>
      <c r="D142" s="151">
        <v>0</v>
      </c>
      <c r="E142" s="180">
        <v>0</v>
      </c>
      <c r="F142" s="150">
        <v>0</v>
      </c>
      <c r="G142" s="150">
        <v>0</v>
      </c>
      <c r="H142" s="150">
        <v>0</v>
      </c>
      <c r="I142" s="150">
        <v>0</v>
      </c>
      <c r="J142" s="151">
        <v>382</v>
      </c>
      <c r="K142" s="151">
        <v>330</v>
      </c>
      <c r="L142" s="151">
        <v>0</v>
      </c>
      <c r="M142" s="151">
        <v>52</v>
      </c>
      <c r="N142" s="128"/>
    </row>
    <row r="143" spans="1:14" ht="16.5" x14ac:dyDescent="0.25">
      <c r="A143" s="175">
        <v>132</v>
      </c>
      <c r="B143" s="127" t="s">
        <v>414</v>
      </c>
      <c r="C143" s="125">
        <f t="shared" si="2"/>
        <v>46</v>
      </c>
      <c r="D143" s="151">
        <v>0</v>
      </c>
      <c r="E143" s="180">
        <v>0</v>
      </c>
      <c r="F143" s="150">
        <v>0</v>
      </c>
      <c r="G143" s="150">
        <v>0</v>
      </c>
      <c r="H143" s="150">
        <v>0</v>
      </c>
      <c r="I143" s="150">
        <v>0</v>
      </c>
      <c r="J143" s="151">
        <v>46</v>
      </c>
      <c r="K143" s="151">
        <v>0</v>
      </c>
      <c r="L143" s="151">
        <v>29</v>
      </c>
      <c r="M143" s="151">
        <v>17</v>
      </c>
      <c r="N143" s="128"/>
    </row>
    <row r="144" spans="1:14" x14ac:dyDescent="0.25">
      <c r="A144" s="175">
        <v>133</v>
      </c>
      <c r="B144" s="127" t="s">
        <v>415</v>
      </c>
      <c r="C144" s="125">
        <f t="shared" si="2"/>
        <v>82</v>
      </c>
      <c r="D144" s="151">
        <v>0</v>
      </c>
      <c r="E144" s="180">
        <v>0</v>
      </c>
      <c r="F144" s="150">
        <v>0</v>
      </c>
      <c r="G144" s="150">
        <v>0</v>
      </c>
      <c r="H144" s="150">
        <v>0</v>
      </c>
      <c r="I144" s="150">
        <v>0</v>
      </c>
      <c r="J144" s="151">
        <v>82</v>
      </c>
      <c r="K144" s="151">
        <v>82</v>
      </c>
      <c r="L144" s="151">
        <v>0</v>
      </c>
      <c r="M144" s="151">
        <v>0</v>
      </c>
      <c r="N144" s="128"/>
    </row>
    <row r="145" spans="1:14" x14ac:dyDescent="0.25">
      <c r="A145" s="175">
        <v>134</v>
      </c>
      <c r="B145" s="127" t="s">
        <v>416</v>
      </c>
      <c r="C145" s="125">
        <f t="shared" si="2"/>
        <v>32</v>
      </c>
      <c r="D145" s="151">
        <v>0</v>
      </c>
      <c r="E145" s="180">
        <v>0</v>
      </c>
      <c r="F145" s="150">
        <v>0</v>
      </c>
      <c r="G145" s="150">
        <v>0</v>
      </c>
      <c r="H145" s="150">
        <v>0</v>
      </c>
      <c r="I145" s="150">
        <v>0</v>
      </c>
      <c r="J145" s="151">
        <v>32</v>
      </c>
      <c r="K145" s="151">
        <v>32</v>
      </c>
      <c r="L145" s="151">
        <v>0</v>
      </c>
      <c r="M145" s="151">
        <v>0</v>
      </c>
      <c r="N145" s="128"/>
    </row>
    <row r="146" spans="1:14" x14ac:dyDescent="0.25">
      <c r="A146" s="175">
        <v>135</v>
      </c>
      <c r="B146" s="127" t="s">
        <v>418</v>
      </c>
      <c r="C146" s="125">
        <f t="shared" si="2"/>
        <v>25</v>
      </c>
      <c r="D146" s="151">
        <v>0</v>
      </c>
      <c r="E146" s="180">
        <v>0</v>
      </c>
      <c r="F146" s="150">
        <v>0</v>
      </c>
      <c r="G146" s="150">
        <v>0</v>
      </c>
      <c r="H146" s="150">
        <v>0</v>
      </c>
      <c r="I146" s="150">
        <v>0</v>
      </c>
      <c r="J146" s="151">
        <v>25</v>
      </c>
      <c r="K146" s="151">
        <v>25</v>
      </c>
      <c r="L146" s="151">
        <v>0</v>
      </c>
      <c r="M146" s="151">
        <v>0</v>
      </c>
      <c r="N146" s="128"/>
    </row>
    <row r="147" spans="1:14" ht="16.5" x14ac:dyDescent="0.25">
      <c r="A147" s="175">
        <v>136</v>
      </c>
      <c r="B147" s="127" t="s">
        <v>421</v>
      </c>
      <c r="C147" s="125">
        <f t="shared" si="2"/>
        <v>32</v>
      </c>
      <c r="D147" s="151">
        <v>0</v>
      </c>
      <c r="E147" s="180">
        <v>0</v>
      </c>
      <c r="F147" s="150">
        <v>0</v>
      </c>
      <c r="G147" s="150">
        <v>0</v>
      </c>
      <c r="H147" s="150">
        <v>0</v>
      </c>
      <c r="I147" s="150">
        <v>0</v>
      </c>
      <c r="J147" s="151">
        <v>32</v>
      </c>
      <c r="K147" s="151">
        <v>32</v>
      </c>
      <c r="L147" s="151">
        <v>0</v>
      </c>
      <c r="M147" s="151">
        <v>0</v>
      </c>
      <c r="N147" s="128"/>
    </row>
    <row r="148" spans="1:14" ht="16.5" x14ac:dyDescent="0.25">
      <c r="A148" s="175">
        <v>137</v>
      </c>
      <c r="B148" s="127" t="s">
        <v>422</v>
      </c>
      <c r="C148" s="125">
        <f t="shared" si="2"/>
        <v>32</v>
      </c>
      <c r="D148" s="151">
        <v>0</v>
      </c>
      <c r="E148" s="180">
        <v>0</v>
      </c>
      <c r="F148" s="150">
        <v>0</v>
      </c>
      <c r="G148" s="150">
        <v>0</v>
      </c>
      <c r="H148" s="150">
        <v>0</v>
      </c>
      <c r="I148" s="150">
        <v>0</v>
      </c>
      <c r="J148" s="151">
        <v>32</v>
      </c>
      <c r="K148" s="151">
        <v>32</v>
      </c>
      <c r="L148" s="151">
        <v>0</v>
      </c>
      <c r="M148" s="151">
        <v>0</v>
      </c>
      <c r="N148" s="128"/>
    </row>
    <row r="149" spans="1:14" x14ac:dyDescent="0.25">
      <c r="A149" s="175">
        <v>138</v>
      </c>
      <c r="B149" s="127" t="s">
        <v>423</v>
      </c>
      <c r="C149" s="125">
        <f t="shared" si="2"/>
        <v>17</v>
      </c>
      <c r="D149" s="151">
        <v>0</v>
      </c>
      <c r="E149" s="180">
        <v>0</v>
      </c>
      <c r="F149" s="150">
        <v>0</v>
      </c>
      <c r="G149" s="150">
        <v>0</v>
      </c>
      <c r="H149" s="150">
        <v>0</v>
      </c>
      <c r="I149" s="150">
        <v>0</v>
      </c>
      <c r="J149" s="151">
        <v>17</v>
      </c>
      <c r="K149" s="151">
        <v>17</v>
      </c>
      <c r="L149" s="151">
        <v>0</v>
      </c>
      <c r="M149" s="151">
        <v>0</v>
      </c>
      <c r="N149" s="128"/>
    </row>
    <row r="150" spans="1:14" x14ac:dyDescent="0.25">
      <c r="A150" s="175">
        <v>139</v>
      </c>
      <c r="B150" s="127" t="s">
        <v>49</v>
      </c>
      <c r="C150" s="125">
        <f t="shared" si="2"/>
        <v>219358</v>
      </c>
      <c r="D150" s="151">
        <v>0</v>
      </c>
      <c r="E150" s="180">
        <v>0</v>
      </c>
      <c r="F150" s="150">
        <v>0</v>
      </c>
      <c r="G150" s="150">
        <v>0</v>
      </c>
      <c r="H150" s="150">
        <v>0</v>
      </c>
      <c r="I150" s="150">
        <v>0</v>
      </c>
      <c r="J150" s="149">
        <v>219358</v>
      </c>
      <c r="K150" s="149">
        <v>219358</v>
      </c>
      <c r="L150" s="151">
        <v>0</v>
      </c>
      <c r="M150" s="151">
        <v>0</v>
      </c>
      <c r="N150" s="128"/>
    </row>
    <row r="151" spans="1:14" x14ac:dyDescent="0.25">
      <c r="A151" s="175">
        <v>140</v>
      </c>
      <c r="B151" s="127" t="s">
        <v>217</v>
      </c>
      <c r="C151" s="125">
        <f t="shared" si="2"/>
        <v>142000</v>
      </c>
      <c r="D151" s="151">
        <v>0</v>
      </c>
      <c r="E151" s="180">
        <v>0</v>
      </c>
      <c r="F151" s="150">
        <v>0</v>
      </c>
      <c r="G151" s="150">
        <v>0</v>
      </c>
      <c r="H151" s="150">
        <v>0</v>
      </c>
      <c r="I151" s="150">
        <v>0</v>
      </c>
      <c r="J151" s="149">
        <v>142000</v>
      </c>
      <c r="K151" s="149">
        <v>142000</v>
      </c>
      <c r="L151" s="151">
        <v>0</v>
      </c>
      <c r="M151" s="151">
        <v>0</v>
      </c>
      <c r="N151" s="128"/>
    </row>
    <row r="152" spans="1:14" x14ac:dyDescent="0.25">
      <c r="A152" s="175">
        <v>141</v>
      </c>
      <c r="B152" s="127" t="s">
        <v>24</v>
      </c>
      <c r="C152" s="125">
        <f t="shared" si="2"/>
        <v>85000</v>
      </c>
      <c r="D152" s="151">
        <v>0</v>
      </c>
      <c r="E152" s="180">
        <v>0</v>
      </c>
      <c r="F152" s="150">
        <v>0</v>
      </c>
      <c r="G152" s="150">
        <v>0</v>
      </c>
      <c r="H152" s="150">
        <v>0</v>
      </c>
      <c r="I152" s="150">
        <v>0</v>
      </c>
      <c r="J152" s="149">
        <v>85000</v>
      </c>
      <c r="K152" s="149">
        <v>85000</v>
      </c>
      <c r="L152" s="151">
        <v>0</v>
      </c>
      <c r="M152" s="151">
        <v>0</v>
      </c>
      <c r="N152" s="128"/>
    </row>
    <row r="153" spans="1:14" x14ac:dyDescent="0.25">
      <c r="A153" s="175">
        <v>142</v>
      </c>
      <c r="B153" s="127" t="s">
        <v>25</v>
      </c>
      <c r="C153" s="125">
        <f t="shared" si="2"/>
        <v>114500</v>
      </c>
      <c r="D153" s="151">
        <v>0</v>
      </c>
      <c r="E153" s="180">
        <v>0</v>
      </c>
      <c r="F153" s="150">
        <v>0</v>
      </c>
      <c r="G153" s="150">
        <v>0</v>
      </c>
      <c r="H153" s="150">
        <v>0</v>
      </c>
      <c r="I153" s="150">
        <v>0</v>
      </c>
      <c r="J153" s="149">
        <v>114500</v>
      </c>
      <c r="K153" s="149">
        <v>114500</v>
      </c>
      <c r="L153" s="151">
        <v>0</v>
      </c>
      <c r="M153" s="151">
        <v>0</v>
      </c>
      <c r="N153" s="128"/>
    </row>
    <row r="154" spans="1:14" x14ac:dyDescent="0.25">
      <c r="A154" s="175">
        <v>143</v>
      </c>
      <c r="B154" s="127" t="s">
        <v>154</v>
      </c>
      <c r="C154" s="125">
        <f t="shared" si="2"/>
        <v>7873</v>
      </c>
      <c r="D154" s="151">
        <v>0</v>
      </c>
      <c r="E154" s="180">
        <v>0</v>
      </c>
      <c r="F154" s="150">
        <v>0</v>
      </c>
      <c r="G154" s="150">
        <v>0</v>
      </c>
      <c r="H154" s="150">
        <v>0</v>
      </c>
      <c r="I154" s="150">
        <v>0</v>
      </c>
      <c r="J154" s="149">
        <v>7873</v>
      </c>
      <c r="K154" s="149">
        <v>7873</v>
      </c>
      <c r="L154" s="151">
        <v>0</v>
      </c>
      <c r="M154" s="151">
        <v>0</v>
      </c>
      <c r="N154" s="128"/>
    </row>
    <row r="155" spans="1:14" x14ac:dyDescent="0.25">
      <c r="A155" s="175">
        <v>144</v>
      </c>
      <c r="B155" s="127" t="s">
        <v>250</v>
      </c>
      <c r="C155" s="125">
        <f t="shared" si="2"/>
        <v>65356</v>
      </c>
      <c r="D155" s="151">
        <v>0</v>
      </c>
      <c r="E155" s="180">
        <v>0</v>
      </c>
      <c r="F155" s="150">
        <v>0</v>
      </c>
      <c r="G155" s="150">
        <v>0</v>
      </c>
      <c r="H155" s="150">
        <v>0</v>
      </c>
      <c r="I155" s="150">
        <v>0</v>
      </c>
      <c r="J155" s="149">
        <v>65356</v>
      </c>
      <c r="K155" s="149">
        <v>65356</v>
      </c>
      <c r="L155" s="151">
        <v>0</v>
      </c>
      <c r="M155" s="151">
        <v>0</v>
      </c>
      <c r="N155" s="128"/>
    </row>
    <row r="156" spans="1:14" x14ac:dyDescent="0.25">
      <c r="A156" s="175">
        <v>145</v>
      </c>
      <c r="B156" s="127" t="s">
        <v>249</v>
      </c>
      <c r="C156" s="125">
        <f t="shared" si="2"/>
        <v>46711</v>
      </c>
      <c r="D156" s="149">
        <v>21567</v>
      </c>
      <c r="E156" s="180">
        <v>0</v>
      </c>
      <c r="F156" s="150">
        <v>0</v>
      </c>
      <c r="G156" s="150">
        <v>0</v>
      </c>
      <c r="H156" s="148">
        <v>21567</v>
      </c>
      <c r="I156" s="150">
        <v>0</v>
      </c>
      <c r="J156" s="149">
        <v>25144</v>
      </c>
      <c r="K156" s="149">
        <v>18779</v>
      </c>
      <c r="L156" s="151">
        <v>0</v>
      </c>
      <c r="M156" s="149">
        <v>6365</v>
      </c>
      <c r="N156" s="128"/>
    </row>
    <row r="157" spans="1:14" x14ac:dyDescent="0.25">
      <c r="A157" s="175">
        <v>146</v>
      </c>
      <c r="B157" s="127" t="s">
        <v>218</v>
      </c>
      <c r="C157" s="125">
        <f t="shared" si="2"/>
        <v>68000</v>
      </c>
      <c r="D157" s="151">
        <v>0</v>
      </c>
      <c r="E157" s="180">
        <v>0</v>
      </c>
      <c r="F157" s="150">
        <v>0</v>
      </c>
      <c r="G157" s="150">
        <v>0</v>
      </c>
      <c r="H157" s="150">
        <v>0</v>
      </c>
      <c r="I157" s="150">
        <v>0</v>
      </c>
      <c r="J157" s="149">
        <v>68000</v>
      </c>
      <c r="K157" s="149">
        <v>68000</v>
      </c>
      <c r="L157" s="151">
        <v>0</v>
      </c>
      <c r="M157" s="151">
        <v>0</v>
      </c>
      <c r="N157" s="128"/>
    </row>
    <row r="158" spans="1:14" x14ac:dyDescent="0.25">
      <c r="A158" s="175">
        <v>147</v>
      </c>
      <c r="B158" s="127" t="s">
        <v>157</v>
      </c>
      <c r="C158" s="125">
        <f t="shared" si="2"/>
        <v>18736</v>
      </c>
      <c r="D158" s="149">
        <v>18736</v>
      </c>
      <c r="E158" s="180">
        <v>0</v>
      </c>
      <c r="F158" s="150">
        <v>0</v>
      </c>
      <c r="G158" s="150">
        <v>0</v>
      </c>
      <c r="H158" s="150">
        <v>0</v>
      </c>
      <c r="I158" s="148">
        <v>18736</v>
      </c>
      <c r="J158" s="151">
        <v>0</v>
      </c>
      <c r="K158" s="151">
        <v>0</v>
      </c>
      <c r="L158" s="151">
        <v>0</v>
      </c>
      <c r="M158" s="151">
        <v>0</v>
      </c>
      <c r="N158" s="128"/>
    </row>
    <row r="159" spans="1:14" x14ac:dyDescent="0.25">
      <c r="A159" s="175">
        <v>148</v>
      </c>
      <c r="B159" s="127" t="s">
        <v>27</v>
      </c>
      <c r="C159" s="125">
        <f t="shared" si="2"/>
        <v>57822</v>
      </c>
      <c r="D159" s="151">
        <v>0</v>
      </c>
      <c r="E159" s="180">
        <v>0</v>
      </c>
      <c r="F159" s="150">
        <v>0</v>
      </c>
      <c r="G159" s="150">
        <v>0</v>
      </c>
      <c r="H159" s="150">
        <v>0</v>
      </c>
      <c r="I159" s="150">
        <v>0</v>
      </c>
      <c r="J159" s="149">
        <v>57822</v>
      </c>
      <c r="K159" s="149">
        <v>57822</v>
      </c>
      <c r="L159" s="151">
        <v>0</v>
      </c>
      <c r="M159" s="151">
        <v>0</v>
      </c>
      <c r="N159" s="128"/>
    </row>
    <row r="160" spans="1:14" x14ac:dyDescent="0.25">
      <c r="A160" s="175">
        <v>149</v>
      </c>
      <c r="B160" s="127" t="s">
        <v>28</v>
      </c>
      <c r="C160" s="125">
        <f t="shared" si="2"/>
        <v>800</v>
      </c>
      <c r="D160" s="151">
        <v>0</v>
      </c>
      <c r="E160" s="180">
        <v>0</v>
      </c>
      <c r="F160" s="150">
        <v>0</v>
      </c>
      <c r="G160" s="150">
        <v>0</v>
      </c>
      <c r="H160" s="150">
        <v>0</v>
      </c>
      <c r="I160" s="150">
        <v>0</v>
      </c>
      <c r="J160" s="151">
        <v>800</v>
      </c>
      <c r="K160" s="151">
        <v>800</v>
      </c>
      <c r="L160" s="151">
        <v>0</v>
      </c>
      <c r="M160" s="151">
        <v>0</v>
      </c>
      <c r="N160" s="128"/>
    </row>
    <row r="161" spans="1:14" x14ac:dyDescent="0.25">
      <c r="A161" s="441">
        <v>150</v>
      </c>
      <c r="B161" s="127" t="s">
        <v>219</v>
      </c>
      <c r="C161" s="125">
        <f t="shared" si="2"/>
        <v>102500</v>
      </c>
      <c r="D161" s="149">
        <v>40280</v>
      </c>
      <c r="E161" s="180">
        <v>6935</v>
      </c>
      <c r="F161" s="148">
        <v>7870</v>
      </c>
      <c r="G161" s="148">
        <v>2117</v>
      </c>
      <c r="H161" s="148">
        <v>23358</v>
      </c>
      <c r="I161" s="150">
        <v>0</v>
      </c>
      <c r="J161" s="149">
        <v>62220</v>
      </c>
      <c r="K161" s="149">
        <v>45164</v>
      </c>
      <c r="L161" s="149">
        <v>2255</v>
      </c>
      <c r="M161" s="149">
        <v>14801</v>
      </c>
      <c r="N161" s="128"/>
    </row>
    <row r="162" spans="1:14" ht="34.5" x14ac:dyDescent="0.25">
      <c r="A162" s="441"/>
      <c r="B162" s="138" t="s">
        <v>158</v>
      </c>
      <c r="C162" s="125">
        <f t="shared" si="2"/>
        <v>175911</v>
      </c>
      <c r="D162" s="149">
        <v>116563</v>
      </c>
      <c r="E162" s="180">
        <v>53021</v>
      </c>
      <c r="F162" s="148">
        <v>12643</v>
      </c>
      <c r="G162" s="148">
        <v>3394</v>
      </c>
      <c r="H162" s="148">
        <v>47505</v>
      </c>
      <c r="I162" s="150">
        <v>0</v>
      </c>
      <c r="J162" s="149">
        <v>59348</v>
      </c>
      <c r="K162" s="149">
        <v>36723</v>
      </c>
      <c r="L162" s="149">
        <v>6063</v>
      </c>
      <c r="M162" s="149">
        <v>16562</v>
      </c>
      <c r="N162" s="128"/>
    </row>
    <row r="163" spans="1:14" x14ac:dyDescent="0.25">
      <c r="A163" s="175">
        <v>151</v>
      </c>
      <c r="B163" s="127" t="s">
        <v>427</v>
      </c>
      <c r="C163" s="125">
        <f t="shared" si="2"/>
        <v>3000</v>
      </c>
      <c r="D163" s="151">
        <v>0</v>
      </c>
      <c r="E163" s="180">
        <v>0</v>
      </c>
      <c r="F163" s="150">
        <v>0</v>
      </c>
      <c r="G163" s="150">
        <v>0</v>
      </c>
      <c r="H163" s="150">
        <v>0</v>
      </c>
      <c r="I163" s="150">
        <v>0</v>
      </c>
      <c r="J163" s="149">
        <v>3000</v>
      </c>
      <c r="K163" s="149">
        <v>3000</v>
      </c>
      <c r="L163" s="151">
        <v>0</v>
      </c>
      <c r="M163" s="151">
        <v>0</v>
      </c>
      <c r="N163" s="128"/>
    </row>
    <row r="164" spans="1:14" x14ac:dyDescent="0.25">
      <c r="A164" s="175">
        <v>152</v>
      </c>
      <c r="B164" s="127" t="s">
        <v>428</v>
      </c>
      <c r="C164" s="125">
        <f t="shared" si="2"/>
        <v>9430</v>
      </c>
      <c r="D164" s="151">
        <v>0</v>
      </c>
      <c r="E164" s="180">
        <v>0</v>
      </c>
      <c r="F164" s="150">
        <v>0</v>
      </c>
      <c r="G164" s="150">
        <v>0</v>
      </c>
      <c r="H164" s="150">
        <v>0</v>
      </c>
      <c r="I164" s="150">
        <v>0</v>
      </c>
      <c r="J164" s="149">
        <v>9430</v>
      </c>
      <c r="K164" s="149">
        <v>9430</v>
      </c>
      <c r="L164" s="151">
        <v>0</v>
      </c>
      <c r="M164" s="151">
        <v>0</v>
      </c>
      <c r="N164" s="128"/>
    </row>
    <row r="165" spans="1:14" x14ac:dyDescent="0.25">
      <c r="A165" s="139"/>
      <c r="B165" s="127" t="s">
        <v>32</v>
      </c>
      <c r="C165" s="125">
        <f t="shared" si="2"/>
        <v>182246</v>
      </c>
      <c r="D165" s="151">
        <v>0</v>
      </c>
      <c r="E165" s="180">
        <v>0</v>
      </c>
      <c r="F165" s="150">
        <v>0</v>
      </c>
      <c r="G165" s="150">
        <v>0</v>
      </c>
      <c r="H165" s="150">
        <v>0</v>
      </c>
      <c r="I165" s="150">
        <v>0</v>
      </c>
      <c r="J165" s="149">
        <v>182246</v>
      </c>
      <c r="K165" s="149">
        <v>168098</v>
      </c>
      <c r="L165" s="149">
        <v>14148</v>
      </c>
      <c r="M165" s="151">
        <v>0</v>
      </c>
      <c r="N165" s="128"/>
    </row>
    <row r="166" spans="1:14" x14ac:dyDescent="0.25">
      <c r="A166" s="181"/>
      <c r="B166" s="181" t="s">
        <v>166</v>
      </c>
      <c r="C166" s="149">
        <v>11685416</v>
      </c>
      <c r="D166" s="149">
        <v>6371820</v>
      </c>
      <c r="E166" s="149">
        <v>2428682</v>
      </c>
      <c r="F166" s="149">
        <v>776692</v>
      </c>
      <c r="G166" s="149">
        <v>202326</v>
      </c>
      <c r="H166" s="149">
        <v>2557388</v>
      </c>
      <c r="I166" s="149">
        <v>406732</v>
      </c>
      <c r="J166" s="149">
        <v>5313596</v>
      </c>
      <c r="K166" s="149">
        <v>3528373</v>
      </c>
      <c r="L166" s="149">
        <v>348951</v>
      </c>
      <c r="M166" s="149">
        <v>1436272</v>
      </c>
      <c r="N166" s="128"/>
    </row>
    <row r="167" spans="1:14" x14ac:dyDescent="0.25"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</row>
    <row r="171" spans="1:14" x14ac:dyDescent="0.25">
      <c r="B171" s="120"/>
    </row>
    <row r="172" spans="1:14" x14ac:dyDescent="0.25">
      <c r="B172" s="120"/>
    </row>
    <row r="173" spans="1:14" x14ac:dyDescent="0.25">
      <c r="B173" s="120"/>
    </row>
    <row r="174" spans="1:14" x14ac:dyDescent="0.25">
      <c r="B174" s="120"/>
    </row>
  </sheetData>
  <mergeCells count="23">
    <mergeCell ref="A1:M1"/>
    <mergeCell ref="A3:A6"/>
    <mergeCell ref="B3:B6"/>
    <mergeCell ref="C3:C6"/>
    <mergeCell ref="D3:I3"/>
    <mergeCell ref="J3:M3"/>
    <mergeCell ref="D4:D6"/>
    <mergeCell ref="E4:I4"/>
    <mergeCell ref="J4:J6"/>
    <mergeCell ref="K4:M4"/>
    <mergeCell ref="A161:A162"/>
    <mergeCell ref="M5:M6"/>
    <mergeCell ref="A12:A13"/>
    <mergeCell ref="A40:A41"/>
    <mergeCell ref="A46:A48"/>
    <mergeCell ref="A51:A52"/>
    <mergeCell ref="A115:A116"/>
    <mergeCell ref="E5:F5"/>
    <mergeCell ref="G5:G6"/>
    <mergeCell ref="H5:H6"/>
    <mergeCell ref="I5:I6"/>
    <mergeCell ref="K5:K6"/>
    <mergeCell ref="L5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view="pageBreakPreview" zoomScaleNormal="80" zoomScaleSheetLayoutView="100" workbookViewId="0">
      <pane xSplit="2" ySplit="5" topLeftCell="C6" activePane="bottomRight" state="frozen"/>
      <selection activeCell="C40" sqref="C40"/>
      <selection pane="topRight" activeCell="C40" sqref="C40"/>
      <selection pane="bottomLeft" activeCell="C40" sqref="C40"/>
      <selection pane="bottomRight" activeCell="D12" sqref="D12"/>
    </sheetView>
  </sheetViews>
  <sheetFormatPr defaultRowHeight="12.75" x14ac:dyDescent="0.2"/>
  <cols>
    <col min="1" max="1" width="4.42578125" style="203" customWidth="1"/>
    <col min="2" max="2" width="48.28515625" style="204" customWidth="1"/>
    <col min="3" max="3" width="28.7109375" style="91" customWidth="1"/>
    <col min="4" max="4" width="31" style="91" customWidth="1"/>
    <col min="5" max="5" width="9.140625" style="204"/>
    <col min="6" max="16384" width="9.140625" style="91"/>
  </cols>
  <sheetData>
    <row r="1" spans="1:5" x14ac:dyDescent="0.2">
      <c r="D1" s="205"/>
    </row>
    <row r="2" spans="1:5" ht="79.5" customHeight="1" x14ac:dyDescent="0.2">
      <c r="A2" s="444" t="s">
        <v>533</v>
      </c>
      <c r="B2" s="444"/>
      <c r="C2" s="444"/>
      <c r="D2" s="444"/>
    </row>
    <row r="4" spans="1:5" ht="39" customHeight="1" x14ac:dyDescent="0.2">
      <c r="A4" s="445" t="s">
        <v>7</v>
      </c>
      <c r="B4" s="445" t="s">
        <v>34</v>
      </c>
      <c r="C4" s="445" t="s">
        <v>534</v>
      </c>
      <c r="D4" s="206" t="s">
        <v>535</v>
      </c>
    </row>
    <row r="5" spans="1:5" s="208" customFormat="1" ht="51.75" customHeight="1" x14ac:dyDescent="0.2">
      <c r="A5" s="445"/>
      <c r="B5" s="445"/>
      <c r="C5" s="445"/>
      <c r="D5" s="206" t="s">
        <v>465</v>
      </c>
      <c r="E5" s="207"/>
    </row>
    <row r="6" spans="1:5" ht="24.95" customHeight="1" x14ac:dyDescent="0.2">
      <c r="A6" s="209">
        <v>1</v>
      </c>
      <c r="B6" s="210" t="s">
        <v>480</v>
      </c>
      <c r="C6" s="211">
        <v>127</v>
      </c>
      <c r="D6" s="211">
        <v>127</v>
      </c>
    </row>
    <row r="7" spans="1:5" ht="24.95" customHeight="1" x14ac:dyDescent="0.2">
      <c r="A7" s="209">
        <v>2</v>
      </c>
      <c r="B7" s="210" t="s">
        <v>481</v>
      </c>
      <c r="C7" s="211">
        <v>160</v>
      </c>
      <c r="D7" s="211">
        <v>160</v>
      </c>
    </row>
    <row r="8" spans="1:5" ht="24.95" customHeight="1" x14ac:dyDescent="0.2">
      <c r="A8" s="209">
        <v>3</v>
      </c>
      <c r="B8" s="210" t="s">
        <v>514</v>
      </c>
      <c r="C8" s="211">
        <v>115</v>
      </c>
      <c r="D8" s="211">
        <v>115</v>
      </c>
    </row>
    <row r="9" spans="1:5" ht="24.95" customHeight="1" x14ac:dyDescent="0.2">
      <c r="A9" s="209">
        <v>4</v>
      </c>
      <c r="B9" s="210" t="s">
        <v>483</v>
      </c>
      <c r="C9" s="211">
        <v>250</v>
      </c>
      <c r="D9" s="211">
        <v>250</v>
      </c>
    </row>
    <row r="10" spans="1:5" ht="24.95" customHeight="1" x14ac:dyDescent="0.2">
      <c r="A10" s="209">
        <v>5</v>
      </c>
      <c r="B10" s="210" t="s">
        <v>484</v>
      </c>
      <c r="C10" s="211">
        <v>80</v>
      </c>
      <c r="D10" s="211">
        <v>80</v>
      </c>
    </row>
    <row r="11" spans="1:5" ht="24.95" customHeight="1" x14ac:dyDescent="0.2">
      <c r="A11" s="209">
        <v>6</v>
      </c>
      <c r="B11" s="210" t="s">
        <v>486</v>
      </c>
      <c r="C11" s="211">
        <v>80</v>
      </c>
      <c r="D11" s="211">
        <v>80</v>
      </c>
    </row>
    <row r="12" spans="1:5" ht="24.95" customHeight="1" x14ac:dyDescent="0.2">
      <c r="A12" s="209">
        <v>7</v>
      </c>
      <c r="B12" s="210" t="s">
        <v>487</v>
      </c>
      <c r="C12" s="211">
        <v>80</v>
      </c>
      <c r="D12" s="211">
        <v>80</v>
      </c>
    </row>
    <row r="13" spans="1:5" ht="24.95" customHeight="1" x14ac:dyDescent="0.2">
      <c r="A13" s="209">
        <v>8</v>
      </c>
      <c r="B13" s="210" t="s">
        <v>488</v>
      </c>
      <c r="C13" s="211">
        <v>80</v>
      </c>
      <c r="D13" s="211">
        <v>80</v>
      </c>
    </row>
    <row r="14" spans="1:5" ht="24.95" customHeight="1" x14ac:dyDescent="0.2">
      <c r="A14" s="209">
        <v>9</v>
      </c>
      <c r="B14" s="210" t="s">
        <v>489</v>
      </c>
      <c r="C14" s="211">
        <v>80</v>
      </c>
      <c r="D14" s="211">
        <v>80</v>
      </c>
    </row>
    <row r="15" spans="1:5" ht="24.95" customHeight="1" x14ac:dyDescent="0.2">
      <c r="A15" s="209">
        <v>10</v>
      </c>
      <c r="B15" s="212" t="s">
        <v>493</v>
      </c>
      <c r="C15" s="211">
        <f>103-92</f>
        <v>11</v>
      </c>
      <c r="D15" s="211">
        <f>103-92</f>
        <v>11</v>
      </c>
    </row>
    <row r="16" spans="1:5" ht="24.95" customHeight="1" x14ac:dyDescent="0.2">
      <c r="A16" s="209">
        <v>11</v>
      </c>
      <c r="B16" s="212" t="s">
        <v>494</v>
      </c>
      <c r="C16" s="211">
        <v>103</v>
      </c>
      <c r="D16" s="211">
        <v>103</v>
      </c>
    </row>
    <row r="17" spans="1:5" ht="24.95" customHeight="1" x14ac:dyDescent="0.2">
      <c r="A17" s="209">
        <v>12</v>
      </c>
      <c r="B17" s="212" t="s">
        <v>495</v>
      </c>
      <c r="C17" s="211">
        <v>0</v>
      </c>
      <c r="D17" s="211">
        <v>0</v>
      </c>
      <c r="E17" s="91"/>
    </row>
    <row r="18" spans="1:5" ht="24.95" customHeight="1" x14ac:dyDescent="0.2">
      <c r="A18" s="209">
        <v>13</v>
      </c>
      <c r="B18" s="212" t="s">
        <v>496</v>
      </c>
      <c r="C18" s="211">
        <f>D18</f>
        <v>0</v>
      </c>
      <c r="D18" s="211">
        <f>96-96</f>
        <v>0</v>
      </c>
      <c r="E18" s="91"/>
    </row>
    <row r="19" spans="1:5" ht="24.95" customHeight="1" x14ac:dyDescent="0.2">
      <c r="A19" s="209">
        <v>14</v>
      </c>
      <c r="B19" s="212" t="s">
        <v>497</v>
      </c>
      <c r="C19" s="211">
        <v>25</v>
      </c>
      <c r="D19" s="211">
        <v>25</v>
      </c>
      <c r="E19" s="91"/>
    </row>
    <row r="20" spans="1:5" ht="24.95" customHeight="1" x14ac:dyDescent="0.2">
      <c r="A20" s="209">
        <v>15</v>
      </c>
      <c r="B20" s="212" t="s">
        <v>502</v>
      </c>
      <c r="C20" s="211">
        <v>103</v>
      </c>
      <c r="D20" s="211">
        <v>103</v>
      </c>
      <c r="E20" s="91"/>
    </row>
    <row r="21" spans="1:5" ht="24.95" customHeight="1" x14ac:dyDescent="0.2">
      <c r="A21" s="209">
        <v>16</v>
      </c>
      <c r="B21" s="212" t="s">
        <v>503</v>
      </c>
      <c r="C21" s="211">
        <v>103</v>
      </c>
      <c r="D21" s="211">
        <v>103</v>
      </c>
      <c r="E21" s="91"/>
    </row>
    <row r="22" spans="1:5" ht="24.95" customHeight="1" x14ac:dyDescent="0.2">
      <c r="A22" s="209">
        <v>17</v>
      </c>
      <c r="B22" s="212" t="s">
        <v>504</v>
      </c>
      <c r="C22" s="211">
        <v>32</v>
      </c>
      <c r="D22" s="211">
        <v>32</v>
      </c>
      <c r="E22" s="91"/>
    </row>
    <row r="23" spans="1:5" ht="24.95" customHeight="1" x14ac:dyDescent="0.2">
      <c r="A23" s="209">
        <v>18</v>
      </c>
      <c r="B23" s="212" t="s">
        <v>505</v>
      </c>
      <c r="C23" s="211">
        <v>16</v>
      </c>
      <c r="D23" s="211">
        <v>16</v>
      </c>
      <c r="E23" s="91"/>
    </row>
    <row r="24" spans="1:5" ht="24.95" customHeight="1" x14ac:dyDescent="0.2">
      <c r="A24" s="209">
        <v>19</v>
      </c>
      <c r="B24" s="212" t="s">
        <v>507</v>
      </c>
      <c r="C24" s="211">
        <v>0</v>
      </c>
      <c r="D24" s="211">
        <v>0</v>
      </c>
      <c r="E24" s="91"/>
    </row>
    <row r="25" spans="1:5" ht="24.95" customHeight="1" x14ac:dyDescent="0.2">
      <c r="A25" s="209">
        <v>20</v>
      </c>
      <c r="B25" s="212" t="s">
        <v>509</v>
      </c>
      <c r="C25" s="211">
        <v>13</v>
      </c>
      <c r="D25" s="211">
        <v>13</v>
      </c>
      <c r="E25" s="91"/>
    </row>
    <row r="26" spans="1:5" ht="24.95" customHeight="1" x14ac:dyDescent="0.2">
      <c r="A26" s="213"/>
      <c r="B26" s="214" t="s">
        <v>8</v>
      </c>
      <c r="C26" s="215">
        <f>SUM(C6:C25)</f>
        <v>1458</v>
      </c>
      <c r="D26" s="215">
        <f>SUM(D6:D25)</f>
        <v>1458</v>
      </c>
      <c r="E26" s="91"/>
    </row>
    <row r="27" spans="1:5" x14ac:dyDescent="0.2">
      <c r="C27" s="97"/>
      <c r="E27" s="91"/>
    </row>
    <row r="29" spans="1:5" x14ac:dyDescent="0.2">
      <c r="C29" s="97"/>
      <c r="E29" s="91"/>
    </row>
    <row r="35" spans="1:5" x14ac:dyDescent="0.2">
      <c r="A35" s="91"/>
      <c r="B35" s="91"/>
      <c r="C35" s="97"/>
      <c r="E35" s="91"/>
    </row>
  </sheetData>
  <mergeCells count="4">
    <mergeCell ref="A2:D2"/>
    <mergeCell ref="A4:A5"/>
    <mergeCell ref="B4:B5"/>
    <mergeCell ref="C4:C5"/>
  </mergeCells>
  <pageMargins left="0.70866141732283472" right="0.11811023622047245" top="0.74803149606299213" bottom="0.74803149606299213" header="0.31496062992125984" footer="0.31496062992125984"/>
  <pageSetup paperSize="8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D37" sqref="D37"/>
    </sheetView>
  </sheetViews>
  <sheetFormatPr defaultRowHeight="15" x14ac:dyDescent="0.25"/>
  <cols>
    <col min="1" max="1" width="4.42578125" style="156" customWidth="1"/>
    <col min="2" max="2" width="36" style="152" customWidth="1"/>
    <col min="3" max="3" width="10.7109375" style="153" customWidth="1"/>
    <col min="4" max="6" width="7.28515625" style="153" customWidth="1"/>
    <col min="7" max="19" width="7.28515625" style="152" customWidth="1"/>
    <col min="20" max="20" width="9.140625" style="152"/>
    <col min="21" max="16384" width="9.140625" style="153"/>
  </cols>
  <sheetData>
    <row r="1" spans="1:20" x14ac:dyDescent="0.25">
      <c r="R1" s="446"/>
      <c r="S1" s="446"/>
    </row>
    <row r="2" spans="1:20" ht="40.5" customHeight="1" x14ac:dyDescent="0.25">
      <c r="A2" s="447" t="s">
        <v>510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</row>
    <row r="4" spans="1:20" ht="26.25" customHeight="1" x14ac:dyDescent="0.25">
      <c r="A4" s="333" t="s">
        <v>7</v>
      </c>
      <c r="B4" s="333" t="s">
        <v>34</v>
      </c>
      <c r="C4" s="333" t="s">
        <v>511</v>
      </c>
      <c r="D4" s="440" t="s">
        <v>464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20" s="155" customFormat="1" ht="103.5" customHeight="1" x14ac:dyDescent="0.25">
      <c r="A5" s="333"/>
      <c r="B5" s="333"/>
      <c r="C5" s="333"/>
      <c r="D5" s="88" t="s">
        <v>465</v>
      </c>
      <c r="E5" s="88" t="s">
        <v>466</v>
      </c>
      <c r="F5" s="88" t="s">
        <v>467</v>
      </c>
      <c r="G5" s="88" t="s">
        <v>468</v>
      </c>
      <c r="H5" s="88" t="s">
        <v>469</v>
      </c>
      <c r="I5" s="88" t="s">
        <v>470</v>
      </c>
      <c r="J5" s="88" t="s">
        <v>471</v>
      </c>
      <c r="K5" s="88" t="s">
        <v>472</v>
      </c>
      <c r="L5" s="88" t="s">
        <v>473</v>
      </c>
      <c r="M5" s="88" t="s">
        <v>474</v>
      </c>
      <c r="N5" s="88" t="s">
        <v>475</v>
      </c>
      <c r="O5" s="88" t="s">
        <v>476</v>
      </c>
      <c r="P5" s="88" t="s">
        <v>477</v>
      </c>
      <c r="Q5" s="88" t="s">
        <v>478</v>
      </c>
      <c r="R5" s="88" t="s">
        <v>479</v>
      </c>
      <c r="S5" s="88" t="s">
        <v>512</v>
      </c>
      <c r="T5" s="154"/>
    </row>
    <row r="6" spans="1:20" ht="30" customHeight="1" x14ac:dyDescent="0.25">
      <c r="A6" s="90">
        <v>1</v>
      </c>
      <c r="B6" s="158" t="s">
        <v>480</v>
      </c>
      <c r="C6" s="10">
        <f t="shared" ref="C6:C36" si="0">D6+E6+G6+H6+I6+J6+K6+L6+M6+N6+O6+P6+Q6+R6+F6</f>
        <v>36</v>
      </c>
      <c r="D6" s="10">
        <v>6</v>
      </c>
      <c r="E6" s="10">
        <v>30</v>
      </c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159"/>
    </row>
    <row r="7" spans="1:20" ht="30" customHeight="1" x14ac:dyDescent="0.25">
      <c r="A7" s="90">
        <v>2</v>
      </c>
      <c r="B7" s="158" t="s">
        <v>481</v>
      </c>
      <c r="C7" s="10">
        <f t="shared" si="0"/>
        <v>100</v>
      </c>
      <c r="D7" s="10">
        <v>100</v>
      </c>
      <c r="E7" s="89"/>
      <c r="F7" s="89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159"/>
    </row>
    <row r="8" spans="1:20" ht="30" customHeight="1" x14ac:dyDescent="0.25">
      <c r="A8" s="90">
        <v>3</v>
      </c>
      <c r="B8" s="158" t="s">
        <v>513</v>
      </c>
      <c r="C8" s="10">
        <f t="shared" si="0"/>
        <v>46</v>
      </c>
      <c r="D8" s="10">
        <f>90-44</f>
        <v>46</v>
      </c>
      <c r="E8" s="89"/>
      <c r="F8" s="89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159"/>
    </row>
    <row r="9" spans="1:20" ht="30" customHeight="1" x14ac:dyDescent="0.25">
      <c r="A9" s="90">
        <v>4</v>
      </c>
      <c r="B9" s="158" t="s">
        <v>514</v>
      </c>
      <c r="C9" s="10">
        <f t="shared" si="0"/>
        <v>85</v>
      </c>
      <c r="D9" s="10">
        <v>85</v>
      </c>
      <c r="E9" s="89"/>
      <c r="F9" s="89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159"/>
    </row>
    <row r="10" spans="1:20" ht="30" customHeight="1" x14ac:dyDescent="0.25">
      <c r="A10" s="90">
        <v>5</v>
      </c>
      <c r="B10" s="158" t="s">
        <v>482</v>
      </c>
      <c r="C10" s="10">
        <f t="shared" si="0"/>
        <v>11</v>
      </c>
      <c r="D10" s="90"/>
      <c r="E10" s="160">
        <f>25-14</f>
        <v>11</v>
      </c>
      <c r="F10" s="8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159"/>
    </row>
    <row r="11" spans="1:20" ht="30" customHeight="1" x14ac:dyDescent="0.25">
      <c r="A11" s="90">
        <v>6</v>
      </c>
      <c r="B11" s="158" t="s">
        <v>515</v>
      </c>
      <c r="C11" s="10">
        <f t="shared" si="0"/>
        <v>100</v>
      </c>
      <c r="D11" s="10">
        <v>100</v>
      </c>
      <c r="E11" s="89"/>
      <c r="F11" s="89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159"/>
    </row>
    <row r="12" spans="1:20" ht="30" customHeight="1" x14ac:dyDescent="0.25">
      <c r="A12" s="90">
        <v>7</v>
      </c>
      <c r="B12" s="158" t="s">
        <v>516</v>
      </c>
      <c r="C12" s="10">
        <f t="shared" si="0"/>
        <v>2</v>
      </c>
      <c r="D12" s="10"/>
      <c r="E12" s="160">
        <f>25-23</f>
        <v>2</v>
      </c>
      <c r="F12" s="160">
        <f>25-25</f>
        <v>0</v>
      </c>
      <c r="G12" s="87">
        <f>25-25</f>
        <v>0</v>
      </c>
      <c r="H12" s="88"/>
      <c r="I12" s="87">
        <f>16-16</f>
        <v>0</v>
      </c>
      <c r="J12" s="88"/>
      <c r="K12" s="88"/>
      <c r="L12" s="88"/>
      <c r="M12" s="88"/>
      <c r="N12" s="88"/>
      <c r="O12" s="87">
        <f>25-25</f>
        <v>0</v>
      </c>
      <c r="P12" s="88"/>
      <c r="Q12" s="88"/>
      <c r="R12" s="88"/>
      <c r="S12" s="159"/>
    </row>
    <row r="13" spans="1:20" ht="30" customHeight="1" x14ac:dyDescent="0.25">
      <c r="A13" s="90">
        <v>8</v>
      </c>
      <c r="B13" s="158" t="s">
        <v>485</v>
      </c>
      <c r="C13" s="10">
        <f t="shared" si="0"/>
        <v>4</v>
      </c>
      <c r="D13" s="10"/>
      <c r="E13" s="160">
        <f>25-21</f>
        <v>4</v>
      </c>
      <c r="F13" s="89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59"/>
    </row>
    <row r="14" spans="1:20" ht="30" customHeight="1" x14ac:dyDescent="0.25">
      <c r="A14" s="90">
        <v>9</v>
      </c>
      <c r="B14" s="158" t="s">
        <v>488</v>
      </c>
      <c r="C14" s="10">
        <f t="shared" si="0"/>
        <v>25</v>
      </c>
      <c r="D14" s="10">
        <v>25</v>
      </c>
      <c r="E14" s="89"/>
      <c r="F14" s="8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159"/>
    </row>
    <row r="15" spans="1:20" ht="30" customHeight="1" x14ac:dyDescent="0.25">
      <c r="A15" s="90">
        <v>10</v>
      </c>
      <c r="B15" s="161" t="s">
        <v>490</v>
      </c>
      <c r="C15" s="10">
        <f t="shared" si="0"/>
        <v>100</v>
      </c>
      <c r="D15" s="10">
        <v>25</v>
      </c>
      <c r="E15" s="160">
        <v>25</v>
      </c>
      <c r="F15" s="89"/>
      <c r="G15" s="88"/>
      <c r="H15" s="88"/>
      <c r="I15" s="87">
        <v>25</v>
      </c>
      <c r="J15" s="88"/>
      <c r="K15" s="88"/>
      <c r="L15" s="88"/>
      <c r="M15" s="88"/>
      <c r="N15" s="88"/>
      <c r="O15" s="88"/>
      <c r="P15" s="87">
        <v>25</v>
      </c>
      <c r="Q15" s="88"/>
      <c r="R15" s="88"/>
      <c r="S15" s="159"/>
    </row>
    <row r="16" spans="1:20" ht="30" customHeight="1" x14ac:dyDescent="0.25">
      <c r="A16" s="90">
        <v>11</v>
      </c>
      <c r="B16" s="162" t="s">
        <v>491</v>
      </c>
      <c r="C16" s="10">
        <f t="shared" si="0"/>
        <v>0</v>
      </c>
      <c r="D16" s="10"/>
      <c r="E16" s="160">
        <f>25-25</f>
        <v>0</v>
      </c>
      <c r="F16" s="89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159"/>
    </row>
    <row r="17" spans="1:19" s="152" customFormat="1" x14ac:dyDescent="0.25">
      <c r="A17" s="90">
        <v>12</v>
      </c>
      <c r="B17" s="162" t="s">
        <v>492</v>
      </c>
      <c r="C17" s="10">
        <f>D17+E17+G17+H17+I17+J17+K17+L17+M17+N17+O17+P17+Q17+R17+F17+S17</f>
        <v>0</v>
      </c>
      <c r="D17" s="10"/>
      <c r="E17" s="160">
        <f>25-25</f>
        <v>0</v>
      </c>
      <c r="F17" s="160">
        <f>25-25</f>
        <v>0</v>
      </c>
      <c r="G17" s="88"/>
      <c r="H17" s="88"/>
      <c r="I17" s="160">
        <f>25-25</f>
        <v>0</v>
      </c>
      <c r="J17" s="88"/>
      <c r="K17" s="88"/>
      <c r="L17" s="160">
        <f>25-25</f>
        <v>0</v>
      </c>
      <c r="M17" s="88"/>
      <c r="N17" s="88"/>
      <c r="O17" s="88"/>
      <c r="P17" s="88"/>
      <c r="Q17" s="88"/>
      <c r="R17" s="160">
        <f t="shared" ref="R17:S17" si="1">25-25</f>
        <v>0</v>
      </c>
      <c r="S17" s="10">
        <f t="shared" si="1"/>
        <v>0</v>
      </c>
    </row>
    <row r="18" spans="1:19" s="152" customFormat="1" x14ac:dyDescent="0.25">
      <c r="A18" s="90">
        <v>13</v>
      </c>
      <c r="B18" s="161" t="s">
        <v>493</v>
      </c>
      <c r="C18" s="10">
        <f t="shared" si="0"/>
        <v>1</v>
      </c>
      <c r="D18" s="10">
        <f>32-31</f>
        <v>1</v>
      </c>
      <c r="E18" s="89"/>
      <c r="F18" s="89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159"/>
    </row>
    <row r="19" spans="1:19" s="152" customFormat="1" x14ac:dyDescent="0.25">
      <c r="A19" s="90">
        <v>14</v>
      </c>
      <c r="B19" s="161" t="s">
        <v>494</v>
      </c>
      <c r="C19" s="10">
        <f t="shared" si="0"/>
        <v>32</v>
      </c>
      <c r="D19" s="10">
        <v>32</v>
      </c>
      <c r="E19" s="89"/>
      <c r="F19" s="89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159"/>
    </row>
    <row r="20" spans="1:19" s="152" customFormat="1" x14ac:dyDescent="0.25">
      <c r="A20" s="90">
        <v>15</v>
      </c>
      <c r="B20" s="161" t="s">
        <v>236</v>
      </c>
      <c r="C20" s="10">
        <f t="shared" si="0"/>
        <v>25</v>
      </c>
      <c r="D20" s="90"/>
      <c r="E20" s="160">
        <v>25</v>
      </c>
      <c r="F20" s="89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159"/>
    </row>
    <row r="21" spans="1:19" s="152" customFormat="1" x14ac:dyDescent="0.25">
      <c r="A21" s="90">
        <v>16</v>
      </c>
      <c r="B21" s="161" t="s">
        <v>495</v>
      </c>
      <c r="C21" s="10">
        <f t="shared" si="0"/>
        <v>0</v>
      </c>
      <c r="D21" s="10">
        <v>0</v>
      </c>
      <c r="E21" s="160">
        <v>0</v>
      </c>
      <c r="F21" s="89"/>
      <c r="G21" s="88"/>
      <c r="H21" s="88"/>
      <c r="I21" s="87">
        <v>0</v>
      </c>
      <c r="J21" s="88"/>
      <c r="K21" s="88"/>
      <c r="L21" s="88"/>
      <c r="M21" s="88"/>
      <c r="N21" s="88"/>
      <c r="O21" s="88"/>
      <c r="P21" s="88"/>
      <c r="Q21" s="88"/>
      <c r="R21" s="88"/>
      <c r="S21" s="159"/>
    </row>
    <row r="22" spans="1:19" s="152" customFormat="1" x14ac:dyDescent="0.25">
      <c r="A22" s="90">
        <v>17</v>
      </c>
      <c r="B22" s="161" t="s">
        <v>496</v>
      </c>
      <c r="C22" s="10">
        <f t="shared" si="0"/>
        <v>0</v>
      </c>
      <c r="D22" s="10">
        <f>32-32</f>
        <v>0</v>
      </c>
      <c r="E22" s="89"/>
      <c r="F22" s="89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159"/>
    </row>
    <row r="23" spans="1:19" s="152" customFormat="1" x14ac:dyDescent="0.25">
      <c r="A23" s="90">
        <v>18</v>
      </c>
      <c r="B23" s="161" t="s">
        <v>497</v>
      </c>
      <c r="C23" s="10">
        <f t="shared" si="0"/>
        <v>382</v>
      </c>
      <c r="D23" s="10">
        <v>32</v>
      </c>
      <c r="E23" s="160">
        <v>25</v>
      </c>
      <c r="F23" s="160">
        <v>25</v>
      </c>
      <c r="G23" s="87">
        <v>25</v>
      </c>
      <c r="H23" s="87">
        <v>25</v>
      </c>
      <c r="I23" s="87">
        <v>25</v>
      </c>
      <c r="J23" s="87">
        <v>25</v>
      </c>
      <c r="K23" s="87">
        <v>25</v>
      </c>
      <c r="L23" s="87">
        <v>25</v>
      </c>
      <c r="M23" s="87">
        <v>25</v>
      </c>
      <c r="N23" s="87">
        <v>25</v>
      </c>
      <c r="O23" s="87">
        <v>25</v>
      </c>
      <c r="P23" s="87">
        <v>25</v>
      </c>
      <c r="Q23" s="87">
        <v>25</v>
      </c>
      <c r="R23" s="87">
        <v>25</v>
      </c>
      <c r="S23" s="159"/>
    </row>
    <row r="24" spans="1:19" s="152" customFormat="1" x14ac:dyDescent="0.25">
      <c r="A24" s="90">
        <v>19</v>
      </c>
      <c r="B24" s="161" t="s">
        <v>498</v>
      </c>
      <c r="C24" s="10">
        <f t="shared" si="0"/>
        <v>50</v>
      </c>
      <c r="D24" s="90"/>
      <c r="E24" s="160">
        <v>25</v>
      </c>
      <c r="F24" s="89"/>
      <c r="G24" s="88"/>
      <c r="H24" s="88"/>
      <c r="I24" s="88"/>
      <c r="J24" s="88"/>
      <c r="K24" s="88"/>
      <c r="L24" s="87">
        <v>25</v>
      </c>
      <c r="M24" s="88"/>
      <c r="N24" s="88"/>
      <c r="O24" s="88"/>
      <c r="P24" s="88"/>
      <c r="Q24" s="88"/>
      <c r="R24" s="88"/>
      <c r="S24" s="159"/>
    </row>
    <row r="25" spans="1:19" s="152" customFormat="1" x14ac:dyDescent="0.25">
      <c r="A25" s="90">
        <v>20</v>
      </c>
      <c r="B25" s="161" t="s">
        <v>499</v>
      </c>
      <c r="C25" s="10">
        <f t="shared" si="0"/>
        <v>0</v>
      </c>
      <c r="D25" s="90"/>
      <c r="E25" s="160">
        <v>0</v>
      </c>
      <c r="F25" s="89"/>
      <c r="G25" s="88"/>
      <c r="H25" s="88"/>
      <c r="I25" s="88"/>
      <c r="J25" s="88"/>
      <c r="K25" s="88"/>
      <c r="L25" s="87">
        <v>0</v>
      </c>
      <c r="M25" s="88"/>
      <c r="N25" s="88"/>
      <c r="O25" s="88"/>
      <c r="P25" s="88"/>
      <c r="Q25" s="88"/>
      <c r="R25" s="88"/>
      <c r="S25" s="159"/>
    </row>
    <row r="26" spans="1:19" s="152" customFormat="1" x14ac:dyDescent="0.25">
      <c r="A26" s="90">
        <v>21</v>
      </c>
      <c r="B26" s="161" t="s">
        <v>500</v>
      </c>
      <c r="C26" s="10">
        <f t="shared" si="0"/>
        <v>0</v>
      </c>
      <c r="D26" s="90"/>
      <c r="E26" s="160">
        <v>0</v>
      </c>
      <c r="F26" s="89"/>
      <c r="G26" s="88"/>
      <c r="H26" s="88"/>
      <c r="I26" s="87">
        <v>0</v>
      </c>
      <c r="J26" s="88"/>
      <c r="K26" s="88"/>
      <c r="L26" s="88"/>
      <c r="M26" s="88"/>
      <c r="N26" s="88"/>
      <c r="O26" s="88"/>
      <c r="P26" s="88"/>
      <c r="Q26" s="88"/>
      <c r="R26" s="88"/>
      <c r="S26" s="159"/>
    </row>
    <row r="27" spans="1:19" s="152" customFormat="1" x14ac:dyDescent="0.25">
      <c r="A27" s="90">
        <v>22</v>
      </c>
      <c r="B27" s="161" t="s">
        <v>501</v>
      </c>
      <c r="C27" s="10">
        <f t="shared" si="0"/>
        <v>0</v>
      </c>
      <c r="D27" s="90"/>
      <c r="E27" s="160">
        <v>0</v>
      </c>
      <c r="F27" s="89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159"/>
    </row>
    <row r="28" spans="1:19" s="152" customFormat="1" x14ac:dyDescent="0.25">
      <c r="A28" s="90">
        <v>23</v>
      </c>
      <c r="B28" s="161" t="s">
        <v>502</v>
      </c>
      <c r="C28" s="10">
        <f t="shared" si="0"/>
        <v>32</v>
      </c>
      <c r="D28" s="10">
        <v>32</v>
      </c>
      <c r="E28" s="89"/>
      <c r="F28" s="89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159"/>
    </row>
    <row r="29" spans="1:19" s="152" customFormat="1" x14ac:dyDescent="0.25">
      <c r="A29" s="90">
        <v>24</v>
      </c>
      <c r="B29" s="161" t="s">
        <v>503</v>
      </c>
      <c r="C29" s="10">
        <f t="shared" si="0"/>
        <v>32</v>
      </c>
      <c r="D29" s="10">
        <v>32</v>
      </c>
      <c r="E29" s="89"/>
      <c r="F29" s="89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159"/>
    </row>
    <row r="30" spans="1:19" s="152" customFormat="1" x14ac:dyDescent="0.25">
      <c r="A30" s="90">
        <v>25</v>
      </c>
      <c r="B30" s="161" t="s">
        <v>504</v>
      </c>
      <c r="C30" s="10">
        <f t="shared" si="0"/>
        <v>82</v>
      </c>
      <c r="D30" s="10">
        <v>32</v>
      </c>
      <c r="E30" s="160">
        <v>25</v>
      </c>
      <c r="F30" s="89"/>
      <c r="G30" s="88"/>
      <c r="H30" s="88"/>
      <c r="I30" s="87">
        <v>25</v>
      </c>
      <c r="J30" s="88"/>
      <c r="K30" s="88"/>
      <c r="L30" s="88"/>
      <c r="M30" s="88"/>
      <c r="N30" s="88"/>
      <c r="O30" s="88"/>
      <c r="P30" s="88"/>
      <c r="Q30" s="88"/>
      <c r="R30" s="88"/>
      <c r="S30" s="159"/>
    </row>
    <row r="31" spans="1:19" s="152" customFormat="1" x14ac:dyDescent="0.25">
      <c r="A31" s="90">
        <v>26</v>
      </c>
      <c r="B31" s="161" t="s">
        <v>505</v>
      </c>
      <c r="C31" s="10">
        <f t="shared" si="0"/>
        <v>32</v>
      </c>
      <c r="D31" s="10">
        <v>32</v>
      </c>
      <c r="E31" s="89"/>
      <c r="F31" s="89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59"/>
    </row>
    <row r="32" spans="1:19" s="152" customFormat="1" x14ac:dyDescent="0.25">
      <c r="A32" s="90">
        <v>27</v>
      </c>
      <c r="B32" s="161" t="s">
        <v>506</v>
      </c>
      <c r="C32" s="10">
        <f t="shared" si="0"/>
        <v>25</v>
      </c>
      <c r="D32" s="90"/>
      <c r="E32" s="89"/>
      <c r="F32" s="89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7">
        <v>25</v>
      </c>
      <c r="S32" s="159"/>
    </row>
    <row r="33" spans="1:19" s="152" customFormat="1" x14ac:dyDescent="0.25">
      <c r="A33" s="90">
        <v>28</v>
      </c>
      <c r="B33" s="161" t="s">
        <v>507</v>
      </c>
      <c r="C33" s="10">
        <f t="shared" si="0"/>
        <v>0</v>
      </c>
      <c r="D33" s="10">
        <v>0</v>
      </c>
      <c r="E33" s="89"/>
      <c r="F33" s="89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59"/>
    </row>
    <row r="34" spans="1:19" s="152" customFormat="1" x14ac:dyDescent="0.25">
      <c r="A34" s="90">
        <v>29</v>
      </c>
      <c r="B34" s="161" t="s">
        <v>508</v>
      </c>
      <c r="C34" s="10">
        <f t="shared" si="0"/>
        <v>25</v>
      </c>
      <c r="D34" s="10"/>
      <c r="E34" s="160">
        <v>25</v>
      </c>
      <c r="F34" s="89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59"/>
    </row>
    <row r="35" spans="1:19" s="152" customFormat="1" x14ac:dyDescent="0.25">
      <c r="A35" s="90">
        <v>30</v>
      </c>
      <c r="B35" s="161" t="s">
        <v>517</v>
      </c>
      <c r="C35" s="10">
        <f t="shared" si="0"/>
        <v>40</v>
      </c>
      <c r="D35" s="10"/>
      <c r="E35" s="160"/>
      <c r="F35" s="89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7">
        <v>40</v>
      </c>
      <c r="R35" s="88"/>
      <c r="S35" s="159"/>
    </row>
    <row r="36" spans="1:19" s="152" customFormat="1" x14ac:dyDescent="0.25">
      <c r="A36" s="90">
        <v>31</v>
      </c>
      <c r="B36" s="161" t="s">
        <v>509</v>
      </c>
      <c r="C36" s="10">
        <f t="shared" si="0"/>
        <v>17</v>
      </c>
      <c r="D36" s="10">
        <v>17</v>
      </c>
      <c r="E36" s="160"/>
      <c r="F36" s="8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59"/>
    </row>
    <row r="37" spans="1:19" s="152" customFormat="1" x14ac:dyDescent="0.25">
      <c r="A37" s="163"/>
      <c r="B37" s="164" t="s">
        <v>8</v>
      </c>
      <c r="C37" s="165">
        <f t="shared" ref="C37:S37" si="2">SUM(C6:C36)</f>
        <v>1284</v>
      </c>
      <c r="D37" s="165">
        <f t="shared" si="2"/>
        <v>597</v>
      </c>
      <c r="E37" s="165">
        <f t="shared" si="2"/>
        <v>197</v>
      </c>
      <c r="F37" s="165">
        <f t="shared" si="2"/>
        <v>25</v>
      </c>
      <c r="G37" s="165">
        <f t="shared" si="2"/>
        <v>25</v>
      </c>
      <c r="H37" s="165">
        <f t="shared" si="2"/>
        <v>25</v>
      </c>
      <c r="I37" s="165">
        <f t="shared" si="2"/>
        <v>75</v>
      </c>
      <c r="J37" s="165">
        <f t="shared" si="2"/>
        <v>25</v>
      </c>
      <c r="K37" s="165">
        <f t="shared" si="2"/>
        <v>25</v>
      </c>
      <c r="L37" s="165">
        <f t="shared" si="2"/>
        <v>50</v>
      </c>
      <c r="M37" s="165">
        <f t="shared" si="2"/>
        <v>25</v>
      </c>
      <c r="N37" s="165">
        <f t="shared" si="2"/>
        <v>25</v>
      </c>
      <c r="O37" s="165">
        <f t="shared" si="2"/>
        <v>25</v>
      </c>
      <c r="P37" s="165">
        <f t="shared" si="2"/>
        <v>50</v>
      </c>
      <c r="Q37" s="165">
        <f t="shared" si="2"/>
        <v>65</v>
      </c>
      <c r="R37" s="165">
        <f t="shared" si="2"/>
        <v>50</v>
      </c>
      <c r="S37" s="165">
        <f t="shared" si="2"/>
        <v>0</v>
      </c>
    </row>
    <row r="38" spans="1:19" s="152" customFormat="1" x14ac:dyDescent="0.25">
      <c r="A38" s="156"/>
      <c r="C38" s="157"/>
      <c r="D38" s="153"/>
      <c r="E38" s="153"/>
      <c r="F38" s="153"/>
    </row>
    <row r="39" spans="1:19" s="152" customFormat="1" x14ac:dyDescent="0.25">
      <c r="A39" s="156"/>
      <c r="C39" s="153"/>
      <c r="D39" s="153"/>
      <c r="E39" s="153"/>
      <c r="F39" s="153"/>
    </row>
    <row r="40" spans="1:19" s="152" customFormat="1" x14ac:dyDescent="0.25">
      <c r="A40" s="156"/>
      <c r="C40" s="157"/>
      <c r="D40" s="153"/>
      <c r="E40" s="153"/>
      <c r="F40" s="153"/>
    </row>
    <row r="41" spans="1:19" s="153" customFormat="1" x14ac:dyDescent="0.25">
      <c r="A41" s="156"/>
      <c r="B41" s="152"/>
      <c r="C41" s="157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</row>
  </sheetData>
  <mergeCells count="6">
    <mergeCell ref="R1:S1"/>
    <mergeCell ref="A2:R2"/>
    <mergeCell ref="A4:A5"/>
    <mergeCell ref="B4:B5"/>
    <mergeCell ref="C4:C5"/>
    <mergeCell ref="D4:S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50" sqref="B50"/>
    </sheetView>
  </sheetViews>
  <sheetFormatPr defaultRowHeight="12.75" x14ac:dyDescent="0.2"/>
  <cols>
    <col min="1" max="1" width="4.140625" style="169" customWidth="1"/>
    <col min="2" max="2" width="32.140625" style="169" customWidth="1"/>
    <col min="3" max="3" width="15.42578125" style="169" customWidth="1"/>
    <col min="4" max="4" width="16.140625" style="169" customWidth="1"/>
    <col min="5" max="5" width="14.28515625" style="169" customWidth="1"/>
    <col min="6" max="6" width="10.85546875" style="169" customWidth="1"/>
    <col min="7" max="7" width="11.28515625" style="169" customWidth="1"/>
    <col min="8" max="8" width="12.140625" style="169" customWidth="1"/>
    <col min="9" max="16384" width="9.140625" style="169"/>
  </cols>
  <sheetData>
    <row r="1" spans="1:8" ht="36.75" customHeight="1" x14ac:dyDescent="0.2">
      <c r="A1" s="184"/>
      <c r="B1" s="325" t="s">
        <v>520</v>
      </c>
      <c r="C1" s="325"/>
      <c r="D1" s="325"/>
      <c r="E1" s="325"/>
      <c r="F1" s="325"/>
      <c r="G1" s="325"/>
      <c r="H1" s="325"/>
    </row>
    <row r="2" spans="1:8" ht="2.25" customHeight="1" x14ac:dyDescent="0.2">
      <c r="A2" s="184"/>
      <c r="B2" s="185"/>
      <c r="C2" s="185"/>
      <c r="D2" s="185"/>
      <c r="E2" s="185"/>
      <c r="F2" s="185"/>
      <c r="G2" s="185"/>
      <c r="H2" s="185"/>
    </row>
    <row r="3" spans="1:8" x14ac:dyDescent="0.2">
      <c r="A3" s="186"/>
      <c r="B3" s="187"/>
      <c r="C3" s="187"/>
      <c r="D3" s="187"/>
      <c r="E3" s="187"/>
      <c r="F3" s="187"/>
      <c r="G3" s="450" t="s">
        <v>521</v>
      </c>
      <c r="H3" s="450"/>
    </row>
    <row r="4" spans="1:8" s="5" customFormat="1" ht="21.75" customHeight="1" x14ac:dyDescent="0.2">
      <c r="A4" s="451" t="s">
        <v>7</v>
      </c>
      <c r="B4" s="449" t="s">
        <v>209</v>
      </c>
      <c r="C4" s="454" t="s">
        <v>522</v>
      </c>
      <c r="D4" s="455"/>
      <c r="E4" s="454" t="s">
        <v>523</v>
      </c>
      <c r="F4" s="456"/>
      <c r="G4" s="456"/>
      <c r="H4" s="455"/>
    </row>
    <row r="5" spans="1:8" s="5" customFormat="1" ht="26.25" customHeight="1" x14ac:dyDescent="0.2">
      <c r="A5" s="452"/>
      <c r="B5" s="449"/>
      <c r="C5" s="176" t="s">
        <v>524</v>
      </c>
      <c r="D5" s="457" t="s">
        <v>525</v>
      </c>
      <c r="E5" s="458"/>
      <c r="F5" s="458"/>
      <c r="G5" s="458"/>
      <c r="H5" s="459"/>
    </row>
    <row r="6" spans="1:8" s="5" customFormat="1" ht="12" x14ac:dyDescent="0.2">
      <c r="A6" s="452"/>
      <c r="B6" s="449"/>
      <c r="C6" s="451" t="s">
        <v>526</v>
      </c>
      <c r="D6" s="451" t="s">
        <v>527</v>
      </c>
      <c r="E6" s="460" t="s">
        <v>528</v>
      </c>
      <c r="F6" s="449" t="s">
        <v>210</v>
      </c>
      <c r="G6" s="449"/>
      <c r="H6" s="449"/>
    </row>
    <row r="7" spans="1:8" s="5" customFormat="1" ht="63" customHeight="1" x14ac:dyDescent="0.2">
      <c r="A7" s="453"/>
      <c r="B7" s="449"/>
      <c r="C7" s="453"/>
      <c r="D7" s="453"/>
      <c r="E7" s="461"/>
      <c r="F7" s="188" t="s">
        <v>529</v>
      </c>
      <c r="G7" s="188" t="s">
        <v>530</v>
      </c>
      <c r="H7" s="176" t="s">
        <v>531</v>
      </c>
    </row>
    <row r="8" spans="1:8" x14ac:dyDescent="0.2">
      <c r="A8" s="166">
        <v>1</v>
      </c>
      <c r="B8" s="189" t="s">
        <v>12</v>
      </c>
      <c r="C8" s="190"/>
      <c r="D8" s="191"/>
      <c r="E8" s="190">
        <f>F8+G8+H8</f>
        <v>130</v>
      </c>
      <c r="F8" s="190">
        <f>287-158+1</f>
        <v>130</v>
      </c>
      <c r="G8" s="190">
        <f>46-32-14</f>
        <v>0</v>
      </c>
      <c r="H8" s="191">
        <f>112-112</f>
        <v>0</v>
      </c>
    </row>
    <row r="9" spans="1:8" s="170" customFormat="1" x14ac:dyDescent="0.2">
      <c r="A9" s="192">
        <v>2</v>
      </c>
      <c r="B9" s="193" t="s">
        <v>57</v>
      </c>
      <c r="C9" s="190"/>
      <c r="D9" s="191"/>
      <c r="E9" s="190">
        <f t="shared" ref="E9:E33" si="0">F9+G9+H9</f>
        <v>472</v>
      </c>
      <c r="F9" s="190">
        <f>381+95-66</f>
        <v>410</v>
      </c>
      <c r="G9" s="190">
        <f>59-27+16</f>
        <v>48</v>
      </c>
      <c r="H9" s="191">
        <f>147-133</f>
        <v>14</v>
      </c>
    </row>
    <row r="10" spans="1:8" s="170" customFormat="1" x14ac:dyDescent="0.2">
      <c r="A10" s="166">
        <v>3</v>
      </c>
      <c r="B10" s="194" t="s">
        <v>196</v>
      </c>
      <c r="C10" s="190"/>
      <c r="D10" s="191"/>
      <c r="E10" s="190">
        <f t="shared" si="0"/>
        <v>120</v>
      </c>
      <c r="F10" s="190">
        <f>89+32-1</f>
        <v>120</v>
      </c>
      <c r="G10" s="190">
        <f>14-14</f>
        <v>0</v>
      </c>
      <c r="H10" s="191">
        <f>35-18-17</f>
        <v>0</v>
      </c>
    </row>
    <row r="11" spans="1:8" s="170" customFormat="1" x14ac:dyDescent="0.2">
      <c r="A11" s="192">
        <v>4</v>
      </c>
      <c r="B11" s="194" t="s">
        <v>10</v>
      </c>
      <c r="C11" s="190"/>
      <c r="D11" s="191">
        <f>22598-5960-8</f>
        <v>16630</v>
      </c>
      <c r="E11" s="190">
        <f t="shared" si="0"/>
        <v>457</v>
      </c>
      <c r="F11" s="190">
        <f>375+10-30</f>
        <v>355</v>
      </c>
      <c r="G11" s="190">
        <f>59-32+30</f>
        <v>57</v>
      </c>
      <c r="H11" s="191">
        <f>146-101</f>
        <v>45</v>
      </c>
    </row>
    <row r="12" spans="1:8" s="170" customFormat="1" x14ac:dyDescent="0.2">
      <c r="A12" s="166">
        <v>5</v>
      </c>
      <c r="B12" s="194" t="s">
        <v>11</v>
      </c>
      <c r="C12" s="190"/>
      <c r="D12" s="191"/>
      <c r="E12" s="190">
        <f t="shared" si="0"/>
        <v>90</v>
      </c>
      <c r="F12" s="190">
        <f>120-30</f>
        <v>90</v>
      </c>
      <c r="G12" s="190">
        <f>19-14-5</f>
        <v>0</v>
      </c>
      <c r="H12" s="191">
        <f>47-42-5</f>
        <v>0</v>
      </c>
    </row>
    <row r="13" spans="1:8" s="170" customFormat="1" x14ac:dyDescent="0.2">
      <c r="A13" s="192">
        <v>6</v>
      </c>
      <c r="B13" s="194" t="s">
        <v>211</v>
      </c>
      <c r="C13" s="190"/>
      <c r="D13" s="191">
        <f>47648+1471+190</f>
        <v>49309</v>
      </c>
      <c r="E13" s="190">
        <f t="shared" si="0"/>
        <v>609</v>
      </c>
      <c r="F13" s="190">
        <f>710-114-269</f>
        <v>327</v>
      </c>
      <c r="G13" s="190">
        <f>110-18-32</f>
        <v>60</v>
      </c>
      <c r="H13" s="191">
        <f>274-118+66</f>
        <v>222</v>
      </c>
    </row>
    <row r="14" spans="1:8" s="170" customFormat="1" x14ac:dyDescent="0.2">
      <c r="A14" s="166">
        <v>7</v>
      </c>
      <c r="B14" s="194" t="s">
        <v>195</v>
      </c>
      <c r="C14" s="190"/>
      <c r="D14" s="191"/>
      <c r="E14" s="190">
        <f t="shared" si="0"/>
        <v>342</v>
      </c>
      <c r="F14" s="190">
        <f>386+30-84</f>
        <v>332</v>
      </c>
      <c r="G14" s="190">
        <f>59-30-25</f>
        <v>4</v>
      </c>
      <c r="H14" s="191">
        <f>149-130-13</f>
        <v>6</v>
      </c>
    </row>
    <row r="15" spans="1:8" s="170" customFormat="1" x14ac:dyDescent="0.2">
      <c r="A15" s="192">
        <v>8</v>
      </c>
      <c r="B15" s="194" t="s">
        <v>193</v>
      </c>
      <c r="C15" s="190"/>
      <c r="D15" s="191"/>
      <c r="E15" s="190">
        <f t="shared" si="0"/>
        <v>108</v>
      </c>
      <c r="F15" s="190">
        <f>372+20-284</f>
        <v>108</v>
      </c>
      <c r="G15" s="190">
        <f>57-28-29</f>
        <v>0</v>
      </c>
      <c r="H15" s="191">
        <f>143-113-30</f>
        <v>0</v>
      </c>
    </row>
    <row r="16" spans="1:8" s="170" customFormat="1" x14ac:dyDescent="0.2">
      <c r="A16" s="166">
        <v>9</v>
      </c>
      <c r="B16" s="189" t="s">
        <v>212</v>
      </c>
      <c r="C16" s="190"/>
      <c r="D16" s="191">
        <f>27789-4672-346</f>
        <v>22771</v>
      </c>
      <c r="E16" s="190">
        <f t="shared" si="0"/>
        <v>638</v>
      </c>
      <c r="F16" s="190">
        <f>690-91</f>
        <v>599</v>
      </c>
      <c r="G16" s="190">
        <f>107-90-12</f>
        <v>5</v>
      </c>
      <c r="H16" s="191">
        <f>266-211-21</f>
        <v>34</v>
      </c>
    </row>
    <row r="17" spans="1:8" s="170" customFormat="1" ht="14.25" customHeight="1" x14ac:dyDescent="0.2">
      <c r="A17" s="192">
        <v>10</v>
      </c>
      <c r="B17" s="195" t="s">
        <v>213</v>
      </c>
      <c r="C17" s="190"/>
      <c r="D17" s="191"/>
      <c r="E17" s="190">
        <f t="shared" si="0"/>
        <v>183</v>
      </c>
      <c r="F17" s="190">
        <f>86+24+35</f>
        <v>145</v>
      </c>
      <c r="G17" s="190">
        <f>13-4+16</f>
        <v>25</v>
      </c>
      <c r="H17" s="191">
        <f>33-20</f>
        <v>13</v>
      </c>
    </row>
    <row r="18" spans="1:8" s="170" customFormat="1" x14ac:dyDescent="0.2">
      <c r="A18" s="166">
        <v>11</v>
      </c>
      <c r="B18" s="195" t="s">
        <v>214</v>
      </c>
      <c r="C18" s="190"/>
      <c r="D18" s="191"/>
      <c r="E18" s="190">
        <f t="shared" si="0"/>
        <v>458</v>
      </c>
      <c r="F18" s="190">
        <f>397+22-87</f>
        <v>332</v>
      </c>
      <c r="G18" s="190">
        <f>62-18</f>
        <v>44</v>
      </c>
      <c r="H18" s="191">
        <f>154-61-11</f>
        <v>82</v>
      </c>
    </row>
    <row r="19" spans="1:8" s="170" customFormat="1" x14ac:dyDescent="0.2">
      <c r="A19" s="192">
        <v>12</v>
      </c>
      <c r="B19" s="195" t="s">
        <v>21</v>
      </c>
      <c r="C19" s="190"/>
      <c r="D19" s="191">
        <f>56758+2469+844</f>
        <v>60071</v>
      </c>
      <c r="E19" s="190">
        <f t="shared" si="0"/>
        <v>632</v>
      </c>
      <c r="F19" s="190">
        <f>466-159+15</f>
        <v>322</v>
      </c>
      <c r="G19" s="190">
        <f>73+142+35</f>
        <v>250</v>
      </c>
      <c r="H19" s="191">
        <f>182-127+5</f>
        <v>60</v>
      </c>
    </row>
    <row r="20" spans="1:8" s="170" customFormat="1" ht="15.75" customHeight="1" x14ac:dyDescent="0.2">
      <c r="A20" s="166">
        <v>13</v>
      </c>
      <c r="B20" s="195" t="s">
        <v>22</v>
      </c>
      <c r="C20" s="190"/>
      <c r="D20" s="191"/>
      <c r="E20" s="190">
        <f t="shared" si="0"/>
        <v>157</v>
      </c>
      <c r="F20" s="190">
        <f>203-42-36</f>
        <v>125</v>
      </c>
      <c r="G20" s="190">
        <f>32-19</f>
        <v>13</v>
      </c>
      <c r="H20" s="191">
        <f>79-60</f>
        <v>19</v>
      </c>
    </row>
    <row r="21" spans="1:8" s="170" customFormat="1" x14ac:dyDescent="0.2">
      <c r="A21" s="192">
        <v>14</v>
      </c>
      <c r="B21" s="194" t="s">
        <v>15</v>
      </c>
      <c r="C21" s="190"/>
      <c r="D21" s="191"/>
      <c r="E21" s="190">
        <f t="shared" si="0"/>
        <v>115</v>
      </c>
      <c r="F21" s="190">
        <f>188+70-143</f>
        <v>115</v>
      </c>
      <c r="G21" s="190">
        <f>28-2-26</f>
        <v>0</v>
      </c>
      <c r="H21" s="191">
        <f>73-68-5</f>
        <v>0</v>
      </c>
    </row>
    <row r="22" spans="1:8" s="170" customFormat="1" ht="18.75" customHeight="1" x14ac:dyDescent="0.2">
      <c r="A22" s="166">
        <v>15</v>
      </c>
      <c r="B22" s="196" t="s">
        <v>215</v>
      </c>
      <c r="C22" s="190"/>
      <c r="D22" s="191"/>
      <c r="E22" s="190">
        <f t="shared" si="0"/>
        <v>155</v>
      </c>
      <c r="F22" s="190">
        <f>109+10+1</f>
        <v>120</v>
      </c>
      <c r="G22" s="190">
        <f>17-7</f>
        <v>10</v>
      </c>
      <c r="H22" s="191">
        <f>43-18</f>
        <v>25</v>
      </c>
    </row>
    <row r="23" spans="1:8" x14ac:dyDescent="0.2">
      <c r="A23" s="192">
        <v>16</v>
      </c>
      <c r="B23" s="194" t="s">
        <v>216</v>
      </c>
      <c r="C23" s="173">
        <f>31403+25033-7500</f>
        <v>48936</v>
      </c>
      <c r="D23" s="171"/>
      <c r="E23" s="190">
        <f t="shared" si="0"/>
        <v>0</v>
      </c>
      <c r="F23" s="173"/>
      <c r="G23" s="173"/>
      <c r="H23" s="171"/>
    </row>
    <row r="24" spans="1:8" x14ac:dyDescent="0.2">
      <c r="A24" s="166">
        <v>17</v>
      </c>
      <c r="B24" s="194" t="s">
        <v>49</v>
      </c>
      <c r="C24" s="173"/>
      <c r="D24" s="171"/>
      <c r="E24" s="190">
        <f t="shared" si="0"/>
        <v>768</v>
      </c>
      <c r="F24" s="173">
        <f>563+50</f>
        <v>613</v>
      </c>
      <c r="G24" s="173">
        <f>87-67</f>
        <v>20</v>
      </c>
      <c r="H24" s="171">
        <f>219-53-31</f>
        <v>135</v>
      </c>
    </row>
    <row r="25" spans="1:8" x14ac:dyDescent="0.2">
      <c r="A25" s="192">
        <v>18</v>
      </c>
      <c r="B25" s="194" t="s">
        <v>217</v>
      </c>
      <c r="C25" s="173">
        <f>32154-5713-3600</f>
        <v>22841</v>
      </c>
      <c r="D25" s="171">
        <f>56858+6692-680</f>
        <v>62870</v>
      </c>
      <c r="E25" s="190">
        <f t="shared" si="0"/>
        <v>605</v>
      </c>
      <c r="F25" s="173">
        <f>502+85-227</f>
        <v>360</v>
      </c>
      <c r="G25" s="173">
        <f>77-7-27</f>
        <v>43</v>
      </c>
      <c r="H25" s="171">
        <f>194-70+78</f>
        <v>202</v>
      </c>
    </row>
    <row r="26" spans="1:8" x14ac:dyDescent="0.2">
      <c r="A26" s="166">
        <v>19</v>
      </c>
      <c r="B26" s="194" t="s">
        <v>218</v>
      </c>
      <c r="C26" s="173">
        <f>32265-19320</f>
        <v>12945</v>
      </c>
      <c r="D26" s="171"/>
      <c r="E26" s="190">
        <f t="shared" si="0"/>
        <v>0</v>
      </c>
      <c r="F26" s="173"/>
      <c r="G26" s="173"/>
      <c r="H26" s="171"/>
    </row>
    <row r="27" spans="1:8" x14ac:dyDescent="0.2">
      <c r="A27" s="192">
        <v>20</v>
      </c>
      <c r="B27" s="194" t="s">
        <v>219</v>
      </c>
      <c r="C27" s="173"/>
      <c r="D27" s="171"/>
      <c r="E27" s="190">
        <f t="shared" si="0"/>
        <v>558</v>
      </c>
      <c r="F27" s="173">
        <f>309+36+10</f>
        <v>355</v>
      </c>
      <c r="G27" s="173">
        <f>48+6</f>
        <v>54</v>
      </c>
      <c r="H27" s="171">
        <f>119+5+25</f>
        <v>149</v>
      </c>
    </row>
    <row r="28" spans="1:8" x14ac:dyDescent="0.2">
      <c r="A28" s="192">
        <v>21</v>
      </c>
      <c r="B28" s="189" t="s">
        <v>59</v>
      </c>
      <c r="C28" s="173"/>
      <c r="D28" s="171"/>
      <c r="E28" s="190">
        <f t="shared" si="0"/>
        <v>143</v>
      </c>
      <c r="F28" s="173">
        <f>79+30</f>
        <v>109</v>
      </c>
      <c r="G28" s="173">
        <v>12</v>
      </c>
      <c r="H28" s="171">
        <f>30-30+22</f>
        <v>22</v>
      </c>
    </row>
    <row r="29" spans="1:8" x14ac:dyDescent="0.2">
      <c r="A29" s="192">
        <v>22</v>
      </c>
      <c r="B29" s="189" t="s">
        <v>13</v>
      </c>
      <c r="C29" s="173"/>
      <c r="D29" s="171"/>
      <c r="E29" s="190">
        <f t="shared" si="0"/>
        <v>35</v>
      </c>
      <c r="F29" s="173">
        <f>90-65</f>
        <v>25</v>
      </c>
      <c r="G29" s="173">
        <v>5</v>
      </c>
      <c r="H29" s="171">
        <f>10-5</f>
        <v>5</v>
      </c>
    </row>
    <row r="30" spans="1:8" x14ac:dyDescent="0.2">
      <c r="A30" s="192">
        <v>23</v>
      </c>
      <c r="B30" s="195" t="s">
        <v>220</v>
      </c>
      <c r="C30" s="173"/>
      <c r="D30" s="171"/>
      <c r="E30" s="190">
        <f t="shared" si="0"/>
        <v>45</v>
      </c>
      <c r="F30" s="173">
        <f>75-40</f>
        <v>35</v>
      </c>
      <c r="G30" s="173">
        <v>5</v>
      </c>
      <c r="H30" s="171">
        <f>10-5</f>
        <v>5</v>
      </c>
    </row>
    <row r="31" spans="1:8" x14ac:dyDescent="0.2">
      <c r="A31" s="192">
        <v>24</v>
      </c>
      <c r="B31" s="189" t="s">
        <v>72</v>
      </c>
      <c r="C31" s="173"/>
      <c r="D31" s="171"/>
      <c r="E31" s="190">
        <f t="shared" si="0"/>
        <v>45</v>
      </c>
      <c r="F31" s="173">
        <f>114-69</f>
        <v>45</v>
      </c>
      <c r="G31" s="173">
        <v>0</v>
      </c>
      <c r="H31" s="171">
        <v>0</v>
      </c>
    </row>
    <row r="32" spans="1:8" x14ac:dyDescent="0.2">
      <c r="A32" s="192">
        <v>25</v>
      </c>
      <c r="B32" s="189" t="s">
        <v>64</v>
      </c>
      <c r="C32" s="173"/>
      <c r="D32" s="171"/>
      <c r="E32" s="190">
        <f t="shared" si="0"/>
        <v>25</v>
      </c>
      <c r="F32" s="173">
        <f>65-40</f>
        <v>25</v>
      </c>
      <c r="G32" s="173">
        <v>0</v>
      </c>
      <c r="H32" s="171">
        <v>0</v>
      </c>
    </row>
    <row r="33" spans="1:8" x14ac:dyDescent="0.2">
      <c r="A33" s="192">
        <v>26</v>
      </c>
      <c r="B33" s="194" t="s">
        <v>532</v>
      </c>
      <c r="C33" s="173"/>
      <c r="D33" s="171"/>
      <c r="E33" s="190">
        <f t="shared" si="0"/>
        <v>35</v>
      </c>
      <c r="F33" s="173">
        <f>84-49</f>
        <v>35</v>
      </c>
      <c r="G33" s="173">
        <f>9-9</f>
        <v>0</v>
      </c>
      <c r="H33" s="171">
        <f>14-14</f>
        <v>0</v>
      </c>
    </row>
    <row r="34" spans="1:8" ht="18" customHeight="1" x14ac:dyDescent="0.2">
      <c r="A34" s="168"/>
      <c r="B34" s="167" t="s">
        <v>166</v>
      </c>
      <c r="C34" s="172">
        <f>SUM(C8:C27)</f>
        <v>84722</v>
      </c>
      <c r="D34" s="172">
        <f>SUM(D8:D27)</f>
        <v>211651</v>
      </c>
      <c r="E34" s="172">
        <f>SUM(E8:E33)</f>
        <v>6925</v>
      </c>
      <c r="F34" s="172">
        <f>SUM(F8:F33)</f>
        <v>5232</v>
      </c>
      <c r="G34" s="172">
        <f t="shared" ref="G34:H34" si="1">SUM(G8:G33)</f>
        <v>655</v>
      </c>
      <c r="H34" s="172">
        <f t="shared" si="1"/>
        <v>1038</v>
      </c>
    </row>
    <row r="36" spans="1:8" x14ac:dyDescent="0.2">
      <c r="B36" s="197"/>
      <c r="C36" s="197"/>
      <c r="D36" s="197"/>
      <c r="E36" s="197"/>
      <c r="F36" s="197"/>
      <c r="G36" s="197"/>
      <c r="H36" s="197"/>
    </row>
    <row r="37" spans="1:8" x14ac:dyDescent="0.2">
      <c r="B37" s="197"/>
      <c r="C37" s="198"/>
      <c r="D37" s="198"/>
      <c r="E37" s="198"/>
      <c r="F37" s="198"/>
      <c r="G37" s="198"/>
      <c r="H37" s="198"/>
    </row>
  </sheetData>
  <mergeCells count="11">
    <mergeCell ref="F6:H6"/>
    <mergeCell ref="B1:H1"/>
    <mergeCell ref="G3:H3"/>
    <mergeCell ref="A4:A7"/>
    <mergeCell ref="B4:B7"/>
    <mergeCell ref="C4:D4"/>
    <mergeCell ref="E4:H4"/>
    <mergeCell ref="D5:H5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zoomScaleSheetLayoutView="70" workbookViewId="0">
      <pane xSplit="1" ySplit="2" topLeftCell="X19" activePane="bottomRight" state="frozen"/>
      <selection activeCell="AT82" sqref="AT82"/>
      <selection pane="topRight" activeCell="AT82" sqref="AT82"/>
      <selection pane="bottomLeft" activeCell="AT82" sqref="AT82"/>
      <selection pane="bottomRight" activeCell="Z4" sqref="Z4:Z77"/>
    </sheetView>
  </sheetViews>
  <sheetFormatPr defaultRowHeight="12.75" x14ac:dyDescent="0.2"/>
  <cols>
    <col min="1" max="1" width="19.140625" style="12" customWidth="1"/>
    <col min="2" max="2" width="11.28515625" style="13" customWidth="1"/>
    <col min="3" max="3" width="10" style="13" customWidth="1"/>
    <col min="4" max="4" width="9.5703125" style="13" customWidth="1"/>
    <col min="5" max="6" width="11.42578125" style="13" customWidth="1"/>
    <col min="7" max="7" width="10" style="14" customWidth="1"/>
    <col min="8" max="10" width="11.42578125" style="13" customWidth="1"/>
    <col min="11" max="11" width="12.140625" style="14" customWidth="1"/>
    <col min="12" max="14" width="11.42578125" style="14" customWidth="1"/>
    <col min="15" max="16" width="11.42578125" style="13" customWidth="1"/>
    <col min="17" max="17" width="11.42578125" style="14" customWidth="1"/>
    <col min="18" max="18" width="12.85546875" style="13" customWidth="1"/>
    <col min="19" max="21" width="11.42578125" style="14" customWidth="1"/>
    <col min="22" max="25" width="11.42578125" style="13" customWidth="1"/>
    <col min="26" max="26" width="9.85546875" style="14" customWidth="1"/>
    <col min="27" max="27" width="8.28515625" style="14" customWidth="1"/>
    <col min="28" max="28" width="8.7109375" style="13" customWidth="1"/>
    <col min="29" max="16384" width="9.140625" style="14"/>
  </cols>
  <sheetData>
    <row r="1" spans="1:28" ht="17.25" customHeight="1" x14ac:dyDescent="0.2">
      <c r="A1" s="324" t="s">
        <v>247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</row>
    <row r="2" spans="1:28" s="53" customFormat="1" ht="48.75" customHeight="1" x14ac:dyDescent="0.2">
      <c r="A2" s="78" t="s">
        <v>248</v>
      </c>
      <c r="B2" s="81" t="s">
        <v>240</v>
      </c>
      <c r="C2" s="81" t="s">
        <v>23</v>
      </c>
      <c r="D2" s="82" t="s">
        <v>24</v>
      </c>
      <c r="E2" s="83" t="s">
        <v>25</v>
      </c>
      <c r="F2" s="81" t="s">
        <v>249</v>
      </c>
      <c r="G2" s="82" t="s">
        <v>250</v>
      </c>
      <c r="H2" s="81" t="s">
        <v>27</v>
      </c>
      <c r="I2" s="79" t="s">
        <v>28</v>
      </c>
      <c r="J2" s="79" t="s">
        <v>251</v>
      </c>
      <c r="K2" s="79" t="s">
        <v>252</v>
      </c>
      <c r="L2" s="79" t="s">
        <v>253</v>
      </c>
      <c r="M2" s="79" t="s">
        <v>254</v>
      </c>
      <c r="N2" s="79" t="s">
        <v>255</v>
      </c>
      <c r="O2" s="79" t="s">
        <v>256</v>
      </c>
      <c r="P2" s="79" t="s">
        <v>257</v>
      </c>
      <c r="Q2" s="79" t="s">
        <v>258</v>
      </c>
      <c r="R2" s="79" t="s">
        <v>15</v>
      </c>
      <c r="S2" s="79" t="s">
        <v>259</v>
      </c>
      <c r="T2" s="79" t="s">
        <v>193</v>
      </c>
      <c r="U2" s="79" t="s">
        <v>195</v>
      </c>
      <c r="V2" s="79" t="s">
        <v>260</v>
      </c>
      <c r="W2" s="79" t="s">
        <v>261</v>
      </c>
      <c r="X2" s="79" t="s">
        <v>262</v>
      </c>
      <c r="Y2" s="79" t="s">
        <v>22</v>
      </c>
      <c r="Z2" s="79" t="s">
        <v>263</v>
      </c>
      <c r="AA2" s="80" t="s">
        <v>264</v>
      </c>
      <c r="AB2" s="84" t="s">
        <v>265</v>
      </c>
    </row>
    <row r="3" spans="1:28" s="53" customFormat="1" ht="11.25" customHeight="1" x14ac:dyDescent="0.2">
      <c r="A3" s="54">
        <v>1</v>
      </c>
      <c r="B3" s="54">
        <v>3</v>
      </c>
      <c r="C3" s="54">
        <v>5</v>
      </c>
      <c r="D3" s="54">
        <v>7</v>
      </c>
      <c r="E3" s="54">
        <v>9</v>
      </c>
      <c r="F3" s="54">
        <v>11</v>
      </c>
      <c r="G3" s="54">
        <v>13</v>
      </c>
      <c r="H3" s="54">
        <v>15</v>
      </c>
      <c r="I3" s="54">
        <v>17</v>
      </c>
      <c r="J3" s="54">
        <v>19</v>
      </c>
      <c r="K3" s="54">
        <v>21</v>
      </c>
      <c r="L3" s="54">
        <v>23</v>
      </c>
      <c r="M3" s="54">
        <v>25</v>
      </c>
      <c r="N3" s="54">
        <v>27</v>
      </c>
      <c r="O3" s="54">
        <v>29</v>
      </c>
      <c r="P3" s="54">
        <v>31</v>
      </c>
      <c r="Q3" s="54">
        <v>33</v>
      </c>
      <c r="R3" s="54">
        <v>35</v>
      </c>
      <c r="S3" s="55"/>
      <c r="T3" s="54">
        <v>37</v>
      </c>
      <c r="U3" s="54">
        <v>39</v>
      </c>
      <c r="V3" s="54">
        <v>41</v>
      </c>
      <c r="W3" s="54">
        <v>43</v>
      </c>
      <c r="X3" s="54">
        <v>45</v>
      </c>
      <c r="Y3" s="54">
        <v>47</v>
      </c>
      <c r="Z3" s="54">
        <v>49</v>
      </c>
      <c r="AA3" s="54">
        <v>51</v>
      </c>
      <c r="AB3" s="54">
        <v>53</v>
      </c>
    </row>
    <row r="4" spans="1:28" s="76" customFormat="1" ht="12" customHeight="1" x14ac:dyDescent="0.2">
      <c r="A4" s="74" t="s">
        <v>266</v>
      </c>
      <c r="B4" s="75">
        <v>132</v>
      </c>
      <c r="C4" s="75">
        <v>0</v>
      </c>
      <c r="D4" s="75">
        <v>0</v>
      </c>
      <c r="E4" s="75">
        <v>0</v>
      </c>
      <c r="F4" s="75">
        <f t="shared" ref="F4:AB4" si="0">F5+F6</f>
        <v>0</v>
      </c>
      <c r="G4" s="75">
        <f t="shared" si="0"/>
        <v>0</v>
      </c>
      <c r="H4" s="75">
        <f t="shared" si="0"/>
        <v>0</v>
      </c>
      <c r="I4" s="75">
        <v>0</v>
      </c>
      <c r="J4" s="75">
        <v>57</v>
      </c>
      <c r="K4" s="75">
        <v>0</v>
      </c>
      <c r="L4" s="75">
        <f t="shared" si="0"/>
        <v>0</v>
      </c>
      <c r="M4" s="75">
        <f t="shared" si="0"/>
        <v>0</v>
      </c>
      <c r="N4" s="75">
        <f t="shared" si="0"/>
        <v>0</v>
      </c>
      <c r="O4" s="75">
        <v>0</v>
      </c>
      <c r="P4" s="75">
        <f t="shared" si="0"/>
        <v>0</v>
      </c>
      <c r="Q4" s="75">
        <f t="shared" si="0"/>
        <v>0</v>
      </c>
      <c r="R4" s="75">
        <v>0</v>
      </c>
      <c r="S4" s="75">
        <v>0</v>
      </c>
      <c r="T4" s="75">
        <f t="shared" si="0"/>
        <v>0</v>
      </c>
      <c r="U4" s="75">
        <f t="shared" si="0"/>
        <v>0</v>
      </c>
      <c r="V4" s="75">
        <v>0</v>
      </c>
      <c r="W4" s="75">
        <v>0</v>
      </c>
      <c r="X4" s="75">
        <f t="shared" si="0"/>
        <v>20</v>
      </c>
      <c r="Y4" s="75">
        <f t="shared" si="0"/>
        <v>40</v>
      </c>
      <c r="Z4" s="75">
        <v>249</v>
      </c>
      <c r="AA4" s="75">
        <f t="shared" si="0"/>
        <v>0</v>
      </c>
      <c r="AB4" s="75">
        <f t="shared" si="0"/>
        <v>249</v>
      </c>
    </row>
    <row r="5" spans="1:28" s="53" customFormat="1" ht="12" customHeight="1" x14ac:dyDescent="0.2">
      <c r="A5" s="56">
        <v>1</v>
      </c>
      <c r="B5" s="57">
        <v>127</v>
      </c>
      <c r="C5" s="57"/>
      <c r="D5" s="57"/>
      <c r="E5" s="57"/>
      <c r="F5" s="58"/>
      <c r="G5" s="57"/>
      <c r="H5" s="57"/>
      <c r="I5" s="57"/>
      <c r="J5" s="57">
        <v>57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57"/>
      <c r="W5" s="57"/>
      <c r="X5" s="57">
        <f>15+5</f>
        <v>20</v>
      </c>
      <c r="Y5" s="57">
        <v>30</v>
      </c>
      <c r="Z5" s="57">
        <v>234</v>
      </c>
      <c r="AA5" s="73"/>
      <c r="AB5" s="77">
        <f>Z5+AA5</f>
        <v>234</v>
      </c>
    </row>
    <row r="6" spans="1:28" s="53" customFormat="1" ht="12" customHeight="1" x14ac:dyDescent="0.2">
      <c r="A6" s="59">
        <v>2</v>
      </c>
      <c r="B6" s="60">
        <v>5</v>
      </c>
      <c r="C6" s="60"/>
      <c r="D6" s="60"/>
      <c r="E6" s="60"/>
      <c r="F6" s="61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57"/>
      <c r="T6" s="57"/>
      <c r="U6" s="58"/>
      <c r="V6" s="60"/>
      <c r="W6" s="60"/>
      <c r="X6" s="57">
        <f>5-5</f>
        <v>0</v>
      </c>
      <c r="Y6" s="60">
        <v>10</v>
      </c>
      <c r="Z6" s="57">
        <v>15</v>
      </c>
      <c r="AA6" s="73"/>
      <c r="AB6" s="77">
        <f>Z6+AA6</f>
        <v>15</v>
      </c>
    </row>
    <row r="7" spans="1:28" s="76" customFormat="1" ht="12" customHeight="1" x14ac:dyDescent="0.2">
      <c r="A7" s="74" t="s">
        <v>267</v>
      </c>
      <c r="B7" s="75">
        <v>357</v>
      </c>
      <c r="C7" s="75">
        <v>0</v>
      </c>
      <c r="D7" s="75">
        <v>0</v>
      </c>
      <c r="E7" s="75">
        <v>27</v>
      </c>
      <c r="F7" s="75">
        <f t="shared" ref="F7:AB7" si="1">F8+F9</f>
        <v>208</v>
      </c>
      <c r="G7" s="75">
        <f t="shared" si="1"/>
        <v>0</v>
      </c>
      <c r="H7" s="75">
        <f t="shared" si="1"/>
        <v>0</v>
      </c>
      <c r="I7" s="75">
        <v>0</v>
      </c>
      <c r="J7" s="75">
        <v>47</v>
      </c>
      <c r="K7" s="75">
        <v>0</v>
      </c>
      <c r="L7" s="75">
        <f t="shared" si="1"/>
        <v>0</v>
      </c>
      <c r="M7" s="75">
        <f t="shared" si="1"/>
        <v>0</v>
      </c>
      <c r="N7" s="75">
        <f t="shared" si="1"/>
        <v>0</v>
      </c>
      <c r="O7" s="75">
        <v>0</v>
      </c>
      <c r="P7" s="75">
        <f t="shared" si="1"/>
        <v>180</v>
      </c>
      <c r="Q7" s="75">
        <f t="shared" si="1"/>
        <v>20</v>
      </c>
      <c r="R7" s="75">
        <v>0</v>
      </c>
      <c r="S7" s="75">
        <v>0</v>
      </c>
      <c r="T7" s="75">
        <f t="shared" si="1"/>
        <v>0</v>
      </c>
      <c r="U7" s="75">
        <f t="shared" si="1"/>
        <v>0</v>
      </c>
      <c r="V7" s="75">
        <v>0</v>
      </c>
      <c r="W7" s="75">
        <v>0</v>
      </c>
      <c r="X7" s="75">
        <f t="shared" si="1"/>
        <v>180</v>
      </c>
      <c r="Y7" s="75">
        <f t="shared" si="1"/>
        <v>253</v>
      </c>
      <c r="Z7" s="75">
        <v>1272</v>
      </c>
      <c r="AA7" s="75">
        <f t="shared" si="1"/>
        <v>0</v>
      </c>
      <c r="AB7" s="75">
        <f t="shared" si="1"/>
        <v>1272</v>
      </c>
    </row>
    <row r="8" spans="1:28" s="53" customFormat="1" ht="12" customHeight="1" x14ac:dyDescent="0.2">
      <c r="A8" s="59">
        <v>3</v>
      </c>
      <c r="B8" s="57">
        <v>204</v>
      </c>
      <c r="C8" s="57"/>
      <c r="D8" s="57"/>
      <c r="E8" s="57"/>
      <c r="F8" s="60">
        <f>200-22-45</f>
        <v>133</v>
      </c>
      <c r="G8" s="57"/>
      <c r="H8" s="57"/>
      <c r="I8" s="57"/>
      <c r="J8" s="60">
        <v>15</v>
      </c>
      <c r="K8" s="57"/>
      <c r="L8" s="57"/>
      <c r="M8" s="57"/>
      <c r="N8" s="60">
        <v>0</v>
      </c>
      <c r="O8" s="57"/>
      <c r="P8" s="57">
        <v>105</v>
      </c>
      <c r="Q8" s="57">
        <v>20</v>
      </c>
      <c r="R8" s="57"/>
      <c r="S8" s="57"/>
      <c r="T8" s="57"/>
      <c r="U8" s="57"/>
      <c r="V8" s="57"/>
      <c r="W8" s="57"/>
      <c r="X8" s="57">
        <v>150</v>
      </c>
      <c r="Y8" s="57">
        <f>300-47</f>
        <v>253</v>
      </c>
      <c r="Z8" s="57">
        <v>880</v>
      </c>
      <c r="AA8" s="73"/>
      <c r="AB8" s="77">
        <f>Z8+AA8</f>
        <v>880</v>
      </c>
    </row>
    <row r="9" spans="1:28" s="53" customFormat="1" ht="12" customHeight="1" x14ac:dyDescent="0.2">
      <c r="A9" s="59">
        <v>4</v>
      </c>
      <c r="B9" s="60">
        <v>153</v>
      </c>
      <c r="C9" s="60"/>
      <c r="D9" s="60"/>
      <c r="E9" s="60">
        <v>27</v>
      </c>
      <c r="F9" s="60">
        <f>100-11-14</f>
        <v>75</v>
      </c>
      <c r="G9" s="62"/>
      <c r="H9" s="60"/>
      <c r="I9" s="60"/>
      <c r="J9" s="60">
        <v>32</v>
      </c>
      <c r="K9" s="57"/>
      <c r="L9" s="62"/>
      <c r="M9" s="62"/>
      <c r="N9" s="60">
        <v>0</v>
      </c>
      <c r="O9" s="60"/>
      <c r="P9" s="60">
        <v>75</v>
      </c>
      <c r="Q9" s="62"/>
      <c r="R9" s="60"/>
      <c r="S9" s="57"/>
      <c r="T9" s="57"/>
      <c r="U9" s="63"/>
      <c r="V9" s="60"/>
      <c r="W9" s="60"/>
      <c r="X9" s="60">
        <v>30</v>
      </c>
      <c r="Y9" s="60"/>
      <c r="Z9" s="57">
        <v>392</v>
      </c>
      <c r="AA9" s="73"/>
      <c r="AB9" s="77">
        <f>Z9+AA9</f>
        <v>392</v>
      </c>
    </row>
    <row r="10" spans="1:28" s="53" customFormat="1" ht="12" customHeight="1" x14ac:dyDescent="0.2">
      <c r="A10" s="74" t="s">
        <v>268</v>
      </c>
      <c r="B10" s="75">
        <v>50</v>
      </c>
      <c r="C10" s="75">
        <v>0</v>
      </c>
      <c r="D10" s="75">
        <v>0</v>
      </c>
      <c r="E10" s="75">
        <v>34</v>
      </c>
      <c r="F10" s="75">
        <f t="shared" ref="F10:AB10" si="2">F11</f>
        <v>0</v>
      </c>
      <c r="G10" s="75">
        <f t="shared" si="2"/>
        <v>0</v>
      </c>
      <c r="H10" s="75">
        <f t="shared" si="2"/>
        <v>0</v>
      </c>
      <c r="I10" s="75">
        <v>0</v>
      </c>
      <c r="J10" s="75">
        <v>60</v>
      </c>
      <c r="K10" s="75">
        <v>0</v>
      </c>
      <c r="L10" s="75">
        <f t="shared" si="2"/>
        <v>0</v>
      </c>
      <c r="M10" s="75">
        <f t="shared" si="2"/>
        <v>0</v>
      </c>
      <c r="N10" s="75">
        <f t="shared" si="2"/>
        <v>0</v>
      </c>
      <c r="O10" s="75">
        <v>0</v>
      </c>
      <c r="P10" s="75">
        <f t="shared" si="2"/>
        <v>0</v>
      </c>
      <c r="Q10" s="75">
        <f t="shared" si="2"/>
        <v>0</v>
      </c>
      <c r="R10" s="75">
        <v>0</v>
      </c>
      <c r="S10" s="75">
        <v>0</v>
      </c>
      <c r="T10" s="75">
        <f t="shared" si="2"/>
        <v>0</v>
      </c>
      <c r="U10" s="75">
        <f t="shared" si="2"/>
        <v>0</v>
      </c>
      <c r="V10" s="75">
        <v>0</v>
      </c>
      <c r="W10" s="75">
        <v>0</v>
      </c>
      <c r="X10" s="75">
        <f t="shared" si="2"/>
        <v>0</v>
      </c>
      <c r="Y10" s="75">
        <f t="shared" si="2"/>
        <v>40</v>
      </c>
      <c r="Z10" s="75">
        <v>184</v>
      </c>
      <c r="AA10" s="75">
        <f t="shared" si="2"/>
        <v>0</v>
      </c>
      <c r="AB10" s="75">
        <f t="shared" si="2"/>
        <v>184</v>
      </c>
    </row>
    <row r="11" spans="1:28" s="53" customFormat="1" ht="12" customHeight="1" x14ac:dyDescent="0.2">
      <c r="A11" s="59">
        <v>5</v>
      </c>
      <c r="B11" s="60">
        <v>50</v>
      </c>
      <c r="C11" s="60"/>
      <c r="D11" s="60"/>
      <c r="E11" s="57">
        <v>34</v>
      </c>
      <c r="F11" s="61"/>
      <c r="G11" s="60"/>
      <c r="H11" s="60"/>
      <c r="I11" s="60"/>
      <c r="J11" s="60">
        <v>60</v>
      </c>
      <c r="K11" s="60"/>
      <c r="L11" s="60"/>
      <c r="M11" s="60"/>
      <c r="N11" s="60"/>
      <c r="O11" s="60"/>
      <c r="P11" s="60"/>
      <c r="Q11" s="60"/>
      <c r="R11" s="60"/>
      <c r="S11" s="57"/>
      <c r="T11" s="57"/>
      <c r="U11" s="58"/>
      <c r="V11" s="60"/>
      <c r="W11" s="60"/>
      <c r="X11" s="60"/>
      <c r="Y11" s="60">
        <v>40</v>
      </c>
      <c r="Z11" s="57">
        <v>184</v>
      </c>
      <c r="AA11" s="73"/>
      <c r="AB11" s="77">
        <f>Z11+AA11</f>
        <v>184</v>
      </c>
    </row>
    <row r="12" spans="1:28" s="53" customFormat="1" ht="12" customHeight="1" x14ac:dyDescent="0.2">
      <c r="A12" s="74" t="s">
        <v>269</v>
      </c>
      <c r="B12" s="75">
        <v>20</v>
      </c>
      <c r="C12" s="75">
        <v>0</v>
      </c>
      <c r="D12" s="75">
        <v>0</v>
      </c>
      <c r="E12" s="75">
        <v>18</v>
      </c>
      <c r="F12" s="75">
        <f t="shared" ref="F12:AB12" si="3">F13+F14</f>
        <v>0</v>
      </c>
      <c r="G12" s="75">
        <f t="shared" si="3"/>
        <v>0</v>
      </c>
      <c r="H12" s="75">
        <f t="shared" si="3"/>
        <v>0</v>
      </c>
      <c r="I12" s="75">
        <v>0</v>
      </c>
      <c r="J12" s="75">
        <v>0</v>
      </c>
      <c r="K12" s="75">
        <v>0</v>
      </c>
      <c r="L12" s="75">
        <f t="shared" si="3"/>
        <v>0</v>
      </c>
      <c r="M12" s="75">
        <f t="shared" si="3"/>
        <v>0</v>
      </c>
      <c r="N12" s="75">
        <f t="shared" si="3"/>
        <v>16</v>
      </c>
      <c r="O12" s="75">
        <v>0</v>
      </c>
      <c r="P12" s="75">
        <f t="shared" si="3"/>
        <v>0</v>
      </c>
      <c r="Q12" s="75">
        <f t="shared" si="3"/>
        <v>0</v>
      </c>
      <c r="R12" s="75">
        <v>0</v>
      </c>
      <c r="S12" s="75">
        <v>0</v>
      </c>
      <c r="T12" s="75">
        <f t="shared" si="3"/>
        <v>0</v>
      </c>
      <c r="U12" s="75">
        <f t="shared" si="3"/>
        <v>0</v>
      </c>
      <c r="V12" s="75">
        <v>0</v>
      </c>
      <c r="W12" s="75">
        <v>0</v>
      </c>
      <c r="X12" s="75">
        <f t="shared" si="3"/>
        <v>0</v>
      </c>
      <c r="Y12" s="75">
        <f t="shared" si="3"/>
        <v>60</v>
      </c>
      <c r="Z12" s="75">
        <v>114</v>
      </c>
      <c r="AA12" s="75">
        <f t="shared" si="3"/>
        <v>0</v>
      </c>
      <c r="AB12" s="75">
        <f t="shared" si="3"/>
        <v>114</v>
      </c>
    </row>
    <row r="13" spans="1:28" s="53" customFormat="1" ht="12" customHeight="1" x14ac:dyDescent="0.2">
      <c r="A13" s="59">
        <v>6</v>
      </c>
      <c r="B13" s="57">
        <v>20</v>
      </c>
      <c r="C13" s="60"/>
      <c r="D13" s="60"/>
      <c r="E13" s="60">
        <v>18</v>
      </c>
      <c r="F13" s="61"/>
      <c r="G13" s="60"/>
      <c r="H13" s="60"/>
      <c r="I13" s="60"/>
      <c r="J13" s="60"/>
      <c r="K13" s="60"/>
      <c r="L13" s="60"/>
      <c r="M13" s="60"/>
      <c r="N13" s="60">
        <f>12+4</f>
        <v>16</v>
      </c>
      <c r="O13" s="60"/>
      <c r="P13" s="60"/>
      <c r="Q13" s="60"/>
      <c r="R13" s="60"/>
      <c r="S13" s="57"/>
      <c r="T13" s="57"/>
      <c r="U13" s="58"/>
      <c r="V13" s="60"/>
      <c r="W13" s="60"/>
      <c r="X13" s="60"/>
      <c r="Y13" s="60">
        <v>60</v>
      </c>
      <c r="Z13" s="57">
        <v>114</v>
      </c>
      <c r="AA13" s="73"/>
      <c r="AB13" s="77">
        <f>Z13+AA13</f>
        <v>114</v>
      </c>
    </row>
    <row r="14" spans="1:28" s="53" customFormat="1" ht="12" customHeight="1" x14ac:dyDescent="0.2">
      <c r="A14" s="59">
        <v>7</v>
      </c>
      <c r="B14" s="60"/>
      <c r="C14" s="60"/>
      <c r="D14" s="60"/>
      <c r="E14" s="60"/>
      <c r="F14" s="6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7"/>
      <c r="T14" s="57"/>
      <c r="U14" s="60"/>
      <c r="V14" s="60"/>
      <c r="W14" s="60"/>
      <c r="X14" s="60"/>
      <c r="Y14" s="60"/>
      <c r="Z14" s="57">
        <v>0</v>
      </c>
      <c r="AA14" s="73"/>
      <c r="AB14" s="77">
        <f>Z14+AA14</f>
        <v>0</v>
      </c>
    </row>
    <row r="15" spans="1:28" s="53" customFormat="1" ht="12" customHeight="1" x14ac:dyDescent="0.2">
      <c r="A15" s="74" t="s">
        <v>270</v>
      </c>
      <c r="B15" s="75">
        <v>0</v>
      </c>
      <c r="C15" s="75">
        <v>0</v>
      </c>
      <c r="D15" s="75">
        <v>0</v>
      </c>
      <c r="E15" s="75">
        <v>5</v>
      </c>
      <c r="F15" s="75">
        <f t="shared" ref="F15:AB15" si="4">F16</f>
        <v>0</v>
      </c>
      <c r="G15" s="75">
        <f t="shared" si="4"/>
        <v>0</v>
      </c>
      <c r="H15" s="75">
        <f t="shared" si="4"/>
        <v>0</v>
      </c>
      <c r="I15" s="75">
        <v>0</v>
      </c>
      <c r="J15" s="75">
        <v>0</v>
      </c>
      <c r="K15" s="75"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v>0</v>
      </c>
      <c r="P15" s="75">
        <f t="shared" si="4"/>
        <v>0</v>
      </c>
      <c r="Q15" s="75">
        <f t="shared" si="4"/>
        <v>0</v>
      </c>
      <c r="R15" s="75">
        <v>0</v>
      </c>
      <c r="S15" s="75">
        <v>0</v>
      </c>
      <c r="T15" s="75">
        <f t="shared" si="4"/>
        <v>0</v>
      </c>
      <c r="U15" s="75">
        <f t="shared" si="4"/>
        <v>0</v>
      </c>
      <c r="V15" s="75">
        <v>0</v>
      </c>
      <c r="W15" s="75">
        <v>0</v>
      </c>
      <c r="X15" s="75">
        <f t="shared" si="4"/>
        <v>0</v>
      </c>
      <c r="Y15" s="75">
        <f t="shared" si="4"/>
        <v>0</v>
      </c>
      <c r="Z15" s="75">
        <v>5</v>
      </c>
      <c r="AA15" s="75">
        <f t="shared" si="4"/>
        <v>0</v>
      </c>
      <c r="AB15" s="75">
        <f t="shared" si="4"/>
        <v>5</v>
      </c>
    </row>
    <row r="16" spans="1:28" s="53" customFormat="1" ht="12" customHeight="1" x14ac:dyDescent="0.2">
      <c r="A16" s="59">
        <v>8</v>
      </c>
      <c r="B16" s="60"/>
      <c r="C16" s="60"/>
      <c r="D16" s="60"/>
      <c r="E16" s="60">
        <v>5</v>
      </c>
      <c r="F16" s="6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57"/>
      <c r="T16" s="57"/>
      <c r="U16" s="61"/>
      <c r="V16" s="60"/>
      <c r="W16" s="60"/>
      <c r="X16" s="60"/>
      <c r="Y16" s="60"/>
      <c r="Z16" s="57">
        <v>5</v>
      </c>
      <c r="AA16" s="73"/>
      <c r="AB16" s="77">
        <f>Z16+AA16</f>
        <v>5</v>
      </c>
    </row>
    <row r="17" spans="1:28" s="53" customFormat="1" ht="12" customHeight="1" x14ac:dyDescent="0.2">
      <c r="A17" s="74" t="s">
        <v>271</v>
      </c>
      <c r="B17" s="75">
        <v>0</v>
      </c>
      <c r="C17" s="75">
        <v>0</v>
      </c>
      <c r="D17" s="75">
        <v>0</v>
      </c>
      <c r="E17" s="75">
        <v>0</v>
      </c>
      <c r="F17" s="75">
        <f t="shared" ref="F17:AB17" si="5">F18</f>
        <v>0</v>
      </c>
      <c r="G17" s="75">
        <f t="shared" si="5"/>
        <v>52</v>
      </c>
      <c r="H17" s="75">
        <f t="shared" si="5"/>
        <v>0</v>
      </c>
      <c r="I17" s="75">
        <v>0</v>
      </c>
      <c r="J17" s="75">
        <v>0</v>
      </c>
      <c r="K17" s="75">
        <v>0</v>
      </c>
      <c r="L17" s="75">
        <f t="shared" si="5"/>
        <v>0</v>
      </c>
      <c r="M17" s="75">
        <f t="shared" si="5"/>
        <v>0</v>
      </c>
      <c r="N17" s="75">
        <f t="shared" si="5"/>
        <v>0</v>
      </c>
      <c r="O17" s="75">
        <v>0</v>
      </c>
      <c r="P17" s="75">
        <f t="shared" si="5"/>
        <v>0</v>
      </c>
      <c r="Q17" s="75">
        <f t="shared" si="5"/>
        <v>0</v>
      </c>
      <c r="R17" s="75">
        <v>0</v>
      </c>
      <c r="S17" s="75">
        <v>0</v>
      </c>
      <c r="T17" s="75">
        <f t="shared" si="5"/>
        <v>0</v>
      </c>
      <c r="U17" s="75">
        <f t="shared" si="5"/>
        <v>0</v>
      </c>
      <c r="V17" s="75">
        <v>0</v>
      </c>
      <c r="W17" s="75">
        <v>0</v>
      </c>
      <c r="X17" s="75">
        <f t="shared" si="5"/>
        <v>0</v>
      </c>
      <c r="Y17" s="75">
        <f t="shared" si="5"/>
        <v>0</v>
      </c>
      <c r="Z17" s="75">
        <v>52</v>
      </c>
      <c r="AA17" s="75">
        <f t="shared" si="5"/>
        <v>0</v>
      </c>
      <c r="AB17" s="75">
        <f t="shared" si="5"/>
        <v>52</v>
      </c>
    </row>
    <row r="18" spans="1:28" s="53" customFormat="1" ht="12" customHeight="1" x14ac:dyDescent="0.2">
      <c r="A18" s="59">
        <v>9</v>
      </c>
      <c r="B18" s="60"/>
      <c r="C18" s="60"/>
      <c r="D18" s="60"/>
      <c r="E18" s="60"/>
      <c r="F18" s="61"/>
      <c r="G18" s="60">
        <v>52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57"/>
      <c r="T18" s="57"/>
      <c r="U18" s="58"/>
      <c r="V18" s="60"/>
      <c r="W18" s="60"/>
      <c r="X18" s="60"/>
      <c r="Y18" s="60"/>
      <c r="Z18" s="57">
        <v>52</v>
      </c>
      <c r="AA18" s="73"/>
      <c r="AB18" s="77">
        <f>Z18+AA18</f>
        <v>52</v>
      </c>
    </row>
    <row r="19" spans="1:28" s="53" customFormat="1" ht="12" customHeight="1" x14ac:dyDescent="0.2">
      <c r="A19" s="74" t="s">
        <v>272</v>
      </c>
      <c r="B19" s="75">
        <v>0</v>
      </c>
      <c r="C19" s="75">
        <v>0</v>
      </c>
      <c r="D19" s="75">
        <v>0</v>
      </c>
      <c r="E19" s="75">
        <v>0</v>
      </c>
      <c r="F19" s="75">
        <f t="shared" ref="F19:AB19" si="6">F20+F21</f>
        <v>0</v>
      </c>
      <c r="G19" s="75">
        <f t="shared" si="6"/>
        <v>0</v>
      </c>
      <c r="H19" s="75">
        <f t="shared" si="6"/>
        <v>0</v>
      </c>
      <c r="I19" s="75">
        <v>0</v>
      </c>
      <c r="J19" s="75">
        <v>0</v>
      </c>
      <c r="K19" s="75">
        <v>0</v>
      </c>
      <c r="L19" s="75">
        <f t="shared" si="6"/>
        <v>0</v>
      </c>
      <c r="M19" s="75">
        <f t="shared" si="6"/>
        <v>0</v>
      </c>
      <c r="N19" s="75">
        <f t="shared" si="6"/>
        <v>0</v>
      </c>
      <c r="O19" s="75">
        <v>0</v>
      </c>
      <c r="P19" s="75">
        <f t="shared" si="6"/>
        <v>98</v>
      </c>
      <c r="Q19" s="75">
        <f t="shared" si="6"/>
        <v>0</v>
      </c>
      <c r="R19" s="75">
        <v>0</v>
      </c>
      <c r="S19" s="75">
        <v>0</v>
      </c>
      <c r="T19" s="75">
        <f t="shared" si="6"/>
        <v>0</v>
      </c>
      <c r="U19" s="75">
        <f t="shared" si="6"/>
        <v>0</v>
      </c>
      <c r="V19" s="75">
        <v>21</v>
      </c>
      <c r="W19" s="75">
        <v>0</v>
      </c>
      <c r="X19" s="75">
        <f t="shared" si="6"/>
        <v>0</v>
      </c>
      <c r="Y19" s="75">
        <f t="shared" si="6"/>
        <v>0</v>
      </c>
      <c r="Z19" s="75">
        <v>119</v>
      </c>
      <c r="AA19" s="75">
        <f t="shared" si="6"/>
        <v>0</v>
      </c>
      <c r="AB19" s="75">
        <f t="shared" si="6"/>
        <v>119</v>
      </c>
    </row>
    <row r="20" spans="1:28" s="53" customFormat="1" ht="12" customHeight="1" x14ac:dyDescent="0.2">
      <c r="A20" s="59">
        <v>10</v>
      </c>
      <c r="B20" s="60"/>
      <c r="C20" s="60"/>
      <c r="D20" s="60"/>
      <c r="E20" s="60"/>
      <c r="F20" s="61"/>
      <c r="G20" s="62"/>
      <c r="H20" s="60"/>
      <c r="I20" s="60"/>
      <c r="J20" s="60"/>
      <c r="K20" s="62"/>
      <c r="L20" s="62"/>
      <c r="M20" s="62"/>
      <c r="N20" s="62"/>
      <c r="O20" s="60"/>
      <c r="P20" s="60">
        <f>90-2</f>
        <v>88</v>
      </c>
      <c r="Q20" s="62"/>
      <c r="R20" s="60"/>
      <c r="S20" s="57"/>
      <c r="T20" s="57"/>
      <c r="U20" s="63"/>
      <c r="V20" s="57">
        <v>21</v>
      </c>
      <c r="W20" s="60"/>
      <c r="X20" s="60"/>
      <c r="Y20" s="60"/>
      <c r="Z20" s="57">
        <v>109</v>
      </c>
      <c r="AA20" s="73"/>
      <c r="AB20" s="77">
        <f>Z20+AA20</f>
        <v>109</v>
      </c>
    </row>
    <row r="21" spans="1:28" s="53" customFormat="1" ht="12" customHeight="1" x14ac:dyDescent="0.2">
      <c r="A21" s="59">
        <v>11</v>
      </c>
      <c r="B21" s="64"/>
      <c r="C21" s="64"/>
      <c r="D21" s="64"/>
      <c r="E21" s="64"/>
      <c r="F21" s="65"/>
      <c r="G21" s="66"/>
      <c r="H21" s="64"/>
      <c r="I21" s="64"/>
      <c r="J21" s="64"/>
      <c r="K21" s="66"/>
      <c r="L21" s="66"/>
      <c r="M21" s="66"/>
      <c r="N21" s="66"/>
      <c r="O21" s="64"/>
      <c r="P21" s="64">
        <v>10</v>
      </c>
      <c r="Q21" s="66"/>
      <c r="R21" s="64"/>
      <c r="S21" s="57"/>
      <c r="T21" s="60"/>
      <c r="U21" s="67"/>
      <c r="V21" s="57"/>
      <c r="W21" s="64"/>
      <c r="X21" s="64"/>
      <c r="Y21" s="64"/>
      <c r="Z21" s="57">
        <v>10</v>
      </c>
      <c r="AA21" s="73"/>
      <c r="AB21" s="77">
        <f>Z21+AA21</f>
        <v>10</v>
      </c>
    </row>
    <row r="22" spans="1:28" s="53" customFormat="1" ht="12" customHeight="1" x14ac:dyDescent="0.2">
      <c r="A22" s="74" t="s">
        <v>273</v>
      </c>
      <c r="B22" s="75">
        <v>392</v>
      </c>
      <c r="C22" s="75">
        <v>0</v>
      </c>
      <c r="D22" s="75">
        <v>0</v>
      </c>
      <c r="E22" s="75">
        <v>147</v>
      </c>
      <c r="F22" s="75">
        <f t="shared" ref="F22:AB22" si="7">SUM(F23:F28)</f>
        <v>0</v>
      </c>
      <c r="G22" s="75">
        <f t="shared" si="7"/>
        <v>0</v>
      </c>
      <c r="H22" s="75">
        <f t="shared" si="7"/>
        <v>0</v>
      </c>
      <c r="I22" s="75">
        <v>78</v>
      </c>
      <c r="J22" s="75">
        <v>115</v>
      </c>
      <c r="K22" s="75"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v>27</v>
      </c>
      <c r="P22" s="75">
        <f t="shared" si="7"/>
        <v>0</v>
      </c>
      <c r="Q22" s="75">
        <f t="shared" si="7"/>
        <v>0</v>
      </c>
      <c r="R22" s="75">
        <v>2</v>
      </c>
      <c r="S22" s="75">
        <v>0</v>
      </c>
      <c r="T22" s="75">
        <f t="shared" si="7"/>
        <v>7</v>
      </c>
      <c r="U22" s="75">
        <f t="shared" si="7"/>
        <v>0</v>
      </c>
      <c r="V22" s="75">
        <v>169</v>
      </c>
      <c r="W22" s="75">
        <v>0</v>
      </c>
      <c r="X22" s="75">
        <f t="shared" si="7"/>
        <v>0</v>
      </c>
      <c r="Y22" s="75">
        <f t="shared" si="7"/>
        <v>60</v>
      </c>
      <c r="Z22" s="75">
        <v>997</v>
      </c>
      <c r="AA22" s="75">
        <f t="shared" si="7"/>
        <v>0</v>
      </c>
      <c r="AB22" s="75">
        <f t="shared" si="7"/>
        <v>997</v>
      </c>
    </row>
    <row r="23" spans="1:28" s="53" customFormat="1" ht="12" customHeight="1" x14ac:dyDescent="0.2">
      <c r="A23" s="59">
        <v>12</v>
      </c>
      <c r="B23" s="57">
        <v>361</v>
      </c>
      <c r="C23" s="57"/>
      <c r="D23" s="57"/>
      <c r="E23" s="60">
        <v>88</v>
      </c>
      <c r="F23" s="58"/>
      <c r="G23" s="57"/>
      <c r="H23" s="57"/>
      <c r="I23" s="60">
        <v>60</v>
      </c>
      <c r="J23" s="57">
        <v>106</v>
      </c>
      <c r="K23" s="57"/>
      <c r="L23" s="57"/>
      <c r="M23" s="57"/>
      <c r="N23" s="57"/>
      <c r="O23" s="57">
        <v>10</v>
      </c>
      <c r="P23" s="57"/>
      <c r="Q23" s="58"/>
      <c r="R23" s="57"/>
      <c r="S23" s="57"/>
      <c r="T23" s="57">
        <v>5</v>
      </c>
      <c r="U23" s="58"/>
      <c r="V23" s="57">
        <v>155</v>
      </c>
      <c r="W23" s="57"/>
      <c r="X23" s="57"/>
      <c r="Y23" s="57">
        <v>60</v>
      </c>
      <c r="Z23" s="57">
        <v>845</v>
      </c>
      <c r="AA23" s="73"/>
      <c r="AB23" s="77">
        <f t="shared" ref="AB23:AB28" si="8">Z23+AA23</f>
        <v>845</v>
      </c>
    </row>
    <row r="24" spans="1:28" s="53" customFormat="1" ht="12" customHeight="1" x14ac:dyDescent="0.2">
      <c r="A24" s="59">
        <v>13</v>
      </c>
      <c r="B24" s="57">
        <v>0</v>
      </c>
      <c r="C24" s="57"/>
      <c r="D24" s="57"/>
      <c r="E24" s="60"/>
      <c r="F24" s="57"/>
      <c r="G24" s="68"/>
      <c r="H24" s="57"/>
      <c r="I24" s="57"/>
      <c r="J24" s="57"/>
      <c r="K24" s="68"/>
      <c r="L24" s="68"/>
      <c r="M24" s="68"/>
      <c r="N24" s="68"/>
      <c r="O24" s="57"/>
      <c r="P24" s="57"/>
      <c r="Q24" s="68"/>
      <c r="R24" s="57">
        <v>2</v>
      </c>
      <c r="S24" s="57"/>
      <c r="T24" s="57"/>
      <c r="U24" s="68"/>
      <c r="V24" s="57">
        <v>0</v>
      </c>
      <c r="W24" s="57"/>
      <c r="X24" s="57"/>
      <c r="Y24" s="57"/>
      <c r="Z24" s="57">
        <v>2</v>
      </c>
      <c r="AA24" s="73"/>
      <c r="AB24" s="77">
        <f t="shared" si="8"/>
        <v>2</v>
      </c>
    </row>
    <row r="25" spans="1:28" s="53" customFormat="1" ht="12" customHeight="1" x14ac:dyDescent="0.2">
      <c r="A25" s="59">
        <v>14</v>
      </c>
      <c r="B25" s="60">
        <v>10</v>
      </c>
      <c r="C25" s="60"/>
      <c r="D25" s="60"/>
      <c r="E25" s="60"/>
      <c r="F25" s="61"/>
      <c r="G25" s="62"/>
      <c r="H25" s="60"/>
      <c r="I25" s="60">
        <v>3</v>
      </c>
      <c r="J25" s="60">
        <v>7</v>
      </c>
      <c r="K25" s="62"/>
      <c r="L25" s="62"/>
      <c r="M25" s="62"/>
      <c r="N25" s="62"/>
      <c r="O25" s="60">
        <v>0</v>
      </c>
      <c r="P25" s="60"/>
      <c r="Q25" s="62"/>
      <c r="R25" s="60"/>
      <c r="S25" s="57"/>
      <c r="T25" s="60"/>
      <c r="U25" s="63"/>
      <c r="V25" s="60">
        <v>14</v>
      </c>
      <c r="W25" s="60"/>
      <c r="X25" s="60"/>
      <c r="Y25" s="60"/>
      <c r="Z25" s="57">
        <v>34</v>
      </c>
      <c r="AA25" s="73"/>
      <c r="AB25" s="77">
        <f t="shared" si="8"/>
        <v>34</v>
      </c>
    </row>
    <row r="26" spans="1:28" s="53" customFormat="1" ht="12" customHeight="1" x14ac:dyDescent="0.2">
      <c r="A26" s="59">
        <v>15</v>
      </c>
      <c r="B26" s="64"/>
      <c r="C26" s="64"/>
      <c r="D26" s="64"/>
      <c r="E26" s="60">
        <v>59</v>
      </c>
      <c r="F26" s="65"/>
      <c r="G26" s="66"/>
      <c r="H26" s="64"/>
      <c r="I26" s="64"/>
      <c r="J26" s="64"/>
      <c r="K26" s="66"/>
      <c r="L26" s="66"/>
      <c r="M26" s="66"/>
      <c r="N26" s="66"/>
      <c r="O26" s="60">
        <v>17</v>
      </c>
      <c r="P26" s="64"/>
      <c r="Q26" s="66"/>
      <c r="R26" s="64"/>
      <c r="S26" s="57"/>
      <c r="T26" s="60"/>
      <c r="U26" s="67"/>
      <c r="V26" s="64"/>
      <c r="W26" s="64"/>
      <c r="X26" s="64"/>
      <c r="Y26" s="64"/>
      <c r="Z26" s="57">
        <v>76</v>
      </c>
      <c r="AA26" s="73"/>
      <c r="AB26" s="77">
        <f t="shared" si="8"/>
        <v>76</v>
      </c>
    </row>
    <row r="27" spans="1:28" s="53" customFormat="1" ht="12" customHeight="1" x14ac:dyDescent="0.2">
      <c r="A27" s="59">
        <v>16</v>
      </c>
      <c r="B27" s="60">
        <v>6</v>
      </c>
      <c r="C27" s="60"/>
      <c r="D27" s="60"/>
      <c r="E27" s="60"/>
      <c r="F27" s="61"/>
      <c r="G27" s="62"/>
      <c r="H27" s="60"/>
      <c r="I27" s="60"/>
      <c r="J27" s="60"/>
      <c r="K27" s="62"/>
      <c r="L27" s="62"/>
      <c r="M27" s="62"/>
      <c r="N27" s="62"/>
      <c r="O27" s="60"/>
      <c r="P27" s="60"/>
      <c r="Q27" s="62"/>
      <c r="R27" s="60"/>
      <c r="S27" s="57"/>
      <c r="T27" s="60">
        <v>2</v>
      </c>
      <c r="U27" s="63"/>
      <c r="V27" s="60"/>
      <c r="W27" s="60"/>
      <c r="X27" s="60"/>
      <c r="Y27" s="60"/>
      <c r="Z27" s="57">
        <v>8</v>
      </c>
      <c r="AA27" s="73"/>
      <c r="AB27" s="77">
        <f t="shared" si="8"/>
        <v>8</v>
      </c>
    </row>
    <row r="28" spans="1:28" s="53" customFormat="1" ht="12" customHeight="1" x14ac:dyDescent="0.2">
      <c r="A28" s="59">
        <v>17</v>
      </c>
      <c r="B28" s="64">
        <v>15</v>
      </c>
      <c r="C28" s="64"/>
      <c r="D28" s="64"/>
      <c r="E28" s="64"/>
      <c r="F28" s="65"/>
      <c r="G28" s="66"/>
      <c r="H28" s="64"/>
      <c r="I28" s="64">
        <v>15</v>
      </c>
      <c r="J28" s="64">
        <v>2</v>
      </c>
      <c r="K28" s="66"/>
      <c r="L28" s="66"/>
      <c r="M28" s="66"/>
      <c r="N28" s="66"/>
      <c r="O28" s="64"/>
      <c r="P28" s="64"/>
      <c r="Q28" s="66"/>
      <c r="R28" s="64"/>
      <c r="S28" s="57"/>
      <c r="T28" s="60"/>
      <c r="U28" s="67"/>
      <c r="V28" s="64"/>
      <c r="W28" s="64"/>
      <c r="X28" s="64"/>
      <c r="Y28" s="64"/>
      <c r="Z28" s="57">
        <v>32</v>
      </c>
      <c r="AA28" s="73"/>
      <c r="AB28" s="77">
        <f t="shared" si="8"/>
        <v>32</v>
      </c>
    </row>
    <row r="29" spans="1:28" s="53" customFormat="1" ht="12" customHeight="1" x14ac:dyDescent="0.2">
      <c r="A29" s="74" t="s">
        <v>274</v>
      </c>
      <c r="B29" s="75">
        <v>169</v>
      </c>
      <c r="C29" s="75">
        <v>0</v>
      </c>
      <c r="D29" s="75">
        <v>0</v>
      </c>
      <c r="E29" s="75">
        <v>164</v>
      </c>
      <c r="F29" s="75">
        <f t="shared" ref="F29:AB29" si="9">F30+F31</f>
        <v>414</v>
      </c>
      <c r="G29" s="75">
        <f t="shared" si="9"/>
        <v>0</v>
      </c>
      <c r="H29" s="75">
        <f t="shared" si="9"/>
        <v>0</v>
      </c>
      <c r="I29" s="75">
        <v>0</v>
      </c>
      <c r="J29" s="75">
        <v>0</v>
      </c>
      <c r="K29" s="75">
        <v>0</v>
      </c>
      <c r="L29" s="75">
        <f t="shared" si="9"/>
        <v>0</v>
      </c>
      <c r="M29" s="75">
        <f t="shared" si="9"/>
        <v>0</v>
      </c>
      <c r="N29" s="75">
        <f t="shared" si="9"/>
        <v>0</v>
      </c>
      <c r="O29" s="75">
        <v>121</v>
      </c>
      <c r="P29" s="75">
        <f t="shared" si="9"/>
        <v>0</v>
      </c>
      <c r="Q29" s="75">
        <f t="shared" si="9"/>
        <v>0</v>
      </c>
      <c r="R29" s="75">
        <v>0</v>
      </c>
      <c r="S29" s="75">
        <v>0</v>
      </c>
      <c r="T29" s="75">
        <f t="shared" si="9"/>
        <v>0</v>
      </c>
      <c r="U29" s="75">
        <f t="shared" si="9"/>
        <v>0</v>
      </c>
      <c r="V29" s="75">
        <v>0</v>
      </c>
      <c r="W29" s="75">
        <v>0</v>
      </c>
      <c r="X29" s="75">
        <f t="shared" si="9"/>
        <v>0</v>
      </c>
      <c r="Y29" s="75">
        <f t="shared" si="9"/>
        <v>65</v>
      </c>
      <c r="Z29" s="75">
        <v>933</v>
      </c>
      <c r="AA29" s="75">
        <f t="shared" si="9"/>
        <v>0</v>
      </c>
      <c r="AB29" s="75">
        <f t="shared" si="9"/>
        <v>933</v>
      </c>
    </row>
    <row r="30" spans="1:28" s="53" customFormat="1" ht="12" customHeight="1" x14ac:dyDescent="0.2">
      <c r="A30" s="59">
        <v>18</v>
      </c>
      <c r="B30" s="57">
        <v>142</v>
      </c>
      <c r="C30" s="57"/>
      <c r="D30" s="57"/>
      <c r="E30" s="60">
        <v>126</v>
      </c>
      <c r="F30" s="60">
        <f>180+20+34</f>
        <v>234</v>
      </c>
      <c r="G30" s="57"/>
      <c r="H30" s="57"/>
      <c r="I30" s="57"/>
      <c r="J30" s="57"/>
      <c r="K30" s="57"/>
      <c r="L30" s="57"/>
      <c r="M30" s="57"/>
      <c r="N30" s="57"/>
      <c r="O30" s="57">
        <v>92</v>
      </c>
      <c r="P30" s="57"/>
      <c r="Q30" s="57"/>
      <c r="R30" s="57"/>
      <c r="S30" s="57"/>
      <c r="T30" s="57"/>
      <c r="U30" s="57"/>
      <c r="V30" s="57"/>
      <c r="W30" s="57"/>
      <c r="X30" s="57"/>
      <c r="Y30" s="57">
        <f>100-36-11</f>
        <v>53</v>
      </c>
      <c r="Z30" s="57">
        <v>647</v>
      </c>
      <c r="AA30" s="73"/>
      <c r="AB30" s="77">
        <f>Z30+AA30</f>
        <v>647</v>
      </c>
    </row>
    <row r="31" spans="1:28" s="53" customFormat="1" ht="12" customHeight="1" x14ac:dyDescent="0.2">
      <c r="A31" s="59">
        <v>19</v>
      </c>
      <c r="B31" s="57">
        <v>27</v>
      </c>
      <c r="C31" s="57"/>
      <c r="D31" s="57"/>
      <c r="E31" s="60">
        <v>38</v>
      </c>
      <c r="F31" s="60">
        <v>180</v>
      </c>
      <c r="G31" s="57"/>
      <c r="H31" s="57"/>
      <c r="I31" s="57"/>
      <c r="J31" s="57"/>
      <c r="K31" s="57"/>
      <c r="L31" s="57"/>
      <c r="M31" s="57"/>
      <c r="N31" s="57"/>
      <c r="O31" s="57">
        <v>29</v>
      </c>
      <c r="P31" s="57"/>
      <c r="Q31" s="57"/>
      <c r="R31" s="57"/>
      <c r="S31" s="57"/>
      <c r="T31" s="57"/>
      <c r="U31" s="57"/>
      <c r="V31" s="57"/>
      <c r="W31" s="57"/>
      <c r="X31" s="57"/>
      <c r="Y31" s="57">
        <f>20-6-2</f>
        <v>12</v>
      </c>
      <c r="Z31" s="57">
        <v>286</v>
      </c>
      <c r="AA31" s="73"/>
      <c r="AB31" s="77">
        <f>Z31+AA31</f>
        <v>286</v>
      </c>
    </row>
    <row r="32" spans="1:28" s="53" customFormat="1" ht="12" customHeight="1" x14ac:dyDescent="0.2">
      <c r="A32" s="74" t="s">
        <v>275</v>
      </c>
      <c r="B32" s="75">
        <v>97</v>
      </c>
      <c r="C32" s="75">
        <v>1225</v>
      </c>
      <c r="D32" s="75">
        <v>0</v>
      </c>
      <c r="E32" s="75">
        <v>106</v>
      </c>
      <c r="F32" s="75">
        <f t="shared" ref="F32:AB32" si="10">F33+F34+F35</f>
        <v>0</v>
      </c>
      <c r="G32" s="75">
        <f t="shared" si="10"/>
        <v>0</v>
      </c>
      <c r="H32" s="75">
        <f t="shared" si="10"/>
        <v>0</v>
      </c>
      <c r="I32" s="75">
        <v>0</v>
      </c>
      <c r="J32" s="75">
        <v>0</v>
      </c>
      <c r="K32" s="75">
        <v>0</v>
      </c>
      <c r="L32" s="75">
        <f t="shared" si="10"/>
        <v>0</v>
      </c>
      <c r="M32" s="75">
        <f t="shared" si="10"/>
        <v>0</v>
      </c>
      <c r="N32" s="75">
        <f t="shared" si="10"/>
        <v>0</v>
      </c>
      <c r="O32" s="75">
        <v>0</v>
      </c>
      <c r="P32" s="75">
        <f t="shared" si="10"/>
        <v>0</v>
      </c>
      <c r="Q32" s="75">
        <f t="shared" si="10"/>
        <v>0</v>
      </c>
      <c r="R32" s="75">
        <v>0</v>
      </c>
      <c r="S32" s="75">
        <v>0</v>
      </c>
      <c r="T32" s="75">
        <f t="shared" si="10"/>
        <v>0</v>
      </c>
      <c r="U32" s="75">
        <f t="shared" si="10"/>
        <v>0</v>
      </c>
      <c r="V32" s="75">
        <v>52</v>
      </c>
      <c r="W32" s="75">
        <v>8</v>
      </c>
      <c r="X32" s="75">
        <f t="shared" si="10"/>
        <v>0</v>
      </c>
      <c r="Y32" s="75">
        <f t="shared" si="10"/>
        <v>145</v>
      </c>
      <c r="Z32" s="75">
        <v>1633</v>
      </c>
      <c r="AA32" s="75">
        <f t="shared" si="10"/>
        <v>0</v>
      </c>
      <c r="AB32" s="75">
        <f t="shared" si="10"/>
        <v>1633</v>
      </c>
    </row>
    <row r="33" spans="1:28" s="53" customFormat="1" ht="12" customHeight="1" x14ac:dyDescent="0.2">
      <c r="A33" s="59">
        <v>20</v>
      </c>
      <c r="B33" s="57">
        <v>41</v>
      </c>
      <c r="C33" s="57">
        <v>975</v>
      </c>
      <c r="D33" s="57"/>
      <c r="E33" s="60">
        <v>5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>
        <v>52</v>
      </c>
      <c r="W33" s="57">
        <v>8</v>
      </c>
      <c r="X33" s="57"/>
      <c r="Y33" s="57">
        <v>100</v>
      </c>
      <c r="Z33" s="57">
        <v>1181</v>
      </c>
      <c r="AA33" s="73"/>
      <c r="AB33" s="77">
        <f>Z33+AA33</f>
        <v>1181</v>
      </c>
    </row>
    <row r="34" spans="1:28" s="53" customFormat="1" ht="12" customHeight="1" x14ac:dyDescent="0.2">
      <c r="A34" s="59">
        <v>21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57"/>
      <c r="T34" s="57"/>
      <c r="U34" s="60"/>
      <c r="V34" s="57"/>
      <c r="W34" s="60"/>
      <c r="X34" s="60"/>
      <c r="Y34" s="60"/>
      <c r="Z34" s="57">
        <v>0</v>
      </c>
      <c r="AA34" s="73"/>
      <c r="AB34" s="77">
        <f>Z34+AA34</f>
        <v>0</v>
      </c>
    </row>
    <row r="35" spans="1:28" s="53" customFormat="1" ht="12" customHeight="1" x14ac:dyDescent="0.2">
      <c r="A35" s="59">
        <v>22</v>
      </c>
      <c r="B35" s="57">
        <v>56</v>
      </c>
      <c r="C35" s="64">
        <v>250</v>
      </c>
      <c r="D35" s="64"/>
      <c r="E35" s="64">
        <v>101</v>
      </c>
      <c r="F35" s="64"/>
      <c r="G35" s="66"/>
      <c r="H35" s="64"/>
      <c r="I35" s="64"/>
      <c r="J35" s="64"/>
      <c r="K35" s="64"/>
      <c r="L35" s="66"/>
      <c r="M35" s="66"/>
      <c r="N35" s="66"/>
      <c r="O35" s="64"/>
      <c r="P35" s="64"/>
      <c r="Q35" s="66"/>
      <c r="R35" s="64"/>
      <c r="S35" s="57"/>
      <c r="T35" s="57"/>
      <c r="U35" s="66"/>
      <c r="V35" s="64"/>
      <c r="W35" s="64"/>
      <c r="X35" s="64"/>
      <c r="Y35" s="64">
        <f>50-5</f>
        <v>45</v>
      </c>
      <c r="Z35" s="57">
        <v>452</v>
      </c>
      <c r="AA35" s="73"/>
      <c r="AB35" s="77">
        <f>Z35+AA35</f>
        <v>452</v>
      </c>
    </row>
    <row r="36" spans="1:28" s="53" customFormat="1" ht="12" customHeight="1" x14ac:dyDescent="0.2">
      <c r="A36" s="74" t="s">
        <v>276</v>
      </c>
      <c r="B36" s="75">
        <v>159</v>
      </c>
      <c r="C36" s="75">
        <v>0</v>
      </c>
      <c r="D36" s="75">
        <v>0</v>
      </c>
      <c r="E36" s="75">
        <v>58</v>
      </c>
      <c r="F36" s="75">
        <f t="shared" ref="F36:AB36" si="11">F37+F38</f>
        <v>0</v>
      </c>
      <c r="G36" s="75">
        <f t="shared" si="11"/>
        <v>0</v>
      </c>
      <c r="H36" s="75">
        <f t="shared" si="11"/>
        <v>0</v>
      </c>
      <c r="I36" s="75">
        <v>2</v>
      </c>
      <c r="J36" s="75">
        <v>70</v>
      </c>
      <c r="K36" s="75">
        <v>0</v>
      </c>
      <c r="L36" s="75">
        <f t="shared" si="11"/>
        <v>0</v>
      </c>
      <c r="M36" s="75">
        <f t="shared" si="11"/>
        <v>0</v>
      </c>
      <c r="N36" s="75">
        <f t="shared" si="11"/>
        <v>102</v>
      </c>
      <c r="O36" s="75">
        <v>0</v>
      </c>
      <c r="P36" s="75">
        <f t="shared" si="11"/>
        <v>0</v>
      </c>
      <c r="Q36" s="75">
        <f t="shared" si="11"/>
        <v>0</v>
      </c>
      <c r="R36" s="75">
        <v>0</v>
      </c>
      <c r="S36" s="75">
        <v>0</v>
      </c>
      <c r="T36" s="75">
        <f t="shared" si="11"/>
        <v>0</v>
      </c>
      <c r="U36" s="75">
        <f t="shared" si="11"/>
        <v>0</v>
      </c>
      <c r="V36" s="75">
        <v>0</v>
      </c>
      <c r="W36" s="75">
        <v>0</v>
      </c>
      <c r="X36" s="75">
        <f t="shared" si="11"/>
        <v>0</v>
      </c>
      <c r="Y36" s="75">
        <f t="shared" si="11"/>
        <v>0</v>
      </c>
      <c r="Z36" s="75">
        <v>391</v>
      </c>
      <c r="AA36" s="75">
        <f t="shared" si="11"/>
        <v>0</v>
      </c>
      <c r="AB36" s="75">
        <f t="shared" si="11"/>
        <v>391</v>
      </c>
    </row>
    <row r="37" spans="1:28" s="53" customFormat="1" ht="12" customHeight="1" x14ac:dyDescent="0.2">
      <c r="A37" s="59">
        <v>23</v>
      </c>
      <c r="B37" s="57">
        <v>127</v>
      </c>
      <c r="C37" s="60"/>
      <c r="D37" s="60"/>
      <c r="E37" s="60">
        <v>46</v>
      </c>
      <c r="F37" s="60"/>
      <c r="G37" s="60"/>
      <c r="H37" s="60"/>
      <c r="I37" s="60">
        <v>0</v>
      </c>
      <c r="J37" s="60">
        <v>23</v>
      </c>
      <c r="K37" s="60"/>
      <c r="L37" s="60"/>
      <c r="M37" s="60"/>
      <c r="N37" s="60">
        <f>52+10</f>
        <v>62</v>
      </c>
      <c r="O37" s="60"/>
      <c r="P37" s="60"/>
      <c r="Q37" s="60"/>
      <c r="R37" s="60"/>
      <c r="S37" s="57"/>
      <c r="T37" s="57"/>
      <c r="U37" s="60"/>
      <c r="V37" s="60"/>
      <c r="W37" s="60"/>
      <c r="X37" s="60"/>
      <c r="Y37" s="60"/>
      <c r="Z37" s="57">
        <v>258</v>
      </c>
      <c r="AA37" s="73"/>
      <c r="AB37" s="77">
        <f>Z37+AA37</f>
        <v>258</v>
      </c>
    </row>
    <row r="38" spans="1:28" s="53" customFormat="1" ht="12" customHeight="1" x14ac:dyDescent="0.2">
      <c r="A38" s="59">
        <v>24</v>
      </c>
      <c r="B38" s="57">
        <v>32</v>
      </c>
      <c r="C38" s="57"/>
      <c r="D38" s="60"/>
      <c r="E38" s="60">
        <v>12</v>
      </c>
      <c r="F38" s="57"/>
      <c r="G38" s="60"/>
      <c r="H38" s="60"/>
      <c r="I38" s="60">
        <v>2</v>
      </c>
      <c r="J38" s="60">
        <v>47</v>
      </c>
      <c r="K38" s="57"/>
      <c r="L38" s="60"/>
      <c r="M38" s="60"/>
      <c r="N38" s="57">
        <v>40</v>
      </c>
      <c r="O38" s="60"/>
      <c r="P38" s="57"/>
      <c r="Q38" s="57"/>
      <c r="R38" s="60"/>
      <c r="S38" s="57"/>
      <c r="T38" s="57"/>
      <c r="U38" s="60"/>
      <c r="V38" s="57"/>
      <c r="W38" s="57"/>
      <c r="X38" s="57"/>
      <c r="Y38" s="57"/>
      <c r="Z38" s="57">
        <v>133</v>
      </c>
      <c r="AA38" s="73"/>
      <c r="AB38" s="77">
        <f>Z38+AA38</f>
        <v>133</v>
      </c>
    </row>
    <row r="39" spans="1:28" s="53" customFormat="1" ht="12" customHeight="1" x14ac:dyDescent="0.2">
      <c r="A39" s="74" t="s">
        <v>277</v>
      </c>
      <c r="B39" s="75">
        <v>0</v>
      </c>
      <c r="C39" s="75">
        <v>0</v>
      </c>
      <c r="D39" s="75">
        <v>0</v>
      </c>
      <c r="E39" s="75">
        <v>55</v>
      </c>
      <c r="F39" s="75">
        <f t="shared" ref="F39:AB39" si="12">F40+F41</f>
        <v>0</v>
      </c>
      <c r="G39" s="75">
        <f t="shared" si="12"/>
        <v>0</v>
      </c>
      <c r="H39" s="75">
        <f t="shared" si="12"/>
        <v>0</v>
      </c>
      <c r="I39" s="75">
        <v>0</v>
      </c>
      <c r="J39" s="75">
        <v>0</v>
      </c>
      <c r="K39" s="75">
        <v>300</v>
      </c>
      <c r="L39" s="75">
        <f t="shared" si="12"/>
        <v>2424</v>
      </c>
      <c r="M39" s="75">
        <f t="shared" si="12"/>
        <v>200</v>
      </c>
      <c r="N39" s="75">
        <f t="shared" si="12"/>
        <v>0</v>
      </c>
      <c r="O39" s="75">
        <v>0</v>
      </c>
      <c r="P39" s="75">
        <f t="shared" si="12"/>
        <v>0</v>
      </c>
      <c r="Q39" s="75">
        <f t="shared" si="12"/>
        <v>0</v>
      </c>
      <c r="R39" s="75">
        <v>0</v>
      </c>
      <c r="S39" s="75">
        <v>0</v>
      </c>
      <c r="T39" s="75">
        <f t="shared" si="12"/>
        <v>0</v>
      </c>
      <c r="U39" s="75">
        <f t="shared" si="12"/>
        <v>0</v>
      </c>
      <c r="V39" s="75">
        <v>0</v>
      </c>
      <c r="W39" s="75">
        <v>0</v>
      </c>
      <c r="X39" s="75">
        <f t="shared" si="12"/>
        <v>0</v>
      </c>
      <c r="Y39" s="75">
        <f t="shared" si="12"/>
        <v>0</v>
      </c>
      <c r="Z39" s="75">
        <v>2979</v>
      </c>
      <c r="AA39" s="75">
        <f t="shared" si="12"/>
        <v>0</v>
      </c>
      <c r="AB39" s="75">
        <f t="shared" si="12"/>
        <v>2979</v>
      </c>
    </row>
    <row r="40" spans="1:28" s="53" customFormat="1" ht="12" customHeight="1" x14ac:dyDescent="0.2">
      <c r="A40" s="59">
        <v>25</v>
      </c>
      <c r="B40" s="60"/>
      <c r="C40" s="60"/>
      <c r="D40" s="60"/>
      <c r="E40" s="60">
        <v>55</v>
      </c>
      <c r="F40" s="60"/>
      <c r="G40" s="57"/>
      <c r="H40" s="60"/>
      <c r="I40" s="60"/>
      <c r="J40" s="60"/>
      <c r="K40" s="60">
        <v>293</v>
      </c>
      <c r="L40" s="60">
        <v>2400</v>
      </c>
      <c r="M40" s="60">
        <v>200</v>
      </c>
      <c r="N40" s="60"/>
      <c r="O40" s="60"/>
      <c r="P40" s="60"/>
      <c r="Q40" s="60"/>
      <c r="R40" s="60"/>
      <c r="S40" s="57"/>
      <c r="T40" s="57"/>
      <c r="U40" s="60"/>
      <c r="V40" s="60"/>
      <c r="W40" s="60"/>
      <c r="X40" s="60"/>
      <c r="Y40" s="60"/>
      <c r="Z40" s="57">
        <v>2948</v>
      </c>
      <c r="AA40" s="73"/>
      <c r="AB40" s="77">
        <f>Z40+AA40</f>
        <v>2948</v>
      </c>
    </row>
    <row r="41" spans="1:28" s="53" customFormat="1" ht="12" customHeight="1" x14ac:dyDescent="0.2">
      <c r="A41" s="59">
        <v>26</v>
      </c>
      <c r="B41" s="60"/>
      <c r="C41" s="60"/>
      <c r="D41" s="60"/>
      <c r="E41" s="60"/>
      <c r="F41" s="60"/>
      <c r="G41" s="64"/>
      <c r="H41" s="60"/>
      <c r="I41" s="60"/>
      <c r="J41" s="60"/>
      <c r="K41" s="60">
        <v>7</v>
      </c>
      <c r="L41" s="60">
        <v>24</v>
      </c>
      <c r="M41" s="60"/>
      <c r="N41" s="60"/>
      <c r="O41" s="60"/>
      <c r="P41" s="60"/>
      <c r="Q41" s="60"/>
      <c r="R41" s="60"/>
      <c r="S41" s="57"/>
      <c r="T41" s="57"/>
      <c r="U41" s="60"/>
      <c r="V41" s="60"/>
      <c r="W41" s="60"/>
      <c r="X41" s="60"/>
      <c r="Y41" s="60"/>
      <c r="Z41" s="57">
        <v>31</v>
      </c>
      <c r="AA41" s="73"/>
      <c r="AB41" s="77">
        <f>Z41+AA41</f>
        <v>31</v>
      </c>
    </row>
    <row r="42" spans="1:28" s="53" customFormat="1" ht="12" customHeight="1" x14ac:dyDescent="0.2">
      <c r="A42" s="74" t="s">
        <v>278</v>
      </c>
      <c r="B42" s="75">
        <v>0</v>
      </c>
      <c r="C42" s="75">
        <v>0</v>
      </c>
      <c r="D42" s="75">
        <v>0</v>
      </c>
      <c r="E42" s="75">
        <v>40</v>
      </c>
      <c r="F42" s="75">
        <f t="shared" ref="F42:AB42" si="13">F43+F44+F45</f>
        <v>0</v>
      </c>
      <c r="G42" s="75">
        <f t="shared" si="13"/>
        <v>0</v>
      </c>
      <c r="H42" s="75">
        <f t="shared" si="13"/>
        <v>0</v>
      </c>
      <c r="I42" s="75">
        <v>0</v>
      </c>
      <c r="J42" s="75">
        <v>0</v>
      </c>
      <c r="K42" s="75">
        <v>0</v>
      </c>
      <c r="L42" s="75">
        <f t="shared" si="13"/>
        <v>0</v>
      </c>
      <c r="M42" s="75">
        <f t="shared" si="13"/>
        <v>0</v>
      </c>
      <c r="N42" s="75">
        <f t="shared" si="13"/>
        <v>0</v>
      </c>
      <c r="O42" s="75">
        <v>0</v>
      </c>
      <c r="P42" s="75">
        <f t="shared" si="13"/>
        <v>0</v>
      </c>
      <c r="Q42" s="75">
        <f t="shared" si="13"/>
        <v>0</v>
      </c>
      <c r="R42" s="75">
        <v>0</v>
      </c>
      <c r="S42" s="75">
        <v>0</v>
      </c>
      <c r="T42" s="75">
        <f t="shared" si="13"/>
        <v>0</v>
      </c>
      <c r="U42" s="75">
        <f t="shared" si="13"/>
        <v>0</v>
      </c>
      <c r="V42" s="75">
        <v>0</v>
      </c>
      <c r="W42" s="75">
        <v>0</v>
      </c>
      <c r="X42" s="75">
        <f t="shared" si="13"/>
        <v>0</v>
      </c>
      <c r="Y42" s="75">
        <f t="shared" si="13"/>
        <v>0</v>
      </c>
      <c r="Z42" s="75">
        <v>40</v>
      </c>
      <c r="AA42" s="75">
        <f t="shared" si="13"/>
        <v>0</v>
      </c>
      <c r="AB42" s="75">
        <f t="shared" si="13"/>
        <v>40</v>
      </c>
    </row>
    <row r="43" spans="1:28" s="53" customFormat="1" ht="12" customHeight="1" x14ac:dyDescent="0.2">
      <c r="A43" s="59">
        <v>27</v>
      </c>
      <c r="B43" s="57"/>
      <c r="C43" s="57"/>
      <c r="D43" s="57"/>
      <c r="E43" s="60">
        <v>3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>
        <v>3</v>
      </c>
      <c r="AA43" s="73"/>
      <c r="AB43" s="77">
        <f>Z43+AA43</f>
        <v>3</v>
      </c>
    </row>
    <row r="44" spans="1:28" s="53" customFormat="1" ht="12" customHeight="1" x14ac:dyDescent="0.2">
      <c r="A44" s="59">
        <v>28</v>
      </c>
      <c r="B44" s="60"/>
      <c r="C44" s="60"/>
      <c r="D44" s="60"/>
      <c r="E44" s="60">
        <v>37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57"/>
      <c r="T44" s="57"/>
      <c r="U44" s="60"/>
      <c r="V44" s="60"/>
      <c r="W44" s="60"/>
      <c r="X44" s="60"/>
      <c r="Y44" s="60"/>
      <c r="Z44" s="57">
        <v>37</v>
      </c>
      <c r="AA44" s="73"/>
      <c r="AB44" s="77">
        <f>Z44+AA44</f>
        <v>37</v>
      </c>
    </row>
    <row r="45" spans="1:28" s="53" customFormat="1" ht="12" customHeight="1" x14ac:dyDescent="0.2">
      <c r="A45" s="56">
        <v>29</v>
      </c>
      <c r="B45" s="64"/>
      <c r="C45" s="64"/>
      <c r="D45" s="64"/>
      <c r="E45" s="64"/>
      <c r="F45" s="64"/>
      <c r="G45" s="66"/>
      <c r="H45" s="64"/>
      <c r="I45" s="64"/>
      <c r="J45" s="64"/>
      <c r="K45" s="66"/>
      <c r="L45" s="66"/>
      <c r="M45" s="66"/>
      <c r="N45" s="66"/>
      <c r="O45" s="64"/>
      <c r="P45" s="64"/>
      <c r="Q45" s="66"/>
      <c r="R45" s="64"/>
      <c r="S45" s="57"/>
      <c r="T45" s="57"/>
      <c r="U45" s="66"/>
      <c r="V45" s="64"/>
      <c r="W45" s="64"/>
      <c r="X45" s="64"/>
      <c r="Y45" s="64"/>
      <c r="Z45" s="57">
        <v>0</v>
      </c>
      <c r="AA45" s="73"/>
      <c r="AB45" s="77">
        <f>Z45+AA45</f>
        <v>0</v>
      </c>
    </row>
    <row r="46" spans="1:28" s="53" customFormat="1" ht="12" customHeight="1" x14ac:dyDescent="0.2">
      <c r="A46" s="74" t="s">
        <v>279</v>
      </c>
      <c r="B46" s="75">
        <v>200</v>
      </c>
      <c r="C46" s="75">
        <v>0</v>
      </c>
      <c r="D46" s="75">
        <v>0</v>
      </c>
      <c r="E46" s="75">
        <v>0</v>
      </c>
      <c r="F46" s="75">
        <f t="shared" ref="F46:AB46" si="14">F47</f>
        <v>0</v>
      </c>
      <c r="G46" s="75">
        <f t="shared" si="14"/>
        <v>0</v>
      </c>
      <c r="H46" s="75">
        <f t="shared" si="14"/>
        <v>0</v>
      </c>
      <c r="I46" s="75">
        <v>0</v>
      </c>
      <c r="J46" s="75">
        <v>0</v>
      </c>
      <c r="K46" s="75">
        <v>0</v>
      </c>
      <c r="L46" s="75">
        <f t="shared" si="14"/>
        <v>0</v>
      </c>
      <c r="M46" s="75">
        <f t="shared" si="14"/>
        <v>0</v>
      </c>
      <c r="N46" s="75">
        <f t="shared" si="14"/>
        <v>100</v>
      </c>
      <c r="O46" s="75">
        <v>0</v>
      </c>
      <c r="P46" s="75">
        <f t="shared" si="14"/>
        <v>0</v>
      </c>
      <c r="Q46" s="75">
        <f t="shared" si="14"/>
        <v>0</v>
      </c>
      <c r="R46" s="75">
        <v>0</v>
      </c>
      <c r="S46" s="75">
        <v>0</v>
      </c>
      <c r="T46" s="75">
        <f t="shared" si="14"/>
        <v>0</v>
      </c>
      <c r="U46" s="75">
        <f t="shared" si="14"/>
        <v>0</v>
      </c>
      <c r="V46" s="75">
        <v>65</v>
      </c>
      <c r="W46" s="75">
        <v>0</v>
      </c>
      <c r="X46" s="75">
        <f t="shared" si="14"/>
        <v>0</v>
      </c>
      <c r="Y46" s="75">
        <f t="shared" si="14"/>
        <v>40</v>
      </c>
      <c r="Z46" s="75">
        <v>405</v>
      </c>
      <c r="AA46" s="75">
        <f t="shared" si="14"/>
        <v>0</v>
      </c>
      <c r="AB46" s="75">
        <f t="shared" si="14"/>
        <v>405</v>
      </c>
    </row>
    <row r="47" spans="1:28" s="53" customFormat="1" ht="12" customHeight="1" x14ac:dyDescent="0.2">
      <c r="A47" s="69">
        <v>30</v>
      </c>
      <c r="B47" s="57">
        <v>200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>
        <v>100</v>
      </c>
      <c r="O47" s="57"/>
      <c r="P47" s="57"/>
      <c r="Q47" s="57"/>
      <c r="R47" s="57"/>
      <c r="S47" s="57"/>
      <c r="T47" s="57"/>
      <c r="U47" s="57"/>
      <c r="V47" s="64">
        <v>65</v>
      </c>
      <c r="W47" s="57"/>
      <c r="X47" s="57"/>
      <c r="Y47" s="57">
        <v>40</v>
      </c>
      <c r="Z47" s="57">
        <v>405</v>
      </c>
      <c r="AA47" s="73"/>
      <c r="AB47" s="77">
        <f>Z47+AA47</f>
        <v>405</v>
      </c>
    </row>
    <row r="48" spans="1:28" s="53" customFormat="1" ht="12" customHeight="1" x14ac:dyDescent="0.2">
      <c r="A48" s="74" t="s">
        <v>280</v>
      </c>
      <c r="B48" s="75">
        <v>323</v>
      </c>
      <c r="C48" s="75">
        <v>0</v>
      </c>
      <c r="D48" s="75">
        <v>3318</v>
      </c>
      <c r="E48" s="75">
        <v>0</v>
      </c>
      <c r="F48" s="75">
        <f t="shared" ref="F48:Q48" si="15">SUM(F49:F59)</f>
        <v>0</v>
      </c>
      <c r="G48" s="75">
        <f t="shared" si="15"/>
        <v>0</v>
      </c>
      <c r="H48" s="75">
        <f t="shared" si="15"/>
        <v>0</v>
      </c>
      <c r="I48" s="75">
        <v>788</v>
      </c>
      <c r="J48" s="75">
        <v>571</v>
      </c>
      <c r="K48" s="75">
        <v>0</v>
      </c>
      <c r="L48" s="75">
        <f t="shared" si="15"/>
        <v>0</v>
      </c>
      <c r="M48" s="75">
        <f t="shared" si="15"/>
        <v>0</v>
      </c>
      <c r="N48" s="75">
        <f t="shared" si="15"/>
        <v>0</v>
      </c>
      <c r="O48" s="75">
        <v>0</v>
      </c>
      <c r="P48" s="75">
        <f t="shared" si="15"/>
        <v>255</v>
      </c>
      <c r="Q48" s="75">
        <f t="shared" si="15"/>
        <v>0</v>
      </c>
      <c r="R48" s="75">
        <v>206</v>
      </c>
      <c r="S48" s="75">
        <v>113</v>
      </c>
      <c r="T48" s="75">
        <f t="shared" ref="T48:AB48" si="16">SUM(T49:T59)</f>
        <v>0</v>
      </c>
      <c r="U48" s="75">
        <f t="shared" si="16"/>
        <v>0</v>
      </c>
      <c r="V48" s="75">
        <v>371</v>
      </c>
      <c r="W48" s="75">
        <v>242</v>
      </c>
      <c r="X48" s="75">
        <f t="shared" si="16"/>
        <v>0</v>
      </c>
      <c r="Y48" s="75">
        <f t="shared" si="16"/>
        <v>599</v>
      </c>
      <c r="Z48" s="75">
        <v>6786</v>
      </c>
      <c r="AA48" s="75">
        <f t="shared" si="16"/>
        <v>0</v>
      </c>
      <c r="AB48" s="75">
        <f t="shared" si="16"/>
        <v>6786</v>
      </c>
    </row>
    <row r="49" spans="1:28" s="53" customFormat="1" ht="12" customHeight="1" x14ac:dyDescent="0.2">
      <c r="A49" s="59">
        <v>31</v>
      </c>
      <c r="B49" s="70">
        <v>43</v>
      </c>
      <c r="C49" s="70"/>
      <c r="D49" s="60">
        <v>381</v>
      </c>
      <c r="E49" s="70"/>
      <c r="F49" s="70"/>
      <c r="G49" s="71"/>
      <c r="H49" s="70"/>
      <c r="I49" s="70">
        <v>283</v>
      </c>
      <c r="J49" s="70">
        <v>244</v>
      </c>
      <c r="K49" s="71"/>
      <c r="L49" s="71"/>
      <c r="M49" s="71"/>
      <c r="N49" s="71"/>
      <c r="O49" s="70"/>
      <c r="P49" s="60">
        <f>0+35</f>
        <v>35</v>
      </c>
      <c r="Q49" s="71"/>
      <c r="R49" s="70">
        <v>121</v>
      </c>
      <c r="S49" s="57">
        <v>36</v>
      </c>
      <c r="T49" s="57"/>
      <c r="U49" s="71"/>
      <c r="V49" s="70">
        <v>244</v>
      </c>
      <c r="W49" s="60">
        <v>148</v>
      </c>
      <c r="X49" s="70"/>
      <c r="Y49" s="70">
        <f>100+6+10</f>
        <v>116</v>
      </c>
      <c r="Z49" s="57">
        <v>1651</v>
      </c>
      <c r="AA49" s="72">
        <f>55-35-20</f>
        <v>0</v>
      </c>
      <c r="AB49" s="77">
        <f t="shared" ref="AB49:AB59" si="17">Z49+AA49</f>
        <v>1651</v>
      </c>
    </row>
    <row r="50" spans="1:28" s="53" customFormat="1" ht="12" customHeight="1" x14ac:dyDescent="0.2">
      <c r="A50" s="59">
        <v>32</v>
      </c>
      <c r="B50" s="60">
        <v>38</v>
      </c>
      <c r="C50" s="60"/>
      <c r="D50" s="60">
        <v>130</v>
      </c>
      <c r="E50" s="60"/>
      <c r="F50" s="60"/>
      <c r="G50" s="60"/>
      <c r="H50" s="60"/>
      <c r="I50" s="60">
        <v>85</v>
      </c>
      <c r="J50" s="60">
        <v>71</v>
      </c>
      <c r="K50" s="60"/>
      <c r="L50" s="60"/>
      <c r="M50" s="60"/>
      <c r="N50" s="60"/>
      <c r="O50" s="60"/>
      <c r="P50" s="60">
        <f>0+50-2+30</f>
        <v>78</v>
      </c>
      <c r="Q50" s="60"/>
      <c r="R50" s="60">
        <v>62</v>
      </c>
      <c r="S50" s="57">
        <v>10</v>
      </c>
      <c r="T50" s="57"/>
      <c r="U50" s="60"/>
      <c r="V50" s="60">
        <v>25</v>
      </c>
      <c r="W50" s="60">
        <v>31</v>
      </c>
      <c r="X50" s="60"/>
      <c r="Y50" s="70">
        <f>20+11+8+16</f>
        <v>55</v>
      </c>
      <c r="Z50" s="57">
        <v>585</v>
      </c>
      <c r="AA50" s="72">
        <f>60-50-10</f>
        <v>0</v>
      </c>
      <c r="AB50" s="77">
        <f t="shared" si="17"/>
        <v>585</v>
      </c>
    </row>
    <row r="51" spans="1:28" s="53" customFormat="1" ht="12" customHeight="1" x14ac:dyDescent="0.2">
      <c r="A51" s="59">
        <v>33</v>
      </c>
      <c r="B51" s="60">
        <v>12</v>
      </c>
      <c r="C51" s="60"/>
      <c r="D51" s="60">
        <v>54</v>
      </c>
      <c r="E51" s="60"/>
      <c r="F51" s="60"/>
      <c r="G51" s="62"/>
      <c r="H51" s="60"/>
      <c r="I51" s="70">
        <v>21</v>
      </c>
      <c r="J51" s="60">
        <v>12</v>
      </c>
      <c r="K51" s="62"/>
      <c r="L51" s="62"/>
      <c r="M51" s="62"/>
      <c r="N51" s="62"/>
      <c r="O51" s="60"/>
      <c r="P51" s="60">
        <f>0+15</f>
        <v>15</v>
      </c>
      <c r="Q51" s="62"/>
      <c r="R51" s="60">
        <v>23</v>
      </c>
      <c r="S51" s="57">
        <v>6</v>
      </c>
      <c r="T51" s="57"/>
      <c r="U51" s="62"/>
      <c r="V51" s="60">
        <v>2</v>
      </c>
      <c r="W51" s="60">
        <v>9</v>
      </c>
      <c r="X51" s="60"/>
      <c r="Y51" s="60">
        <f>5+1+3+5</f>
        <v>14</v>
      </c>
      <c r="Z51" s="57">
        <v>168</v>
      </c>
      <c r="AA51" s="72">
        <f>18-15-3</f>
        <v>0</v>
      </c>
      <c r="AB51" s="77">
        <f t="shared" si="17"/>
        <v>168</v>
      </c>
    </row>
    <row r="52" spans="1:28" s="53" customFormat="1" ht="12" customHeight="1" x14ac:dyDescent="0.2">
      <c r="A52" s="59">
        <v>34</v>
      </c>
      <c r="B52" s="60">
        <v>109</v>
      </c>
      <c r="C52" s="60"/>
      <c r="D52" s="60">
        <v>568</v>
      </c>
      <c r="E52" s="60"/>
      <c r="F52" s="60"/>
      <c r="G52" s="62"/>
      <c r="H52" s="60"/>
      <c r="I52" s="70">
        <v>289</v>
      </c>
      <c r="J52" s="60">
        <v>202</v>
      </c>
      <c r="K52" s="62"/>
      <c r="L52" s="62"/>
      <c r="M52" s="62"/>
      <c r="N52" s="62"/>
      <c r="O52" s="60"/>
      <c r="P52" s="60">
        <f>0+25</f>
        <v>25</v>
      </c>
      <c r="Q52" s="62"/>
      <c r="R52" s="60"/>
      <c r="S52" s="57">
        <v>46</v>
      </c>
      <c r="T52" s="57"/>
      <c r="U52" s="62"/>
      <c r="V52" s="60">
        <v>91</v>
      </c>
      <c r="W52" s="60">
        <v>37</v>
      </c>
      <c r="X52" s="60"/>
      <c r="Y52" s="60">
        <v>253</v>
      </c>
      <c r="Z52" s="57">
        <v>1620</v>
      </c>
      <c r="AA52" s="72">
        <f>95-25-70</f>
        <v>0</v>
      </c>
      <c r="AB52" s="77">
        <f t="shared" si="17"/>
        <v>1620</v>
      </c>
    </row>
    <row r="53" spans="1:28" s="53" customFormat="1" ht="12" customHeight="1" x14ac:dyDescent="0.2">
      <c r="A53" s="59">
        <v>35</v>
      </c>
      <c r="B53" s="60">
        <v>95</v>
      </c>
      <c r="C53" s="60"/>
      <c r="D53" s="60">
        <v>228</v>
      </c>
      <c r="E53" s="60"/>
      <c r="F53" s="60"/>
      <c r="G53" s="60"/>
      <c r="H53" s="60"/>
      <c r="I53" s="70">
        <v>77</v>
      </c>
      <c r="J53" s="60">
        <v>34</v>
      </c>
      <c r="K53" s="60"/>
      <c r="L53" s="60"/>
      <c r="M53" s="60"/>
      <c r="N53" s="60"/>
      <c r="O53" s="60"/>
      <c r="P53" s="60">
        <f>0+40+44</f>
        <v>84</v>
      </c>
      <c r="Q53" s="60"/>
      <c r="R53" s="60"/>
      <c r="S53" s="57">
        <v>11</v>
      </c>
      <c r="T53" s="57"/>
      <c r="U53" s="60"/>
      <c r="V53" s="60">
        <v>9</v>
      </c>
      <c r="W53" s="60">
        <v>13</v>
      </c>
      <c r="X53" s="60"/>
      <c r="Y53" s="60">
        <f>40+8</f>
        <v>48</v>
      </c>
      <c r="Z53" s="57">
        <v>599</v>
      </c>
      <c r="AA53" s="72">
        <f>60-40-20</f>
        <v>0</v>
      </c>
      <c r="AB53" s="77">
        <f t="shared" si="17"/>
        <v>599</v>
      </c>
    </row>
    <row r="54" spans="1:28" s="53" customFormat="1" ht="12" customHeight="1" x14ac:dyDescent="0.2">
      <c r="A54" s="59">
        <v>36</v>
      </c>
      <c r="B54" s="60">
        <v>26</v>
      </c>
      <c r="C54" s="60"/>
      <c r="D54" s="60">
        <v>76</v>
      </c>
      <c r="E54" s="60"/>
      <c r="F54" s="60"/>
      <c r="G54" s="60"/>
      <c r="H54" s="60"/>
      <c r="I54" s="70">
        <v>13</v>
      </c>
      <c r="J54" s="60">
        <v>8</v>
      </c>
      <c r="K54" s="60"/>
      <c r="L54" s="60"/>
      <c r="M54" s="60"/>
      <c r="N54" s="60"/>
      <c r="O54" s="60"/>
      <c r="P54" s="60">
        <f>0+10+2</f>
        <v>12</v>
      </c>
      <c r="Q54" s="60"/>
      <c r="R54" s="60"/>
      <c r="S54" s="57">
        <v>4</v>
      </c>
      <c r="T54" s="57"/>
      <c r="U54" s="60"/>
      <c r="V54" s="60"/>
      <c r="W54" s="60">
        <v>4</v>
      </c>
      <c r="X54" s="60"/>
      <c r="Y54" s="70">
        <f>5+1+1+3</f>
        <v>10</v>
      </c>
      <c r="Z54" s="57">
        <v>153</v>
      </c>
      <c r="AA54" s="72">
        <f>20-10-10</f>
        <v>0</v>
      </c>
      <c r="AB54" s="77">
        <f t="shared" si="17"/>
        <v>153</v>
      </c>
    </row>
    <row r="55" spans="1:28" s="53" customFormat="1" ht="12" customHeight="1" x14ac:dyDescent="0.2">
      <c r="A55" s="59">
        <v>37</v>
      </c>
      <c r="B55" s="60"/>
      <c r="C55" s="60"/>
      <c r="D55" s="60">
        <v>403</v>
      </c>
      <c r="E55" s="60"/>
      <c r="F55" s="60"/>
      <c r="G55" s="62"/>
      <c r="H55" s="60"/>
      <c r="I55" s="70">
        <v>20</v>
      </c>
      <c r="J55" s="60"/>
      <c r="K55" s="62"/>
      <c r="L55" s="62"/>
      <c r="M55" s="62"/>
      <c r="N55" s="62"/>
      <c r="O55" s="60"/>
      <c r="P55" s="60"/>
      <c r="Q55" s="62"/>
      <c r="R55" s="60"/>
      <c r="S55" s="57"/>
      <c r="T55" s="57"/>
      <c r="U55" s="62"/>
      <c r="V55" s="60"/>
      <c r="W55" s="60"/>
      <c r="X55" s="60"/>
      <c r="Y55" s="60"/>
      <c r="Z55" s="57">
        <v>423</v>
      </c>
      <c r="AA55" s="72"/>
      <c r="AB55" s="77">
        <f t="shared" si="17"/>
        <v>423</v>
      </c>
    </row>
    <row r="56" spans="1:28" s="53" customFormat="1" ht="12" customHeight="1" x14ac:dyDescent="0.2">
      <c r="A56" s="59">
        <v>38</v>
      </c>
      <c r="B56" s="60"/>
      <c r="C56" s="60"/>
      <c r="D56" s="60">
        <v>303</v>
      </c>
      <c r="E56" s="60"/>
      <c r="F56" s="60"/>
      <c r="G56" s="62"/>
      <c r="H56" s="60"/>
      <c r="I56" s="60"/>
      <c r="J56" s="60"/>
      <c r="K56" s="62"/>
      <c r="L56" s="62"/>
      <c r="M56" s="62"/>
      <c r="N56" s="62"/>
      <c r="O56" s="60"/>
      <c r="P56" s="60">
        <f>0+4</f>
        <v>4</v>
      </c>
      <c r="Q56" s="62"/>
      <c r="R56" s="60"/>
      <c r="S56" s="57"/>
      <c r="T56" s="57"/>
      <c r="U56" s="62"/>
      <c r="V56" s="60"/>
      <c r="W56" s="60"/>
      <c r="X56" s="60"/>
      <c r="Y56" s="60">
        <v>10</v>
      </c>
      <c r="Z56" s="57">
        <v>317</v>
      </c>
      <c r="AA56" s="73"/>
      <c r="AB56" s="77">
        <f t="shared" si="17"/>
        <v>317</v>
      </c>
    </row>
    <row r="57" spans="1:28" s="53" customFormat="1" ht="12" customHeight="1" x14ac:dyDescent="0.2">
      <c r="A57" s="59">
        <v>39</v>
      </c>
      <c r="B57" s="60"/>
      <c r="C57" s="60"/>
      <c r="D57" s="60">
        <v>2</v>
      </c>
      <c r="E57" s="60"/>
      <c r="F57" s="60"/>
      <c r="G57" s="62"/>
      <c r="H57" s="60"/>
      <c r="I57" s="60"/>
      <c r="J57" s="60"/>
      <c r="K57" s="62"/>
      <c r="L57" s="62"/>
      <c r="M57" s="62"/>
      <c r="N57" s="62"/>
      <c r="O57" s="60"/>
      <c r="P57" s="60"/>
      <c r="Q57" s="62"/>
      <c r="R57" s="60"/>
      <c r="S57" s="57"/>
      <c r="T57" s="57"/>
      <c r="U57" s="62"/>
      <c r="V57" s="60"/>
      <c r="W57" s="60"/>
      <c r="X57" s="60"/>
      <c r="Y57" s="60"/>
      <c r="Z57" s="57">
        <v>2</v>
      </c>
      <c r="AA57" s="73"/>
      <c r="AB57" s="77">
        <f t="shared" si="17"/>
        <v>2</v>
      </c>
    </row>
    <row r="58" spans="1:28" s="53" customFormat="1" ht="12" customHeight="1" x14ac:dyDescent="0.2">
      <c r="A58" s="59">
        <v>40</v>
      </c>
      <c r="B58" s="60"/>
      <c r="C58" s="60"/>
      <c r="D58" s="60">
        <v>752</v>
      </c>
      <c r="E58" s="60"/>
      <c r="F58" s="60"/>
      <c r="G58" s="62"/>
      <c r="H58" s="60"/>
      <c r="I58" s="60"/>
      <c r="J58" s="60"/>
      <c r="K58" s="62"/>
      <c r="L58" s="62"/>
      <c r="M58" s="62"/>
      <c r="N58" s="62"/>
      <c r="O58" s="60"/>
      <c r="P58" s="60">
        <f>0+2</f>
        <v>2</v>
      </c>
      <c r="Q58" s="62"/>
      <c r="R58" s="60"/>
      <c r="S58" s="57"/>
      <c r="T58" s="57"/>
      <c r="U58" s="62"/>
      <c r="V58" s="60"/>
      <c r="W58" s="60"/>
      <c r="X58" s="60"/>
      <c r="Y58" s="60">
        <f>10-3</f>
        <v>7</v>
      </c>
      <c r="Z58" s="57">
        <v>761</v>
      </c>
      <c r="AA58" s="73"/>
      <c r="AB58" s="77">
        <f t="shared" si="17"/>
        <v>761</v>
      </c>
    </row>
    <row r="59" spans="1:28" s="53" customFormat="1" ht="12" customHeight="1" x14ac:dyDescent="0.2">
      <c r="A59" s="59">
        <v>41</v>
      </c>
      <c r="B59" s="57"/>
      <c r="C59" s="57"/>
      <c r="D59" s="60">
        <v>421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>
        <f>70+15+1</f>
        <v>86</v>
      </c>
      <c r="Z59" s="57">
        <v>507</v>
      </c>
      <c r="AA59" s="73"/>
      <c r="AB59" s="77">
        <f t="shared" si="17"/>
        <v>507</v>
      </c>
    </row>
    <row r="60" spans="1:28" s="53" customFormat="1" ht="12" customHeight="1" x14ac:dyDescent="0.2">
      <c r="A60" s="74" t="s">
        <v>281</v>
      </c>
      <c r="B60" s="75">
        <v>25</v>
      </c>
      <c r="C60" s="75">
        <v>0</v>
      </c>
      <c r="D60" s="75">
        <v>0</v>
      </c>
      <c r="E60" s="75">
        <v>0</v>
      </c>
      <c r="F60" s="75">
        <f t="shared" ref="F60:AB60" si="18">F61+F62</f>
        <v>0</v>
      </c>
      <c r="G60" s="75">
        <f t="shared" si="18"/>
        <v>0</v>
      </c>
      <c r="H60" s="75">
        <f t="shared" si="18"/>
        <v>0</v>
      </c>
      <c r="I60" s="75">
        <v>0</v>
      </c>
      <c r="J60" s="75">
        <v>0</v>
      </c>
      <c r="K60" s="75">
        <v>0</v>
      </c>
      <c r="L60" s="75">
        <f t="shared" si="18"/>
        <v>0</v>
      </c>
      <c r="M60" s="75">
        <f t="shared" si="18"/>
        <v>0</v>
      </c>
      <c r="N60" s="75">
        <f t="shared" si="18"/>
        <v>0</v>
      </c>
      <c r="O60" s="75">
        <v>0</v>
      </c>
      <c r="P60" s="75">
        <f t="shared" si="18"/>
        <v>0</v>
      </c>
      <c r="Q60" s="75">
        <f t="shared" si="18"/>
        <v>0</v>
      </c>
      <c r="R60" s="75">
        <v>0</v>
      </c>
      <c r="S60" s="75">
        <v>0</v>
      </c>
      <c r="T60" s="75">
        <f t="shared" si="18"/>
        <v>0</v>
      </c>
      <c r="U60" s="75">
        <f t="shared" si="18"/>
        <v>0</v>
      </c>
      <c r="V60" s="75">
        <v>0</v>
      </c>
      <c r="W60" s="75">
        <v>0</v>
      </c>
      <c r="X60" s="75">
        <f t="shared" si="18"/>
        <v>0</v>
      </c>
      <c r="Y60" s="75">
        <f t="shared" si="18"/>
        <v>47</v>
      </c>
      <c r="Z60" s="75">
        <v>72</v>
      </c>
      <c r="AA60" s="75">
        <f t="shared" si="18"/>
        <v>0</v>
      </c>
      <c r="AB60" s="75">
        <f t="shared" si="18"/>
        <v>72</v>
      </c>
    </row>
    <row r="61" spans="1:28" s="53" customFormat="1" ht="12" customHeight="1" x14ac:dyDescent="0.2">
      <c r="A61" s="59">
        <v>42</v>
      </c>
      <c r="B61" s="57">
        <v>18</v>
      </c>
      <c r="C61" s="60"/>
      <c r="D61" s="60"/>
      <c r="E61" s="60"/>
      <c r="F61" s="60"/>
      <c r="G61" s="62"/>
      <c r="H61" s="60"/>
      <c r="I61" s="60"/>
      <c r="J61" s="60"/>
      <c r="K61" s="62"/>
      <c r="L61" s="62"/>
      <c r="M61" s="62"/>
      <c r="N61" s="62"/>
      <c r="O61" s="60"/>
      <c r="P61" s="60"/>
      <c r="Q61" s="62"/>
      <c r="R61" s="60"/>
      <c r="S61" s="57"/>
      <c r="T61" s="57"/>
      <c r="U61" s="62"/>
      <c r="V61" s="60"/>
      <c r="W61" s="60"/>
      <c r="X61" s="60"/>
      <c r="Y61" s="60">
        <f>50-3</f>
        <v>47</v>
      </c>
      <c r="Z61" s="57">
        <v>65</v>
      </c>
      <c r="AA61" s="73"/>
      <c r="AB61" s="77">
        <f>Z61+AA61</f>
        <v>65</v>
      </c>
    </row>
    <row r="62" spans="1:28" s="53" customFormat="1" ht="12" customHeight="1" x14ac:dyDescent="0.2">
      <c r="A62" s="59">
        <v>43</v>
      </c>
      <c r="B62" s="57">
        <v>7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>
        <v>7</v>
      </c>
      <c r="AA62" s="73"/>
      <c r="AB62" s="77">
        <f>Z62+AA62</f>
        <v>7</v>
      </c>
    </row>
    <row r="63" spans="1:28" s="53" customFormat="1" ht="12" customHeight="1" x14ac:dyDescent="0.2">
      <c r="A63" s="74" t="s">
        <v>282</v>
      </c>
      <c r="B63" s="75">
        <v>357</v>
      </c>
      <c r="C63" s="75">
        <v>0</v>
      </c>
      <c r="D63" s="75">
        <v>0</v>
      </c>
      <c r="E63" s="75">
        <v>59</v>
      </c>
      <c r="F63" s="75">
        <f t="shared" ref="F63:AB63" si="19">SUM(F64:F69)</f>
        <v>0</v>
      </c>
      <c r="G63" s="75">
        <f t="shared" si="19"/>
        <v>0</v>
      </c>
      <c r="H63" s="75">
        <f t="shared" si="19"/>
        <v>216</v>
      </c>
      <c r="I63" s="75">
        <v>196</v>
      </c>
      <c r="J63" s="75">
        <v>202</v>
      </c>
      <c r="K63" s="75">
        <v>0</v>
      </c>
      <c r="L63" s="75">
        <f t="shared" si="19"/>
        <v>0</v>
      </c>
      <c r="M63" s="75">
        <f t="shared" si="19"/>
        <v>0</v>
      </c>
      <c r="N63" s="75">
        <f t="shared" si="19"/>
        <v>59</v>
      </c>
      <c r="O63" s="75">
        <v>258</v>
      </c>
      <c r="P63" s="75">
        <f t="shared" si="19"/>
        <v>210</v>
      </c>
      <c r="Q63" s="75">
        <f t="shared" si="19"/>
        <v>0</v>
      </c>
      <c r="R63" s="75">
        <v>34</v>
      </c>
      <c r="S63" s="75">
        <v>0</v>
      </c>
      <c r="T63" s="75">
        <f t="shared" si="19"/>
        <v>25</v>
      </c>
      <c r="U63" s="75">
        <f t="shared" si="19"/>
        <v>20</v>
      </c>
      <c r="V63" s="75">
        <v>132</v>
      </c>
      <c r="W63" s="75">
        <v>15</v>
      </c>
      <c r="X63" s="75">
        <f t="shared" si="19"/>
        <v>0</v>
      </c>
      <c r="Y63" s="75">
        <f t="shared" si="19"/>
        <v>50</v>
      </c>
      <c r="Z63" s="75">
        <v>1833</v>
      </c>
      <c r="AA63" s="75">
        <f t="shared" si="19"/>
        <v>0</v>
      </c>
      <c r="AB63" s="75">
        <f t="shared" si="19"/>
        <v>1833</v>
      </c>
    </row>
    <row r="64" spans="1:28" s="53" customFormat="1" ht="12" customHeight="1" x14ac:dyDescent="0.2">
      <c r="A64" s="56">
        <v>44</v>
      </c>
      <c r="B64" s="57">
        <v>77</v>
      </c>
      <c r="C64" s="57"/>
      <c r="D64" s="57"/>
      <c r="E64" s="57">
        <v>57</v>
      </c>
      <c r="F64" s="57"/>
      <c r="G64" s="57"/>
      <c r="H64" s="57">
        <v>54</v>
      </c>
      <c r="I64" s="57">
        <v>54</v>
      </c>
      <c r="J64" s="57">
        <v>55</v>
      </c>
      <c r="K64" s="57"/>
      <c r="L64" s="57"/>
      <c r="M64" s="57"/>
      <c r="N64" s="57">
        <f>20-9</f>
        <v>11</v>
      </c>
      <c r="O64" s="57">
        <v>247</v>
      </c>
      <c r="P64" s="57">
        <v>10</v>
      </c>
      <c r="Q64" s="57"/>
      <c r="R64" s="57">
        <v>15</v>
      </c>
      <c r="S64" s="57"/>
      <c r="T64" s="57">
        <v>15</v>
      </c>
      <c r="U64" s="57"/>
      <c r="V64" s="57">
        <v>58</v>
      </c>
      <c r="W64" s="57"/>
      <c r="X64" s="57"/>
      <c r="Y64" s="57"/>
      <c r="Z64" s="57">
        <v>653</v>
      </c>
      <c r="AA64" s="73"/>
      <c r="AB64" s="77">
        <f t="shared" ref="AB64:AB69" si="20">Z64+AA64</f>
        <v>653</v>
      </c>
    </row>
    <row r="65" spans="1:28" s="53" customFormat="1" ht="12" customHeight="1" x14ac:dyDescent="0.2">
      <c r="A65" s="56">
        <v>45</v>
      </c>
      <c r="B65" s="57">
        <v>25</v>
      </c>
      <c r="C65" s="57"/>
      <c r="D65" s="57"/>
      <c r="E65" s="57"/>
      <c r="F65" s="57"/>
      <c r="G65" s="57"/>
      <c r="H65" s="57"/>
      <c r="I65" s="57">
        <v>40</v>
      </c>
      <c r="J65" s="57">
        <v>20</v>
      </c>
      <c r="K65" s="57"/>
      <c r="L65" s="57"/>
      <c r="M65" s="57"/>
      <c r="N65" s="57">
        <f>18-5</f>
        <v>13</v>
      </c>
      <c r="O65" s="57">
        <v>1</v>
      </c>
      <c r="P65" s="57"/>
      <c r="Q65" s="57"/>
      <c r="R65" s="57">
        <v>8</v>
      </c>
      <c r="S65" s="57"/>
      <c r="T65" s="57">
        <v>8</v>
      </c>
      <c r="U65" s="57">
        <f>15+5</f>
        <v>20</v>
      </c>
      <c r="V65" s="57">
        <v>57</v>
      </c>
      <c r="W65" s="57"/>
      <c r="X65" s="57"/>
      <c r="Y65" s="57"/>
      <c r="Z65" s="57">
        <v>192</v>
      </c>
      <c r="AA65" s="73"/>
      <c r="AB65" s="77">
        <f t="shared" si="20"/>
        <v>192</v>
      </c>
    </row>
    <row r="66" spans="1:28" s="53" customFormat="1" ht="12" customHeight="1" x14ac:dyDescent="0.2">
      <c r="A66" s="56">
        <v>46</v>
      </c>
      <c r="B66" s="57"/>
      <c r="C66" s="57"/>
      <c r="D66" s="57"/>
      <c r="E66" s="57">
        <v>2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>
        <v>1</v>
      </c>
      <c r="S66" s="57"/>
      <c r="T66" s="57">
        <v>2</v>
      </c>
      <c r="U66" s="57"/>
      <c r="V66" s="57"/>
      <c r="W66" s="57">
        <v>0</v>
      </c>
      <c r="X66" s="57"/>
      <c r="Y66" s="57"/>
      <c r="Z66" s="57">
        <v>5</v>
      </c>
      <c r="AA66" s="73"/>
      <c r="AB66" s="77">
        <f t="shared" si="20"/>
        <v>5</v>
      </c>
    </row>
    <row r="67" spans="1:28" s="53" customFormat="1" ht="12" customHeight="1" x14ac:dyDescent="0.2">
      <c r="A67" s="59">
        <v>47</v>
      </c>
      <c r="B67" s="57">
        <v>150</v>
      </c>
      <c r="C67" s="57"/>
      <c r="D67" s="57"/>
      <c r="E67" s="57"/>
      <c r="F67" s="57"/>
      <c r="G67" s="68"/>
      <c r="H67" s="57">
        <f>162-20+20</f>
        <v>162</v>
      </c>
      <c r="I67" s="57">
        <v>95</v>
      </c>
      <c r="J67" s="57">
        <v>127</v>
      </c>
      <c r="K67" s="68"/>
      <c r="L67" s="68"/>
      <c r="M67" s="68"/>
      <c r="N67" s="57">
        <v>35</v>
      </c>
      <c r="O67" s="57"/>
      <c r="P67" s="57">
        <f>150+15</f>
        <v>165</v>
      </c>
      <c r="Q67" s="68"/>
      <c r="R67" s="57">
        <v>10</v>
      </c>
      <c r="S67" s="57"/>
      <c r="T67" s="57"/>
      <c r="U67" s="68"/>
      <c r="V67" s="57">
        <v>17</v>
      </c>
      <c r="W67" s="57">
        <v>15</v>
      </c>
      <c r="X67" s="57"/>
      <c r="Y67" s="57">
        <v>50</v>
      </c>
      <c r="Z67" s="57">
        <v>826</v>
      </c>
      <c r="AA67" s="73"/>
      <c r="AB67" s="77">
        <f t="shared" si="20"/>
        <v>826</v>
      </c>
    </row>
    <row r="68" spans="1:28" s="53" customFormat="1" ht="12" customHeight="1" x14ac:dyDescent="0.2">
      <c r="A68" s="59">
        <v>48</v>
      </c>
      <c r="B68" s="57">
        <v>105</v>
      </c>
      <c r="C68" s="57"/>
      <c r="D68" s="57"/>
      <c r="E68" s="57"/>
      <c r="F68" s="57"/>
      <c r="G68" s="57"/>
      <c r="H68" s="57">
        <f>0+20-20</f>
        <v>0</v>
      </c>
      <c r="I68" s="57">
        <v>7</v>
      </c>
      <c r="J68" s="57"/>
      <c r="K68" s="57"/>
      <c r="L68" s="57"/>
      <c r="M68" s="57"/>
      <c r="N68" s="57"/>
      <c r="O68" s="57"/>
      <c r="P68" s="57">
        <f>50-15</f>
        <v>35</v>
      </c>
      <c r="Q68" s="57"/>
      <c r="R68" s="57"/>
      <c r="S68" s="57"/>
      <c r="T68" s="57"/>
      <c r="U68" s="57"/>
      <c r="V68" s="57"/>
      <c r="W68" s="57"/>
      <c r="X68" s="57"/>
      <c r="Y68" s="57"/>
      <c r="Z68" s="57">
        <v>147</v>
      </c>
      <c r="AA68" s="73"/>
      <c r="AB68" s="77">
        <f t="shared" si="20"/>
        <v>147</v>
      </c>
    </row>
    <row r="69" spans="1:28" s="53" customFormat="1" ht="12" customHeight="1" x14ac:dyDescent="0.2">
      <c r="A69" s="59">
        <v>49</v>
      </c>
      <c r="B69" s="57"/>
      <c r="C69" s="60"/>
      <c r="D69" s="60"/>
      <c r="E69" s="60"/>
      <c r="F69" s="60"/>
      <c r="G69" s="62"/>
      <c r="H69" s="57"/>
      <c r="I69" s="60"/>
      <c r="J69" s="60"/>
      <c r="K69" s="62"/>
      <c r="L69" s="62"/>
      <c r="M69" s="62"/>
      <c r="N69" s="60"/>
      <c r="O69" s="60">
        <v>10</v>
      </c>
      <c r="P69" s="57"/>
      <c r="Q69" s="62"/>
      <c r="R69" s="60"/>
      <c r="S69" s="57"/>
      <c r="T69" s="57"/>
      <c r="U69" s="62"/>
      <c r="V69" s="60"/>
      <c r="W69" s="60"/>
      <c r="X69" s="60"/>
      <c r="Y69" s="60"/>
      <c r="Z69" s="57">
        <v>10</v>
      </c>
      <c r="AA69" s="73"/>
      <c r="AB69" s="77">
        <f t="shared" si="20"/>
        <v>10</v>
      </c>
    </row>
    <row r="70" spans="1:28" s="53" customFormat="1" ht="12" customHeight="1" x14ac:dyDescent="0.2">
      <c r="A70" s="74" t="s">
        <v>283</v>
      </c>
      <c r="B70" s="75">
        <v>135</v>
      </c>
      <c r="C70" s="75">
        <v>0</v>
      </c>
      <c r="D70" s="75">
        <v>0</v>
      </c>
      <c r="E70" s="75">
        <v>144</v>
      </c>
      <c r="F70" s="75">
        <f t="shared" ref="F70:AB70" si="21">F71+F72</f>
        <v>0</v>
      </c>
      <c r="G70" s="75">
        <f t="shared" si="21"/>
        <v>0</v>
      </c>
      <c r="H70" s="75">
        <f t="shared" si="21"/>
        <v>0</v>
      </c>
      <c r="I70" s="75">
        <v>30</v>
      </c>
      <c r="J70" s="75">
        <v>10</v>
      </c>
      <c r="K70" s="75">
        <v>0</v>
      </c>
      <c r="L70" s="75">
        <f t="shared" si="21"/>
        <v>0</v>
      </c>
      <c r="M70" s="75">
        <f t="shared" si="21"/>
        <v>0</v>
      </c>
      <c r="N70" s="75">
        <f t="shared" si="21"/>
        <v>0</v>
      </c>
      <c r="O70" s="75">
        <v>36</v>
      </c>
      <c r="P70" s="75">
        <f t="shared" si="21"/>
        <v>0</v>
      </c>
      <c r="Q70" s="75">
        <f t="shared" si="21"/>
        <v>0</v>
      </c>
      <c r="R70" s="75">
        <v>0</v>
      </c>
      <c r="S70" s="75">
        <v>0</v>
      </c>
      <c r="T70" s="75">
        <f t="shared" si="21"/>
        <v>0</v>
      </c>
      <c r="U70" s="75">
        <f t="shared" si="21"/>
        <v>0</v>
      </c>
      <c r="V70" s="75">
        <v>2</v>
      </c>
      <c r="W70" s="75">
        <v>12</v>
      </c>
      <c r="X70" s="75">
        <f t="shared" si="21"/>
        <v>40</v>
      </c>
      <c r="Y70" s="75">
        <f t="shared" si="21"/>
        <v>130</v>
      </c>
      <c r="Z70" s="75">
        <v>539</v>
      </c>
      <c r="AA70" s="75">
        <f t="shared" si="21"/>
        <v>0</v>
      </c>
      <c r="AB70" s="75">
        <f t="shared" si="21"/>
        <v>539</v>
      </c>
    </row>
    <row r="71" spans="1:28" s="53" customFormat="1" ht="12" customHeight="1" x14ac:dyDescent="0.2">
      <c r="A71" s="59">
        <v>50</v>
      </c>
      <c r="B71" s="57">
        <v>125</v>
      </c>
      <c r="C71" s="57"/>
      <c r="D71" s="57"/>
      <c r="E71" s="57">
        <v>144</v>
      </c>
      <c r="F71" s="57"/>
      <c r="G71" s="57"/>
      <c r="H71" s="57"/>
      <c r="I71" s="57">
        <v>30</v>
      </c>
      <c r="J71" s="57">
        <v>10</v>
      </c>
      <c r="K71" s="57"/>
      <c r="L71" s="57"/>
      <c r="M71" s="57"/>
      <c r="N71" s="57"/>
      <c r="O71" s="57">
        <v>36</v>
      </c>
      <c r="P71" s="57"/>
      <c r="Q71" s="57"/>
      <c r="R71" s="57"/>
      <c r="S71" s="57"/>
      <c r="T71" s="57"/>
      <c r="U71" s="57"/>
      <c r="V71" s="57"/>
      <c r="W71" s="57">
        <v>12</v>
      </c>
      <c r="X71" s="57">
        <v>30</v>
      </c>
      <c r="Y71" s="57">
        <v>130</v>
      </c>
      <c r="Z71" s="57">
        <v>517</v>
      </c>
      <c r="AA71" s="73"/>
      <c r="AB71" s="77">
        <f>Z71+AA71</f>
        <v>517</v>
      </c>
    </row>
    <row r="72" spans="1:28" s="53" customFormat="1" ht="12" customHeight="1" x14ac:dyDescent="0.2">
      <c r="A72" s="59">
        <v>51</v>
      </c>
      <c r="B72" s="57">
        <v>10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>
        <v>2</v>
      </c>
      <c r="W72" s="57"/>
      <c r="X72" s="57">
        <v>10</v>
      </c>
      <c r="Y72" s="57"/>
      <c r="Z72" s="57">
        <v>22</v>
      </c>
      <c r="AA72" s="73"/>
      <c r="AB72" s="77">
        <f>Z72+AA72</f>
        <v>22</v>
      </c>
    </row>
    <row r="73" spans="1:28" s="53" customFormat="1" ht="12" customHeight="1" x14ac:dyDescent="0.2">
      <c r="A73" s="74" t="s">
        <v>284</v>
      </c>
      <c r="B73" s="75">
        <v>0</v>
      </c>
      <c r="C73" s="75">
        <v>0</v>
      </c>
      <c r="D73" s="75">
        <v>0</v>
      </c>
      <c r="E73" s="75">
        <v>51</v>
      </c>
      <c r="F73" s="75">
        <f t="shared" ref="F73:AB73" si="22">F74</f>
        <v>0</v>
      </c>
      <c r="G73" s="75">
        <f t="shared" si="22"/>
        <v>0</v>
      </c>
      <c r="H73" s="75">
        <f t="shared" si="22"/>
        <v>0</v>
      </c>
      <c r="I73" s="75">
        <v>0</v>
      </c>
      <c r="J73" s="75">
        <v>62</v>
      </c>
      <c r="K73" s="75">
        <v>0</v>
      </c>
      <c r="L73" s="75">
        <f t="shared" si="22"/>
        <v>0</v>
      </c>
      <c r="M73" s="75">
        <f t="shared" si="22"/>
        <v>0</v>
      </c>
      <c r="N73" s="75">
        <f t="shared" si="22"/>
        <v>0</v>
      </c>
      <c r="O73" s="75">
        <v>0</v>
      </c>
      <c r="P73" s="75">
        <f t="shared" si="22"/>
        <v>0</v>
      </c>
      <c r="Q73" s="75">
        <f t="shared" si="22"/>
        <v>0</v>
      </c>
      <c r="R73" s="75">
        <v>0</v>
      </c>
      <c r="S73" s="75">
        <v>0</v>
      </c>
      <c r="T73" s="75">
        <f t="shared" si="22"/>
        <v>0</v>
      </c>
      <c r="U73" s="75">
        <f t="shared" si="22"/>
        <v>0</v>
      </c>
      <c r="V73" s="75">
        <v>20</v>
      </c>
      <c r="W73" s="75">
        <v>0</v>
      </c>
      <c r="X73" s="75">
        <f t="shared" si="22"/>
        <v>0</v>
      </c>
      <c r="Y73" s="75">
        <f t="shared" si="22"/>
        <v>0</v>
      </c>
      <c r="Z73" s="75">
        <v>133</v>
      </c>
      <c r="AA73" s="75">
        <f t="shared" si="22"/>
        <v>0</v>
      </c>
      <c r="AB73" s="75">
        <f t="shared" si="22"/>
        <v>133</v>
      </c>
    </row>
    <row r="74" spans="1:28" s="53" customFormat="1" ht="12" customHeight="1" x14ac:dyDescent="0.2">
      <c r="A74" s="59">
        <v>52</v>
      </c>
      <c r="B74" s="57"/>
      <c r="C74" s="57"/>
      <c r="D74" s="57"/>
      <c r="E74" s="57">
        <v>51</v>
      </c>
      <c r="F74" s="57"/>
      <c r="G74" s="57"/>
      <c r="H74" s="57"/>
      <c r="I74" s="57"/>
      <c r="J74" s="57">
        <v>62</v>
      </c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>
        <v>20</v>
      </c>
      <c r="W74" s="57"/>
      <c r="X74" s="57"/>
      <c r="Y74" s="57"/>
      <c r="Z74" s="57">
        <v>133</v>
      </c>
      <c r="AA74" s="73"/>
      <c r="AB74" s="77">
        <f>Z74+AA74</f>
        <v>133</v>
      </c>
    </row>
    <row r="75" spans="1:28" s="53" customFormat="1" ht="12" customHeight="1" x14ac:dyDescent="0.2">
      <c r="A75" s="74" t="s">
        <v>285</v>
      </c>
      <c r="B75" s="75">
        <v>10</v>
      </c>
      <c r="C75" s="75">
        <v>0</v>
      </c>
      <c r="D75" s="75">
        <v>0</v>
      </c>
      <c r="E75" s="75">
        <v>35</v>
      </c>
      <c r="F75" s="75">
        <f t="shared" ref="F75:AB75" si="23">F76+F77</f>
        <v>0</v>
      </c>
      <c r="G75" s="75">
        <f t="shared" si="23"/>
        <v>0</v>
      </c>
      <c r="H75" s="75">
        <f t="shared" si="23"/>
        <v>0</v>
      </c>
      <c r="I75" s="75">
        <v>0</v>
      </c>
      <c r="J75" s="75">
        <v>20</v>
      </c>
      <c r="K75" s="75">
        <v>0</v>
      </c>
      <c r="L75" s="75">
        <f t="shared" si="23"/>
        <v>0</v>
      </c>
      <c r="M75" s="75">
        <f t="shared" si="23"/>
        <v>0</v>
      </c>
      <c r="N75" s="75">
        <f t="shared" si="23"/>
        <v>0</v>
      </c>
      <c r="O75" s="75">
        <v>0</v>
      </c>
      <c r="P75" s="75">
        <f t="shared" si="23"/>
        <v>0</v>
      </c>
      <c r="Q75" s="75">
        <f t="shared" si="23"/>
        <v>0</v>
      </c>
      <c r="R75" s="75">
        <v>0</v>
      </c>
      <c r="S75" s="75">
        <v>0</v>
      </c>
      <c r="T75" s="75">
        <f t="shared" si="23"/>
        <v>0</v>
      </c>
      <c r="U75" s="75">
        <f t="shared" si="23"/>
        <v>0</v>
      </c>
      <c r="V75" s="75">
        <v>0</v>
      </c>
      <c r="W75" s="75">
        <v>0</v>
      </c>
      <c r="X75" s="75">
        <f t="shared" si="23"/>
        <v>0</v>
      </c>
      <c r="Y75" s="75">
        <f t="shared" si="23"/>
        <v>40</v>
      </c>
      <c r="Z75" s="75">
        <v>105</v>
      </c>
      <c r="AA75" s="75">
        <f t="shared" si="23"/>
        <v>0</v>
      </c>
      <c r="AB75" s="75">
        <f t="shared" si="23"/>
        <v>105</v>
      </c>
    </row>
    <row r="76" spans="1:28" s="53" customFormat="1" ht="12" customHeight="1" x14ac:dyDescent="0.2">
      <c r="A76" s="59">
        <v>53</v>
      </c>
      <c r="B76" s="57">
        <v>10</v>
      </c>
      <c r="C76" s="57"/>
      <c r="D76" s="57"/>
      <c r="E76" s="57">
        <v>35</v>
      </c>
      <c r="F76" s="57"/>
      <c r="G76" s="57"/>
      <c r="H76" s="57"/>
      <c r="I76" s="57"/>
      <c r="J76" s="57">
        <v>20</v>
      </c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>
        <v>40</v>
      </c>
      <c r="Z76" s="57">
        <v>105</v>
      </c>
      <c r="AA76" s="73"/>
      <c r="AB76" s="77">
        <f>Z76+AA76</f>
        <v>105</v>
      </c>
    </row>
    <row r="77" spans="1:28" s="53" customFormat="1" ht="12" customHeight="1" x14ac:dyDescent="0.2">
      <c r="A77" s="59">
        <v>54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>
        <v>0</v>
      </c>
      <c r="AA77" s="73"/>
      <c r="AB77" s="77">
        <f>Z77+AA77</f>
        <v>0</v>
      </c>
    </row>
    <row r="78" spans="1:28" s="53" customFormat="1" ht="12" customHeight="1" x14ac:dyDescent="0.2">
      <c r="A78" s="74" t="s">
        <v>5</v>
      </c>
      <c r="B78" s="75">
        <f t="shared" ref="B78:AB78" si="24">B4+B7+B10+B12+B15+B17+B19+B22+B29+B32+B36+B39+B46+B48+B60+B63+B70+B73+B75+B42</f>
        <v>2426</v>
      </c>
      <c r="C78" s="75">
        <f t="shared" si="24"/>
        <v>1225</v>
      </c>
      <c r="D78" s="75">
        <f t="shared" si="24"/>
        <v>3318</v>
      </c>
      <c r="E78" s="75">
        <f t="shared" si="24"/>
        <v>943</v>
      </c>
      <c r="F78" s="75">
        <f t="shared" si="24"/>
        <v>622</v>
      </c>
      <c r="G78" s="75">
        <f t="shared" si="24"/>
        <v>52</v>
      </c>
      <c r="H78" s="75">
        <f t="shared" si="24"/>
        <v>216</v>
      </c>
      <c r="I78" s="75">
        <f t="shared" si="24"/>
        <v>1094</v>
      </c>
      <c r="J78" s="75">
        <f t="shared" si="24"/>
        <v>1214</v>
      </c>
      <c r="K78" s="75">
        <f t="shared" si="24"/>
        <v>300</v>
      </c>
      <c r="L78" s="75">
        <f t="shared" si="24"/>
        <v>2424</v>
      </c>
      <c r="M78" s="75">
        <f t="shared" si="24"/>
        <v>200</v>
      </c>
      <c r="N78" s="75">
        <f t="shared" si="24"/>
        <v>277</v>
      </c>
      <c r="O78" s="75">
        <f t="shared" si="24"/>
        <v>442</v>
      </c>
      <c r="P78" s="75">
        <f t="shared" si="24"/>
        <v>743</v>
      </c>
      <c r="Q78" s="75">
        <f t="shared" si="24"/>
        <v>20</v>
      </c>
      <c r="R78" s="75">
        <f t="shared" si="24"/>
        <v>242</v>
      </c>
      <c r="S78" s="75">
        <f t="shared" si="24"/>
        <v>113</v>
      </c>
      <c r="T78" s="75">
        <f t="shared" si="24"/>
        <v>32</v>
      </c>
      <c r="U78" s="75">
        <f t="shared" si="24"/>
        <v>20</v>
      </c>
      <c r="V78" s="75">
        <f t="shared" si="24"/>
        <v>832</v>
      </c>
      <c r="W78" s="75">
        <f t="shared" si="24"/>
        <v>277</v>
      </c>
      <c r="X78" s="75">
        <f t="shared" si="24"/>
        <v>240</v>
      </c>
      <c r="Y78" s="75">
        <f t="shared" si="24"/>
        <v>1569</v>
      </c>
      <c r="Z78" s="75">
        <f t="shared" si="24"/>
        <v>18841</v>
      </c>
      <c r="AA78" s="75">
        <f t="shared" si="24"/>
        <v>0</v>
      </c>
      <c r="AB78" s="75">
        <f t="shared" si="24"/>
        <v>18841</v>
      </c>
    </row>
  </sheetData>
  <mergeCells count="1">
    <mergeCell ref="A1:AB1"/>
  </mergeCells>
  <pageMargins left="0" right="0" top="0" bottom="0" header="0.31496062992125984" footer="0.31496062992125984"/>
  <pageSetup paperSize="9" scale="60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Normal="100" workbookViewId="0">
      <pane xSplit="2" ySplit="5" topLeftCell="C118" activePane="bottomRight" state="frozen"/>
      <selection pane="topRight" activeCell="C1" sqref="C1"/>
      <selection pane="bottomLeft" activeCell="A6" sqref="A6"/>
      <selection pane="bottomRight" activeCell="D146" sqref="D146"/>
    </sheetView>
  </sheetViews>
  <sheetFormatPr defaultRowHeight="12" x14ac:dyDescent="0.2"/>
  <cols>
    <col min="1" max="1" width="5.42578125" style="5" customWidth="1"/>
    <col min="2" max="2" width="47.5703125" style="5" customWidth="1"/>
    <col min="3" max="3" width="11" style="5" customWidth="1"/>
    <col min="4" max="4" width="11.28515625" style="5" customWidth="1"/>
    <col min="5" max="5" width="10" style="5" customWidth="1"/>
    <col min="6" max="6" width="9.42578125" style="5" customWidth="1"/>
    <col min="7" max="7" width="10.28515625" style="5" customWidth="1"/>
    <col min="8" max="8" width="11.140625" style="5" customWidth="1"/>
    <col min="9" max="9" width="12.42578125" style="5" customWidth="1"/>
    <col min="10" max="16384" width="9.140625" style="5"/>
  </cols>
  <sheetData>
    <row r="1" spans="1:9" ht="23.25" customHeight="1" x14ac:dyDescent="0.2">
      <c r="A1" s="325" t="s">
        <v>167</v>
      </c>
      <c r="B1" s="325"/>
      <c r="C1" s="325"/>
      <c r="D1" s="325"/>
      <c r="E1" s="325"/>
      <c r="F1" s="325"/>
      <c r="G1" s="325"/>
      <c r="H1" s="325"/>
      <c r="I1" s="325"/>
    </row>
    <row r="2" spans="1:9" s="199" customFormat="1" ht="15" customHeight="1" x14ac:dyDescent="0.2">
      <c r="A2" s="218"/>
      <c r="G2" s="326" t="s">
        <v>55</v>
      </c>
      <c r="H2" s="326"/>
      <c r="I2" s="326"/>
    </row>
    <row r="3" spans="1:9" s="219" customFormat="1" ht="15" customHeight="1" x14ac:dyDescent="0.2">
      <c r="A3" s="327" t="s">
        <v>7</v>
      </c>
      <c r="B3" s="327" t="s">
        <v>0</v>
      </c>
      <c r="C3" s="327" t="s">
        <v>168</v>
      </c>
      <c r="D3" s="327" t="s">
        <v>56</v>
      </c>
      <c r="E3" s="329" t="s">
        <v>169</v>
      </c>
      <c r="F3" s="330"/>
      <c r="G3" s="330"/>
      <c r="H3" s="331"/>
      <c r="I3" s="332" t="s">
        <v>170</v>
      </c>
    </row>
    <row r="4" spans="1:9" s="220" customFormat="1" ht="57.75" customHeight="1" x14ac:dyDescent="0.25">
      <c r="A4" s="328"/>
      <c r="B4" s="328"/>
      <c r="C4" s="328"/>
      <c r="D4" s="328"/>
      <c r="E4" s="279" t="s">
        <v>171</v>
      </c>
      <c r="F4" s="278" t="s">
        <v>172</v>
      </c>
      <c r="G4" s="278" t="s">
        <v>173</v>
      </c>
      <c r="H4" s="278" t="s">
        <v>174</v>
      </c>
      <c r="I4" s="333"/>
    </row>
    <row r="5" spans="1:9" s="219" customFormat="1" x14ac:dyDescent="0.2">
      <c r="A5" s="278">
        <v>1</v>
      </c>
      <c r="B5" s="278">
        <v>2</v>
      </c>
      <c r="C5" s="278">
        <v>3</v>
      </c>
      <c r="D5" s="278">
        <v>4</v>
      </c>
      <c r="E5" s="278">
        <v>5</v>
      </c>
      <c r="F5" s="278">
        <v>6</v>
      </c>
      <c r="G5" s="278">
        <v>7</v>
      </c>
      <c r="H5" s="278">
        <v>8</v>
      </c>
      <c r="I5" s="221">
        <v>9</v>
      </c>
    </row>
    <row r="6" spans="1:9" s="199" customFormat="1" x14ac:dyDescent="0.2">
      <c r="A6" s="278">
        <v>1</v>
      </c>
      <c r="B6" s="222" t="s">
        <v>12</v>
      </c>
      <c r="C6" s="278">
        <f t="shared" ref="C6:C70" si="0">D6+I6</f>
        <v>3626</v>
      </c>
      <c r="D6" s="278">
        <f>3656-2-2-5-21</f>
        <v>3626</v>
      </c>
      <c r="E6" s="278">
        <v>294</v>
      </c>
      <c r="F6" s="278"/>
      <c r="G6" s="278"/>
      <c r="H6" s="278">
        <f>815-21</f>
        <v>794</v>
      </c>
      <c r="I6" s="278"/>
    </row>
    <row r="7" spans="1:9" s="199" customFormat="1" x14ac:dyDescent="0.2">
      <c r="A7" s="278">
        <v>2</v>
      </c>
      <c r="B7" s="222" t="s">
        <v>13</v>
      </c>
      <c r="C7" s="278">
        <f t="shared" si="0"/>
        <v>2917</v>
      </c>
      <c r="D7" s="278">
        <f>2920-1-2</f>
        <v>2917</v>
      </c>
      <c r="E7" s="278">
        <v>244</v>
      </c>
      <c r="F7" s="278"/>
      <c r="G7" s="278"/>
      <c r="H7" s="278"/>
      <c r="I7" s="278"/>
    </row>
    <row r="8" spans="1:9" s="199" customFormat="1" x14ac:dyDescent="0.2">
      <c r="A8" s="327">
        <v>3</v>
      </c>
      <c r="B8" s="222" t="s">
        <v>57</v>
      </c>
      <c r="C8" s="278">
        <f t="shared" si="0"/>
        <v>7878</v>
      </c>
      <c r="D8" s="278">
        <v>7878</v>
      </c>
      <c r="E8" s="278">
        <v>1237</v>
      </c>
      <c r="F8" s="278"/>
      <c r="G8" s="278"/>
      <c r="H8" s="278">
        <v>1343</v>
      </c>
      <c r="I8" s="278"/>
    </row>
    <row r="9" spans="1:9" s="225" customFormat="1" ht="25.5" customHeight="1" x14ac:dyDescent="0.2">
      <c r="A9" s="328"/>
      <c r="B9" s="223" t="s">
        <v>58</v>
      </c>
      <c r="C9" s="224">
        <f t="shared" si="0"/>
        <v>841</v>
      </c>
      <c r="D9" s="224">
        <v>841</v>
      </c>
      <c r="E9" s="224">
        <v>129</v>
      </c>
      <c r="F9" s="224"/>
      <c r="G9" s="224"/>
      <c r="H9" s="224"/>
      <c r="I9" s="224"/>
    </row>
    <row r="10" spans="1:9" s="199" customFormat="1" x14ac:dyDescent="0.2">
      <c r="A10" s="221">
        <v>4</v>
      </c>
      <c r="B10" s="222" t="s">
        <v>59</v>
      </c>
      <c r="C10" s="278">
        <f t="shared" si="0"/>
        <v>2202</v>
      </c>
      <c r="D10" s="278">
        <v>2202</v>
      </c>
      <c r="E10" s="278">
        <v>215</v>
      </c>
      <c r="F10" s="278"/>
      <c r="G10" s="278"/>
      <c r="H10" s="278"/>
      <c r="I10" s="278"/>
    </row>
    <row r="11" spans="1:9" s="199" customFormat="1" x14ac:dyDescent="0.2">
      <c r="A11" s="278">
        <v>5</v>
      </c>
      <c r="B11" s="222" t="s">
        <v>60</v>
      </c>
      <c r="C11" s="278">
        <f t="shared" si="0"/>
        <v>964</v>
      </c>
      <c r="D11" s="278">
        <v>964</v>
      </c>
      <c r="E11" s="278">
        <v>101</v>
      </c>
      <c r="F11" s="278"/>
      <c r="G11" s="278"/>
      <c r="H11" s="278"/>
      <c r="I11" s="278"/>
    </row>
    <row r="12" spans="1:9" s="199" customFormat="1" x14ac:dyDescent="0.2">
      <c r="A12" s="278">
        <v>6</v>
      </c>
      <c r="B12" s="222" t="s">
        <v>61</v>
      </c>
      <c r="C12" s="278">
        <f t="shared" si="0"/>
        <v>1020</v>
      </c>
      <c r="D12" s="278">
        <f>990+30</f>
        <v>1020</v>
      </c>
      <c r="E12" s="278">
        <v>89</v>
      </c>
      <c r="F12" s="278"/>
      <c r="G12" s="278"/>
      <c r="H12" s="278"/>
      <c r="I12" s="278"/>
    </row>
    <row r="13" spans="1:9" s="199" customFormat="1" x14ac:dyDescent="0.2">
      <c r="A13" s="278">
        <v>7</v>
      </c>
      <c r="B13" s="222" t="s">
        <v>62</v>
      </c>
      <c r="C13" s="278">
        <f t="shared" si="0"/>
        <v>1070</v>
      </c>
      <c r="D13" s="278">
        <v>1070</v>
      </c>
      <c r="E13" s="278">
        <v>91</v>
      </c>
      <c r="F13" s="278"/>
      <c r="G13" s="278"/>
      <c r="H13" s="278"/>
      <c r="I13" s="278"/>
    </row>
    <row r="14" spans="1:9" s="199" customFormat="1" x14ac:dyDescent="0.2">
      <c r="A14" s="278">
        <v>8</v>
      </c>
      <c r="B14" s="222" t="s">
        <v>63</v>
      </c>
      <c r="C14" s="278">
        <f t="shared" si="0"/>
        <v>1138</v>
      </c>
      <c r="D14" s="278">
        <v>1138</v>
      </c>
      <c r="E14" s="278">
        <v>112</v>
      </c>
      <c r="F14" s="278"/>
      <c r="G14" s="278"/>
      <c r="H14" s="278"/>
      <c r="I14" s="278"/>
    </row>
    <row r="15" spans="1:9" s="199" customFormat="1" x14ac:dyDescent="0.2">
      <c r="A15" s="278">
        <v>9</v>
      </c>
      <c r="B15" s="222" t="s">
        <v>64</v>
      </c>
      <c r="C15" s="278">
        <f t="shared" si="0"/>
        <v>1217</v>
      </c>
      <c r="D15" s="278">
        <v>1217</v>
      </c>
      <c r="E15" s="278">
        <v>128</v>
      </c>
      <c r="F15" s="278"/>
      <c r="G15" s="278"/>
      <c r="H15" s="278"/>
      <c r="I15" s="278"/>
    </row>
    <row r="16" spans="1:9" s="199" customFormat="1" x14ac:dyDescent="0.2">
      <c r="A16" s="278">
        <v>10</v>
      </c>
      <c r="B16" s="222" t="s">
        <v>65</v>
      </c>
      <c r="C16" s="278">
        <f t="shared" si="0"/>
        <v>1128</v>
      </c>
      <c r="D16" s="278">
        <v>1128</v>
      </c>
      <c r="E16" s="278">
        <v>111</v>
      </c>
      <c r="F16" s="278"/>
      <c r="G16" s="278"/>
      <c r="H16" s="278"/>
      <c r="I16" s="278"/>
    </row>
    <row r="17" spans="1:9" s="199" customFormat="1" x14ac:dyDescent="0.2">
      <c r="A17" s="278">
        <v>11</v>
      </c>
      <c r="B17" s="222" t="s">
        <v>66</v>
      </c>
      <c r="C17" s="278">
        <f t="shared" si="0"/>
        <v>1317</v>
      </c>
      <c r="D17" s="278">
        <v>1317</v>
      </c>
      <c r="E17" s="278">
        <v>122</v>
      </c>
      <c r="F17" s="278"/>
      <c r="G17" s="278"/>
      <c r="H17" s="278"/>
      <c r="I17" s="278"/>
    </row>
    <row r="18" spans="1:9" s="199" customFormat="1" x14ac:dyDescent="0.2">
      <c r="A18" s="278">
        <v>12</v>
      </c>
      <c r="B18" s="222" t="s">
        <v>67</v>
      </c>
      <c r="C18" s="278">
        <f t="shared" si="0"/>
        <v>1119</v>
      </c>
      <c r="D18" s="278">
        <v>1119</v>
      </c>
      <c r="E18" s="278">
        <v>125</v>
      </c>
      <c r="F18" s="278"/>
      <c r="G18" s="278"/>
      <c r="H18" s="278"/>
      <c r="I18" s="278"/>
    </row>
    <row r="19" spans="1:9" s="199" customFormat="1" x14ac:dyDescent="0.2">
      <c r="A19" s="278">
        <v>13</v>
      </c>
      <c r="B19" s="222" t="s">
        <v>68</v>
      </c>
      <c r="C19" s="278">
        <f t="shared" si="0"/>
        <v>0</v>
      </c>
      <c r="D19" s="278">
        <f>40-27-13</f>
        <v>0</v>
      </c>
      <c r="E19" s="278">
        <v>0</v>
      </c>
      <c r="F19" s="278"/>
      <c r="G19" s="278"/>
      <c r="H19" s="278"/>
      <c r="I19" s="278"/>
    </row>
    <row r="20" spans="1:9" s="199" customFormat="1" x14ac:dyDescent="0.2">
      <c r="A20" s="278">
        <v>14</v>
      </c>
      <c r="B20" s="226" t="s">
        <v>69</v>
      </c>
      <c r="C20" s="278">
        <f t="shared" si="0"/>
        <v>40</v>
      </c>
      <c r="D20" s="278">
        <v>40</v>
      </c>
      <c r="E20" s="278">
        <v>0</v>
      </c>
      <c r="F20" s="278"/>
      <c r="G20" s="278"/>
      <c r="H20" s="278"/>
      <c r="I20" s="278"/>
    </row>
    <row r="21" spans="1:9" s="199" customFormat="1" x14ac:dyDescent="0.2">
      <c r="A21" s="278">
        <v>15</v>
      </c>
      <c r="B21" s="222" t="s">
        <v>70</v>
      </c>
      <c r="C21" s="278">
        <f t="shared" si="0"/>
        <v>3030</v>
      </c>
      <c r="D21" s="278">
        <f>3030</f>
        <v>3030</v>
      </c>
      <c r="E21" s="278">
        <v>635</v>
      </c>
      <c r="F21" s="278">
        <v>8</v>
      </c>
      <c r="G21" s="278"/>
      <c r="H21" s="278"/>
      <c r="I21" s="278"/>
    </row>
    <row r="22" spans="1:9" s="199" customFormat="1" x14ac:dyDescent="0.2">
      <c r="A22" s="278">
        <v>16</v>
      </c>
      <c r="B22" s="222" t="s">
        <v>16</v>
      </c>
      <c r="C22" s="278">
        <f t="shared" si="0"/>
        <v>2821</v>
      </c>
      <c r="D22" s="278">
        <v>2821</v>
      </c>
      <c r="E22" s="278">
        <v>311</v>
      </c>
      <c r="F22" s="278"/>
      <c r="G22" s="278"/>
      <c r="H22" s="278"/>
      <c r="I22" s="278"/>
    </row>
    <row r="23" spans="1:9" s="199" customFormat="1" x14ac:dyDescent="0.2">
      <c r="A23" s="278">
        <v>17</v>
      </c>
      <c r="B23" s="222" t="s">
        <v>10</v>
      </c>
      <c r="C23" s="278">
        <f t="shared" si="0"/>
        <v>5511</v>
      </c>
      <c r="D23" s="278">
        <f>5531-20</f>
        <v>5511</v>
      </c>
      <c r="E23" s="278">
        <v>478</v>
      </c>
      <c r="F23" s="278"/>
      <c r="G23" s="278"/>
      <c r="H23" s="278">
        <f>509-20</f>
        <v>489</v>
      </c>
      <c r="I23" s="278"/>
    </row>
    <row r="24" spans="1:9" s="199" customFormat="1" x14ac:dyDescent="0.2">
      <c r="A24" s="278">
        <v>18</v>
      </c>
      <c r="B24" s="222" t="s">
        <v>11</v>
      </c>
      <c r="C24" s="278">
        <f t="shared" si="0"/>
        <v>3537</v>
      </c>
      <c r="D24" s="278">
        <v>3537</v>
      </c>
      <c r="E24" s="278">
        <v>345</v>
      </c>
      <c r="F24" s="278"/>
      <c r="G24" s="278"/>
      <c r="H24" s="278"/>
      <c r="I24" s="278"/>
    </row>
    <row r="25" spans="1:9" s="199" customFormat="1" x14ac:dyDescent="0.2">
      <c r="A25" s="278">
        <v>19</v>
      </c>
      <c r="B25" s="222" t="s">
        <v>71</v>
      </c>
      <c r="C25" s="278">
        <f t="shared" si="0"/>
        <v>856</v>
      </c>
      <c r="D25" s="278">
        <v>856</v>
      </c>
      <c r="E25" s="278"/>
      <c r="F25" s="278"/>
      <c r="G25" s="278"/>
      <c r="H25" s="278"/>
      <c r="I25" s="278"/>
    </row>
    <row r="26" spans="1:9" s="199" customFormat="1" x14ac:dyDescent="0.2">
      <c r="A26" s="278">
        <v>20</v>
      </c>
      <c r="B26" s="222" t="s">
        <v>72</v>
      </c>
      <c r="C26" s="278">
        <f t="shared" si="0"/>
        <v>1476</v>
      </c>
      <c r="D26" s="278">
        <v>1476</v>
      </c>
      <c r="E26" s="278">
        <v>168</v>
      </c>
      <c r="F26" s="278"/>
      <c r="G26" s="278"/>
      <c r="H26" s="278"/>
      <c r="I26" s="278"/>
    </row>
    <row r="27" spans="1:9" s="199" customFormat="1" x14ac:dyDescent="0.2">
      <c r="A27" s="278">
        <v>21</v>
      </c>
      <c r="B27" s="222" t="s">
        <v>73</v>
      </c>
      <c r="C27" s="278">
        <f t="shared" si="0"/>
        <v>1954</v>
      </c>
      <c r="D27" s="278">
        <f>1954</f>
        <v>1954</v>
      </c>
      <c r="E27" s="278">
        <v>239</v>
      </c>
      <c r="F27" s="278"/>
      <c r="G27" s="278"/>
      <c r="H27" s="278"/>
      <c r="I27" s="278"/>
    </row>
    <row r="28" spans="1:9" s="199" customFormat="1" x14ac:dyDescent="0.2">
      <c r="A28" s="278">
        <v>22</v>
      </c>
      <c r="B28" s="222" t="s">
        <v>74</v>
      </c>
      <c r="C28" s="278">
        <f t="shared" si="0"/>
        <v>943</v>
      </c>
      <c r="D28" s="278">
        <f>843+100</f>
        <v>943</v>
      </c>
      <c r="E28" s="278">
        <v>113</v>
      </c>
      <c r="F28" s="278"/>
      <c r="G28" s="278"/>
      <c r="H28" s="278"/>
      <c r="I28" s="278"/>
    </row>
    <row r="29" spans="1:9" s="199" customFormat="1" x14ac:dyDescent="0.2">
      <c r="A29" s="278">
        <v>23</v>
      </c>
      <c r="B29" s="222" t="s">
        <v>75</v>
      </c>
      <c r="C29" s="278">
        <f t="shared" si="0"/>
        <v>695</v>
      </c>
      <c r="D29" s="278">
        <v>695</v>
      </c>
      <c r="E29" s="278">
        <v>74</v>
      </c>
      <c r="F29" s="278"/>
      <c r="G29" s="278"/>
      <c r="H29" s="278"/>
      <c r="I29" s="278"/>
    </row>
    <row r="30" spans="1:9" s="199" customFormat="1" x14ac:dyDescent="0.2">
      <c r="A30" s="278">
        <v>24</v>
      </c>
      <c r="B30" s="222" t="s">
        <v>54</v>
      </c>
      <c r="C30" s="278">
        <f t="shared" si="0"/>
        <v>5594</v>
      </c>
      <c r="D30" s="278">
        <f>5841-429+182</f>
        <v>5594</v>
      </c>
      <c r="E30" s="278"/>
      <c r="F30" s="278"/>
      <c r="G30" s="278"/>
      <c r="H30" s="278">
        <f>3377-429+182</f>
        <v>3130</v>
      </c>
      <c r="I30" s="278"/>
    </row>
    <row r="31" spans="1:9" s="199" customFormat="1" x14ac:dyDescent="0.2">
      <c r="A31" s="278">
        <v>25</v>
      </c>
      <c r="B31" s="222" t="s">
        <v>76</v>
      </c>
      <c r="C31" s="278">
        <f t="shared" si="0"/>
        <v>2597</v>
      </c>
      <c r="D31" s="278">
        <v>2597</v>
      </c>
      <c r="E31" s="278"/>
      <c r="F31" s="278"/>
      <c r="G31" s="278"/>
      <c r="H31" s="278"/>
      <c r="I31" s="278"/>
    </row>
    <row r="32" spans="1:9" s="199" customFormat="1" x14ac:dyDescent="0.2">
      <c r="A32" s="221">
        <v>26</v>
      </c>
      <c r="B32" s="222" t="s">
        <v>77</v>
      </c>
      <c r="C32" s="278">
        <f t="shared" si="0"/>
        <v>2808</v>
      </c>
      <c r="D32" s="278">
        <v>2808</v>
      </c>
      <c r="E32" s="278">
        <v>166</v>
      </c>
      <c r="F32" s="278"/>
      <c r="G32" s="278"/>
      <c r="H32" s="278"/>
      <c r="I32" s="278"/>
    </row>
    <row r="33" spans="1:9" s="199" customFormat="1" x14ac:dyDescent="0.2">
      <c r="A33" s="327">
        <v>27</v>
      </c>
      <c r="B33" s="222" t="s">
        <v>78</v>
      </c>
      <c r="C33" s="278">
        <f t="shared" si="0"/>
        <v>1476</v>
      </c>
      <c r="D33" s="278">
        <v>1476</v>
      </c>
      <c r="E33" s="278">
        <v>154</v>
      </c>
      <c r="F33" s="278"/>
      <c r="G33" s="278"/>
      <c r="H33" s="278"/>
      <c r="I33" s="278"/>
    </row>
    <row r="34" spans="1:9" s="225" customFormat="1" ht="36" x14ac:dyDescent="0.2">
      <c r="A34" s="334"/>
      <c r="B34" s="227" t="s">
        <v>79</v>
      </c>
      <c r="C34" s="224">
        <f t="shared" si="0"/>
        <v>1886</v>
      </c>
      <c r="D34" s="224">
        <v>1886</v>
      </c>
      <c r="E34" s="224">
        <v>185</v>
      </c>
      <c r="F34" s="224"/>
      <c r="G34" s="224"/>
      <c r="H34" s="224"/>
      <c r="I34" s="224"/>
    </row>
    <row r="35" spans="1:9" s="199" customFormat="1" x14ac:dyDescent="0.2">
      <c r="A35" s="278">
        <v>28</v>
      </c>
      <c r="B35" s="228" t="s">
        <v>80</v>
      </c>
      <c r="C35" s="278">
        <f t="shared" si="0"/>
        <v>329</v>
      </c>
      <c r="D35" s="278">
        <v>329</v>
      </c>
      <c r="E35" s="278"/>
      <c r="F35" s="278"/>
      <c r="G35" s="278"/>
      <c r="H35" s="278"/>
      <c r="I35" s="278"/>
    </row>
    <row r="36" spans="1:9" s="199" customFormat="1" x14ac:dyDescent="0.2">
      <c r="A36" s="278">
        <v>29</v>
      </c>
      <c r="B36" s="222" t="s">
        <v>81</v>
      </c>
      <c r="C36" s="278">
        <f t="shared" si="0"/>
        <v>1934</v>
      </c>
      <c r="D36" s="278">
        <v>1934</v>
      </c>
      <c r="E36" s="278">
        <v>1934</v>
      </c>
      <c r="F36" s="278"/>
      <c r="G36" s="278"/>
      <c r="H36" s="278"/>
      <c r="I36" s="278"/>
    </row>
    <row r="37" spans="1:9" s="199" customFormat="1" x14ac:dyDescent="0.2">
      <c r="A37" s="278">
        <v>30</v>
      </c>
      <c r="B37" s="228" t="s">
        <v>82</v>
      </c>
      <c r="C37" s="278">
        <f t="shared" si="0"/>
        <v>432</v>
      </c>
      <c r="D37" s="278">
        <v>432</v>
      </c>
      <c r="E37" s="278"/>
      <c r="F37" s="278">
        <v>432</v>
      </c>
      <c r="G37" s="278"/>
      <c r="H37" s="278"/>
      <c r="I37" s="278"/>
    </row>
    <row r="38" spans="1:9" s="199" customFormat="1" x14ac:dyDescent="0.2">
      <c r="A38" s="278">
        <v>31</v>
      </c>
      <c r="B38" s="222" t="s">
        <v>83</v>
      </c>
      <c r="C38" s="278">
        <f t="shared" si="0"/>
        <v>294</v>
      </c>
      <c r="D38" s="278">
        <v>294</v>
      </c>
      <c r="E38" s="278"/>
      <c r="F38" s="278"/>
      <c r="G38" s="278"/>
      <c r="H38" s="278"/>
      <c r="I38" s="278"/>
    </row>
    <row r="39" spans="1:9" s="199" customFormat="1" x14ac:dyDescent="0.2">
      <c r="A39" s="335">
        <v>32</v>
      </c>
      <c r="B39" s="222" t="s">
        <v>84</v>
      </c>
      <c r="C39" s="278">
        <f t="shared" si="0"/>
        <v>4435</v>
      </c>
      <c r="D39" s="278">
        <f>4337+60+505-505+158-120</f>
        <v>4435</v>
      </c>
      <c r="E39" s="278">
        <v>0</v>
      </c>
      <c r="F39" s="278"/>
      <c r="G39" s="278"/>
      <c r="H39" s="278">
        <f>746-120</f>
        <v>626</v>
      </c>
      <c r="I39" s="278"/>
    </row>
    <row r="40" spans="1:9" s="225" customFormat="1" ht="24" x14ac:dyDescent="0.2">
      <c r="A40" s="336"/>
      <c r="B40" s="227" t="s">
        <v>85</v>
      </c>
      <c r="C40" s="278">
        <f t="shared" si="0"/>
        <v>1288</v>
      </c>
      <c r="D40" s="224">
        <v>1288</v>
      </c>
      <c r="E40" s="224">
        <v>1288</v>
      </c>
      <c r="F40" s="224"/>
      <c r="G40" s="224"/>
      <c r="H40" s="224"/>
      <c r="I40" s="224"/>
    </row>
    <row r="41" spans="1:9" s="225" customFormat="1" ht="25.5" x14ac:dyDescent="0.2">
      <c r="A41" s="337"/>
      <c r="B41" s="8" t="s">
        <v>86</v>
      </c>
      <c r="C41" s="278">
        <f t="shared" si="0"/>
        <v>508</v>
      </c>
      <c r="D41" s="224">
        <f>0+505+3</f>
        <v>508</v>
      </c>
      <c r="E41" s="224"/>
      <c r="F41" s="224"/>
      <c r="G41" s="224"/>
      <c r="H41" s="224"/>
      <c r="I41" s="224"/>
    </row>
    <row r="42" spans="1:9" s="199" customFormat="1" x14ac:dyDescent="0.2">
      <c r="A42" s="278">
        <v>33</v>
      </c>
      <c r="B42" s="222" t="s">
        <v>87</v>
      </c>
      <c r="C42" s="278">
        <f t="shared" si="0"/>
        <v>207</v>
      </c>
      <c r="D42" s="278">
        <v>207</v>
      </c>
      <c r="E42" s="278"/>
      <c r="F42" s="278"/>
      <c r="G42" s="278"/>
      <c r="H42" s="278"/>
      <c r="I42" s="278"/>
    </row>
    <row r="43" spans="1:9" s="199" customFormat="1" x14ac:dyDescent="0.2">
      <c r="A43" s="327">
        <v>34</v>
      </c>
      <c r="B43" s="222" t="s">
        <v>88</v>
      </c>
      <c r="C43" s="278">
        <f t="shared" si="0"/>
        <v>3699</v>
      </c>
      <c r="D43" s="278">
        <f>3817-50-68</f>
        <v>3699</v>
      </c>
      <c r="E43" s="278">
        <v>270</v>
      </c>
      <c r="F43" s="278"/>
      <c r="G43" s="278"/>
      <c r="H43" s="278">
        <f>838-50-68</f>
        <v>720</v>
      </c>
      <c r="I43" s="278"/>
    </row>
    <row r="44" spans="1:9" s="225" customFormat="1" ht="24" x14ac:dyDescent="0.2">
      <c r="A44" s="328"/>
      <c r="B44" s="227" t="s">
        <v>89</v>
      </c>
      <c r="C44" s="278">
        <f t="shared" si="0"/>
        <v>1174</v>
      </c>
      <c r="D44" s="224">
        <v>1174</v>
      </c>
      <c r="E44" s="224">
        <v>111</v>
      </c>
      <c r="F44" s="224"/>
      <c r="G44" s="224"/>
      <c r="H44" s="224"/>
      <c r="I44" s="224"/>
    </row>
    <row r="45" spans="1:9" s="199" customFormat="1" x14ac:dyDescent="0.2">
      <c r="A45" s="278">
        <v>35</v>
      </c>
      <c r="B45" s="222" t="s">
        <v>18</v>
      </c>
      <c r="C45" s="278">
        <f t="shared" si="0"/>
        <v>4149</v>
      </c>
      <c r="D45" s="278">
        <v>4149</v>
      </c>
      <c r="E45" s="278">
        <v>334</v>
      </c>
      <c r="F45" s="278"/>
      <c r="G45" s="278"/>
      <c r="H45" s="278"/>
      <c r="I45" s="278"/>
    </row>
    <row r="46" spans="1:9" s="199" customFormat="1" x14ac:dyDescent="0.2">
      <c r="A46" s="278">
        <v>36</v>
      </c>
      <c r="B46" s="222" t="s">
        <v>19</v>
      </c>
      <c r="C46" s="278">
        <f t="shared" si="0"/>
        <v>4095</v>
      </c>
      <c r="D46" s="278">
        <f>4077+50-32</f>
        <v>4095</v>
      </c>
      <c r="E46" s="278">
        <v>394</v>
      </c>
      <c r="F46" s="278"/>
      <c r="G46" s="278"/>
      <c r="H46" s="278">
        <f>0+50-32</f>
        <v>18</v>
      </c>
      <c r="I46" s="278"/>
    </row>
    <row r="47" spans="1:9" s="199" customFormat="1" x14ac:dyDescent="0.2">
      <c r="A47" s="278">
        <v>37</v>
      </c>
      <c r="B47" s="222" t="s">
        <v>90</v>
      </c>
      <c r="C47" s="278">
        <f t="shared" si="0"/>
        <v>1276</v>
      </c>
      <c r="D47" s="278">
        <v>1276</v>
      </c>
      <c r="E47" s="278">
        <v>144</v>
      </c>
      <c r="F47" s="278"/>
      <c r="G47" s="278"/>
      <c r="H47" s="278"/>
      <c r="I47" s="278"/>
    </row>
    <row r="48" spans="1:9" s="199" customFormat="1" x14ac:dyDescent="0.2">
      <c r="A48" s="278">
        <v>38</v>
      </c>
      <c r="B48" s="222" t="s">
        <v>91</v>
      </c>
      <c r="C48" s="278">
        <f t="shared" si="0"/>
        <v>1616</v>
      </c>
      <c r="D48" s="278">
        <f>1564-1+55-2</f>
        <v>1616</v>
      </c>
      <c r="E48" s="278">
        <v>175</v>
      </c>
      <c r="F48" s="278"/>
      <c r="G48" s="278"/>
      <c r="H48" s="278"/>
      <c r="I48" s="278"/>
    </row>
    <row r="49" spans="1:9" s="199" customFormat="1" x14ac:dyDescent="0.2">
      <c r="A49" s="278">
        <v>39</v>
      </c>
      <c r="B49" s="222" t="s">
        <v>92</v>
      </c>
      <c r="C49" s="278">
        <f t="shared" si="0"/>
        <v>1430</v>
      </c>
      <c r="D49" s="278">
        <v>1430</v>
      </c>
      <c r="E49" s="278">
        <v>156</v>
      </c>
      <c r="F49" s="278"/>
      <c r="G49" s="278"/>
      <c r="H49" s="278"/>
      <c r="I49" s="278"/>
    </row>
    <row r="50" spans="1:9" s="199" customFormat="1" x14ac:dyDescent="0.2">
      <c r="A50" s="278">
        <v>40</v>
      </c>
      <c r="B50" s="222" t="s">
        <v>93</v>
      </c>
      <c r="C50" s="278">
        <f t="shared" si="0"/>
        <v>988</v>
      </c>
      <c r="D50" s="278">
        <f>933+55</f>
        <v>988</v>
      </c>
      <c r="E50" s="278">
        <v>86</v>
      </c>
      <c r="F50" s="278"/>
      <c r="G50" s="278"/>
      <c r="H50" s="278"/>
      <c r="I50" s="278"/>
    </row>
    <row r="51" spans="1:9" s="199" customFormat="1" x14ac:dyDescent="0.2">
      <c r="A51" s="278">
        <v>41</v>
      </c>
      <c r="B51" s="222" t="s">
        <v>94</v>
      </c>
      <c r="C51" s="278">
        <f t="shared" si="0"/>
        <v>1619</v>
      </c>
      <c r="D51" s="278">
        <v>1619</v>
      </c>
      <c r="E51" s="278">
        <v>150</v>
      </c>
      <c r="F51" s="278"/>
      <c r="G51" s="278"/>
      <c r="H51" s="278"/>
      <c r="I51" s="278"/>
    </row>
    <row r="52" spans="1:9" s="199" customFormat="1" x14ac:dyDescent="0.2">
      <c r="A52" s="278">
        <v>42</v>
      </c>
      <c r="B52" s="222" t="s">
        <v>95</v>
      </c>
      <c r="C52" s="278">
        <f t="shared" si="0"/>
        <v>740</v>
      </c>
      <c r="D52" s="278">
        <v>740</v>
      </c>
      <c r="E52" s="278">
        <v>67</v>
      </c>
      <c r="F52" s="278"/>
      <c r="G52" s="278"/>
      <c r="H52" s="278"/>
      <c r="I52" s="278"/>
    </row>
    <row r="53" spans="1:9" s="199" customFormat="1" x14ac:dyDescent="0.2">
      <c r="A53" s="278">
        <v>43</v>
      </c>
      <c r="B53" s="228" t="s">
        <v>179</v>
      </c>
      <c r="C53" s="278">
        <f t="shared" si="0"/>
        <v>365</v>
      </c>
      <c r="D53" s="278">
        <v>365</v>
      </c>
      <c r="E53" s="278"/>
      <c r="F53" s="278"/>
      <c r="G53" s="278"/>
      <c r="H53" s="278"/>
      <c r="I53" s="278"/>
    </row>
    <row r="54" spans="1:9" s="225" customFormat="1" x14ac:dyDescent="0.2">
      <c r="A54" s="278">
        <v>44</v>
      </c>
      <c r="B54" s="226" t="s">
        <v>96</v>
      </c>
      <c r="C54" s="278">
        <f t="shared" si="0"/>
        <v>492</v>
      </c>
      <c r="D54" s="278">
        <f>1000-505-3</f>
        <v>492</v>
      </c>
      <c r="E54" s="278"/>
      <c r="F54" s="278"/>
      <c r="G54" s="224"/>
      <c r="H54" s="224"/>
      <c r="I54" s="224"/>
    </row>
    <row r="55" spans="1:9" s="199" customFormat="1" x14ac:dyDescent="0.2">
      <c r="A55" s="278">
        <v>45</v>
      </c>
      <c r="B55" s="226" t="s">
        <v>97</v>
      </c>
      <c r="C55" s="278">
        <f t="shared" si="0"/>
        <v>0</v>
      </c>
      <c r="D55" s="278">
        <f>40-40</f>
        <v>0</v>
      </c>
      <c r="E55" s="278"/>
      <c r="F55" s="278"/>
      <c r="G55" s="278"/>
      <c r="H55" s="278">
        <f>40-40</f>
        <v>0</v>
      </c>
      <c r="I55" s="278"/>
    </row>
    <row r="56" spans="1:9" s="199" customFormat="1" x14ac:dyDescent="0.2">
      <c r="A56" s="278">
        <v>46</v>
      </c>
      <c r="B56" s="222" t="s">
        <v>98</v>
      </c>
      <c r="C56" s="278">
        <f t="shared" si="0"/>
        <v>230</v>
      </c>
      <c r="D56" s="278">
        <v>230</v>
      </c>
      <c r="E56" s="278"/>
      <c r="F56" s="278"/>
      <c r="G56" s="278"/>
      <c r="H56" s="278"/>
      <c r="I56" s="278"/>
    </row>
    <row r="57" spans="1:9" s="199" customFormat="1" x14ac:dyDescent="0.2">
      <c r="A57" s="278">
        <v>47</v>
      </c>
      <c r="B57" s="222" t="s">
        <v>20</v>
      </c>
      <c r="C57" s="278">
        <f t="shared" si="0"/>
        <v>6322</v>
      </c>
      <c r="D57" s="278">
        <v>6322</v>
      </c>
      <c r="E57" s="278">
        <v>624</v>
      </c>
      <c r="F57" s="278"/>
      <c r="G57" s="278"/>
      <c r="H57" s="278"/>
      <c r="I57" s="278"/>
    </row>
    <row r="58" spans="1:9" s="199" customFormat="1" x14ac:dyDescent="0.2">
      <c r="A58" s="278">
        <v>48</v>
      </c>
      <c r="B58" s="222" t="s">
        <v>9</v>
      </c>
      <c r="C58" s="278">
        <f t="shared" si="0"/>
        <v>4928</v>
      </c>
      <c r="D58" s="278">
        <v>4928</v>
      </c>
      <c r="E58" s="278">
        <v>398</v>
      </c>
      <c r="F58" s="278"/>
      <c r="G58" s="278"/>
      <c r="H58" s="278">
        <f>462-304</f>
        <v>158</v>
      </c>
      <c r="I58" s="278"/>
    </row>
    <row r="59" spans="1:9" s="199" customFormat="1" x14ac:dyDescent="0.2">
      <c r="A59" s="278">
        <v>49</v>
      </c>
      <c r="B59" s="222" t="s">
        <v>99</v>
      </c>
      <c r="C59" s="278">
        <f t="shared" si="0"/>
        <v>5715</v>
      </c>
      <c r="D59" s="278">
        <f>6007-200-92</f>
        <v>5715</v>
      </c>
      <c r="E59" s="278">
        <v>944</v>
      </c>
      <c r="F59" s="278">
        <v>30</v>
      </c>
      <c r="G59" s="278"/>
      <c r="H59" s="278">
        <f>927-200-92</f>
        <v>635</v>
      </c>
      <c r="I59" s="278"/>
    </row>
    <row r="60" spans="1:9" s="199" customFormat="1" x14ac:dyDescent="0.2">
      <c r="A60" s="278">
        <v>50</v>
      </c>
      <c r="B60" s="222" t="s">
        <v>100</v>
      </c>
      <c r="C60" s="278">
        <f t="shared" si="0"/>
        <v>1949</v>
      </c>
      <c r="D60" s="278">
        <v>1949</v>
      </c>
      <c r="E60" s="278">
        <v>188</v>
      </c>
      <c r="F60" s="278"/>
      <c r="G60" s="278"/>
      <c r="H60" s="278"/>
      <c r="I60" s="278"/>
    </row>
    <row r="61" spans="1:9" s="199" customFormat="1" x14ac:dyDescent="0.2">
      <c r="A61" s="278">
        <v>51</v>
      </c>
      <c r="B61" s="222" t="s">
        <v>101</v>
      </c>
      <c r="C61" s="278">
        <f t="shared" si="0"/>
        <v>1304</v>
      </c>
      <c r="D61" s="278">
        <v>1304</v>
      </c>
      <c r="E61" s="278">
        <v>122</v>
      </c>
      <c r="F61" s="278"/>
      <c r="G61" s="278"/>
      <c r="H61" s="278"/>
      <c r="I61" s="278"/>
    </row>
    <row r="62" spans="1:9" s="199" customFormat="1" x14ac:dyDescent="0.2">
      <c r="A62" s="278">
        <v>52</v>
      </c>
      <c r="B62" s="222" t="s">
        <v>102</v>
      </c>
      <c r="C62" s="278">
        <f t="shared" si="0"/>
        <v>1056</v>
      </c>
      <c r="D62" s="278">
        <v>1056</v>
      </c>
      <c r="E62" s="278">
        <v>106</v>
      </c>
      <c r="F62" s="278"/>
      <c r="G62" s="278"/>
      <c r="H62" s="278"/>
      <c r="I62" s="278"/>
    </row>
    <row r="63" spans="1:9" s="199" customFormat="1" x14ac:dyDescent="0.2">
      <c r="A63" s="278">
        <v>53</v>
      </c>
      <c r="B63" s="222" t="s">
        <v>103</v>
      </c>
      <c r="C63" s="278">
        <f t="shared" si="0"/>
        <v>1536</v>
      </c>
      <c r="D63" s="278">
        <v>1536</v>
      </c>
      <c r="E63" s="278">
        <v>147</v>
      </c>
      <c r="F63" s="278"/>
      <c r="G63" s="278"/>
      <c r="H63" s="278"/>
      <c r="I63" s="278"/>
    </row>
    <row r="64" spans="1:9" s="199" customFormat="1" x14ac:dyDescent="0.2">
      <c r="A64" s="278">
        <v>54</v>
      </c>
      <c r="B64" s="222" t="s">
        <v>104</v>
      </c>
      <c r="C64" s="278">
        <f t="shared" si="0"/>
        <v>670</v>
      </c>
      <c r="D64" s="278">
        <v>670</v>
      </c>
      <c r="E64" s="278">
        <v>60</v>
      </c>
      <c r="F64" s="278"/>
      <c r="G64" s="278"/>
      <c r="H64" s="278"/>
      <c r="I64" s="278"/>
    </row>
    <row r="65" spans="1:9" s="199" customFormat="1" x14ac:dyDescent="0.2">
      <c r="A65" s="278">
        <v>55</v>
      </c>
      <c r="B65" s="222" t="s">
        <v>105</v>
      </c>
      <c r="C65" s="278">
        <f t="shared" si="0"/>
        <v>1276</v>
      </c>
      <c r="D65" s="278">
        <v>1276</v>
      </c>
      <c r="E65" s="278">
        <v>124</v>
      </c>
      <c r="F65" s="278"/>
      <c r="G65" s="278"/>
      <c r="H65" s="278"/>
      <c r="I65" s="278"/>
    </row>
    <row r="66" spans="1:9" s="199" customFormat="1" x14ac:dyDescent="0.2">
      <c r="A66" s="278">
        <v>56</v>
      </c>
      <c r="B66" s="222" t="s">
        <v>106</v>
      </c>
      <c r="C66" s="278">
        <f t="shared" si="0"/>
        <v>1906</v>
      </c>
      <c r="D66" s="278">
        <v>1906</v>
      </c>
      <c r="E66" s="278">
        <v>190</v>
      </c>
      <c r="F66" s="278"/>
      <c r="G66" s="278"/>
      <c r="H66" s="278"/>
      <c r="I66" s="278"/>
    </row>
    <row r="67" spans="1:9" s="199" customFormat="1" x14ac:dyDescent="0.2">
      <c r="A67" s="278">
        <v>57</v>
      </c>
      <c r="B67" s="222" t="s">
        <v>107</v>
      </c>
      <c r="C67" s="278">
        <f t="shared" si="0"/>
        <v>1046</v>
      </c>
      <c r="D67" s="278">
        <v>1046</v>
      </c>
      <c r="E67" s="278">
        <v>103</v>
      </c>
      <c r="F67" s="278"/>
      <c r="G67" s="278"/>
      <c r="H67" s="278"/>
      <c r="I67" s="278"/>
    </row>
    <row r="68" spans="1:9" s="199" customFormat="1" x14ac:dyDescent="0.2">
      <c r="A68" s="278">
        <v>58</v>
      </c>
      <c r="B68" s="222" t="s">
        <v>108</v>
      </c>
      <c r="C68" s="278">
        <f t="shared" si="0"/>
        <v>2189</v>
      </c>
      <c r="D68" s="278">
        <f>2083+24+82</f>
        <v>2189</v>
      </c>
      <c r="E68" s="278">
        <f>2083+24+82</f>
        <v>2189</v>
      </c>
      <c r="F68" s="278">
        <v>10</v>
      </c>
      <c r="G68" s="278"/>
      <c r="H68" s="278"/>
      <c r="I68" s="278"/>
    </row>
    <row r="69" spans="1:9" s="199" customFormat="1" x14ac:dyDescent="0.2">
      <c r="A69" s="278">
        <v>59</v>
      </c>
      <c r="B69" s="222" t="s">
        <v>109</v>
      </c>
      <c r="C69" s="278">
        <f t="shared" si="0"/>
        <v>1917</v>
      </c>
      <c r="D69" s="278">
        <f>1788+21-2+40+70</f>
        <v>1917</v>
      </c>
      <c r="E69" s="278">
        <f>1788+21-2+40+70</f>
        <v>1917</v>
      </c>
      <c r="F69" s="278">
        <v>30</v>
      </c>
      <c r="G69" s="278"/>
      <c r="H69" s="278"/>
      <c r="I69" s="278"/>
    </row>
    <row r="70" spans="1:9" s="199" customFormat="1" x14ac:dyDescent="0.2">
      <c r="A70" s="278">
        <v>60</v>
      </c>
      <c r="B70" s="222" t="s">
        <v>110</v>
      </c>
      <c r="C70" s="278">
        <f t="shared" si="0"/>
        <v>2518</v>
      </c>
      <c r="D70" s="278">
        <f>2396+28+94</f>
        <v>2518</v>
      </c>
      <c r="E70" s="278">
        <f>2396+28+94</f>
        <v>2518</v>
      </c>
      <c r="F70" s="278">
        <v>4</v>
      </c>
      <c r="G70" s="278"/>
      <c r="H70" s="278"/>
      <c r="I70" s="278"/>
    </row>
    <row r="71" spans="1:9" s="199" customFormat="1" x14ac:dyDescent="0.2">
      <c r="A71" s="278">
        <v>61</v>
      </c>
      <c r="B71" s="222" t="s">
        <v>111</v>
      </c>
      <c r="C71" s="278">
        <f t="shared" ref="C71:C113" si="1">D71+I71</f>
        <v>3080</v>
      </c>
      <c r="D71" s="278">
        <f>2931+34+115</f>
        <v>3080</v>
      </c>
      <c r="E71" s="278">
        <f>2931+34+115</f>
        <v>3080</v>
      </c>
      <c r="F71" s="278">
        <v>100</v>
      </c>
      <c r="G71" s="278"/>
      <c r="H71" s="278"/>
      <c r="I71" s="278"/>
    </row>
    <row r="72" spans="1:9" s="199" customFormat="1" x14ac:dyDescent="0.2">
      <c r="A72" s="278">
        <v>62</v>
      </c>
      <c r="B72" s="222" t="s">
        <v>112</v>
      </c>
      <c r="C72" s="278">
        <f t="shared" si="1"/>
        <v>1187</v>
      </c>
      <c r="D72" s="278">
        <f>1130+13+44</f>
        <v>1187</v>
      </c>
      <c r="E72" s="278">
        <f>1130+13+44</f>
        <v>1187</v>
      </c>
      <c r="F72" s="278">
        <v>83</v>
      </c>
      <c r="G72" s="278"/>
      <c r="H72" s="278"/>
      <c r="I72" s="278"/>
    </row>
    <row r="73" spans="1:9" s="199" customFormat="1" x14ac:dyDescent="0.2">
      <c r="A73" s="278">
        <v>63</v>
      </c>
      <c r="B73" s="222" t="s">
        <v>113</v>
      </c>
      <c r="C73" s="278">
        <f t="shared" si="1"/>
        <v>3305</v>
      </c>
      <c r="D73" s="278">
        <f>3425-120</f>
        <v>3305</v>
      </c>
      <c r="E73" s="278">
        <f>120-120</f>
        <v>0</v>
      </c>
      <c r="F73" s="278"/>
      <c r="G73" s="278"/>
      <c r="H73" s="278">
        <v>434</v>
      </c>
      <c r="I73" s="278"/>
    </row>
    <row r="74" spans="1:9" s="199" customFormat="1" x14ac:dyDescent="0.2">
      <c r="A74" s="278">
        <v>64</v>
      </c>
      <c r="B74" s="222" t="s">
        <v>114</v>
      </c>
      <c r="C74" s="278">
        <f t="shared" si="1"/>
        <v>1560</v>
      </c>
      <c r="D74" s="278">
        <f>1505+55</f>
        <v>1560</v>
      </c>
      <c r="E74" s="278"/>
      <c r="F74" s="278"/>
      <c r="G74" s="278"/>
      <c r="H74" s="278"/>
      <c r="I74" s="278"/>
    </row>
    <row r="75" spans="1:9" s="199" customFormat="1" x14ac:dyDescent="0.2">
      <c r="A75" s="278">
        <v>65</v>
      </c>
      <c r="B75" s="222" t="s">
        <v>115</v>
      </c>
      <c r="C75" s="278">
        <f t="shared" si="1"/>
        <v>2950</v>
      </c>
      <c r="D75" s="278">
        <v>2950</v>
      </c>
      <c r="E75" s="278"/>
      <c r="F75" s="278"/>
      <c r="G75" s="278"/>
      <c r="H75" s="278">
        <v>1496</v>
      </c>
      <c r="I75" s="278"/>
    </row>
    <row r="76" spans="1:9" s="199" customFormat="1" x14ac:dyDescent="0.2">
      <c r="A76" s="278">
        <v>66</v>
      </c>
      <c r="B76" s="222" t="s">
        <v>116</v>
      </c>
      <c r="C76" s="278">
        <f t="shared" si="1"/>
        <v>1134</v>
      </c>
      <c r="D76" s="278">
        <v>1134</v>
      </c>
      <c r="E76" s="278"/>
      <c r="F76" s="278"/>
      <c r="G76" s="278"/>
      <c r="H76" s="278"/>
      <c r="I76" s="278"/>
    </row>
    <row r="77" spans="1:9" s="199" customFormat="1" x14ac:dyDescent="0.2">
      <c r="A77" s="278">
        <v>67</v>
      </c>
      <c r="B77" s="222" t="s">
        <v>117</v>
      </c>
      <c r="C77" s="278">
        <f t="shared" si="1"/>
        <v>3945</v>
      </c>
      <c r="D77" s="278">
        <f>3939+30-24</f>
        <v>3945</v>
      </c>
      <c r="E77" s="278"/>
      <c r="F77" s="278"/>
      <c r="G77" s="278"/>
      <c r="H77" s="278">
        <f>773-24</f>
        <v>749</v>
      </c>
      <c r="I77" s="278"/>
    </row>
    <row r="78" spans="1:9" s="199" customFormat="1" x14ac:dyDescent="0.2">
      <c r="A78" s="278">
        <v>68</v>
      </c>
      <c r="B78" s="222" t="s">
        <v>118</v>
      </c>
      <c r="C78" s="278">
        <f t="shared" si="1"/>
        <v>1827</v>
      </c>
      <c r="D78" s="278">
        <f>1797+30</f>
        <v>1827</v>
      </c>
      <c r="E78" s="278"/>
      <c r="F78" s="278"/>
      <c r="G78" s="278"/>
      <c r="H78" s="278"/>
      <c r="I78" s="278"/>
    </row>
    <row r="79" spans="1:9" s="199" customFormat="1" x14ac:dyDescent="0.2">
      <c r="A79" s="278">
        <v>69</v>
      </c>
      <c r="B79" s="222" t="s">
        <v>119</v>
      </c>
      <c r="C79" s="278">
        <f t="shared" si="1"/>
        <v>2137</v>
      </c>
      <c r="D79" s="278">
        <f>2192+55-140+30</f>
        <v>2137</v>
      </c>
      <c r="E79" s="278"/>
      <c r="F79" s="278">
        <f>391-140</f>
        <v>251</v>
      </c>
      <c r="G79" s="278"/>
      <c r="H79" s="278"/>
      <c r="I79" s="278"/>
    </row>
    <row r="80" spans="1:9" s="199" customFormat="1" x14ac:dyDescent="0.2">
      <c r="A80" s="278">
        <v>70</v>
      </c>
      <c r="B80" s="222" t="s">
        <v>120</v>
      </c>
      <c r="C80" s="278">
        <f t="shared" si="1"/>
        <v>1100</v>
      </c>
      <c r="D80" s="278">
        <v>1100</v>
      </c>
      <c r="E80" s="278"/>
      <c r="F80" s="278"/>
      <c r="G80" s="278"/>
      <c r="H80" s="278"/>
      <c r="I80" s="278"/>
    </row>
    <row r="81" spans="1:9" s="199" customFormat="1" x14ac:dyDescent="0.2">
      <c r="A81" s="278">
        <v>71</v>
      </c>
      <c r="B81" s="222" t="s">
        <v>121</v>
      </c>
      <c r="C81" s="278">
        <f t="shared" si="1"/>
        <v>4514</v>
      </c>
      <c r="D81" s="278">
        <f>4527-13</f>
        <v>4514</v>
      </c>
      <c r="E81" s="278"/>
      <c r="F81" s="278"/>
      <c r="G81" s="278"/>
      <c r="H81" s="278">
        <f>1034-13</f>
        <v>1021</v>
      </c>
      <c r="I81" s="278"/>
    </row>
    <row r="82" spans="1:9" s="199" customFormat="1" x14ac:dyDescent="0.2">
      <c r="A82" s="278">
        <v>72</v>
      </c>
      <c r="B82" s="222" t="s">
        <v>122</v>
      </c>
      <c r="C82" s="278">
        <f t="shared" si="1"/>
        <v>1434</v>
      </c>
      <c r="D82" s="278">
        <f>1379+55</f>
        <v>1434</v>
      </c>
      <c r="E82" s="278"/>
      <c r="F82" s="278"/>
      <c r="G82" s="278"/>
      <c r="H82" s="278"/>
      <c r="I82" s="278"/>
    </row>
    <row r="83" spans="1:9" s="199" customFormat="1" x14ac:dyDescent="0.2">
      <c r="A83" s="278">
        <v>73</v>
      </c>
      <c r="B83" s="222" t="s">
        <v>123</v>
      </c>
      <c r="C83" s="278">
        <f t="shared" si="1"/>
        <v>1393</v>
      </c>
      <c r="D83" s="278">
        <f>1338+55</f>
        <v>1393</v>
      </c>
      <c r="E83" s="278"/>
      <c r="F83" s="278"/>
      <c r="G83" s="278"/>
      <c r="H83" s="278"/>
      <c r="I83" s="278"/>
    </row>
    <row r="84" spans="1:9" s="199" customFormat="1" x14ac:dyDescent="0.2">
      <c r="A84" s="278">
        <v>74</v>
      </c>
      <c r="B84" s="222" t="s">
        <v>124</v>
      </c>
      <c r="C84" s="278">
        <f t="shared" si="1"/>
        <v>3041</v>
      </c>
      <c r="D84" s="278">
        <f>3043-2</f>
        <v>3041</v>
      </c>
      <c r="E84" s="278">
        <v>374</v>
      </c>
      <c r="F84" s="278">
        <v>30</v>
      </c>
      <c r="G84" s="278"/>
      <c r="H84" s="278"/>
      <c r="I84" s="278"/>
    </row>
    <row r="85" spans="1:9" s="199" customFormat="1" x14ac:dyDescent="0.2">
      <c r="A85" s="278">
        <v>75</v>
      </c>
      <c r="B85" s="222" t="s">
        <v>125</v>
      </c>
      <c r="C85" s="278">
        <f t="shared" si="1"/>
        <v>2381</v>
      </c>
      <c r="D85" s="278">
        <v>2381</v>
      </c>
      <c r="E85" s="278"/>
      <c r="F85" s="278">
        <v>289</v>
      </c>
      <c r="G85" s="278"/>
      <c r="H85" s="278"/>
      <c r="I85" s="278"/>
    </row>
    <row r="86" spans="1:9" s="199" customFormat="1" x14ac:dyDescent="0.2">
      <c r="A86" s="278">
        <v>76</v>
      </c>
      <c r="B86" s="222" t="s">
        <v>126</v>
      </c>
      <c r="C86" s="278">
        <f t="shared" si="1"/>
        <v>1670</v>
      </c>
      <c r="D86" s="278">
        <v>1670</v>
      </c>
      <c r="E86" s="278"/>
      <c r="F86" s="278"/>
      <c r="G86" s="278"/>
      <c r="H86" s="278"/>
      <c r="I86" s="278"/>
    </row>
    <row r="87" spans="1:9" s="199" customFormat="1" x14ac:dyDescent="0.2">
      <c r="A87" s="278">
        <v>77</v>
      </c>
      <c r="B87" s="222" t="s">
        <v>127</v>
      </c>
      <c r="C87" s="278">
        <f t="shared" si="1"/>
        <v>980</v>
      </c>
      <c r="D87" s="278">
        <v>980</v>
      </c>
      <c r="E87" s="278"/>
      <c r="F87" s="278"/>
      <c r="G87" s="278"/>
      <c r="H87" s="278"/>
      <c r="I87" s="278"/>
    </row>
    <row r="88" spans="1:9" s="199" customFormat="1" x14ac:dyDescent="0.2">
      <c r="A88" s="278">
        <v>78</v>
      </c>
      <c r="B88" s="222" t="s">
        <v>128</v>
      </c>
      <c r="C88" s="278">
        <f t="shared" si="1"/>
        <v>1987</v>
      </c>
      <c r="D88" s="278">
        <v>1987</v>
      </c>
      <c r="E88" s="278"/>
      <c r="F88" s="278">
        <v>392</v>
      </c>
      <c r="G88" s="278"/>
      <c r="H88" s="278"/>
      <c r="I88" s="278"/>
    </row>
    <row r="89" spans="1:9" s="199" customFormat="1" x14ac:dyDescent="0.2">
      <c r="A89" s="278">
        <v>79</v>
      </c>
      <c r="B89" s="222" t="s">
        <v>129</v>
      </c>
      <c r="C89" s="278">
        <f t="shared" si="1"/>
        <v>783</v>
      </c>
      <c r="D89" s="278">
        <v>783</v>
      </c>
      <c r="E89" s="278"/>
      <c r="F89" s="278"/>
      <c r="G89" s="278"/>
      <c r="H89" s="278"/>
      <c r="I89" s="278"/>
    </row>
    <row r="90" spans="1:9" s="199" customFormat="1" x14ac:dyDescent="0.2">
      <c r="A90" s="278">
        <v>80</v>
      </c>
      <c r="B90" s="222" t="s">
        <v>130</v>
      </c>
      <c r="C90" s="278">
        <f t="shared" si="1"/>
        <v>6006</v>
      </c>
      <c r="D90" s="278">
        <f>5859+200-53</f>
        <v>6006</v>
      </c>
      <c r="E90" s="278"/>
      <c r="F90" s="278">
        <v>421</v>
      </c>
      <c r="G90" s="278"/>
      <c r="H90" s="278">
        <f>1003+200-53</f>
        <v>1150</v>
      </c>
      <c r="I90" s="278"/>
    </row>
    <row r="91" spans="1:9" s="199" customFormat="1" x14ac:dyDescent="0.2">
      <c r="A91" s="278">
        <v>81</v>
      </c>
      <c r="B91" s="222" t="s">
        <v>131</v>
      </c>
      <c r="C91" s="278">
        <f t="shared" si="1"/>
        <v>1748</v>
      </c>
      <c r="D91" s="278">
        <v>1748</v>
      </c>
      <c r="E91" s="278">
        <v>1748</v>
      </c>
      <c r="F91" s="278">
        <v>64</v>
      </c>
      <c r="G91" s="278"/>
      <c r="H91" s="278"/>
      <c r="I91" s="278"/>
    </row>
    <row r="92" spans="1:9" s="199" customFormat="1" x14ac:dyDescent="0.2">
      <c r="A92" s="278">
        <v>82</v>
      </c>
      <c r="B92" s="222" t="s">
        <v>53</v>
      </c>
      <c r="C92" s="278">
        <f t="shared" si="1"/>
        <v>2384</v>
      </c>
      <c r="D92" s="278">
        <f>2384</f>
        <v>2384</v>
      </c>
      <c r="E92" s="278"/>
      <c r="F92" s="278">
        <v>159</v>
      </c>
      <c r="G92" s="278"/>
      <c r="H92" s="278">
        <v>420</v>
      </c>
      <c r="I92" s="278"/>
    </row>
    <row r="93" spans="1:9" s="199" customFormat="1" x14ac:dyDescent="0.2">
      <c r="A93" s="278">
        <v>83</v>
      </c>
      <c r="B93" s="222" t="s">
        <v>132</v>
      </c>
      <c r="C93" s="278">
        <f t="shared" si="1"/>
        <v>687</v>
      </c>
      <c r="D93" s="19">
        <v>687</v>
      </c>
      <c r="E93" s="19"/>
      <c r="F93" s="19"/>
      <c r="G93" s="19"/>
      <c r="H93" s="19"/>
      <c r="I93" s="19"/>
    </row>
    <row r="94" spans="1:9" s="199" customFormat="1" x14ac:dyDescent="0.2">
      <c r="A94" s="278">
        <v>84</v>
      </c>
      <c r="B94" s="222" t="s">
        <v>22</v>
      </c>
      <c r="C94" s="278">
        <f t="shared" si="1"/>
        <v>463</v>
      </c>
      <c r="D94" s="19">
        <f>470-7</f>
        <v>463</v>
      </c>
      <c r="E94" s="19"/>
      <c r="F94" s="19">
        <f>22</f>
        <v>22</v>
      </c>
      <c r="G94" s="19"/>
      <c r="H94" s="19">
        <f>300-7</f>
        <v>293</v>
      </c>
      <c r="I94" s="19"/>
    </row>
    <row r="95" spans="1:9" s="199" customFormat="1" x14ac:dyDescent="0.2">
      <c r="A95" s="278">
        <v>85</v>
      </c>
      <c r="B95" s="222" t="s">
        <v>133</v>
      </c>
      <c r="C95" s="278">
        <f t="shared" si="1"/>
        <v>262</v>
      </c>
      <c r="D95" s="19">
        <v>262</v>
      </c>
      <c r="E95" s="19"/>
      <c r="F95" s="19"/>
      <c r="G95" s="19"/>
      <c r="H95" s="19"/>
      <c r="I95" s="19"/>
    </row>
    <row r="96" spans="1:9" s="199" customFormat="1" x14ac:dyDescent="0.2">
      <c r="A96" s="278">
        <v>86</v>
      </c>
      <c r="B96" s="222" t="s">
        <v>134</v>
      </c>
      <c r="C96" s="278">
        <f t="shared" si="1"/>
        <v>859</v>
      </c>
      <c r="D96" s="19">
        <v>859</v>
      </c>
      <c r="E96" s="19">
        <v>92</v>
      </c>
      <c r="F96" s="19"/>
      <c r="G96" s="19"/>
      <c r="H96" s="19"/>
      <c r="I96" s="19"/>
    </row>
    <row r="97" spans="1:9" s="199" customFormat="1" x14ac:dyDescent="0.2">
      <c r="A97" s="278">
        <v>87</v>
      </c>
      <c r="B97" s="222" t="s">
        <v>135</v>
      </c>
      <c r="C97" s="278">
        <f t="shared" si="1"/>
        <v>872</v>
      </c>
      <c r="D97" s="278">
        <v>872</v>
      </c>
      <c r="E97" s="278">
        <v>95</v>
      </c>
      <c r="F97" s="278"/>
      <c r="G97" s="278"/>
      <c r="H97" s="278"/>
      <c r="I97" s="278"/>
    </row>
    <row r="98" spans="1:9" s="199" customFormat="1" x14ac:dyDescent="0.2">
      <c r="A98" s="278">
        <v>88</v>
      </c>
      <c r="B98" s="222" t="s">
        <v>30</v>
      </c>
      <c r="C98" s="278">
        <f t="shared" si="1"/>
        <v>2470</v>
      </c>
      <c r="D98" s="19">
        <v>2470</v>
      </c>
      <c r="E98" s="19">
        <v>255</v>
      </c>
      <c r="F98" s="19"/>
      <c r="G98" s="19"/>
      <c r="H98" s="19"/>
      <c r="I98" s="19"/>
    </row>
    <row r="99" spans="1:9" s="199" customFormat="1" x14ac:dyDescent="0.2">
      <c r="A99" s="278">
        <v>89</v>
      </c>
      <c r="B99" s="222" t="s">
        <v>136</v>
      </c>
      <c r="C99" s="278">
        <f t="shared" si="1"/>
        <v>1068</v>
      </c>
      <c r="D99" s="278">
        <v>1068</v>
      </c>
      <c r="E99" s="278">
        <v>111</v>
      </c>
      <c r="F99" s="278"/>
      <c r="G99" s="278"/>
      <c r="H99" s="278"/>
      <c r="I99" s="278"/>
    </row>
    <row r="100" spans="1:9" s="199" customFormat="1" x14ac:dyDescent="0.2">
      <c r="A100" s="278">
        <v>90</v>
      </c>
      <c r="B100" s="222" t="s">
        <v>137</v>
      </c>
      <c r="C100" s="278">
        <f t="shared" si="1"/>
        <v>1300</v>
      </c>
      <c r="D100" s="19">
        <v>1300</v>
      </c>
      <c r="E100" s="19">
        <v>118</v>
      </c>
      <c r="F100" s="19"/>
      <c r="G100" s="19"/>
      <c r="H100" s="19"/>
      <c r="I100" s="19"/>
    </row>
    <row r="101" spans="1:9" s="199" customFormat="1" x14ac:dyDescent="0.2">
      <c r="A101" s="278">
        <v>91</v>
      </c>
      <c r="B101" s="222" t="s">
        <v>138</v>
      </c>
      <c r="C101" s="278">
        <f t="shared" si="1"/>
        <v>2550</v>
      </c>
      <c r="D101" s="19">
        <f>2552-2</f>
        <v>2550</v>
      </c>
      <c r="E101" s="19">
        <v>304</v>
      </c>
      <c r="F101" s="19"/>
      <c r="G101" s="19"/>
      <c r="H101" s="19"/>
      <c r="I101" s="19"/>
    </row>
    <row r="102" spans="1:9" s="199" customFormat="1" x14ac:dyDescent="0.2">
      <c r="A102" s="278">
        <v>92</v>
      </c>
      <c r="B102" s="222" t="s">
        <v>139</v>
      </c>
      <c r="C102" s="278">
        <f t="shared" si="1"/>
        <v>2216</v>
      </c>
      <c r="D102" s="19">
        <v>2216</v>
      </c>
      <c r="E102" s="19">
        <v>230</v>
      </c>
      <c r="F102" s="19"/>
      <c r="G102" s="19"/>
      <c r="H102" s="19"/>
      <c r="I102" s="19"/>
    </row>
    <row r="103" spans="1:9" s="199" customFormat="1" x14ac:dyDescent="0.2">
      <c r="A103" s="278">
        <v>93</v>
      </c>
      <c r="B103" s="222" t="s">
        <v>140</v>
      </c>
      <c r="C103" s="278">
        <f t="shared" si="1"/>
        <v>806</v>
      </c>
      <c r="D103" s="278">
        <v>806</v>
      </c>
      <c r="E103" s="278">
        <v>90</v>
      </c>
      <c r="F103" s="278"/>
      <c r="G103" s="278"/>
      <c r="H103" s="278"/>
      <c r="I103" s="278"/>
    </row>
    <row r="104" spans="1:9" s="199" customFormat="1" x14ac:dyDescent="0.2">
      <c r="A104" s="278">
        <v>94</v>
      </c>
      <c r="B104" s="222" t="s">
        <v>141</v>
      </c>
      <c r="C104" s="278">
        <f t="shared" si="1"/>
        <v>1261</v>
      </c>
      <c r="D104" s="19">
        <v>1261</v>
      </c>
      <c r="E104" s="19">
        <v>125</v>
      </c>
      <c r="F104" s="19"/>
      <c r="G104" s="19"/>
      <c r="H104" s="19"/>
      <c r="I104" s="19"/>
    </row>
    <row r="105" spans="1:9" s="199" customFormat="1" x14ac:dyDescent="0.2">
      <c r="A105" s="278">
        <v>95</v>
      </c>
      <c r="B105" s="222" t="s">
        <v>142</v>
      </c>
      <c r="C105" s="278">
        <f t="shared" si="1"/>
        <v>1207</v>
      </c>
      <c r="D105" s="278">
        <v>1207</v>
      </c>
      <c r="E105" s="278">
        <v>134</v>
      </c>
      <c r="F105" s="278"/>
      <c r="G105" s="278"/>
      <c r="H105" s="278"/>
      <c r="I105" s="278"/>
    </row>
    <row r="106" spans="1:9" s="199" customFormat="1" x14ac:dyDescent="0.2">
      <c r="A106" s="278">
        <v>96</v>
      </c>
      <c r="B106" s="222" t="s">
        <v>15</v>
      </c>
      <c r="C106" s="278">
        <f t="shared" si="1"/>
        <v>1966</v>
      </c>
      <c r="D106" s="278">
        <f>1986-20</f>
        <v>1966</v>
      </c>
      <c r="E106" s="278">
        <v>181</v>
      </c>
      <c r="F106" s="278">
        <v>15</v>
      </c>
      <c r="G106" s="278"/>
      <c r="H106" s="278">
        <f>516-50-30-20</f>
        <v>416</v>
      </c>
      <c r="I106" s="278"/>
    </row>
    <row r="107" spans="1:9" s="199" customFormat="1" x14ac:dyDescent="0.2">
      <c r="A107" s="278">
        <v>97</v>
      </c>
      <c r="B107" s="222" t="s">
        <v>143</v>
      </c>
      <c r="C107" s="278">
        <f t="shared" si="1"/>
        <v>933</v>
      </c>
      <c r="D107" s="19">
        <v>933</v>
      </c>
      <c r="E107" s="19">
        <v>104</v>
      </c>
      <c r="F107" s="19"/>
      <c r="G107" s="19"/>
      <c r="H107" s="19"/>
      <c r="I107" s="19"/>
    </row>
    <row r="108" spans="1:9" s="199" customFormat="1" x14ac:dyDescent="0.2">
      <c r="A108" s="278">
        <v>98</v>
      </c>
      <c r="B108" s="222" t="s">
        <v>144</v>
      </c>
      <c r="C108" s="278">
        <f t="shared" si="1"/>
        <v>1372</v>
      </c>
      <c r="D108" s="19">
        <v>1372</v>
      </c>
      <c r="E108" s="19">
        <v>131</v>
      </c>
      <c r="F108" s="19"/>
      <c r="G108" s="19"/>
      <c r="H108" s="19"/>
      <c r="I108" s="19"/>
    </row>
    <row r="109" spans="1:9" s="199" customFormat="1" x14ac:dyDescent="0.2">
      <c r="A109" s="278">
        <v>99</v>
      </c>
      <c r="B109" s="222" t="s">
        <v>145</v>
      </c>
      <c r="C109" s="278">
        <f t="shared" si="1"/>
        <v>2297</v>
      </c>
      <c r="D109" s="19">
        <v>2297</v>
      </c>
      <c r="E109" s="19">
        <v>228</v>
      </c>
      <c r="F109" s="19"/>
      <c r="G109" s="19"/>
      <c r="H109" s="19"/>
      <c r="I109" s="19"/>
    </row>
    <row r="110" spans="1:9" s="199" customFormat="1" x14ac:dyDescent="0.2">
      <c r="A110" s="278">
        <v>100</v>
      </c>
      <c r="B110" s="222" t="s">
        <v>146</v>
      </c>
      <c r="C110" s="278">
        <f t="shared" si="1"/>
        <v>1099</v>
      </c>
      <c r="D110" s="19">
        <v>1099</v>
      </c>
      <c r="E110" s="19">
        <v>111</v>
      </c>
      <c r="F110" s="19"/>
      <c r="G110" s="19"/>
      <c r="H110" s="19"/>
      <c r="I110" s="19"/>
    </row>
    <row r="111" spans="1:9" s="199" customFormat="1" ht="14.25" customHeight="1" x14ac:dyDescent="0.2">
      <c r="A111" s="278">
        <v>101</v>
      </c>
      <c r="B111" s="228" t="s">
        <v>31</v>
      </c>
      <c r="C111" s="278">
        <f t="shared" si="1"/>
        <v>996</v>
      </c>
      <c r="D111" s="19">
        <v>996</v>
      </c>
      <c r="E111" s="19"/>
      <c r="F111" s="19">
        <v>150</v>
      </c>
      <c r="G111" s="19"/>
      <c r="H111" s="19"/>
      <c r="I111" s="19"/>
    </row>
    <row r="112" spans="1:9" s="199" customFormat="1" x14ac:dyDescent="0.2">
      <c r="A112" s="278">
        <v>102</v>
      </c>
      <c r="B112" s="222" t="s">
        <v>2</v>
      </c>
      <c r="C112" s="278">
        <f t="shared" si="1"/>
        <v>314</v>
      </c>
      <c r="D112" s="19">
        <f>315-1</f>
        <v>314</v>
      </c>
      <c r="E112" s="19"/>
      <c r="F112" s="19"/>
      <c r="G112" s="19"/>
      <c r="H112" s="19"/>
      <c r="I112" s="19"/>
    </row>
    <row r="113" spans="1:9" s="199" customFormat="1" ht="14.25" customHeight="1" x14ac:dyDescent="0.2">
      <c r="A113" s="229">
        <v>103</v>
      </c>
      <c r="B113" s="222" t="s">
        <v>175</v>
      </c>
      <c r="C113" s="278">
        <f t="shared" si="1"/>
        <v>594</v>
      </c>
      <c r="D113" s="19">
        <f>405+177+3+9</f>
        <v>594</v>
      </c>
      <c r="E113" s="19"/>
      <c r="F113" s="19"/>
      <c r="G113" s="19">
        <f>405+177+3+9</f>
        <v>594</v>
      </c>
      <c r="H113" s="19"/>
      <c r="I113" s="19"/>
    </row>
    <row r="114" spans="1:9" x14ac:dyDescent="0.2">
      <c r="A114" s="278">
        <v>104</v>
      </c>
      <c r="B114" s="230" t="s">
        <v>147</v>
      </c>
      <c r="C114" s="278">
        <f>D114+I114</f>
        <v>20</v>
      </c>
      <c r="D114" s="229">
        <v>20</v>
      </c>
      <c r="E114" s="229"/>
      <c r="F114" s="229"/>
      <c r="G114" s="230"/>
      <c r="H114" s="230"/>
      <c r="I114" s="230"/>
    </row>
    <row r="115" spans="1:9" s="233" customFormat="1" x14ac:dyDescent="0.2">
      <c r="A115" s="231">
        <v>105</v>
      </c>
      <c r="B115" s="232" t="s">
        <v>1</v>
      </c>
      <c r="C115" s="231">
        <f>C116+C117</f>
        <v>2006</v>
      </c>
      <c r="D115" s="231">
        <f>D116+D117</f>
        <v>2006</v>
      </c>
      <c r="E115" s="231"/>
      <c r="F115" s="231"/>
      <c r="G115" s="231"/>
      <c r="H115" s="231"/>
      <c r="I115" s="9"/>
    </row>
    <row r="116" spans="1:9" s="199" customFormat="1" ht="15" customHeight="1" x14ac:dyDescent="0.2">
      <c r="A116" s="278"/>
      <c r="B116" s="234" t="s">
        <v>148</v>
      </c>
      <c r="C116" s="278">
        <f t="shared" ref="C116:C148" si="2">D116+I116</f>
        <v>1888</v>
      </c>
      <c r="D116" s="19">
        <f>1896-1-2-1-2-1-1</f>
        <v>1888</v>
      </c>
      <c r="E116" s="19"/>
      <c r="F116" s="19"/>
      <c r="G116" s="19"/>
      <c r="H116" s="19"/>
      <c r="I116" s="19"/>
    </row>
    <row r="117" spans="1:9" s="199" customFormat="1" ht="15" customHeight="1" x14ac:dyDescent="0.2">
      <c r="A117" s="278"/>
      <c r="B117" s="234" t="s">
        <v>180</v>
      </c>
      <c r="C117" s="278">
        <f t="shared" si="2"/>
        <v>118</v>
      </c>
      <c r="D117" s="19">
        <f>70+48</f>
        <v>118</v>
      </c>
      <c r="E117" s="19"/>
      <c r="F117" s="19"/>
      <c r="G117" s="19"/>
      <c r="H117" s="19"/>
      <c r="I117" s="19"/>
    </row>
    <row r="118" spans="1:9" s="199" customFormat="1" x14ac:dyDescent="0.2">
      <c r="A118" s="278">
        <v>106</v>
      </c>
      <c r="B118" s="222" t="s">
        <v>176</v>
      </c>
      <c r="C118" s="278">
        <f t="shared" si="2"/>
        <v>494</v>
      </c>
      <c r="D118" s="19">
        <f>607-128+27-12</f>
        <v>494</v>
      </c>
      <c r="E118" s="19"/>
      <c r="F118" s="19"/>
      <c r="G118" s="19">
        <f>607-128-12</f>
        <v>467</v>
      </c>
      <c r="H118" s="19">
        <v>27</v>
      </c>
      <c r="I118" s="19"/>
    </row>
    <row r="119" spans="1:9" s="199" customFormat="1" x14ac:dyDescent="0.2">
      <c r="A119" s="278">
        <v>107</v>
      </c>
      <c r="B119" s="222" t="s">
        <v>149</v>
      </c>
      <c r="C119" s="278">
        <f t="shared" si="2"/>
        <v>32</v>
      </c>
      <c r="D119" s="19">
        <v>32</v>
      </c>
      <c r="E119" s="19"/>
      <c r="F119" s="19"/>
      <c r="G119" s="19"/>
      <c r="H119" s="19"/>
      <c r="I119" s="19"/>
    </row>
    <row r="120" spans="1:9" s="199" customFormat="1" x14ac:dyDescent="0.2">
      <c r="A120" s="278">
        <v>108</v>
      </c>
      <c r="B120" s="222" t="s">
        <v>3</v>
      </c>
      <c r="C120" s="278">
        <f t="shared" si="2"/>
        <v>470</v>
      </c>
      <c r="D120" s="19">
        <f>475-2-1-1-1</f>
        <v>470</v>
      </c>
      <c r="E120" s="19"/>
      <c r="F120" s="19"/>
      <c r="G120" s="19"/>
      <c r="H120" s="19"/>
      <c r="I120" s="19"/>
    </row>
    <row r="121" spans="1:9" s="199" customFormat="1" x14ac:dyDescent="0.2">
      <c r="A121" s="278">
        <v>109</v>
      </c>
      <c r="B121" s="222" t="s">
        <v>177</v>
      </c>
      <c r="C121" s="278">
        <f t="shared" si="2"/>
        <v>420</v>
      </c>
      <c r="D121" s="19">
        <f>485-60-5</f>
        <v>420</v>
      </c>
      <c r="E121" s="19"/>
      <c r="F121" s="19"/>
      <c r="G121" s="19">
        <f>405-60-5</f>
        <v>340</v>
      </c>
      <c r="H121" s="19"/>
      <c r="I121" s="19"/>
    </row>
    <row r="122" spans="1:9" s="199" customFormat="1" x14ac:dyDescent="0.2">
      <c r="A122" s="278">
        <v>110</v>
      </c>
      <c r="B122" s="222" t="s">
        <v>4</v>
      </c>
      <c r="C122" s="278">
        <f t="shared" si="2"/>
        <v>843</v>
      </c>
      <c r="D122" s="19">
        <f>846-1-1-1</f>
        <v>843</v>
      </c>
      <c r="E122" s="19"/>
      <c r="F122" s="19"/>
      <c r="G122" s="19"/>
      <c r="H122" s="19"/>
      <c r="I122" s="19"/>
    </row>
    <row r="123" spans="1:9" s="233" customFormat="1" x14ac:dyDescent="0.2">
      <c r="A123" s="231">
        <v>111</v>
      </c>
      <c r="B123" s="232" t="s">
        <v>150</v>
      </c>
      <c r="C123" s="231">
        <f>C124+C125+C126</f>
        <v>1478</v>
      </c>
      <c r="D123" s="231">
        <f>D124+D125+D126</f>
        <v>1478</v>
      </c>
      <c r="E123" s="231"/>
      <c r="F123" s="231"/>
      <c r="G123" s="231"/>
      <c r="H123" s="231"/>
      <c r="I123" s="231"/>
    </row>
    <row r="124" spans="1:9" s="199" customFormat="1" x14ac:dyDescent="0.2">
      <c r="A124" s="278"/>
      <c r="B124" s="222" t="s">
        <v>181</v>
      </c>
      <c r="C124" s="278">
        <f t="shared" si="2"/>
        <v>1164</v>
      </c>
      <c r="D124" s="19">
        <v>1164</v>
      </c>
      <c r="E124" s="19"/>
      <c r="F124" s="19"/>
      <c r="G124" s="19"/>
      <c r="H124" s="19"/>
      <c r="I124" s="19"/>
    </row>
    <row r="125" spans="1:9" s="199" customFormat="1" x14ac:dyDescent="0.2">
      <c r="A125" s="278"/>
      <c r="B125" s="222" t="s">
        <v>151</v>
      </c>
      <c r="C125" s="278">
        <f t="shared" si="2"/>
        <v>239</v>
      </c>
      <c r="D125" s="19">
        <v>239</v>
      </c>
      <c r="E125" s="19"/>
      <c r="F125" s="19"/>
      <c r="G125" s="19"/>
      <c r="H125" s="19"/>
      <c r="I125" s="19"/>
    </row>
    <row r="126" spans="1:9" s="199" customFormat="1" x14ac:dyDescent="0.2">
      <c r="A126" s="278"/>
      <c r="B126" s="222" t="s">
        <v>182</v>
      </c>
      <c r="C126" s="278">
        <f t="shared" si="2"/>
        <v>75</v>
      </c>
      <c r="D126" s="19">
        <f>60+15</f>
        <v>75</v>
      </c>
      <c r="E126" s="19"/>
      <c r="F126" s="19"/>
      <c r="G126" s="19"/>
      <c r="H126" s="19"/>
      <c r="I126" s="19"/>
    </row>
    <row r="127" spans="1:9" s="199" customFormat="1" x14ac:dyDescent="0.2">
      <c r="A127" s="278">
        <v>112</v>
      </c>
      <c r="B127" s="222" t="s">
        <v>23</v>
      </c>
      <c r="C127" s="278">
        <f t="shared" si="2"/>
        <v>10244</v>
      </c>
      <c r="D127" s="19">
        <f>10219+429-182-222</f>
        <v>10244</v>
      </c>
      <c r="E127" s="19"/>
      <c r="F127" s="19"/>
      <c r="G127" s="19"/>
      <c r="H127" s="19">
        <f>10219+429-182-222</f>
        <v>10244</v>
      </c>
      <c r="I127" s="19"/>
    </row>
    <row r="128" spans="1:9" s="199" customFormat="1" x14ac:dyDescent="0.2">
      <c r="A128" s="278">
        <v>113</v>
      </c>
      <c r="B128" s="222" t="s">
        <v>24</v>
      </c>
      <c r="C128" s="278">
        <f t="shared" si="2"/>
        <v>360</v>
      </c>
      <c r="D128" s="19">
        <v>360</v>
      </c>
      <c r="E128" s="19"/>
      <c r="F128" s="19"/>
      <c r="G128" s="19"/>
      <c r="H128" s="19"/>
      <c r="I128" s="19"/>
    </row>
    <row r="129" spans="1:9" s="233" customFormat="1" x14ac:dyDescent="0.2">
      <c r="A129" s="231">
        <v>114</v>
      </c>
      <c r="B129" s="232" t="s">
        <v>152</v>
      </c>
      <c r="C129" s="231">
        <f>C130+C131+C132</f>
        <v>2685</v>
      </c>
      <c r="D129" s="231">
        <f t="shared" ref="D129:H129" si="3">D130+D131+D132</f>
        <v>2685</v>
      </c>
      <c r="E129" s="231">
        <f t="shared" si="3"/>
        <v>2685</v>
      </c>
      <c r="F129" s="231">
        <f t="shared" si="3"/>
        <v>751</v>
      </c>
      <c r="G129" s="231">
        <f t="shared" si="3"/>
        <v>0</v>
      </c>
      <c r="H129" s="231">
        <f t="shared" si="3"/>
        <v>55</v>
      </c>
      <c r="I129" s="231"/>
    </row>
    <row r="130" spans="1:9" s="199" customFormat="1" x14ac:dyDescent="0.2">
      <c r="A130" s="278"/>
      <c r="B130" s="222" t="s">
        <v>152</v>
      </c>
      <c r="C130" s="278">
        <f t="shared" si="2"/>
        <v>2615</v>
      </c>
      <c r="D130" s="19">
        <f>3279-198-495+58+25-54</f>
        <v>2615</v>
      </c>
      <c r="E130" s="19">
        <f>3279-198-495+58+25-54</f>
        <v>2615</v>
      </c>
      <c r="F130" s="19">
        <f>872-67-54</f>
        <v>751</v>
      </c>
      <c r="G130" s="19"/>
      <c r="H130" s="19">
        <f>74+35-54</f>
        <v>55</v>
      </c>
      <c r="I130" s="19"/>
    </row>
    <row r="131" spans="1:9" s="199" customFormat="1" x14ac:dyDescent="0.2">
      <c r="A131" s="278"/>
      <c r="B131" s="234" t="s">
        <v>153</v>
      </c>
      <c r="C131" s="278">
        <f t="shared" si="2"/>
        <v>70</v>
      </c>
      <c r="D131" s="19">
        <f>45+81-56</f>
        <v>70</v>
      </c>
      <c r="E131" s="19">
        <f>45+81-56</f>
        <v>70</v>
      </c>
      <c r="F131" s="19"/>
      <c r="G131" s="19"/>
      <c r="H131" s="19"/>
      <c r="I131" s="19"/>
    </row>
    <row r="132" spans="1:9" s="199" customFormat="1" x14ac:dyDescent="0.2">
      <c r="A132" s="278"/>
      <c r="B132" s="234" t="s">
        <v>183</v>
      </c>
      <c r="C132" s="278">
        <f t="shared" si="2"/>
        <v>0</v>
      </c>
      <c r="D132" s="19">
        <f>2-2</f>
        <v>0</v>
      </c>
      <c r="E132" s="19">
        <f>2-2</f>
        <v>0</v>
      </c>
      <c r="F132" s="19"/>
      <c r="G132" s="19"/>
      <c r="H132" s="19"/>
      <c r="I132" s="19"/>
    </row>
    <row r="133" spans="1:9" s="199" customFormat="1" x14ac:dyDescent="0.2">
      <c r="A133" s="278">
        <v>115</v>
      </c>
      <c r="B133" s="222" t="s">
        <v>154</v>
      </c>
      <c r="C133" s="278">
        <f t="shared" si="2"/>
        <v>6960</v>
      </c>
      <c r="D133" s="19">
        <f>6980-20</f>
        <v>6960</v>
      </c>
      <c r="E133" s="19"/>
      <c r="F133" s="19"/>
      <c r="G133" s="19"/>
      <c r="H133" s="19"/>
      <c r="I133" s="19"/>
    </row>
    <row r="134" spans="1:9" s="199" customFormat="1" x14ac:dyDescent="0.2">
      <c r="A134" s="278">
        <v>116</v>
      </c>
      <c r="B134" s="222" t="s">
        <v>155</v>
      </c>
      <c r="C134" s="278">
        <f t="shared" si="2"/>
        <v>1724</v>
      </c>
      <c r="D134" s="19">
        <v>1724</v>
      </c>
      <c r="E134" s="19"/>
      <c r="F134" s="19"/>
      <c r="G134" s="19"/>
      <c r="H134" s="19"/>
      <c r="I134" s="19"/>
    </row>
    <row r="135" spans="1:9" s="199" customFormat="1" x14ac:dyDescent="0.2">
      <c r="A135" s="278">
        <v>117</v>
      </c>
      <c r="B135" s="222" t="s">
        <v>26</v>
      </c>
      <c r="C135" s="278">
        <f t="shared" si="2"/>
        <v>2914</v>
      </c>
      <c r="D135" s="19">
        <f>2614+300</f>
        <v>2914</v>
      </c>
      <c r="E135" s="19"/>
      <c r="F135" s="19"/>
      <c r="G135" s="19"/>
      <c r="H135" s="19"/>
      <c r="I135" s="19"/>
    </row>
    <row r="136" spans="1:9" s="199" customFormat="1" x14ac:dyDescent="0.2">
      <c r="A136" s="278">
        <v>118</v>
      </c>
      <c r="B136" s="226" t="s">
        <v>156</v>
      </c>
      <c r="C136" s="278">
        <f t="shared" si="2"/>
        <v>610</v>
      </c>
      <c r="D136" s="19">
        <f>608-12+14</f>
        <v>610</v>
      </c>
      <c r="E136" s="19"/>
      <c r="F136" s="19"/>
      <c r="G136" s="19">
        <f>608-12+14</f>
        <v>610</v>
      </c>
      <c r="H136" s="19"/>
      <c r="I136" s="19"/>
    </row>
    <row r="137" spans="1:9" s="199" customFormat="1" x14ac:dyDescent="0.2">
      <c r="A137" s="278">
        <v>119</v>
      </c>
      <c r="B137" s="222" t="s">
        <v>157</v>
      </c>
      <c r="C137" s="278">
        <f t="shared" si="2"/>
        <v>961</v>
      </c>
      <c r="D137" s="19">
        <f>821+140</f>
        <v>961</v>
      </c>
      <c r="E137" s="19"/>
      <c r="F137" s="19">
        <f>821+140</f>
        <v>961</v>
      </c>
      <c r="G137" s="19"/>
      <c r="H137" s="19"/>
      <c r="I137" s="19"/>
    </row>
    <row r="138" spans="1:9" s="199" customFormat="1" x14ac:dyDescent="0.2">
      <c r="A138" s="221">
        <v>120</v>
      </c>
      <c r="B138" s="222" t="s">
        <v>27</v>
      </c>
      <c r="C138" s="278">
        <f t="shared" si="2"/>
        <v>1163</v>
      </c>
      <c r="D138" s="19">
        <v>1163</v>
      </c>
      <c r="E138" s="19"/>
      <c r="F138" s="19">
        <v>563</v>
      </c>
      <c r="G138" s="19"/>
      <c r="H138" s="19"/>
      <c r="I138" s="19"/>
    </row>
    <row r="139" spans="1:9" s="199" customFormat="1" x14ac:dyDescent="0.2">
      <c r="A139" s="327">
        <v>121</v>
      </c>
      <c r="B139" s="222" t="s">
        <v>52</v>
      </c>
      <c r="C139" s="278">
        <f t="shared" si="2"/>
        <v>3542</v>
      </c>
      <c r="D139" s="19">
        <v>3542</v>
      </c>
      <c r="E139" s="19"/>
      <c r="F139" s="19">
        <f>135-11</f>
        <v>124</v>
      </c>
      <c r="G139" s="19"/>
      <c r="H139" s="19">
        <v>576</v>
      </c>
      <c r="I139" s="19"/>
    </row>
    <row r="140" spans="1:9" s="225" customFormat="1" ht="24" x14ac:dyDescent="0.2">
      <c r="A140" s="328"/>
      <c r="B140" s="227" t="s">
        <v>158</v>
      </c>
      <c r="C140" s="224">
        <f t="shared" si="2"/>
        <v>3470</v>
      </c>
      <c r="D140" s="235">
        <v>3470</v>
      </c>
      <c r="E140" s="235">
        <v>441</v>
      </c>
      <c r="F140" s="235"/>
      <c r="G140" s="235"/>
      <c r="H140" s="235"/>
      <c r="I140" s="235"/>
    </row>
    <row r="141" spans="1:9" s="199" customFormat="1" x14ac:dyDescent="0.2">
      <c r="A141" s="278">
        <v>122</v>
      </c>
      <c r="B141" s="222" t="s">
        <v>159</v>
      </c>
      <c r="C141" s="278">
        <f t="shared" si="2"/>
        <v>280</v>
      </c>
      <c r="D141" s="19">
        <f>259+4+4+13</f>
        <v>280</v>
      </c>
      <c r="E141" s="19"/>
      <c r="F141" s="19"/>
      <c r="G141" s="19"/>
      <c r="H141" s="19"/>
      <c r="I141" s="19"/>
    </row>
    <row r="142" spans="1:9" s="233" customFormat="1" x14ac:dyDescent="0.2">
      <c r="A142" s="236">
        <v>123</v>
      </c>
      <c r="B142" s="237" t="s">
        <v>160</v>
      </c>
      <c r="C142" s="231">
        <f t="shared" si="2"/>
        <v>5238</v>
      </c>
      <c r="D142" s="231">
        <f t="shared" ref="D142:I142" si="4">D144+D145+D146</f>
        <v>4803</v>
      </c>
      <c r="E142" s="231">
        <f t="shared" si="4"/>
        <v>0</v>
      </c>
      <c r="F142" s="231">
        <f t="shared" si="4"/>
        <v>0</v>
      </c>
      <c r="G142" s="231">
        <f t="shared" si="4"/>
        <v>0</v>
      </c>
      <c r="H142" s="231">
        <f t="shared" si="4"/>
        <v>4803</v>
      </c>
      <c r="I142" s="231">
        <f t="shared" si="4"/>
        <v>435</v>
      </c>
    </row>
    <row r="143" spans="1:9" s="199" customFormat="1" x14ac:dyDescent="0.2">
      <c r="A143" s="238"/>
      <c r="B143" s="228" t="s">
        <v>161</v>
      </c>
      <c r="C143" s="278">
        <f t="shared" si="2"/>
        <v>0</v>
      </c>
      <c r="D143" s="278"/>
      <c r="E143" s="278"/>
      <c r="F143" s="238"/>
      <c r="G143" s="238"/>
      <c r="H143" s="238"/>
      <c r="I143" s="238"/>
    </row>
    <row r="144" spans="1:9" s="199" customFormat="1" x14ac:dyDescent="0.2">
      <c r="A144" s="238"/>
      <c r="B144" s="228" t="s">
        <v>162</v>
      </c>
      <c r="C144" s="278">
        <f t="shared" si="2"/>
        <v>360</v>
      </c>
      <c r="D144" s="278"/>
      <c r="E144" s="278"/>
      <c r="F144" s="238"/>
      <c r="G144" s="238"/>
      <c r="H144" s="238"/>
      <c r="I144" s="19">
        <v>360</v>
      </c>
    </row>
    <row r="145" spans="1:9" s="199" customFormat="1" x14ac:dyDescent="0.2">
      <c r="A145" s="238"/>
      <c r="B145" s="228" t="s">
        <v>163</v>
      </c>
      <c r="C145" s="278">
        <f t="shared" si="2"/>
        <v>75</v>
      </c>
      <c r="D145" s="278"/>
      <c r="E145" s="278"/>
      <c r="F145" s="238"/>
      <c r="G145" s="238"/>
      <c r="H145" s="238"/>
      <c r="I145" s="19">
        <v>75</v>
      </c>
    </row>
    <row r="146" spans="1:9" s="199" customFormat="1" x14ac:dyDescent="0.2">
      <c r="A146" s="238"/>
      <c r="B146" s="239" t="s">
        <v>164</v>
      </c>
      <c r="C146" s="278">
        <f t="shared" si="2"/>
        <v>4803</v>
      </c>
      <c r="D146" s="278">
        <f>5166-1109+746</f>
        <v>4803</v>
      </c>
      <c r="E146" s="278"/>
      <c r="F146" s="238"/>
      <c r="G146" s="238"/>
      <c r="H146" s="221">
        <f>4057+746</f>
        <v>4803</v>
      </c>
      <c r="I146" s="19"/>
    </row>
    <row r="147" spans="1:9" s="199" customFormat="1" x14ac:dyDescent="0.2">
      <c r="A147" s="238">
        <v>124</v>
      </c>
      <c r="B147" s="228" t="s">
        <v>165</v>
      </c>
      <c r="C147" s="278">
        <f t="shared" si="2"/>
        <v>20</v>
      </c>
      <c r="D147" s="278">
        <v>20</v>
      </c>
      <c r="E147" s="278"/>
      <c r="F147" s="238"/>
      <c r="G147" s="238"/>
      <c r="H147" s="238"/>
      <c r="I147" s="19"/>
    </row>
    <row r="148" spans="1:9" s="199" customFormat="1" x14ac:dyDescent="0.2">
      <c r="A148" s="238"/>
      <c r="B148" s="222" t="s">
        <v>32</v>
      </c>
      <c r="C148" s="278">
        <f t="shared" si="2"/>
        <v>2631</v>
      </c>
      <c r="D148" s="278">
        <f>298+3157+3+4-820+40+23+3+2+3+2-63-12-9</f>
        <v>2631</v>
      </c>
      <c r="E148" s="278"/>
      <c r="F148" s="278"/>
      <c r="G148" s="278">
        <f>23-9</f>
        <v>14</v>
      </c>
      <c r="H148" s="278"/>
      <c r="I148" s="278"/>
    </row>
    <row r="149" spans="1:9" s="199" customFormat="1" x14ac:dyDescent="0.2">
      <c r="A149" s="9"/>
      <c r="B149" s="240" t="s">
        <v>166</v>
      </c>
      <c r="C149" s="9">
        <f>SUM(C6:C115)+SUM(C118:C123)+SUM(C127:C129)+C147+C148+SUM(C133:C142)</f>
        <v>251996</v>
      </c>
      <c r="D149" s="9">
        <f t="shared" ref="D149:I149" si="5">SUM(D6:D115)+SUM(D118:D123)+SUM(D127:D129)+D147+D148+SUM(D133:D142)</f>
        <v>251561</v>
      </c>
      <c r="E149" s="9">
        <f t="shared" si="5"/>
        <v>32429</v>
      </c>
      <c r="F149" s="9">
        <f t="shared" si="5"/>
        <v>4889</v>
      </c>
      <c r="G149" s="9">
        <f t="shared" si="5"/>
        <v>2025</v>
      </c>
      <c r="H149" s="9">
        <f t="shared" si="5"/>
        <v>29597</v>
      </c>
      <c r="I149" s="9">
        <f t="shared" si="5"/>
        <v>435</v>
      </c>
    </row>
    <row r="150" spans="1:9" x14ac:dyDescent="0.2">
      <c r="D150" s="202"/>
    </row>
  </sheetData>
  <mergeCells count="13">
    <mergeCell ref="A139:A140"/>
    <mergeCell ref="A8:A9"/>
    <mergeCell ref="A33:A34"/>
    <mergeCell ref="A39:A41"/>
    <mergeCell ref="A43:A44"/>
    <mergeCell ref="A1:I1"/>
    <mergeCell ref="G2:I2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zoomScale="90" zoomScaleNormal="90" workbookViewId="0">
      <pane xSplit="2" ySplit="5" topLeftCell="C117" activePane="bottomRight" state="frozen"/>
      <selection pane="topRight" activeCell="C1" sqref="C1"/>
      <selection pane="bottomLeft" activeCell="A6" sqref="A6"/>
      <selection pane="bottomRight" activeCell="L14" sqref="L14"/>
    </sheetView>
  </sheetViews>
  <sheetFormatPr defaultRowHeight="12.75" x14ac:dyDescent="0.2"/>
  <cols>
    <col min="1" max="1" width="5" style="15" customWidth="1"/>
    <col min="2" max="2" width="48.140625" style="15" customWidth="1"/>
    <col min="3" max="3" width="12.5703125" style="15" customWidth="1"/>
    <col min="4" max="4" width="12.7109375" style="15" customWidth="1"/>
    <col min="5" max="5" width="12.5703125" style="15" customWidth="1"/>
    <col min="6" max="6" width="14" style="15" customWidth="1"/>
    <col min="7" max="7" width="11.5703125" style="15" customWidth="1"/>
    <col min="8" max="16384" width="9.140625" style="15"/>
  </cols>
  <sheetData>
    <row r="1" spans="1:7" ht="48" customHeight="1" x14ac:dyDescent="0.2">
      <c r="A1" s="344" t="s">
        <v>546</v>
      </c>
      <c r="B1" s="344"/>
      <c r="C1" s="344"/>
      <c r="D1" s="344"/>
      <c r="E1" s="344"/>
      <c r="F1" s="344"/>
      <c r="G1" s="344"/>
    </row>
    <row r="2" spans="1:7" s="281" customFormat="1" x14ac:dyDescent="0.2">
      <c r="A2" s="280"/>
      <c r="F2" s="345" t="s">
        <v>55</v>
      </c>
      <c r="G2" s="346"/>
    </row>
    <row r="3" spans="1:7" s="281" customFormat="1" x14ac:dyDescent="0.2">
      <c r="A3" s="338" t="s">
        <v>7</v>
      </c>
      <c r="B3" s="338" t="s">
        <v>0</v>
      </c>
      <c r="C3" s="338" t="s">
        <v>56</v>
      </c>
      <c r="D3" s="339" t="s">
        <v>547</v>
      </c>
      <c r="E3" s="339"/>
      <c r="F3" s="339"/>
      <c r="G3" s="339"/>
    </row>
    <row r="4" spans="1:7" s="281" customFormat="1" ht="47.25" customHeight="1" x14ac:dyDescent="0.2">
      <c r="A4" s="339"/>
      <c r="B4" s="339"/>
      <c r="C4" s="339"/>
      <c r="D4" s="282" t="s">
        <v>518</v>
      </c>
      <c r="E4" s="282" t="s">
        <v>548</v>
      </c>
      <c r="F4" s="282" t="s">
        <v>549</v>
      </c>
      <c r="G4" s="282" t="s">
        <v>550</v>
      </c>
    </row>
    <row r="5" spans="1:7" s="281" customFormat="1" x14ac:dyDescent="0.2">
      <c r="A5" s="283">
        <v>1</v>
      </c>
      <c r="B5" s="283">
        <v>2</v>
      </c>
      <c r="C5" s="283">
        <v>3</v>
      </c>
      <c r="D5" s="283">
        <v>4</v>
      </c>
      <c r="E5" s="283">
        <v>5</v>
      </c>
      <c r="F5" s="283">
        <v>6</v>
      </c>
      <c r="G5" s="283">
        <v>7</v>
      </c>
    </row>
    <row r="6" spans="1:7" s="281" customFormat="1" x14ac:dyDescent="0.2">
      <c r="A6" s="283">
        <v>1</v>
      </c>
      <c r="B6" s="284" t="s">
        <v>12</v>
      </c>
      <c r="C6" s="283">
        <f>D6+E6+F6+G6</f>
        <v>3626</v>
      </c>
      <c r="D6" s="283">
        <f>886-2</f>
        <v>884</v>
      </c>
      <c r="E6" s="283">
        <v>923</v>
      </c>
      <c r="F6" s="283">
        <f>923-4</f>
        <v>919</v>
      </c>
      <c r="G6" s="283">
        <f>924-3-21</f>
        <v>900</v>
      </c>
    </row>
    <row r="7" spans="1:7" s="281" customFormat="1" x14ac:dyDescent="0.2">
      <c r="A7" s="283">
        <v>2</v>
      </c>
      <c r="B7" s="284" t="s">
        <v>13</v>
      </c>
      <c r="C7" s="283">
        <f t="shared" ref="C7:C71" si="0">D7+E7+F7+G7</f>
        <v>2917</v>
      </c>
      <c r="D7" s="283">
        <v>708</v>
      </c>
      <c r="E7" s="283">
        <v>737</v>
      </c>
      <c r="F7" s="283">
        <f>737-2</f>
        <v>735</v>
      </c>
      <c r="G7" s="283">
        <f>738-1</f>
        <v>737</v>
      </c>
    </row>
    <row r="8" spans="1:7" s="281" customFormat="1" x14ac:dyDescent="0.2">
      <c r="A8" s="338">
        <v>3</v>
      </c>
      <c r="B8" s="284" t="s">
        <v>57</v>
      </c>
      <c r="C8" s="283">
        <f t="shared" si="0"/>
        <v>7878</v>
      </c>
      <c r="D8" s="283">
        <v>1911</v>
      </c>
      <c r="E8" s="283">
        <v>1989</v>
      </c>
      <c r="F8" s="283">
        <v>1988</v>
      </c>
      <c r="G8" s="283">
        <v>1990</v>
      </c>
    </row>
    <row r="9" spans="1:7" s="287" customFormat="1" ht="24.75" customHeight="1" x14ac:dyDescent="0.2">
      <c r="A9" s="339"/>
      <c r="B9" s="285" t="s">
        <v>58</v>
      </c>
      <c r="C9" s="283">
        <f t="shared" si="0"/>
        <v>841</v>
      </c>
      <c r="D9" s="286">
        <v>204</v>
      </c>
      <c r="E9" s="286">
        <v>212</v>
      </c>
      <c r="F9" s="286">
        <v>212</v>
      </c>
      <c r="G9" s="286">
        <v>213</v>
      </c>
    </row>
    <row r="10" spans="1:7" s="281" customFormat="1" x14ac:dyDescent="0.2">
      <c r="A10" s="288">
        <v>4</v>
      </c>
      <c r="B10" s="284" t="s">
        <v>59</v>
      </c>
      <c r="C10" s="283">
        <f t="shared" si="0"/>
        <v>2202</v>
      </c>
      <c r="D10" s="283">
        <v>534</v>
      </c>
      <c r="E10" s="283">
        <v>556</v>
      </c>
      <c r="F10" s="283">
        <v>556</v>
      </c>
      <c r="G10" s="283">
        <v>556</v>
      </c>
    </row>
    <row r="11" spans="1:7" s="281" customFormat="1" x14ac:dyDescent="0.2">
      <c r="A11" s="283">
        <v>5</v>
      </c>
      <c r="B11" s="284" t="s">
        <v>60</v>
      </c>
      <c r="C11" s="283">
        <f t="shared" si="0"/>
        <v>964</v>
      </c>
      <c r="D11" s="283">
        <v>234</v>
      </c>
      <c r="E11" s="283">
        <v>243</v>
      </c>
      <c r="F11" s="283">
        <v>243</v>
      </c>
      <c r="G11" s="283">
        <v>244</v>
      </c>
    </row>
    <row r="12" spans="1:7" s="281" customFormat="1" x14ac:dyDescent="0.2">
      <c r="A12" s="283">
        <v>6</v>
      </c>
      <c r="B12" s="284" t="s">
        <v>61</v>
      </c>
      <c r="C12" s="283">
        <f t="shared" si="0"/>
        <v>1020</v>
      </c>
      <c r="D12" s="283">
        <v>241</v>
      </c>
      <c r="E12" s="283">
        <v>250</v>
      </c>
      <c r="F12" s="283">
        <f>249+15</f>
        <v>264</v>
      </c>
      <c r="G12" s="283">
        <f>250+15</f>
        <v>265</v>
      </c>
    </row>
    <row r="13" spans="1:7" s="281" customFormat="1" x14ac:dyDescent="0.2">
      <c r="A13" s="283">
        <v>7</v>
      </c>
      <c r="B13" s="284" t="s">
        <v>62</v>
      </c>
      <c r="C13" s="283">
        <f t="shared" si="0"/>
        <v>1070</v>
      </c>
      <c r="D13" s="283">
        <v>260</v>
      </c>
      <c r="E13" s="283">
        <v>270</v>
      </c>
      <c r="F13" s="283">
        <v>269</v>
      </c>
      <c r="G13" s="283">
        <v>271</v>
      </c>
    </row>
    <row r="14" spans="1:7" s="281" customFormat="1" x14ac:dyDescent="0.2">
      <c r="A14" s="283">
        <v>8</v>
      </c>
      <c r="B14" s="284" t="s">
        <v>63</v>
      </c>
      <c r="C14" s="283">
        <f t="shared" si="0"/>
        <v>1138</v>
      </c>
      <c r="D14" s="283">
        <v>276</v>
      </c>
      <c r="E14" s="283">
        <v>287</v>
      </c>
      <c r="F14" s="283">
        <v>287</v>
      </c>
      <c r="G14" s="283">
        <v>288</v>
      </c>
    </row>
    <row r="15" spans="1:7" s="281" customFormat="1" x14ac:dyDescent="0.2">
      <c r="A15" s="283">
        <v>9</v>
      </c>
      <c r="B15" s="284" t="s">
        <v>64</v>
      </c>
      <c r="C15" s="283">
        <f t="shared" si="0"/>
        <v>1217</v>
      </c>
      <c r="D15" s="283">
        <v>295</v>
      </c>
      <c r="E15" s="283">
        <v>307</v>
      </c>
      <c r="F15" s="283">
        <v>307</v>
      </c>
      <c r="G15" s="283">
        <v>308</v>
      </c>
    </row>
    <row r="16" spans="1:7" s="281" customFormat="1" x14ac:dyDescent="0.2">
      <c r="A16" s="283">
        <v>10</v>
      </c>
      <c r="B16" s="284" t="s">
        <v>65</v>
      </c>
      <c r="C16" s="283">
        <f t="shared" si="0"/>
        <v>1128</v>
      </c>
      <c r="D16" s="283">
        <v>274</v>
      </c>
      <c r="E16" s="283">
        <v>285</v>
      </c>
      <c r="F16" s="283">
        <v>284</v>
      </c>
      <c r="G16" s="283">
        <v>285</v>
      </c>
    </row>
    <row r="17" spans="1:7" s="281" customFormat="1" x14ac:dyDescent="0.2">
      <c r="A17" s="283">
        <v>11</v>
      </c>
      <c r="B17" s="284" t="s">
        <v>66</v>
      </c>
      <c r="C17" s="283">
        <f t="shared" si="0"/>
        <v>1317</v>
      </c>
      <c r="D17" s="283">
        <v>319</v>
      </c>
      <c r="E17" s="283">
        <v>333</v>
      </c>
      <c r="F17" s="283">
        <v>332</v>
      </c>
      <c r="G17" s="283">
        <v>333</v>
      </c>
    </row>
    <row r="18" spans="1:7" s="281" customFormat="1" x14ac:dyDescent="0.2">
      <c r="A18" s="283">
        <v>12</v>
      </c>
      <c r="B18" s="284" t="s">
        <v>67</v>
      </c>
      <c r="C18" s="283">
        <f t="shared" si="0"/>
        <v>1119</v>
      </c>
      <c r="D18" s="283">
        <v>272</v>
      </c>
      <c r="E18" s="283">
        <v>282</v>
      </c>
      <c r="F18" s="283">
        <v>283</v>
      </c>
      <c r="G18" s="283">
        <v>282</v>
      </c>
    </row>
    <row r="19" spans="1:7" s="281" customFormat="1" x14ac:dyDescent="0.2">
      <c r="A19" s="283">
        <v>13</v>
      </c>
      <c r="B19" s="284" t="s">
        <v>68</v>
      </c>
      <c r="C19" s="283">
        <f t="shared" si="0"/>
        <v>0</v>
      </c>
      <c r="D19" s="283">
        <f>7-7</f>
        <v>0</v>
      </c>
      <c r="E19" s="283">
        <f>11-11</f>
        <v>0</v>
      </c>
      <c r="F19" s="283">
        <f>10-7-3</f>
        <v>0</v>
      </c>
      <c r="G19" s="283">
        <f>12-2-10</f>
        <v>0</v>
      </c>
    </row>
    <row r="20" spans="1:7" s="281" customFormat="1" x14ac:dyDescent="0.2">
      <c r="A20" s="283">
        <v>14</v>
      </c>
      <c r="B20" s="289" t="s">
        <v>69</v>
      </c>
      <c r="C20" s="283">
        <f t="shared" si="0"/>
        <v>40</v>
      </c>
      <c r="D20" s="283">
        <v>7</v>
      </c>
      <c r="E20" s="283">
        <v>11</v>
      </c>
      <c r="F20" s="283">
        <v>10</v>
      </c>
      <c r="G20" s="283">
        <v>12</v>
      </c>
    </row>
    <row r="21" spans="1:7" s="281" customFormat="1" x14ac:dyDescent="0.2">
      <c r="A21" s="283">
        <v>15</v>
      </c>
      <c r="B21" s="284" t="s">
        <v>70</v>
      </c>
      <c r="C21" s="283">
        <f t="shared" si="0"/>
        <v>3030</v>
      </c>
      <c r="D21" s="283">
        <v>735</v>
      </c>
      <c r="E21" s="283">
        <v>765</v>
      </c>
      <c r="F21" s="283">
        <v>765</v>
      </c>
      <c r="G21" s="283">
        <v>765</v>
      </c>
    </row>
    <row r="22" spans="1:7" s="281" customFormat="1" x14ac:dyDescent="0.2">
      <c r="A22" s="283">
        <v>16</v>
      </c>
      <c r="B22" s="284" t="s">
        <v>16</v>
      </c>
      <c r="C22" s="283">
        <f t="shared" si="0"/>
        <v>2821</v>
      </c>
      <c r="D22" s="283">
        <v>684</v>
      </c>
      <c r="E22" s="283">
        <v>712</v>
      </c>
      <c r="F22" s="283">
        <v>712</v>
      </c>
      <c r="G22" s="283">
        <v>713</v>
      </c>
    </row>
    <row r="23" spans="1:7" s="281" customFormat="1" x14ac:dyDescent="0.2">
      <c r="A23" s="283">
        <v>17</v>
      </c>
      <c r="B23" s="284" t="s">
        <v>10</v>
      </c>
      <c r="C23" s="283">
        <f t="shared" si="0"/>
        <v>5511</v>
      </c>
      <c r="D23" s="283">
        <v>1341</v>
      </c>
      <c r="E23" s="283">
        <v>1397</v>
      </c>
      <c r="F23" s="283">
        <v>1396</v>
      </c>
      <c r="G23" s="283">
        <f>1397-20</f>
        <v>1377</v>
      </c>
    </row>
    <row r="24" spans="1:7" s="281" customFormat="1" x14ac:dyDescent="0.2">
      <c r="A24" s="283">
        <v>18</v>
      </c>
      <c r="B24" s="284" t="s">
        <v>11</v>
      </c>
      <c r="C24" s="283">
        <f t="shared" si="0"/>
        <v>3537</v>
      </c>
      <c r="D24" s="283">
        <v>857</v>
      </c>
      <c r="E24" s="283">
        <v>893</v>
      </c>
      <c r="F24" s="283">
        <v>894</v>
      </c>
      <c r="G24" s="283">
        <v>893</v>
      </c>
    </row>
    <row r="25" spans="1:7" s="281" customFormat="1" x14ac:dyDescent="0.2">
      <c r="A25" s="283">
        <v>19</v>
      </c>
      <c r="B25" s="284" t="s">
        <v>71</v>
      </c>
      <c r="C25" s="283">
        <f t="shared" si="0"/>
        <v>856</v>
      </c>
      <c r="D25" s="283">
        <v>208</v>
      </c>
      <c r="E25" s="283">
        <v>216</v>
      </c>
      <c r="F25" s="283">
        <v>216</v>
      </c>
      <c r="G25" s="283">
        <v>216</v>
      </c>
    </row>
    <row r="26" spans="1:7" s="281" customFormat="1" x14ac:dyDescent="0.2">
      <c r="A26" s="283">
        <v>20</v>
      </c>
      <c r="B26" s="284" t="s">
        <v>72</v>
      </c>
      <c r="C26" s="283">
        <f t="shared" si="0"/>
        <v>1476</v>
      </c>
      <c r="D26" s="283">
        <v>358</v>
      </c>
      <c r="E26" s="283">
        <v>373</v>
      </c>
      <c r="F26" s="283">
        <v>372</v>
      </c>
      <c r="G26" s="283">
        <v>373</v>
      </c>
    </row>
    <row r="27" spans="1:7" s="281" customFormat="1" x14ac:dyDescent="0.2">
      <c r="A27" s="283">
        <v>21</v>
      </c>
      <c r="B27" s="284" t="s">
        <v>73</v>
      </c>
      <c r="C27" s="283">
        <f t="shared" si="0"/>
        <v>1954</v>
      </c>
      <c r="D27" s="283">
        <v>474</v>
      </c>
      <c r="E27" s="283">
        <v>493</v>
      </c>
      <c r="F27" s="283">
        <v>493</v>
      </c>
      <c r="G27" s="283">
        <v>494</v>
      </c>
    </row>
    <row r="28" spans="1:7" s="281" customFormat="1" x14ac:dyDescent="0.2">
      <c r="A28" s="283">
        <v>22</v>
      </c>
      <c r="B28" s="284" t="s">
        <v>74</v>
      </c>
      <c r="C28" s="283">
        <f t="shared" si="0"/>
        <v>943</v>
      </c>
      <c r="D28" s="283">
        <v>205</v>
      </c>
      <c r="E28" s="283">
        <v>213</v>
      </c>
      <c r="F28" s="283">
        <f>212+50</f>
        <v>262</v>
      </c>
      <c r="G28" s="283">
        <f>213+50</f>
        <v>263</v>
      </c>
    </row>
    <row r="29" spans="1:7" s="281" customFormat="1" x14ac:dyDescent="0.2">
      <c r="A29" s="283">
        <v>23</v>
      </c>
      <c r="B29" s="284" t="s">
        <v>75</v>
      </c>
      <c r="C29" s="283">
        <f t="shared" si="0"/>
        <v>695</v>
      </c>
      <c r="D29" s="283">
        <v>169</v>
      </c>
      <c r="E29" s="283">
        <v>175</v>
      </c>
      <c r="F29" s="283">
        <v>175</v>
      </c>
      <c r="G29" s="283">
        <v>176</v>
      </c>
    </row>
    <row r="30" spans="1:7" s="281" customFormat="1" x14ac:dyDescent="0.2">
      <c r="A30" s="283">
        <v>24</v>
      </c>
      <c r="B30" s="284" t="s">
        <v>54</v>
      </c>
      <c r="C30" s="283">
        <f t="shared" si="0"/>
        <v>5594</v>
      </c>
      <c r="D30" s="283">
        <v>1416</v>
      </c>
      <c r="E30" s="283">
        <v>1475</v>
      </c>
      <c r="F30" s="283">
        <v>1475</v>
      </c>
      <c r="G30" s="283">
        <f>1475-429+182</f>
        <v>1228</v>
      </c>
    </row>
    <row r="31" spans="1:7" s="281" customFormat="1" x14ac:dyDescent="0.2">
      <c r="A31" s="283">
        <v>25</v>
      </c>
      <c r="B31" s="284" t="s">
        <v>76</v>
      </c>
      <c r="C31" s="283">
        <f t="shared" si="0"/>
        <v>2597</v>
      </c>
      <c r="D31" s="283">
        <v>629</v>
      </c>
      <c r="E31" s="283">
        <v>656</v>
      </c>
      <c r="F31" s="283">
        <v>656</v>
      </c>
      <c r="G31" s="283">
        <v>656</v>
      </c>
    </row>
    <row r="32" spans="1:7" s="281" customFormat="1" x14ac:dyDescent="0.2">
      <c r="A32" s="288">
        <v>26</v>
      </c>
      <c r="B32" s="284" t="s">
        <v>77</v>
      </c>
      <c r="C32" s="283">
        <f t="shared" si="0"/>
        <v>2808</v>
      </c>
      <c r="D32" s="283">
        <v>681</v>
      </c>
      <c r="E32" s="283">
        <v>709</v>
      </c>
      <c r="F32" s="283">
        <v>709</v>
      </c>
      <c r="G32" s="283">
        <v>709</v>
      </c>
    </row>
    <row r="33" spans="1:7" s="281" customFormat="1" x14ac:dyDescent="0.2">
      <c r="A33" s="338">
        <v>27</v>
      </c>
      <c r="B33" s="284" t="s">
        <v>78</v>
      </c>
      <c r="C33" s="283">
        <f t="shared" si="0"/>
        <v>1476</v>
      </c>
      <c r="D33" s="283">
        <v>358</v>
      </c>
      <c r="E33" s="283">
        <v>373</v>
      </c>
      <c r="F33" s="283">
        <v>373</v>
      </c>
      <c r="G33" s="283">
        <v>372</v>
      </c>
    </row>
    <row r="34" spans="1:7" s="287" customFormat="1" ht="38.25" x14ac:dyDescent="0.2">
      <c r="A34" s="340"/>
      <c r="B34" s="290" t="s">
        <v>79</v>
      </c>
      <c r="C34" s="283">
        <f t="shared" si="0"/>
        <v>1886</v>
      </c>
      <c r="D34" s="286">
        <v>458</v>
      </c>
      <c r="E34" s="286">
        <v>476</v>
      </c>
      <c r="F34" s="286">
        <v>476</v>
      </c>
      <c r="G34" s="286">
        <v>476</v>
      </c>
    </row>
    <row r="35" spans="1:7" s="281" customFormat="1" ht="25.5" x14ac:dyDescent="0.2">
      <c r="A35" s="283">
        <v>28</v>
      </c>
      <c r="B35" s="291" t="s">
        <v>80</v>
      </c>
      <c r="C35" s="283">
        <f t="shared" si="0"/>
        <v>329</v>
      </c>
      <c r="D35" s="283">
        <v>80</v>
      </c>
      <c r="E35" s="283">
        <v>83</v>
      </c>
      <c r="F35" s="283">
        <v>83</v>
      </c>
      <c r="G35" s="283">
        <v>83</v>
      </c>
    </row>
    <row r="36" spans="1:7" s="281" customFormat="1" x14ac:dyDescent="0.2">
      <c r="A36" s="283">
        <v>29</v>
      </c>
      <c r="B36" s="284" t="s">
        <v>81</v>
      </c>
      <c r="C36" s="283">
        <f t="shared" si="0"/>
        <v>1934</v>
      </c>
      <c r="D36" s="283">
        <v>469</v>
      </c>
      <c r="E36" s="283">
        <v>488</v>
      </c>
      <c r="F36" s="283">
        <v>489</v>
      </c>
      <c r="G36" s="283">
        <v>488</v>
      </c>
    </row>
    <row r="37" spans="1:7" s="281" customFormat="1" x14ac:dyDescent="0.2">
      <c r="A37" s="283">
        <v>30</v>
      </c>
      <c r="B37" s="291" t="s">
        <v>82</v>
      </c>
      <c r="C37" s="283">
        <f t="shared" si="0"/>
        <v>432</v>
      </c>
      <c r="D37" s="283">
        <v>105</v>
      </c>
      <c r="E37" s="283">
        <v>109</v>
      </c>
      <c r="F37" s="283">
        <v>109</v>
      </c>
      <c r="G37" s="283">
        <v>109</v>
      </c>
    </row>
    <row r="38" spans="1:7" s="281" customFormat="1" x14ac:dyDescent="0.2">
      <c r="A38" s="283">
        <v>31</v>
      </c>
      <c r="B38" s="284" t="s">
        <v>83</v>
      </c>
      <c r="C38" s="283">
        <f t="shared" si="0"/>
        <v>294</v>
      </c>
      <c r="D38" s="283">
        <v>72</v>
      </c>
      <c r="E38" s="283">
        <v>74</v>
      </c>
      <c r="F38" s="283">
        <v>74</v>
      </c>
      <c r="G38" s="283">
        <v>74</v>
      </c>
    </row>
    <row r="39" spans="1:7" s="281" customFormat="1" x14ac:dyDescent="0.2">
      <c r="A39" s="341">
        <v>32</v>
      </c>
      <c r="B39" s="292" t="s">
        <v>84</v>
      </c>
      <c r="C39" s="283">
        <f t="shared" si="0"/>
        <v>4435</v>
      </c>
      <c r="D39" s="283">
        <v>1051</v>
      </c>
      <c r="E39" s="283">
        <v>1095</v>
      </c>
      <c r="F39" s="283">
        <f>1096+109</f>
        <v>1205</v>
      </c>
      <c r="G39" s="283">
        <f>1095+109-120</f>
        <v>1084</v>
      </c>
    </row>
    <row r="40" spans="1:7" s="287" customFormat="1" ht="24" x14ac:dyDescent="0.2">
      <c r="A40" s="342"/>
      <c r="B40" s="293" t="s">
        <v>85</v>
      </c>
      <c r="C40" s="283">
        <f t="shared" si="0"/>
        <v>1288</v>
      </c>
      <c r="D40" s="286">
        <v>312</v>
      </c>
      <c r="E40" s="286">
        <v>325</v>
      </c>
      <c r="F40" s="286">
        <v>326</v>
      </c>
      <c r="G40" s="286">
        <v>325</v>
      </c>
    </row>
    <row r="41" spans="1:7" s="287" customFormat="1" ht="25.5" x14ac:dyDescent="0.2">
      <c r="A41" s="343"/>
      <c r="B41" s="294" t="s">
        <v>86</v>
      </c>
      <c r="C41" s="286">
        <f t="shared" si="0"/>
        <v>508</v>
      </c>
      <c r="D41" s="286">
        <v>0</v>
      </c>
      <c r="E41" s="286">
        <v>0</v>
      </c>
      <c r="F41" s="286">
        <v>252</v>
      </c>
      <c r="G41" s="286">
        <f>253+3</f>
        <v>256</v>
      </c>
    </row>
    <row r="42" spans="1:7" s="281" customFormat="1" x14ac:dyDescent="0.2">
      <c r="A42" s="283">
        <v>33</v>
      </c>
      <c r="B42" s="284" t="s">
        <v>87</v>
      </c>
      <c r="C42" s="283">
        <f t="shared" si="0"/>
        <v>207</v>
      </c>
      <c r="D42" s="283">
        <v>50</v>
      </c>
      <c r="E42" s="283">
        <v>52</v>
      </c>
      <c r="F42" s="283">
        <v>53</v>
      </c>
      <c r="G42" s="283">
        <v>52</v>
      </c>
    </row>
    <row r="43" spans="1:7" s="281" customFormat="1" x14ac:dyDescent="0.2">
      <c r="A43" s="338">
        <v>34</v>
      </c>
      <c r="B43" s="284" t="s">
        <v>88</v>
      </c>
      <c r="C43" s="283">
        <f t="shared" si="0"/>
        <v>3699</v>
      </c>
      <c r="D43" s="283">
        <v>925</v>
      </c>
      <c r="E43" s="283">
        <v>964</v>
      </c>
      <c r="F43" s="283">
        <v>963</v>
      </c>
      <c r="G43" s="283">
        <f>965-50-68</f>
        <v>847</v>
      </c>
    </row>
    <row r="44" spans="1:7" s="287" customFormat="1" ht="38.25" x14ac:dyDescent="0.2">
      <c r="A44" s="339"/>
      <c r="B44" s="290" t="s">
        <v>89</v>
      </c>
      <c r="C44" s="283">
        <f t="shared" si="0"/>
        <v>1174</v>
      </c>
      <c r="D44" s="286">
        <v>285</v>
      </c>
      <c r="E44" s="286">
        <v>296</v>
      </c>
      <c r="F44" s="286">
        <v>296</v>
      </c>
      <c r="G44" s="286">
        <v>297</v>
      </c>
    </row>
    <row r="45" spans="1:7" s="281" customFormat="1" x14ac:dyDescent="0.2">
      <c r="A45" s="283">
        <v>35</v>
      </c>
      <c r="B45" s="284" t="s">
        <v>18</v>
      </c>
      <c r="C45" s="283">
        <f t="shared" si="0"/>
        <v>4149</v>
      </c>
      <c r="D45" s="283">
        <v>1006</v>
      </c>
      <c r="E45" s="283">
        <v>1048</v>
      </c>
      <c r="F45" s="283">
        <v>1047</v>
      </c>
      <c r="G45" s="283">
        <v>1048</v>
      </c>
    </row>
    <row r="46" spans="1:7" s="281" customFormat="1" x14ac:dyDescent="0.2">
      <c r="A46" s="283">
        <v>36</v>
      </c>
      <c r="B46" s="284" t="s">
        <v>19</v>
      </c>
      <c r="C46" s="283">
        <f t="shared" si="0"/>
        <v>4095</v>
      </c>
      <c r="D46" s="283">
        <v>988</v>
      </c>
      <c r="E46" s="283">
        <v>1030</v>
      </c>
      <c r="F46" s="283">
        <v>1029</v>
      </c>
      <c r="G46" s="283">
        <f>1030+50-32</f>
        <v>1048</v>
      </c>
    </row>
    <row r="47" spans="1:7" s="281" customFormat="1" x14ac:dyDescent="0.2">
      <c r="A47" s="283">
        <v>37</v>
      </c>
      <c r="B47" s="284" t="s">
        <v>90</v>
      </c>
      <c r="C47" s="283">
        <f t="shared" si="0"/>
        <v>1276</v>
      </c>
      <c r="D47" s="283">
        <v>309</v>
      </c>
      <c r="E47" s="283">
        <v>322</v>
      </c>
      <c r="F47" s="283">
        <v>322</v>
      </c>
      <c r="G47" s="283">
        <v>323</v>
      </c>
    </row>
    <row r="48" spans="1:7" s="281" customFormat="1" x14ac:dyDescent="0.2">
      <c r="A48" s="283">
        <v>38</v>
      </c>
      <c r="B48" s="284" t="s">
        <v>91</v>
      </c>
      <c r="C48" s="283">
        <f t="shared" si="0"/>
        <v>1616</v>
      </c>
      <c r="D48" s="283">
        <v>379</v>
      </c>
      <c r="E48" s="283">
        <v>395</v>
      </c>
      <c r="F48" s="283">
        <f>394+25</f>
        <v>419</v>
      </c>
      <c r="G48" s="283">
        <f>396+27</f>
        <v>423</v>
      </c>
    </row>
    <row r="49" spans="1:7" s="281" customFormat="1" x14ac:dyDescent="0.2">
      <c r="A49" s="283">
        <v>39</v>
      </c>
      <c r="B49" s="284" t="s">
        <v>92</v>
      </c>
      <c r="C49" s="283">
        <f t="shared" si="0"/>
        <v>1430</v>
      </c>
      <c r="D49" s="283">
        <v>347</v>
      </c>
      <c r="E49" s="283">
        <v>361</v>
      </c>
      <c r="F49" s="283">
        <v>361</v>
      </c>
      <c r="G49" s="283">
        <v>361</v>
      </c>
    </row>
    <row r="50" spans="1:7" s="281" customFormat="1" x14ac:dyDescent="0.2">
      <c r="A50" s="283">
        <v>40</v>
      </c>
      <c r="B50" s="284" t="s">
        <v>93</v>
      </c>
      <c r="C50" s="283">
        <f t="shared" si="0"/>
        <v>988</v>
      </c>
      <c r="D50" s="283">
        <v>226</v>
      </c>
      <c r="E50" s="283">
        <v>236</v>
      </c>
      <c r="F50" s="283">
        <f>236+27</f>
        <v>263</v>
      </c>
      <c r="G50" s="283">
        <f>235+28</f>
        <v>263</v>
      </c>
    </row>
    <row r="51" spans="1:7" s="281" customFormat="1" x14ac:dyDescent="0.2">
      <c r="A51" s="283">
        <v>41</v>
      </c>
      <c r="B51" s="284" t="s">
        <v>94</v>
      </c>
      <c r="C51" s="283">
        <f t="shared" si="0"/>
        <v>1619</v>
      </c>
      <c r="D51" s="283">
        <v>393</v>
      </c>
      <c r="E51" s="283">
        <v>409</v>
      </c>
      <c r="F51" s="283">
        <v>409</v>
      </c>
      <c r="G51" s="283">
        <v>408</v>
      </c>
    </row>
    <row r="52" spans="1:7" s="281" customFormat="1" x14ac:dyDescent="0.2">
      <c r="A52" s="283">
        <v>42</v>
      </c>
      <c r="B52" s="284" t="s">
        <v>95</v>
      </c>
      <c r="C52" s="283">
        <f t="shared" si="0"/>
        <v>740</v>
      </c>
      <c r="D52" s="283">
        <v>179</v>
      </c>
      <c r="E52" s="283">
        <v>187</v>
      </c>
      <c r="F52" s="283">
        <v>187</v>
      </c>
      <c r="G52" s="283">
        <v>187</v>
      </c>
    </row>
    <row r="53" spans="1:7" s="281" customFormat="1" x14ac:dyDescent="0.2">
      <c r="A53" s="283">
        <v>43</v>
      </c>
      <c r="B53" s="291" t="s">
        <v>179</v>
      </c>
      <c r="C53" s="283">
        <f t="shared" si="0"/>
        <v>365</v>
      </c>
      <c r="D53" s="283">
        <v>88</v>
      </c>
      <c r="E53" s="283">
        <v>92</v>
      </c>
      <c r="F53" s="283">
        <v>93</v>
      </c>
      <c r="G53" s="283">
        <v>92</v>
      </c>
    </row>
    <row r="54" spans="1:7" s="287" customFormat="1" x14ac:dyDescent="0.2">
      <c r="A54" s="283">
        <v>44</v>
      </c>
      <c r="B54" s="289" t="s">
        <v>96</v>
      </c>
      <c r="C54" s="283">
        <f t="shared" si="0"/>
        <v>492</v>
      </c>
      <c r="D54" s="283">
        <v>242</v>
      </c>
      <c r="E54" s="283">
        <f>253-3</f>
        <v>250</v>
      </c>
      <c r="F54" s="283">
        <f>253-253</f>
        <v>0</v>
      </c>
      <c r="G54" s="283">
        <f>252-252</f>
        <v>0</v>
      </c>
    </row>
    <row r="55" spans="1:7" s="281" customFormat="1" x14ac:dyDescent="0.2">
      <c r="A55" s="283">
        <v>45</v>
      </c>
      <c r="B55" s="289" t="s">
        <v>97</v>
      </c>
      <c r="C55" s="283">
        <f t="shared" si="0"/>
        <v>0</v>
      </c>
      <c r="D55" s="283">
        <f>7-7</f>
        <v>0</v>
      </c>
      <c r="E55" s="283">
        <f>11-11</f>
        <v>0</v>
      </c>
      <c r="F55" s="283">
        <f>11-11</f>
        <v>0</v>
      </c>
      <c r="G55" s="283">
        <f>11-11</f>
        <v>0</v>
      </c>
    </row>
    <row r="56" spans="1:7" s="281" customFormat="1" x14ac:dyDescent="0.2">
      <c r="A56" s="283">
        <v>46</v>
      </c>
      <c r="B56" s="284" t="s">
        <v>98</v>
      </c>
      <c r="C56" s="283">
        <f t="shared" si="0"/>
        <v>230</v>
      </c>
      <c r="D56" s="283">
        <v>56</v>
      </c>
      <c r="E56" s="283">
        <v>58</v>
      </c>
      <c r="F56" s="283">
        <v>58</v>
      </c>
      <c r="G56" s="283">
        <v>58</v>
      </c>
    </row>
    <row r="57" spans="1:7" s="281" customFormat="1" x14ac:dyDescent="0.2">
      <c r="A57" s="283">
        <v>47</v>
      </c>
      <c r="B57" s="284" t="s">
        <v>20</v>
      </c>
      <c r="C57" s="283">
        <f t="shared" si="0"/>
        <v>6322</v>
      </c>
      <c r="D57" s="283">
        <v>1533</v>
      </c>
      <c r="E57" s="283">
        <v>1596</v>
      </c>
      <c r="F57" s="283">
        <v>1597</v>
      </c>
      <c r="G57" s="283">
        <v>1596</v>
      </c>
    </row>
    <row r="58" spans="1:7" s="281" customFormat="1" x14ac:dyDescent="0.2">
      <c r="A58" s="283">
        <v>48</v>
      </c>
      <c r="B58" s="284" t="s">
        <v>9</v>
      </c>
      <c r="C58" s="283">
        <f t="shared" si="0"/>
        <v>4928</v>
      </c>
      <c r="D58" s="283">
        <v>1195</v>
      </c>
      <c r="E58" s="283">
        <v>1244</v>
      </c>
      <c r="F58" s="283">
        <v>1244</v>
      </c>
      <c r="G58" s="283">
        <v>1245</v>
      </c>
    </row>
    <row r="59" spans="1:7" s="281" customFormat="1" x14ac:dyDescent="0.2">
      <c r="A59" s="283">
        <v>49</v>
      </c>
      <c r="B59" s="284" t="s">
        <v>99</v>
      </c>
      <c r="C59" s="283">
        <f t="shared" si="0"/>
        <v>5715</v>
      </c>
      <c r="D59" s="283">
        <v>1457</v>
      </c>
      <c r="E59" s="283">
        <v>1517</v>
      </c>
      <c r="F59" s="283">
        <v>1516</v>
      </c>
      <c r="G59" s="283">
        <f>1517-200-92</f>
        <v>1225</v>
      </c>
    </row>
    <row r="60" spans="1:7" s="281" customFormat="1" x14ac:dyDescent="0.2">
      <c r="A60" s="283">
        <v>50</v>
      </c>
      <c r="B60" s="284" t="s">
        <v>100</v>
      </c>
      <c r="C60" s="283">
        <f t="shared" si="0"/>
        <v>1949</v>
      </c>
      <c r="D60" s="283">
        <v>472</v>
      </c>
      <c r="E60" s="283">
        <v>492</v>
      </c>
      <c r="F60" s="283">
        <v>492</v>
      </c>
      <c r="G60" s="283">
        <v>493</v>
      </c>
    </row>
    <row r="61" spans="1:7" s="281" customFormat="1" x14ac:dyDescent="0.2">
      <c r="A61" s="283">
        <v>51</v>
      </c>
      <c r="B61" s="284" t="s">
        <v>101</v>
      </c>
      <c r="C61" s="283">
        <f t="shared" si="0"/>
        <v>1304</v>
      </c>
      <c r="D61" s="283">
        <v>316</v>
      </c>
      <c r="E61" s="283">
        <v>329</v>
      </c>
      <c r="F61" s="283">
        <v>329</v>
      </c>
      <c r="G61" s="283">
        <v>330</v>
      </c>
    </row>
    <row r="62" spans="1:7" s="281" customFormat="1" x14ac:dyDescent="0.2">
      <c r="A62" s="283">
        <v>52</v>
      </c>
      <c r="B62" s="284" t="s">
        <v>102</v>
      </c>
      <c r="C62" s="283">
        <f t="shared" si="0"/>
        <v>1056</v>
      </c>
      <c r="D62" s="283">
        <v>256</v>
      </c>
      <c r="E62" s="283">
        <v>267</v>
      </c>
      <c r="F62" s="283">
        <v>266</v>
      </c>
      <c r="G62" s="283">
        <v>267</v>
      </c>
    </row>
    <row r="63" spans="1:7" s="281" customFormat="1" x14ac:dyDescent="0.2">
      <c r="A63" s="283">
        <v>53</v>
      </c>
      <c r="B63" s="284" t="s">
        <v>103</v>
      </c>
      <c r="C63" s="283">
        <f t="shared" si="0"/>
        <v>1536</v>
      </c>
      <c r="D63" s="283">
        <v>372</v>
      </c>
      <c r="E63" s="283">
        <v>388</v>
      </c>
      <c r="F63" s="283">
        <v>387</v>
      </c>
      <c r="G63" s="283">
        <v>389</v>
      </c>
    </row>
    <row r="64" spans="1:7" s="281" customFormat="1" x14ac:dyDescent="0.2">
      <c r="A64" s="283">
        <v>54</v>
      </c>
      <c r="B64" s="284" t="s">
        <v>104</v>
      </c>
      <c r="C64" s="283">
        <f t="shared" si="0"/>
        <v>670</v>
      </c>
      <c r="D64" s="283">
        <v>163</v>
      </c>
      <c r="E64" s="283">
        <v>169</v>
      </c>
      <c r="F64" s="283">
        <v>168</v>
      </c>
      <c r="G64" s="283">
        <v>170</v>
      </c>
    </row>
    <row r="65" spans="1:7" s="281" customFormat="1" x14ac:dyDescent="0.2">
      <c r="A65" s="283">
        <v>55</v>
      </c>
      <c r="B65" s="284" t="s">
        <v>105</v>
      </c>
      <c r="C65" s="283">
        <f t="shared" si="0"/>
        <v>1276</v>
      </c>
      <c r="D65" s="283">
        <v>309</v>
      </c>
      <c r="E65" s="283">
        <v>322</v>
      </c>
      <c r="F65" s="283">
        <v>323</v>
      </c>
      <c r="G65" s="283">
        <v>322</v>
      </c>
    </row>
    <row r="66" spans="1:7" s="281" customFormat="1" x14ac:dyDescent="0.2">
      <c r="A66" s="283">
        <v>56</v>
      </c>
      <c r="B66" s="284" t="s">
        <v>106</v>
      </c>
      <c r="C66" s="283">
        <f t="shared" si="0"/>
        <v>1906</v>
      </c>
      <c r="D66" s="283">
        <v>463</v>
      </c>
      <c r="E66" s="283">
        <v>481</v>
      </c>
      <c r="F66" s="283">
        <v>481</v>
      </c>
      <c r="G66" s="283">
        <v>481</v>
      </c>
    </row>
    <row r="67" spans="1:7" s="281" customFormat="1" x14ac:dyDescent="0.2">
      <c r="A67" s="283">
        <v>57</v>
      </c>
      <c r="B67" s="284" t="s">
        <v>107</v>
      </c>
      <c r="C67" s="283">
        <f t="shared" si="0"/>
        <v>1046</v>
      </c>
      <c r="D67" s="283">
        <v>254</v>
      </c>
      <c r="E67" s="283">
        <v>264</v>
      </c>
      <c r="F67" s="283">
        <v>264</v>
      </c>
      <c r="G67" s="283">
        <v>264</v>
      </c>
    </row>
    <row r="68" spans="1:7" s="281" customFormat="1" x14ac:dyDescent="0.2">
      <c r="A68" s="283">
        <v>58</v>
      </c>
      <c r="B68" s="284" t="s">
        <v>108</v>
      </c>
      <c r="C68" s="283">
        <f t="shared" si="0"/>
        <v>2189</v>
      </c>
      <c r="D68" s="283">
        <f>505+6</f>
        <v>511</v>
      </c>
      <c r="E68" s="283">
        <f>526+6</f>
        <v>532</v>
      </c>
      <c r="F68" s="283">
        <f>526+6</f>
        <v>532</v>
      </c>
      <c r="G68" s="283">
        <f>526+6+82</f>
        <v>614</v>
      </c>
    </row>
    <row r="69" spans="1:7" s="281" customFormat="1" x14ac:dyDescent="0.2">
      <c r="A69" s="283">
        <v>59</v>
      </c>
      <c r="B69" s="284" t="s">
        <v>109</v>
      </c>
      <c r="C69" s="283">
        <f t="shared" si="0"/>
        <v>1917</v>
      </c>
      <c r="D69" s="283">
        <f>434+5</f>
        <v>439</v>
      </c>
      <c r="E69" s="283">
        <f>451+5</f>
        <v>456</v>
      </c>
      <c r="F69" s="283">
        <f>452+6+19</f>
        <v>477</v>
      </c>
      <c r="G69" s="283">
        <f>451+5+19+70</f>
        <v>545</v>
      </c>
    </row>
    <row r="70" spans="1:7" s="281" customFormat="1" x14ac:dyDescent="0.2">
      <c r="A70" s="283">
        <v>60</v>
      </c>
      <c r="B70" s="284" t="s">
        <v>110</v>
      </c>
      <c r="C70" s="283">
        <f t="shared" si="0"/>
        <v>2518</v>
      </c>
      <c r="D70" s="283">
        <f>581+7</f>
        <v>588</v>
      </c>
      <c r="E70" s="283">
        <f>605+7</f>
        <v>612</v>
      </c>
      <c r="F70" s="283">
        <f>605+7</f>
        <v>612</v>
      </c>
      <c r="G70" s="283">
        <f>605+7+94</f>
        <v>706</v>
      </c>
    </row>
    <row r="71" spans="1:7" s="281" customFormat="1" x14ac:dyDescent="0.2">
      <c r="A71" s="283">
        <v>61</v>
      </c>
      <c r="B71" s="284" t="s">
        <v>111</v>
      </c>
      <c r="C71" s="283">
        <f t="shared" si="0"/>
        <v>3080</v>
      </c>
      <c r="D71" s="283">
        <f>711+8</f>
        <v>719</v>
      </c>
      <c r="E71" s="283">
        <f>740+9</f>
        <v>749</v>
      </c>
      <c r="F71" s="283">
        <f>740+9</f>
        <v>749</v>
      </c>
      <c r="G71" s="283">
        <f>740+8+115</f>
        <v>863</v>
      </c>
    </row>
    <row r="72" spans="1:7" s="281" customFormat="1" x14ac:dyDescent="0.2">
      <c r="A72" s="283">
        <v>62</v>
      </c>
      <c r="B72" s="284" t="s">
        <v>112</v>
      </c>
      <c r="C72" s="283">
        <f t="shared" ref="C72:C137" si="1">D72+E72+F72+G72</f>
        <v>1187</v>
      </c>
      <c r="D72" s="283">
        <f>274+3</f>
        <v>277</v>
      </c>
      <c r="E72" s="283">
        <f>285+3</f>
        <v>288</v>
      </c>
      <c r="F72" s="283">
        <f>286+3</f>
        <v>289</v>
      </c>
      <c r="G72" s="283">
        <f>285+4+44</f>
        <v>333</v>
      </c>
    </row>
    <row r="73" spans="1:7" s="281" customFormat="1" x14ac:dyDescent="0.2">
      <c r="A73" s="283">
        <v>63</v>
      </c>
      <c r="B73" s="284" t="s">
        <v>113</v>
      </c>
      <c r="C73" s="283">
        <f t="shared" si="1"/>
        <v>3305</v>
      </c>
      <c r="D73" s="283">
        <f>830-29</f>
        <v>801</v>
      </c>
      <c r="E73" s="283">
        <f>865-30</f>
        <v>835</v>
      </c>
      <c r="F73" s="283">
        <f>865-31</f>
        <v>834</v>
      </c>
      <c r="G73" s="283">
        <f>865-30</f>
        <v>835</v>
      </c>
    </row>
    <row r="74" spans="1:7" s="281" customFormat="1" x14ac:dyDescent="0.2">
      <c r="A74" s="283">
        <v>64</v>
      </c>
      <c r="B74" s="284" t="s">
        <v>114</v>
      </c>
      <c r="C74" s="283">
        <f t="shared" si="1"/>
        <v>1560</v>
      </c>
      <c r="D74" s="283">
        <v>365</v>
      </c>
      <c r="E74" s="283">
        <v>380</v>
      </c>
      <c r="F74" s="283">
        <f>380+27</f>
        <v>407</v>
      </c>
      <c r="G74" s="283">
        <f>380+28</f>
        <v>408</v>
      </c>
    </row>
    <row r="75" spans="1:7" s="281" customFormat="1" x14ac:dyDescent="0.2">
      <c r="A75" s="283">
        <v>65</v>
      </c>
      <c r="B75" s="284" t="s">
        <v>115</v>
      </c>
      <c r="C75" s="283">
        <f t="shared" si="1"/>
        <v>2950</v>
      </c>
      <c r="D75" s="283">
        <v>716</v>
      </c>
      <c r="E75" s="283">
        <v>745</v>
      </c>
      <c r="F75" s="283">
        <v>745</v>
      </c>
      <c r="G75" s="283">
        <v>744</v>
      </c>
    </row>
    <row r="76" spans="1:7" s="281" customFormat="1" x14ac:dyDescent="0.2">
      <c r="A76" s="283">
        <v>66</v>
      </c>
      <c r="B76" s="284" t="s">
        <v>116</v>
      </c>
      <c r="C76" s="283">
        <f t="shared" si="1"/>
        <v>1134</v>
      </c>
      <c r="D76" s="283">
        <v>275</v>
      </c>
      <c r="E76" s="283">
        <v>286</v>
      </c>
      <c r="F76" s="283">
        <v>287</v>
      </c>
      <c r="G76" s="283">
        <v>286</v>
      </c>
    </row>
    <row r="77" spans="1:7" s="281" customFormat="1" x14ac:dyDescent="0.2">
      <c r="A77" s="283">
        <v>67</v>
      </c>
      <c r="B77" s="284" t="s">
        <v>117</v>
      </c>
      <c r="C77" s="283">
        <f t="shared" si="1"/>
        <v>3945</v>
      </c>
      <c r="D77" s="283">
        <v>955</v>
      </c>
      <c r="E77" s="283">
        <v>995</v>
      </c>
      <c r="F77" s="283">
        <v>995</v>
      </c>
      <c r="G77" s="283">
        <f>994+30-24</f>
        <v>1000</v>
      </c>
    </row>
    <row r="78" spans="1:7" s="281" customFormat="1" x14ac:dyDescent="0.2">
      <c r="A78" s="283">
        <v>68</v>
      </c>
      <c r="B78" s="284" t="s">
        <v>118</v>
      </c>
      <c r="C78" s="283">
        <f t="shared" si="1"/>
        <v>1827</v>
      </c>
      <c r="D78" s="283">
        <v>435</v>
      </c>
      <c r="E78" s="283">
        <v>455</v>
      </c>
      <c r="F78" s="283">
        <v>454</v>
      </c>
      <c r="G78" s="283">
        <f>453+30</f>
        <v>483</v>
      </c>
    </row>
    <row r="79" spans="1:7" s="281" customFormat="1" x14ac:dyDescent="0.2">
      <c r="A79" s="283">
        <v>69</v>
      </c>
      <c r="B79" s="284" t="s">
        <v>119</v>
      </c>
      <c r="C79" s="283">
        <f t="shared" si="1"/>
        <v>2137</v>
      </c>
      <c r="D79" s="283">
        <v>531</v>
      </c>
      <c r="E79" s="283">
        <v>554</v>
      </c>
      <c r="F79" s="283">
        <f>554+27-35</f>
        <v>546</v>
      </c>
      <c r="G79" s="283">
        <f>553+28-105+30</f>
        <v>506</v>
      </c>
    </row>
    <row r="80" spans="1:7" s="281" customFormat="1" x14ac:dyDescent="0.2">
      <c r="A80" s="283">
        <v>70</v>
      </c>
      <c r="B80" s="284" t="s">
        <v>120</v>
      </c>
      <c r="C80" s="283">
        <f t="shared" si="1"/>
        <v>1100</v>
      </c>
      <c r="D80" s="283">
        <v>267</v>
      </c>
      <c r="E80" s="283">
        <v>278</v>
      </c>
      <c r="F80" s="283">
        <v>278</v>
      </c>
      <c r="G80" s="283">
        <v>277</v>
      </c>
    </row>
    <row r="81" spans="1:7" s="281" customFormat="1" x14ac:dyDescent="0.2">
      <c r="A81" s="283">
        <v>71</v>
      </c>
      <c r="B81" s="284" t="s">
        <v>121</v>
      </c>
      <c r="C81" s="283">
        <f t="shared" si="1"/>
        <v>4514</v>
      </c>
      <c r="D81" s="283">
        <v>1098</v>
      </c>
      <c r="E81" s="283">
        <v>1143</v>
      </c>
      <c r="F81" s="283">
        <v>1143</v>
      </c>
      <c r="G81" s="283">
        <f>1143-13</f>
        <v>1130</v>
      </c>
    </row>
    <row r="82" spans="1:7" s="281" customFormat="1" x14ac:dyDescent="0.2">
      <c r="A82" s="283">
        <v>72</v>
      </c>
      <c r="B82" s="284" t="s">
        <v>122</v>
      </c>
      <c r="C82" s="283">
        <f t="shared" si="1"/>
        <v>1434</v>
      </c>
      <c r="D82" s="283">
        <v>335</v>
      </c>
      <c r="E82" s="283">
        <v>348</v>
      </c>
      <c r="F82" s="283">
        <f>348+27</f>
        <v>375</v>
      </c>
      <c r="G82" s="283">
        <f>348+28</f>
        <v>376</v>
      </c>
    </row>
    <row r="83" spans="1:7" s="281" customFormat="1" x14ac:dyDescent="0.2">
      <c r="A83" s="283">
        <v>73</v>
      </c>
      <c r="B83" s="284" t="s">
        <v>123</v>
      </c>
      <c r="C83" s="283">
        <f t="shared" si="1"/>
        <v>1393</v>
      </c>
      <c r="D83" s="283">
        <v>325</v>
      </c>
      <c r="E83" s="283">
        <v>339</v>
      </c>
      <c r="F83" s="283">
        <f>337+27</f>
        <v>364</v>
      </c>
      <c r="G83" s="283">
        <f>337+28</f>
        <v>365</v>
      </c>
    </row>
    <row r="84" spans="1:7" s="281" customFormat="1" x14ac:dyDescent="0.2">
      <c r="A84" s="283">
        <v>74</v>
      </c>
      <c r="B84" s="284" t="s">
        <v>124</v>
      </c>
      <c r="C84" s="283">
        <f t="shared" si="1"/>
        <v>3041</v>
      </c>
      <c r="D84" s="283">
        <f>738-2</f>
        <v>736</v>
      </c>
      <c r="E84" s="283">
        <v>768</v>
      </c>
      <c r="F84" s="283">
        <v>769</v>
      </c>
      <c r="G84" s="283">
        <v>768</v>
      </c>
    </row>
    <row r="85" spans="1:7" s="281" customFormat="1" x14ac:dyDescent="0.2">
      <c r="A85" s="283">
        <v>75</v>
      </c>
      <c r="B85" s="284" t="s">
        <v>125</v>
      </c>
      <c r="C85" s="283">
        <f t="shared" si="1"/>
        <v>2381</v>
      </c>
      <c r="D85" s="283">
        <v>577</v>
      </c>
      <c r="E85" s="283">
        <v>601</v>
      </c>
      <c r="F85" s="283">
        <v>602</v>
      </c>
      <c r="G85" s="283">
        <v>601</v>
      </c>
    </row>
    <row r="86" spans="1:7" s="281" customFormat="1" x14ac:dyDescent="0.2">
      <c r="A86" s="283">
        <v>76</v>
      </c>
      <c r="B86" s="284" t="s">
        <v>126</v>
      </c>
      <c r="C86" s="283">
        <f t="shared" si="1"/>
        <v>1670</v>
      </c>
      <c r="D86" s="283">
        <v>405</v>
      </c>
      <c r="E86" s="283">
        <v>422</v>
      </c>
      <c r="F86" s="283">
        <v>422</v>
      </c>
      <c r="G86" s="283">
        <v>421</v>
      </c>
    </row>
    <row r="87" spans="1:7" s="281" customFormat="1" x14ac:dyDescent="0.2">
      <c r="A87" s="283">
        <v>77</v>
      </c>
      <c r="B87" s="284" t="s">
        <v>127</v>
      </c>
      <c r="C87" s="283">
        <f t="shared" si="1"/>
        <v>980</v>
      </c>
      <c r="D87" s="283">
        <v>238</v>
      </c>
      <c r="E87" s="283">
        <v>247</v>
      </c>
      <c r="F87" s="283">
        <v>248</v>
      </c>
      <c r="G87" s="283">
        <v>247</v>
      </c>
    </row>
    <row r="88" spans="1:7" s="281" customFormat="1" x14ac:dyDescent="0.2">
      <c r="A88" s="283">
        <v>78</v>
      </c>
      <c r="B88" s="284" t="s">
        <v>128</v>
      </c>
      <c r="C88" s="283">
        <f t="shared" si="1"/>
        <v>1987</v>
      </c>
      <c r="D88" s="283">
        <v>482</v>
      </c>
      <c r="E88" s="283">
        <v>502</v>
      </c>
      <c r="F88" s="283">
        <v>502</v>
      </c>
      <c r="G88" s="283">
        <v>501</v>
      </c>
    </row>
    <row r="89" spans="1:7" s="281" customFormat="1" x14ac:dyDescent="0.2">
      <c r="A89" s="283">
        <v>79</v>
      </c>
      <c r="B89" s="284" t="s">
        <v>129</v>
      </c>
      <c r="C89" s="283">
        <f t="shared" si="1"/>
        <v>783</v>
      </c>
      <c r="D89" s="283">
        <v>190</v>
      </c>
      <c r="E89" s="283">
        <v>198</v>
      </c>
      <c r="F89" s="283">
        <v>198</v>
      </c>
      <c r="G89" s="283">
        <v>197</v>
      </c>
    </row>
    <row r="90" spans="1:7" s="281" customFormat="1" x14ac:dyDescent="0.2">
      <c r="A90" s="283">
        <v>80</v>
      </c>
      <c r="B90" s="284" t="s">
        <v>130</v>
      </c>
      <c r="C90" s="283">
        <f t="shared" si="1"/>
        <v>6006</v>
      </c>
      <c r="D90" s="283">
        <v>1421</v>
      </c>
      <c r="E90" s="283">
        <v>1479</v>
      </c>
      <c r="F90" s="283">
        <v>1480</v>
      </c>
      <c r="G90" s="283">
        <f>1479+200-53</f>
        <v>1626</v>
      </c>
    </row>
    <row r="91" spans="1:7" s="281" customFormat="1" x14ac:dyDescent="0.2">
      <c r="A91" s="283">
        <v>81</v>
      </c>
      <c r="B91" s="284" t="s">
        <v>131</v>
      </c>
      <c r="C91" s="283">
        <f t="shared" si="1"/>
        <v>1748</v>
      </c>
      <c r="D91" s="283">
        <v>424</v>
      </c>
      <c r="E91" s="283">
        <v>441</v>
      </c>
      <c r="F91" s="283">
        <v>442</v>
      </c>
      <c r="G91" s="283">
        <v>441</v>
      </c>
    </row>
    <row r="92" spans="1:7" s="281" customFormat="1" x14ac:dyDescent="0.2">
      <c r="A92" s="283">
        <v>82</v>
      </c>
      <c r="B92" s="284" t="s">
        <v>53</v>
      </c>
      <c r="C92" s="283">
        <f t="shared" si="1"/>
        <v>2384</v>
      </c>
      <c r="D92" s="283">
        <v>578</v>
      </c>
      <c r="E92" s="283">
        <v>602</v>
      </c>
      <c r="F92" s="283">
        <v>602</v>
      </c>
      <c r="G92" s="283">
        <v>602</v>
      </c>
    </row>
    <row r="93" spans="1:7" s="281" customFormat="1" x14ac:dyDescent="0.2">
      <c r="A93" s="283">
        <v>83</v>
      </c>
      <c r="B93" s="284" t="s">
        <v>132</v>
      </c>
      <c r="C93" s="283">
        <f t="shared" si="1"/>
        <v>687</v>
      </c>
      <c r="D93" s="288">
        <v>167</v>
      </c>
      <c r="E93" s="288">
        <v>173</v>
      </c>
      <c r="F93" s="288">
        <v>174</v>
      </c>
      <c r="G93" s="288">
        <v>173</v>
      </c>
    </row>
    <row r="94" spans="1:7" s="281" customFormat="1" x14ac:dyDescent="0.2">
      <c r="A94" s="283">
        <v>84</v>
      </c>
      <c r="B94" s="284" t="s">
        <v>22</v>
      </c>
      <c r="C94" s="283">
        <f t="shared" si="1"/>
        <v>463</v>
      </c>
      <c r="D94" s="288">
        <v>114</v>
      </c>
      <c r="E94" s="288">
        <v>119</v>
      </c>
      <c r="F94" s="288">
        <v>119</v>
      </c>
      <c r="G94" s="288">
        <f>118-7</f>
        <v>111</v>
      </c>
    </row>
    <row r="95" spans="1:7" s="281" customFormat="1" x14ac:dyDescent="0.2">
      <c r="A95" s="283">
        <v>85</v>
      </c>
      <c r="B95" s="284" t="s">
        <v>133</v>
      </c>
      <c r="C95" s="283">
        <f t="shared" si="1"/>
        <v>262</v>
      </c>
      <c r="D95" s="288">
        <v>64</v>
      </c>
      <c r="E95" s="288">
        <v>66</v>
      </c>
      <c r="F95" s="288">
        <v>66</v>
      </c>
      <c r="G95" s="288">
        <v>66</v>
      </c>
    </row>
    <row r="96" spans="1:7" s="281" customFormat="1" x14ac:dyDescent="0.2">
      <c r="A96" s="283">
        <v>86</v>
      </c>
      <c r="B96" s="284" t="s">
        <v>134</v>
      </c>
      <c r="C96" s="283">
        <f t="shared" si="1"/>
        <v>859</v>
      </c>
      <c r="D96" s="288">
        <v>209</v>
      </c>
      <c r="E96" s="288">
        <v>217</v>
      </c>
      <c r="F96" s="288">
        <v>216</v>
      </c>
      <c r="G96" s="288">
        <v>217</v>
      </c>
    </row>
    <row r="97" spans="1:7" s="281" customFormat="1" x14ac:dyDescent="0.2">
      <c r="A97" s="283">
        <v>87</v>
      </c>
      <c r="B97" s="284" t="s">
        <v>135</v>
      </c>
      <c r="C97" s="283">
        <f t="shared" si="1"/>
        <v>872</v>
      </c>
      <c r="D97" s="283">
        <v>211</v>
      </c>
      <c r="E97" s="283">
        <v>220</v>
      </c>
      <c r="F97" s="283">
        <v>220</v>
      </c>
      <c r="G97" s="283">
        <v>221</v>
      </c>
    </row>
    <row r="98" spans="1:7" s="281" customFormat="1" x14ac:dyDescent="0.2">
      <c r="A98" s="283">
        <v>88</v>
      </c>
      <c r="B98" s="284" t="s">
        <v>30</v>
      </c>
      <c r="C98" s="283">
        <f t="shared" si="1"/>
        <v>2470</v>
      </c>
      <c r="D98" s="288">
        <v>599</v>
      </c>
      <c r="E98" s="288">
        <v>624</v>
      </c>
      <c r="F98" s="288">
        <v>623</v>
      </c>
      <c r="G98" s="288">
        <v>624</v>
      </c>
    </row>
    <row r="99" spans="1:7" s="281" customFormat="1" x14ac:dyDescent="0.2">
      <c r="A99" s="283">
        <v>89</v>
      </c>
      <c r="B99" s="284" t="s">
        <v>136</v>
      </c>
      <c r="C99" s="283">
        <f t="shared" si="1"/>
        <v>1068</v>
      </c>
      <c r="D99" s="283">
        <v>259</v>
      </c>
      <c r="E99" s="283">
        <v>270</v>
      </c>
      <c r="F99" s="283">
        <v>269</v>
      </c>
      <c r="G99" s="283">
        <v>270</v>
      </c>
    </row>
    <row r="100" spans="1:7" s="281" customFormat="1" x14ac:dyDescent="0.2">
      <c r="A100" s="283">
        <v>90</v>
      </c>
      <c r="B100" s="284" t="s">
        <v>137</v>
      </c>
      <c r="C100" s="283">
        <f t="shared" si="1"/>
        <v>1300</v>
      </c>
      <c r="D100" s="288">
        <v>315</v>
      </c>
      <c r="E100" s="288">
        <v>328</v>
      </c>
      <c r="F100" s="288">
        <v>328</v>
      </c>
      <c r="G100" s="288">
        <v>329</v>
      </c>
    </row>
    <row r="101" spans="1:7" s="281" customFormat="1" x14ac:dyDescent="0.2">
      <c r="A101" s="283">
        <v>91</v>
      </c>
      <c r="B101" s="284" t="s">
        <v>138</v>
      </c>
      <c r="C101" s="283">
        <f t="shared" si="1"/>
        <v>2550</v>
      </c>
      <c r="D101" s="288">
        <v>619</v>
      </c>
      <c r="E101" s="288">
        <v>644</v>
      </c>
      <c r="F101" s="288">
        <f>644-1</f>
        <v>643</v>
      </c>
      <c r="G101" s="288">
        <f>645-1</f>
        <v>644</v>
      </c>
    </row>
    <row r="102" spans="1:7" s="281" customFormat="1" x14ac:dyDescent="0.2">
      <c r="A102" s="283">
        <v>92</v>
      </c>
      <c r="B102" s="284" t="s">
        <v>139</v>
      </c>
      <c r="C102" s="283">
        <f t="shared" si="1"/>
        <v>2216</v>
      </c>
      <c r="D102" s="288">
        <v>537</v>
      </c>
      <c r="E102" s="288">
        <v>560</v>
      </c>
      <c r="F102" s="288">
        <v>559</v>
      </c>
      <c r="G102" s="288">
        <v>560</v>
      </c>
    </row>
    <row r="103" spans="1:7" s="281" customFormat="1" x14ac:dyDescent="0.2">
      <c r="A103" s="283">
        <v>93</v>
      </c>
      <c r="B103" s="284" t="s">
        <v>140</v>
      </c>
      <c r="C103" s="283">
        <f t="shared" si="1"/>
        <v>806</v>
      </c>
      <c r="D103" s="283">
        <v>196</v>
      </c>
      <c r="E103" s="283">
        <v>203</v>
      </c>
      <c r="F103" s="283">
        <v>203</v>
      </c>
      <c r="G103" s="283">
        <v>204</v>
      </c>
    </row>
    <row r="104" spans="1:7" s="281" customFormat="1" x14ac:dyDescent="0.2">
      <c r="A104" s="283">
        <v>94</v>
      </c>
      <c r="B104" s="284" t="s">
        <v>141</v>
      </c>
      <c r="C104" s="283">
        <f t="shared" si="1"/>
        <v>1261</v>
      </c>
      <c r="D104" s="288">
        <v>306</v>
      </c>
      <c r="E104" s="288">
        <v>318</v>
      </c>
      <c r="F104" s="288">
        <v>318</v>
      </c>
      <c r="G104" s="288">
        <v>319</v>
      </c>
    </row>
    <row r="105" spans="1:7" s="281" customFormat="1" x14ac:dyDescent="0.2">
      <c r="A105" s="283">
        <v>95</v>
      </c>
      <c r="B105" s="284" t="s">
        <v>142</v>
      </c>
      <c r="C105" s="283">
        <f t="shared" si="1"/>
        <v>1207</v>
      </c>
      <c r="D105" s="283">
        <v>293</v>
      </c>
      <c r="E105" s="283">
        <v>305</v>
      </c>
      <c r="F105" s="283">
        <v>304</v>
      </c>
      <c r="G105" s="283">
        <v>305</v>
      </c>
    </row>
    <row r="106" spans="1:7" s="281" customFormat="1" x14ac:dyDescent="0.2">
      <c r="A106" s="283">
        <v>96</v>
      </c>
      <c r="B106" s="284" t="s">
        <v>15</v>
      </c>
      <c r="C106" s="283">
        <f t="shared" si="1"/>
        <v>1966</v>
      </c>
      <c r="D106" s="283">
        <v>482</v>
      </c>
      <c r="E106" s="283">
        <v>501</v>
      </c>
      <c r="F106" s="283">
        <v>502</v>
      </c>
      <c r="G106" s="283">
        <f>501-20</f>
        <v>481</v>
      </c>
    </row>
    <row r="107" spans="1:7" s="281" customFormat="1" x14ac:dyDescent="0.2">
      <c r="A107" s="283">
        <v>97</v>
      </c>
      <c r="B107" s="284" t="s">
        <v>143</v>
      </c>
      <c r="C107" s="283">
        <f t="shared" si="1"/>
        <v>933</v>
      </c>
      <c r="D107" s="288">
        <v>226</v>
      </c>
      <c r="E107" s="288">
        <v>236</v>
      </c>
      <c r="F107" s="288">
        <v>236</v>
      </c>
      <c r="G107" s="288">
        <v>235</v>
      </c>
    </row>
    <row r="108" spans="1:7" s="281" customFormat="1" x14ac:dyDescent="0.2">
      <c r="A108" s="283">
        <v>98</v>
      </c>
      <c r="B108" s="284" t="s">
        <v>144</v>
      </c>
      <c r="C108" s="283">
        <f t="shared" si="1"/>
        <v>1372</v>
      </c>
      <c r="D108" s="288">
        <v>333</v>
      </c>
      <c r="E108" s="288">
        <v>346</v>
      </c>
      <c r="F108" s="288">
        <v>347</v>
      </c>
      <c r="G108" s="288">
        <v>346</v>
      </c>
    </row>
    <row r="109" spans="1:7" s="281" customFormat="1" x14ac:dyDescent="0.2">
      <c r="A109" s="283">
        <v>99</v>
      </c>
      <c r="B109" s="284" t="s">
        <v>145</v>
      </c>
      <c r="C109" s="283">
        <f t="shared" si="1"/>
        <v>2297</v>
      </c>
      <c r="D109" s="288">
        <v>557</v>
      </c>
      <c r="E109" s="288">
        <v>580</v>
      </c>
      <c r="F109" s="288">
        <v>580</v>
      </c>
      <c r="G109" s="288">
        <v>580</v>
      </c>
    </row>
    <row r="110" spans="1:7" s="281" customFormat="1" x14ac:dyDescent="0.2">
      <c r="A110" s="283">
        <v>100</v>
      </c>
      <c r="B110" s="284" t="s">
        <v>146</v>
      </c>
      <c r="C110" s="283">
        <f t="shared" si="1"/>
        <v>1099</v>
      </c>
      <c r="D110" s="288">
        <v>267</v>
      </c>
      <c r="E110" s="288">
        <v>277</v>
      </c>
      <c r="F110" s="288">
        <v>278</v>
      </c>
      <c r="G110" s="288">
        <v>277</v>
      </c>
    </row>
    <row r="111" spans="1:7" s="281" customFormat="1" x14ac:dyDescent="0.2">
      <c r="A111" s="283">
        <v>101</v>
      </c>
      <c r="B111" s="271" t="s">
        <v>31</v>
      </c>
      <c r="C111" s="283">
        <f t="shared" si="1"/>
        <v>996</v>
      </c>
      <c r="D111" s="288">
        <v>241</v>
      </c>
      <c r="E111" s="288">
        <v>252</v>
      </c>
      <c r="F111" s="288">
        <v>252</v>
      </c>
      <c r="G111" s="288">
        <v>251</v>
      </c>
    </row>
    <row r="112" spans="1:7" s="281" customFormat="1" x14ac:dyDescent="0.2">
      <c r="A112" s="283">
        <v>102</v>
      </c>
      <c r="B112" s="284" t="s">
        <v>2</v>
      </c>
      <c r="C112" s="283">
        <f t="shared" si="1"/>
        <v>314</v>
      </c>
      <c r="D112" s="288">
        <v>229</v>
      </c>
      <c r="E112" s="288">
        <v>29</v>
      </c>
      <c r="F112" s="288">
        <f>29-1</f>
        <v>28</v>
      </c>
      <c r="G112" s="288">
        <v>28</v>
      </c>
    </row>
    <row r="113" spans="1:7" s="281" customFormat="1" x14ac:dyDescent="0.2">
      <c r="A113" s="166">
        <v>103</v>
      </c>
      <c r="B113" s="284" t="s">
        <v>551</v>
      </c>
      <c r="C113" s="283">
        <f t="shared" si="1"/>
        <v>594</v>
      </c>
      <c r="D113" s="288">
        <v>98</v>
      </c>
      <c r="E113" s="288">
        <v>102</v>
      </c>
      <c r="F113" s="288">
        <f>103+88</f>
        <v>191</v>
      </c>
      <c r="G113" s="288">
        <f>102+89+3+9</f>
        <v>203</v>
      </c>
    </row>
    <row r="114" spans="1:7" x14ac:dyDescent="0.2">
      <c r="A114" s="283">
        <v>104</v>
      </c>
      <c r="B114" s="295" t="s">
        <v>147</v>
      </c>
      <c r="C114" s="283">
        <f t="shared" si="1"/>
        <v>20</v>
      </c>
      <c r="D114" s="166">
        <v>4</v>
      </c>
      <c r="E114" s="166">
        <v>5</v>
      </c>
      <c r="F114" s="166">
        <v>6</v>
      </c>
      <c r="G114" s="166">
        <v>5</v>
      </c>
    </row>
    <row r="115" spans="1:7" s="298" customFormat="1" x14ac:dyDescent="0.2">
      <c r="A115" s="296">
        <v>105</v>
      </c>
      <c r="B115" s="297" t="s">
        <v>1</v>
      </c>
      <c r="C115" s="296">
        <f t="shared" si="1"/>
        <v>2006</v>
      </c>
      <c r="D115" s="167">
        <f>D116+D117</f>
        <v>1397</v>
      </c>
      <c r="E115" s="167">
        <f t="shared" ref="E115:G115" si="2">E116+E117</f>
        <v>190</v>
      </c>
      <c r="F115" s="167">
        <f t="shared" si="2"/>
        <v>186</v>
      </c>
      <c r="G115" s="167">
        <f t="shared" si="2"/>
        <v>233</v>
      </c>
    </row>
    <row r="116" spans="1:7" s="281" customFormat="1" ht="18.75" customHeight="1" x14ac:dyDescent="0.2">
      <c r="A116" s="283"/>
      <c r="B116" s="299" t="s">
        <v>148</v>
      </c>
      <c r="C116" s="283">
        <f t="shared" si="1"/>
        <v>1888</v>
      </c>
      <c r="D116" s="288">
        <v>1380</v>
      </c>
      <c r="E116" s="288">
        <v>172</v>
      </c>
      <c r="F116" s="288">
        <f>172-4</f>
        <v>168</v>
      </c>
      <c r="G116" s="288">
        <f>172-2-1-1</f>
        <v>168</v>
      </c>
    </row>
    <row r="117" spans="1:7" s="281" customFormat="1" ht="15.75" customHeight="1" x14ac:dyDescent="0.2">
      <c r="A117" s="283"/>
      <c r="B117" s="299" t="s">
        <v>552</v>
      </c>
      <c r="C117" s="283">
        <f t="shared" si="1"/>
        <v>118</v>
      </c>
      <c r="D117" s="288">
        <v>17</v>
      </c>
      <c r="E117" s="288">
        <v>18</v>
      </c>
      <c r="F117" s="288">
        <v>18</v>
      </c>
      <c r="G117" s="288">
        <f>17+48</f>
        <v>65</v>
      </c>
    </row>
    <row r="118" spans="1:7" s="281" customFormat="1" x14ac:dyDescent="0.2">
      <c r="A118" s="283">
        <v>106</v>
      </c>
      <c r="B118" s="284" t="s">
        <v>553</v>
      </c>
      <c r="C118" s="283">
        <f t="shared" si="1"/>
        <v>494</v>
      </c>
      <c r="D118" s="288">
        <v>147</v>
      </c>
      <c r="E118" s="288">
        <v>153</v>
      </c>
      <c r="F118" s="288">
        <f>154-64+7</f>
        <v>97</v>
      </c>
      <c r="G118" s="288">
        <f>153-64+20-12</f>
        <v>97</v>
      </c>
    </row>
    <row r="119" spans="1:7" s="281" customFormat="1" x14ac:dyDescent="0.2">
      <c r="A119" s="283">
        <v>107</v>
      </c>
      <c r="B119" s="284" t="s">
        <v>149</v>
      </c>
      <c r="C119" s="283">
        <f t="shared" si="1"/>
        <v>32</v>
      </c>
      <c r="D119" s="288">
        <v>7</v>
      </c>
      <c r="E119" s="288">
        <v>8</v>
      </c>
      <c r="F119" s="288">
        <v>9</v>
      </c>
      <c r="G119" s="288">
        <v>8</v>
      </c>
    </row>
    <row r="120" spans="1:7" s="281" customFormat="1" x14ac:dyDescent="0.2">
      <c r="A120" s="283">
        <v>108</v>
      </c>
      <c r="B120" s="284" t="s">
        <v>3</v>
      </c>
      <c r="C120" s="283">
        <f t="shared" si="1"/>
        <v>470</v>
      </c>
      <c r="D120" s="288">
        <v>346</v>
      </c>
      <c r="E120" s="288">
        <v>43</v>
      </c>
      <c r="F120" s="288">
        <f>43-4</f>
        <v>39</v>
      </c>
      <c r="G120" s="288">
        <f>43-1</f>
        <v>42</v>
      </c>
    </row>
    <row r="121" spans="1:7" s="281" customFormat="1" x14ac:dyDescent="0.2">
      <c r="A121" s="283">
        <v>109</v>
      </c>
      <c r="B121" s="284" t="s">
        <v>554</v>
      </c>
      <c r="C121" s="283">
        <f t="shared" si="1"/>
        <v>420</v>
      </c>
      <c r="D121" s="288">
        <v>117</v>
      </c>
      <c r="E121" s="288">
        <v>123</v>
      </c>
      <c r="F121" s="288">
        <f>123-30</f>
        <v>93</v>
      </c>
      <c r="G121" s="288">
        <f>122-30-5</f>
        <v>87</v>
      </c>
    </row>
    <row r="122" spans="1:7" s="281" customFormat="1" x14ac:dyDescent="0.2">
      <c r="A122" s="283">
        <v>110</v>
      </c>
      <c r="B122" s="284" t="s">
        <v>4</v>
      </c>
      <c r="C122" s="283">
        <f t="shared" si="1"/>
        <v>843</v>
      </c>
      <c r="D122" s="288">
        <v>616</v>
      </c>
      <c r="E122" s="288">
        <v>77</v>
      </c>
      <c r="F122" s="288">
        <f>77-1</f>
        <v>76</v>
      </c>
      <c r="G122" s="288">
        <f>76-1-1</f>
        <v>74</v>
      </c>
    </row>
    <row r="123" spans="1:7" s="298" customFormat="1" x14ac:dyDescent="0.2">
      <c r="A123" s="296">
        <v>111</v>
      </c>
      <c r="B123" s="300" t="s">
        <v>150</v>
      </c>
      <c r="C123" s="296">
        <f t="shared" si="1"/>
        <v>1478</v>
      </c>
      <c r="D123" s="296">
        <f>D124+D125+D126</f>
        <v>465</v>
      </c>
      <c r="E123" s="296">
        <f t="shared" ref="E123:G123" si="3">E124+E125+E126</f>
        <v>333</v>
      </c>
      <c r="F123" s="296">
        <f t="shared" si="3"/>
        <v>333</v>
      </c>
      <c r="G123" s="296">
        <f t="shared" si="3"/>
        <v>347</v>
      </c>
    </row>
    <row r="124" spans="1:7" s="281" customFormat="1" x14ac:dyDescent="0.2">
      <c r="A124" s="283"/>
      <c r="B124" s="292" t="s">
        <v>181</v>
      </c>
      <c r="C124" s="283">
        <f t="shared" si="1"/>
        <v>1164</v>
      </c>
      <c r="D124" s="301">
        <v>271</v>
      </c>
      <c r="E124" s="301">
        <v>291</v>
      </c>
      <c r="F124" s="301">
        <v>291</v>
      </c>
      <c r="G124" s="301">
        <v>311</v>
      </c>
    </row>
    <row r="125" spans="1:7" s="281" customFormat="1" x14ac:dyDescent="0.2">
      <c r="A125" s="283"/>
      <c r="B125" s="292" t="s">
        <v>151</v>
      </c>
      <c r="C125" s="283">
        <f t="shared" si="1"/>
        <v>239</v>
      </c>
      <c r="D125" s="301">
        <v>174</v>
      </c>
      <c r="E125" s="301">
        <v>22</v>
      </c>
      <c r="F125" s="301">
        <v>22</v>
      </c>
      <c r="G125" s="301">
        <v>21</v>
      </c>
    </row>
    <row r="126" spans="1:7" s="281" customFormat="1" x14ac:dyDescent="0.2">
      <c r="A126" s="283"/>
      <c r="B126" s="292" t="s">
        <v>182</v>
      </c>
      <c r="C126" s="283">
        <f t="shared" si="1"/>
        <v>75</v>
      </c>
      <c r="D126" s="301">
        <v>20</v>
      </c>
      <c r="E126" s="301">
        <v>20</v>
      </c>
      <c r="F126" s="301">
        <v>20</v>
      </c>
      <c r="G126" s="301">
        <v>15</v>
      </c>
    </row>
    <row r="127" spans="1:7" s="281" customFormat="1" x14ac:dyDescent="0.2">
      <c r="A127" s="283">
        <v>112</v>
      </c>
      <c r="B127" s="292" t="s">
        <v>23</v>
      </c>
      <c r="C127" s="283">
        <f t="shared" si="1"/>
        <v>10244</v>
      </c>
      <c r="D127" s="288">
        <v>2479</v>
      </c>
      <c r="E127" s="288">
        <v>2580</v>
      </c>
      <c r="F127" s="288">
        <v>2580</v>
      </c>
      <c r="G127" s="288">
        <f>2580+429-182-222</f>
        <v>2605</v>
      </c>
    </row>
    <row r="128" spans="1:7" s="281" customFormat="1" x14ac:dyDescent="0.2">
      <c r="A128" s="283">
        <v>113</v>
      </c>
      <c r="B128" s="292" t="s">
        <v>24</v>
      </c>
      <c r="C128" s="283">
        <f t="shared" si="1"/>
        <v>360</v>
      </c>
      <c r="D128" s="288">
        <v>87</v>
      </c>
      <c r="E128" s="288">
        <v>91</v>
      </c>
      <c r="F128" s="288">
        <v>91</v>
      </c>
      <c r="G128" s="288">
        <v>91</v>
      </c>
    </row>
    <row r="129" spans="1:7" s="298" customFormat="1" x14ac:dyDescent="0.2">
      <c r="A129" s="296">
        <v>114</v>
      </c>
      <c r="B129" s="300" t="s">
        <v>152</v>
      </c>
      <c r="C129" s="296">
        <f t="shared" si="1"/>
        <v>2685</v>
      </c>
      <c r="D129" s="296">
        <f>D130+D131+D132</f>
        <v>838</v>
      </c>
      <c r="E129" s="296">
        <f t="shared" ref="E129:G129" si="4">E130+E131+E132</f>
        <v>856</v>
      </c>
      <c r="F129" s="296">
        <f t="shared" si="4"/>
        <v>733</v>
      </c>
      <c r="G129" s="296">
        <f t="shared" si="4"/>
        <v>258</v>
      </c>
    </row>
    <row r="130" spans="1:7" s="281" customFormat="1" x14ac:dyDescent="0.2">
      <c r="A130" s="283"/>
      <c r="B130" s="292" t="s">
        <v>152</v>
      </c>
      <c r="C130" s="283">
        <f t="shared" si="1"/>
        <v>2615</v>
      </c>
      <c r="D130" s="301">
        <v>805</v>
      </c>
      <c r="E130" s="301">
        <v>825</v>
      </c>
      <c r="F130" s="301">
        <v>727</v>
      </c>
      <c r="G130" s="301">
        <f>229+83-54</f>
        <v>258</v>
      </c>
    </row>
    <row r="131" spans="1:7" s="281" customFormat="1" x14ac:dyDescent="0.2">
      <c r="A131" s="283"/>
      <c r="B131" s="302" t="s">
        <v>153</v>
      </c>
      <c r="C131" s="283">
        <f t="shared" si="1"/>
        <v>70</v>
      </c>
      <c r="D131" s="288">
        <v>33</v>
      </c>
      <c r="E131" s="288">
        <f>4+27</f>
        <v>31</v>
      </c>
      <c r="F131" s="288">
        <f>4+27-25</f>
        <v>6</v>
      </c>
      <c r="G131" s="288">
        <f>4+27-31</f>
        <v>0</v>
      </c>
    </row>
    <row r="132" spans="1:7" s="281" customFormat="1" x14ac:dyDescent="0.2">
      <c r="A132" s="283"/>
      <c r="B132" s="302" t="s">
        <v>183</v>
      </c>
      <c r="C132" s="283">
        <f t="shared" si="1"/>
        <v>0</v>
      </c>
      <c r="D132" s="301">
        <v>0</v>
      </c>
      <c r="E132" s="301">
        <v>0</v>
      </c>
      <c r="F132" s="301">
        <v>0</v>
      </c>
      <c r="G132" s="301">
        <f>2-2</f>
        <v>0</v>
      </c>
    </row>
    <row r="133" spans="1:7" s="281" customFormat="1" x14ac:dyDescent="0.2">
      <c r="A133" s="283">
        <v>115</v>
      </c>
      <c r="B133" s="284" t="s">
        <v>154</v>
      </c>
      <c r="C133" s="283">
        <f t="shared" si="1"/>
        <v>6960</v>
      </c>
      <c r="D133" s="288">
        <f>1692-5</f>
        <v>1687</v>
      </c>
      <c r="E133" s="288">
        <f>1763-5</f>
        <v>1758</v>
      </c>
      <c r="F133" s="288">
        <f>1763-5</f>
        <v>1758</v>
      </c>
      <c r="G133" s="288">
        <f>1762-5</f>
        <v>1757</v>
      </c>
    </row>
    <row r="134" spans="1:7" s="281" customFormat="1" x14ac:dyDescent="0.2">
      <c r="A134" s="283">
        <v>116</v>
      </c>
      <c r="B134" s="284" t="s">
        <v>155</v>
      </c>
      <c r="C134" s="283">
        <f t="shared" si="1"/>
        <v>1724</v>
      </c>
      <c r="D134" s="288">
        <v>418</v>
      </c>
      <c r="E134" s="288">
        <v>435</v>
      </c>
      <c r="F134" s="288">
        <v>436</v>
      </c>
      <c r="G134" s="288">
        <v>435</v>
      </c>
    </row>
    <row r="135" spans="1:7" s="281" customFormat="1" x14ac:dyDescent="0.2">
      <c r="A135" s="283">
        <v>117</v>
      </c>
      <c r="B135" s="284" t="s">
        <v>26</v>
      </c>
      <c r="C135" s="283">
        <f t="shared" si="1"/>
        <v>2914</v>
      </c>
      <c r="D135" s="288">
        <v>634</v>
      </c>
      <c r="E135" s="288">
        <v>660</v>
      </c>
      <c r="F135" s="288">
        <f>660+150</f>
        <v>810</v>
      </c>
      <c r="G135" s="288">
        <f>660+150</f>
        <v>810</v>
      </c>
    </row>
    <row r="136" spans="1:7" s="281" customFormat="1" x14ac:dyDescent="0.2">
      <c r="A136" s="283">
        <v>118</v>
      </c>
      <c r="B136" s="289" t="s">
        <v>156</v>
      </c>
      <c r="C136" s="283">
        <f t="shared" si="1"/>
        <v>610</v>
      </c>
      <c r="D136" s="288">
        <v>147</v>
      </c>
      <c r="E136" s="288">
        <v>154</v>
      </c>
      <c r="F136" s="288">
        <f>154-6</f>
        <v>148</v>
      </c>
      <c r="G136" s="288">
        <f>153-6+14</f>
        <v>161</v>
      </c>
    </row>
    <row r="137" spans="1:7" s="281" customFormat="1" x14ac:dyDescent="0.2">
      <c r="A137" s="283">
        <v>119</v>
      </c>
      <c r="B137" s="284" t="s">
        <v>157</v>
      </c>
      <c r="C137" s="283">
        <f t="shared" si="1"/>
        <v>961</v>
      </c>
      <c r="D137" s="288">
        <v>199</v>
      </c>
      <c r="E137" s="288">
        <v>207</v>
      </c>
      <c r="F137" s="288">
        <f>208+35</f>
        <v>243</v>
      </c>
      <c r="G137" s="288">
        <f>207+105</f>
        <v>312</v>
      </c>
    </row>
    <row r="138" spans="1:7" s="281" customFormat="1" x14ac:dyDescent="0.2">
      <c r="A138" s="288">
        <v>120</v>
      </c>
      <c r="B138" s="284" t="s">
        <v>27</v>
      </c>
      <c r="C138" s="283">
        <f t="shared" ref="C138:C148" si="5">D138+E138+F138+G138</f>
        <v>1163</v>
      </c>
      <c r="D138" s="288">
        <v>282</v>
      </c>
      <c r="E138" s="288">
        <v>294</v>
      </c>
      <c r="F138" s="288">
        <v>294</v>
      </c>
      <c r="G138" s="288">
        <v>293</v>
      </c>
    </row>
    <row r="139" spans="1:7" s="281" customFormat="1" x14ac:dyDescent="0.2">
      <c r="A139" s="338">
        <v>121</v>
      </c>
      <c r="B139" s="284" t="s">
        <v>52</v>
      </c>
      <c r="C139" s="283">
        <f t="shared" si="5"/>
        <v>3542</v>
      </c>
      <c r="D139" s="288">
        <v>859</v>
      </c>
      <c r="E139" s="288">
        <v>895</v>
      </c>
      <c r="F139" s="288">
        <v>894</v>
      </c>
      <c r="G139" s="288">
        <v>894</v>
      </c>
    </row>
    <row r="140" spans="1:7" s="287" customFormat="1" ht="38.25" x14ac:dyDescent="0.2">
      <c r="A140" s="339"/>
      <c r="B140" s="290" t="s">
        <v>158</v>
      </c>
      <c r="C140" s="283">
        <f t="shared" si="5"/>
        <v>3470</v>
      </c>
      <c r="D140" s="303">
        <v>842</v>
      </c>
      <c r="E140" s="303">
        <v>876</v>
      </c>
      <c r="F140" s="303">
        <v>876</v>
      </c>
      <c r="G140" s="303">
        <v>876</v>
      </c>
    </row>
    <row r="141" spans="1:7" s="281" customFormat="1" x14ac:dyDescent="0.2">
      <c r="A141" s="283">
        <v>122</v>
      </c>
      <c r="B141" s="284" t="s">
        <v>159</v>
      </c>
      <c r="C141" s="283">
        <f t="shared" si="5"/>
        <v>280</v>
      </c>
      <c r="D141" s="288">
        <f>63+4</f>
        <v>67</v>
      </c>
      <c r="E141" s="288">
        <f>65+1</f>
        <v>66</v>
      </c>
      <c r="F141" s="288">
        <f>66+7</f>
        <v>73</v>
      </c>
      <c r="G141" s="288">
        <f>65+9</f>
        <v>74</v>
      </c>
    </row>
    <row r="142" spans="1:7" s="298" customFormat="1" x14ac:dyDescent="0.2">
      <c r="A142" s="167">
        <v>123</v>
      </c>
      <c r="B142" s="304" t="s">
        <v>160</v>
      </c>
      <c r="C142" s="296">
        <f t="shared" si="5"/>
        <v>4803</v>
      </c>
      <c r="D142" s="296">
        <f>D144+D145+D146</f>
        <v>517</v>
      </c>
      <c r="E142" s="296">
        <f t="shared" ref="E142:G142" si="6">E144+E145+E146</f>
        <v>1269</v>
      </c>
      <c r="F142" s="296">
        <f t="shared" si="6"/>
        <v>1136</v>
      </c>
      <c r="G142" s="296">
        <f t="shared" si="6"/>
        <v>1881</v>
      </c>
    </row>
    <row r="143" spans="1:7" s="281" customFormat="1" x14ac:dyDescent="0.2">
      <c r="A143" s="284"/>
      <c r="B143" s="291" t="s">
        <v>161</v>
      </c>
      <c r="C143" s="283">
        <f t="shared" si="5"/>
        <v>0</v>
      </c>
      <c r="D143" s="283"/>
      <c r="E143" s="283"/>
      <c r="F143" s="283"/>
      <c r="G143" s="283"/>
    </row>
    <row r="144" spans="1:7" s="281" customFormat="1" ht="18" customHeight="1" x14ac:dyDescent="0.2">
      <c r="A144" s="284"/>
      <c r="B144" s="291" t="s">
        <v>162</v>
      </c>
      <c r="C144" s="283">
        <f t="shared" si="5"/>
        <v>0</v>
      </c>
      <c r="D144" s="283"/>
      <c r="E144" s="283"/>
      <c r="F144" s="283"/>
      <c r="G144" s="283"/>
    </row>
    <row r="145" spans="1:7" s="281" customFormat="1" ht="15.75" customHeight="1" x14ac:dyDescent="0.2">
      <c r="A145" s="284"/>
      <c r="B145" s="291" t="s">
        <v>163</v>
      </c>
      <c r="C145" s="283">
        <f t="shared" si="5"/>
        <v>0</v>
      </c>
      <c r="D145" s="283"/>
      <c r="E145" s="283"/>
      <c r="F145" s="283"/>
      <c r="G145" s="283"/>
    </row>
    <row r="146" spans="1:7" s="281" customFormat="1" x14ac:dyDescent="0.2">
      <c r="A146" s="284"/>
      <c r="B146" s="305" t="s">
        <v>164</v>
      </c>
      <c r="C146" s="283">
        <f t="shared" si="5"/>
        <v>4803</v>
      </c>
      <c r="D146" s="283">
        <v>517</v>
      </c>
      <c r="E146" s="283">
        <f>1550-281</f>
        <v>1269</v>
      </c>
      <c r="F146" s="283">
        <f>1550-414</f>
        <v>1136</v>
      </c>
      <c r="G146" s="283">
        <f>1549-414+746</f>
        <v>1881</v>
      </c>
    </row>
    <row r="147" spans="1:7" s="281" customFormat="1" x14ac:dyDescent="0.2">
      <c r="A147" s="264">
        <v>124</v>
      </c>
      <c r="B147" s="271" t="s">
        <v>165</v>
      </c>
      <c r="C147" s="283">
        <f t="shared" si="5"/>
        <v>20</v>
      </c>
      <c r="D147" s="283">
        <v>5</v>
      </c>
      <c r="E147" s="283">
        <v>5</v>
      </c>
      <c r="F147" s="283">
        <v>5</v>
      </c>
      <c r="G147" s="283">
        <v>5</v>
      </c>
    </row>
    <row r="148" spans="1:7" s="281" customFormat="1" x14ac:dyDescent="0.2">
      <c r="A148" s="284"/>
      <c r="B148" s="284" t="s">
        <v>32</v>
      </c>
      <c r="C148" s="283">
        <f t="shared" si="5"/>
        <v>2631</v>
      </c>
      <c r="D148" s="283">
        <f>1879-517</f>
        <v>1362</v>
      </c>
      <c r="E148" s="283">
        <f>1905-1550-27+72+206</f>
        <v>606</v>
      </c>
      <c r="F148" s="283">
        <f>1904-1550-27+147-105</f>
        <v>369</v>
      </c>
      <c r="G148" s="283">
        <f>1905-1549-27+145-101+3-61-12-9</f>
        <v>294</v>
      </c>
    </row>
    <row r="149" spans="1:7" s="281" customFormat="1" x14ac:dyDescent="0.2">
      <c r="A149" s="167"/>
      <c r="B149" s="168" t="s">
        <v>166</v>
      </c>
      <c r="C149" s="167">
        <f>SUM(C6:C142)-C115-C123-C129+C148+C147</f>
        <v>251561</v>
      </c>
      <c r="D149" s="167">
        <f t="shared" ref="D149:G149" si="7">SUM(D6:D142)-D115-D123-D129+D148+D147</f>
        <v>62876</v>
      </c>
      <c r="E149" s="167">
        <f t="shared" si="7"/>
        <v>62863</v>
      </c>
      <c r="F149" s="167">
        <f t="shared" si="7"/>
        <v>62861</v>
      </c>
      <c r="G149" s="167">
        <f t="shared" si="7"/>
        <v>62961</v>
      </c>
    </row>
    <row r="150" spans="1:7" x14ac:dyDescent="0.2">
      <c r="B150" s="306"/>
    </row>
  </sheetData>
  <mergeCells count="11">
    <mergeCell ref="A1:G1"/>
    <mergeCell ref="F2:G2"/>
    <mergeCell ref="A3:A4"/>
    <mergeCell ref="B3:B4"/>
    <mergeCell ref="C3:C4"/>
    <mergeCell ref="D3:G3"/>
    <mergeCell ref="A8:A9"/>
    <mergeCell ref="A33:A34"/>
    <mergeCell ref="A39:A41"/>
    <mergeCell ref="A43:A44"/>
    <mergeCell ref="A139:A140"/>
  </mergeCells>
  <pageMargins left="0.31496062992125984" right="0.31496062992125984" top="0.55118110236220474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7" sqref="A7"/>
      <selection pane="bottomRight" sqref="A1:T1"/>
    </sheetView>
  </sheetViews>
  <sheetFormatPr defaultRowHeight="12" x14ac:dyDescent="0.2"/>
  <cols>
    <col min="1" max="1" width="3.7109375" style="2" customWidth="1"/>
    <col min="2" max="2" width="25.7109375" style="3" customWidth="1"/>
    <col min="3" max="3" width="8.7109375" style="2" customWidth="1"/>
    <col min="4" max="4" width="12.140625" style="2" customWidth="1"/>
    <col min="5" max="5" width="11.7109375" style="2" customWidth="1"/>
    <col min="6" max="6" width="11.5703125" style="2" customWidth="1"/>
    <col min="7" max="7" width="13.28515625" style="2" customWidth="1"/>
    <col min="8" max="8" width="9.85546875" style="2" customWidth="1"/>
    <col min="9" max="10" width="10.85546875" style="2" customWidth="1"/>
    <col min="11" max="11" width="10" style="2" customWidth="1"/>
    <col min="12" max="12" width="11.42578125" style="2" customWidth="1"/>
    <col min="13" max="13" width="11.7109375" style="2" customWidth="1"/>
    <col min="14" max="14" width="10.5703125" style="2" customWidth="1"/>
    <col min="15" max="15" width="11.28515625" style="2" customWidth="1"/>
    <col min="16" max="16" width="10" style="2" customWidth="1"/>
    <col min="17" max="17" width="11.5703125" style="2" customWidth="1"/>
    <col min="18" max="18" width="11.7109375" style="2" customWidth="1"/>
    <col min="19" max="19" width="9.42578125" style="2" customWidth="1"/>
    <col min="20" max="20" width="11.7109375" style="2" customWidth="1"/>
    <col min="21" max="16384" width="9.140625" style="1"/>
  </cols>
  <sheetData>
    <row r="1" spans="1:22" ht="15.75" x14ac:dyDescent="0.25">
      <c r="A1" s="354" t="s">
        <v>33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</row>
    <row r="2" spans="1:22" ht="17.25" customHeight="1" x14ac:dyDescent="0.2">
      <c r="S2" s="356" t="s">
        <v>6</v>
      </c>
      <c r="T2" s="357"/>
    </row>
    <row r="3" spans="1:22" s="4" customFormat="1" ht="18.75" customHeight="1" x14ac:dyDescent="0.2">
      <c r="A3" s="368" t="s">
        <v>7</v>
      </c>
      <c r="B3" s="370" t="s">
        <v>34</v>
      </c>
      <c r="C3" s="255" t="s">
        <v>178</v>
      </c>
      <c r="D3" s="358" t="s">
        <v>35</v>
      </c>
      <c r="E3" s="359"/>
      <c r="F3" s="359"/>
      <c r="G3" s="359"/>
      <c r="H3" s="360" t="s">
        <v>36</v>
      </c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2"/>
    </row>
    <row r="4" spans="1:22" s="7" customFormat="1" ht="31.5" x14ac:dyDescent="0.25">
      <c r="A4" s="369"/>
      <c r="B4" s="371"/>
      <c r="C4" s="372" t="s">
        <v>8</v>
      </c>
      <c r="D4" s="241" t="s">
        <v>37</v>
      </c>
      <c r="E4" s="363" t="s">
        <v>38</v>
      </c>
      <c r="F4" s="364"/>
      <c r="G4" s="364"/>
      <c r="H4" s="365" t="s">
        <v>5</v>
      </c>
      <c r="I4" s="347" t="s">
        <v>38</v>
      </c>
      <c r="J4" s="348"/>
      <c r="K4" s="349" t="s">
        <v>39</v>
      </c>
      <c r="L4" s="349"/>
      <c r="M4" s="349"/>
      <c r="N4" s="349"/>
      <c r="O4" s="350"/>
      <c r="P4" s="351" t="s">
        <v>40</v>
      </c>
      <c r="Q4" s="351"/>
      <c r="R4" s="351"/>
      <c r="S4" s="351"/>
      <c r="T4" s="351"/>
    </row>
    <row r="5" spans="1:22" s="4" customFormat="1" ht="33" customHeight="1" x14ac:dyDescent="0.2">
      <c r="A5" s="369"/>
      <c r="B5" s="371"/>
      <c r="C5" s="328"/>
      <c r="D5" s="373" t="s">
        <v>41</v>
      </c>
      <c r="E5" s="373" t="s">
        <v>41</v>
      </c>
      <c r="F5" s="352" t="s">
        <v>42</v>
      </c>
      <c r="G5" s="353"/>
      <c r="H5" s="366"/>
      <c r="I5" s="349" t="s">
        <v>41</v>
      </c>
      <c r="J5" s="349" t="s">
        <v>43</v>
      </c>
      <c r="K5" s="351" t="s">
        <v>8</v>
      </c>
      <c r="L5" s="349" t="s">
        <v>44</v>
      </c>
      <c r="M5" s="349" t="s">
        <v>41</v>
      </c>
      <c r="N5" s="349" t="s">
        <v>45</v>
      </c>
      <c r="O5" s="349" t="s">
        <v>43</v>
      </c>
      <c r="P5" s="351" t="s">
        <v>8</v>
      </c>
      <c r="Q5" s="349" t="s">
        <v>44</v>
      </c>
      <c r="R5" s="349" t="s">
        <v>41</v>
      </c>
      <c r="S5" s="349" t="s">
        <v>45</v>
      </c>
      <c r="T5" s="349" t="s">
        <v>46</v>
      </c>
    </row>
    <row r="6" spans="1:22" s="4" customFormat="1" ht="42" x14ac:dyDescent="0.2">
      <c r="A6" s="369"/>
      <c r="B6" s="371"/>
      <c r="C6" s="328"/>
      <c r="D6" s="374"/>
      <c r="E6" s="374"/>
      <c r="F6" s="241" t="s">
        <v>47</v>
      </c>
      <c r="G6" s="242" t="s">
        <v>48</v>
      </c>
      <c r="H6" s="367"/>
      <c r="I6" s="349"/>
      <c r="J6" s="349"/>
      <c r="K6" s="351"/>
      <c r="L6" s="349"/>
      <c r="M6" s="349"/>
      <c r="N6" s="349"/>
      <c r="O6" s="349"/>
      <c r="P6" s="351"/>
      <c r="Q6" s="349"/>
      <c r="R6" s="349"/>
      <c r="S6" s="349"/>
      <c r="T6" s="349"/>
    </row>
    <row r="7" spans="1:22" x14ac:dyDescent="0.2">
      <c r="A7" s="243">
        <v>1</v>
      </c>
      <c r="B7" s="244" t="s">
        <v>49</v>
      </c>
      <c r="C7" s="245">
        <f>D7+E7+F7+G7+H7</f>
        <v>12529</v>
      </c>
      <c r="D7" s="10"/>
      <c r="E7" s="10">
        <f>200+200</f>
        <v>400</v>
      </c>
      <c r="F7" s="10">
        <f>25</f>
        <v>25</v>
      </c>
      <c r="G7" s="10">
        <v>10</v>
      </c>
      <c r="H7" s="247">
        <f>I7+K7+P7+J7</f>
        <v>12094</v>
      </c>
      <c r="I7" s="247">
        <v>2350</v>
      </c>
      <c r="J7" s="247">
        <v>30</v>
      </c>
      <c r="K7" s="247">
        <f t="shared" ref="K7:K19" si="0">L7+M7+N7+O7</f>
        <v>6181</v>
      </c>
      <c r="L7" s="10">
        <v>176</v>
      </c>
      <c r="M7" s="10">
        <f>2423+130-104</f>
        <v>2449</v>
      </c>
      <c r="N7" s="10">
        <v>3346</v>
      </c>
      <c r="O7" s="10">
        <v>210</v>
      </c>
      <c r="P7" s="10">
        <f t="shared" ref="P7:P20" si="1">Q7+R7+S7+T7</f>
        <v>3533</v>
      </c>
      <c r="Q7" s="10">
        <v>92</v>
      </c>
      <c r="R7" s="10">
        <f>1268+55+46+50+75+58+46+60+32</f>
        <v>1690</v>
      </c>
      <c r="S7" s="10">
        <v>1751</v>
      </c>
      <c r="T7" s="10">
        <v>0</v>
      </c>
      <c r="U7" s="248"/>
      <c r="V7" s="249"/>
    </row>
    <row r="8" spans="1:22" x14ac:dyDescent="0.2">
      <c r="A8" s="243">
        <v>2</v>
      </c>
      <c r="B8" s="250" t="s">
        <v>25</v>
      </c>
      <c r="C8" s="245">
        <f t="shared" ref="C8:C20" si="2">D8+E8+F8+G8+H8</f>
        <v>2693</v>
      </c>
      <c r="D8" s="10"/>
      <c r="E8" s="10">
        <f>20-17</f>
        <v>3</v>
      </c>
      <c r="F8" s="10">
        <f>0+1</f>
        <v>1</v>
      </c>
      <c r="G8" s="10">
        <f>0+1</f>
        <v>1</v>
      </c>
      <c r="H8" s="247">
        <f t="shared" ref="H8:H20" si="3">I8+K8+P8+J8</f>
        <v>2688</v>
      </c>
      <c r="I8" s="247"/>
      <c r="J8" s="247"/>
      <c r="K8" s="247">
        <f t="shared" si="0"/>
        <v>90</v>
      </c>
      <c r="L8" s="10">
        <f>94-94</f>
        <v>0</v>
      </c>
      <c r="M8" s="10">
        <f>503-503</f>
        <v>0</v>
      </c>
      <c r="N8" s="10">
        <f>223-223</f>
        <v>0</v>
      </c>
      <c r="O8" s="10">
        <f>709+360-979</f>
        <v>90</v>
      </c>
      <c r="P8" s="10">
        <f t="shared" si="1"/>
        <v>2598</v>
      </c>
      <c r="Q8" s="10">
        <f>49+94</f>
        <v>143</v>
      </c>
      <c r="R8" s="10">
        <f>263+503</f>
        <v>766</v>
      </c>
      <c r="S8" s="10">
        <f>116+223</f>
        <v>339</v>
      </c>
      <c r="T8" s="10">
        <f>371+979</f>
        <v>1350</v>
      </c>
      <c r="U8" s="248"/>
      <c r="V8" s="249"/>
    </row>
    <row r="9" spans="1:22" ht="24" x14ac:dyDescent="0.2">
      <c r="A9" s="243">
        <v>3</v>
      </c>
      <c r="B9" s="244" t="s">
        <v>1</v>
      </c>
      <c r="C9" s="245">
        <f t="shared" si="2"/>
        <v>98419</v>
      </c>
      <c r="D9" s="10">
        <f>660+49+57+99</f>
        <v>865</v>
      </c>
      <c r="E9" s="10"/>
      <c r="F9" s="10"/>
      <c r="G9" s="10"/>
      <c r="H9" s="247">
        <f t="shared" si="3"/>
        <v>97554</v>
      </c>
      <c r="I9" s="247"/>
      <c r="J9" s="247"/>
      <c r="K9" s="247">
        <f t="shared" si="0"/>
        <v>73087</v>
      </c>
      <c r="L9" s="10">
        <v>0</v>
      </c>
      <c r="M9" s="10">
        <f>16628+44217+2730+2831+1469+220+1415</f>
        <v>69510</v>
      </c>
      <c r="N9" s="10">
        <f>688+2889</f>
        <v>3577</v>
      </c>
      <c r="O9" s="10"/>
      <c r="P9" s="10">
        <f t="shared" si="1"/>
        <v>24467</v>
      </c>
      <c r="Q9" s="10">
        <v>0</v>
      </c>
      <c r="R9" s="10">
        <f>23135-32-17-15-24-18-30-21-22</f>
        <v>22956</v>
      </c>
      <c r="S9" s="10">
        <v>1511</v>
      </c>
      <c r="T9" s="10">
        <v>0</v>
      </c>
      <c r="U9" s="248"/>
      <c r="V9" s="249"/>
    </row>
    <row r="10" spans="1:22" x14ac:dyDescent="0.2">
      <c r="A10" s="243">
        <v>4</v>
      </c>
      <c r="B10" s="250" t="s">
        <v>4</v>
      </c>
      <c r="C10" s="245">
        <f t="shared" si="2"/>
        <v>36738</v>
      </c>
      <c r="D10" s="10">
        <f>80+26</f>
        <v>106</v>
      </c>
      <c r="E10" s="10"/>
      <c r="F10" s="10"/>
      <c r="G10" s="10"/>
      <c r="H10" s="247">
        <f t="shared" si="3"/>
        <v>36632</v>
      </c>
      <c r="I10" s="247"/>
      <c r="J10" s="247"/>
      <c r="K10" s="247">
        <f t="shared" si="0"/>
        <v>25684</v>
      </c>
      <c r="L10" s="10">
        <f>2440+7858</f>
        <v>10298</v>
      </c>
      <c r="M10" s="10">
        <f>2672+10138-800</f>
        <v>12010</v>
      </c>
      <c r="N10" s="10">
        <f>348+3028</f>
        <v>3376</v>
      </c>
      <c r="O10" s="10"/>
      <c r="P10" s="10">
        <f t="shared" si="1"/>
        <v>10948</v>
      </c>
      <c r="Q10" s="10">
        <v>4111</v>
      </c>
      <c r="R10" s="10">
        <f>5305-6-5-2-10-7-12-10</f>
        <v>5253</v>
      </c>
      <c r="S10" s="10">
        <v>1584</v>
      </c>
      <c r="T10" s="10">
        <v>0</v>
      </c>
      <c r="U10" s="248"/>
      <c r="V10" s="249"/>
    </row>
    <row r="11" spans="1:22" x14ac:dyDescent="0.2">
      <c r="A11" s="243">
        <v>5</v>
      </c>
      <c r="B11" s="251" t="s">
        <v>2</v>
      </c>
      <c r="C11" s="245">
        <f t="shared" si="2"/>
        <v>19468</v>
      </c>
      <c r="D11" s="10"/>
      <c r="E11" s="10"/>
      <c r="F11" s="10"/>
      <c r="G11" s="10"/>
      <c r="H11" s="247">
        <f t="shared" si="3"/>
        <v>19468</v>
      </c>
      <c r="I11" s="247"/>
      <c r="J11" s="247"/>
      <c r="K11" s="247">
        <f t="shared" si="0"/>
        <v>15391</v>
      </c>
      <c r="L11" s="10">
        <v>0</v>
      </c>
      <c r="M11" s="10">
        <f>2454+5244+2730-527+1690+178+373</f>
        <v>12142</v>
      </c>
      <c r="N11" s="10">
        <f>666+2583</f>
        <v>3249</v>
      </c>
      <c r="O11" s="10"/>
      <c r="P11" s="10">
        <f t="shared" si="1"/>
        <v>4077</v>
      </c>
      <c r="Q11" s="10">
        <v>0</v>
      </c>
      <c r="R11" s="10">
        <f>2744-2-1-12-1-2</f>
        <v>2726</v>
      </c>
      <c r="S11" s="10">
        <v>1351</v>
      </c>
      <c r="T11" s="10">
        <v>0</v>
      </c>
      <c r="U11" s="248"/>
      <c r="V11" s="249"/>
    </row>
    <row r="12" spans="1:22" x14ac:dyDescent="0.2">
      <c r="A12" s="243">
        <v>6</v>
      </c>
      <c r="B12" s="250" t="s">
        <v>3</v>
      </c>
      <c r="C12" s="245">
        <f t="shared" si="2"/>
        <v>16250</v>
      </c>
      <c r="D12" s="10">
        <f>0+22</f>
        <v>22</v>
      </c>
      <c r="E12" s="10"/>
      <c r="F12" s="10"/>
      <c r="G12" s="10"/>
      <c r="H12" s="247">
        <f t="shared" si="3"/>
        <v>16228</v>
      </c>
      <c r="I12" s="247"/>
      <c r="J12" s="247"/>
      <c r="K12" s="247">
        <f t="shared" si="0"/>
        <v>10163</v>
      </c>
      <c r="L12" s="10">
        <v>0</v>
      </c>
      <c r="M12" s="10">
        <f>1051+10425-2215-983</f>
        <v>8278</v>
      </c>
      <c r="N12" s="10">
        <f>509+1376</f>
        <v>1885</v>
      </c>
      <c r="O12" s="10"/>
      <c r="P12" s="10">
        <f t="shared" si="1"/>
        <v>6065</v>
      </c>
      <c r="Q12" s="10">
        <v>0</v>
      </c>
      <c r="R12" s="10">
        <f>5455-23-24-16-19-9-19</f>
        <v>5345</v>
      </c>
      <c r="S12" s="10">
        <v>720</v>
      </c>
      <c r="T12" s="10">
        <v>0</v>
      </c>
      <c r="U12" s="248"/>
      <c r="V12" s="249"/>
    </row>
    <row r="13" spans="1:22" x14ac:dyDescent="0.2">
      <c r="A13" s="243">
        <v>7</v>
      </c>
      <c r="B13" s="250" t="s">
        <v>24</v>
      </c>
      <c r="C13" s="245">
        <f t="shared" si="2"/>
        <v>60</v>
      </c>
      <c r="D13" s="10"/>
      <c r="E13" s="10"/>
      <c r="F13" s="10">
        <v>60</v>
      </c>
      <c r="G13" s="10"/>
      <c r="H13" s="247">
        <f t="shared" si="3"/>
        <v>0</v>
      </c>
      <c r="I13" s="247"/>
      <c r="J13" s="247"/>
      <c r="K13" s="247">
        <f t="shared" si="0"/>
        <v>0</v>
      </c>
      <c r="L13" s="10"/>
      <c r="M13" s="10"/>
      <c r="N13" s="10"/>
      <c r="O13" s="10"/>
      <c r="P13" s="10">
        <f t="shared" si="1"/>
        <v>0</v>
      </c>
      <c r="Q13" s="10"/>
      <c r="R13" s="10"/>
      <c r="S13" s="10"/>
      <c r="T13" s="10"/>
      <c r="U13" s="248"/>
      <c r="V13" s="249"/>
    </row>
    <row r="14" spans="1:22" x14ac:dyDescent="0.2">
      <c r="A14" s="243">
        <v>8</v>
      </c>
      <c r="B14" s="250" t="s">
        <v>28</v>
      </c>
      <c r="C14" s="245">
        <f t="shared" si="2"/>
        <v>3</v>
      </c>
      <c r="D14" s="10"/>
      <c r="E14" s="10"/>
      <c r="F14" s="10">
        <f>5-2</f>
        <v>3</v>
      </c>
      <c r="G14" s="10"/>
      <c r="H14" s="247">
        <f t="shared" si="3"/>
        <v>0</v>
      </c>
      <c r="I14" s="247"/>
      <c r="J14" s="247"/>
      <c r="K14" s="247">
        <f t="shared" si="0"/>
        <v>0</v>
      </c>
      <c r="L14" s="10"/>
      <c r="M14" s="10"/>
      <c r="N14" s="10"/>
      <c r="O14" s="10"/>
      <c r="P14" s="10">
        <f t="shared" si="1"/>
        <v>0</v>
      </c>
      <c r="Q14" s="10"/>
      <c r="R14" s="10"/>
      <c r="S14" s="10"/>
      <c r="T14" s="10"/>
      <c r="U14" s="248"/>
      <c r="V14" s="249"/>
    </row>
    <row r="15" spans="1:22" x14ac:dyDescent="0.2">
      <c r="A15" s="243">
        <v>9</v>
      </c>
      <c r="B15" s="250" t="s">
        <v>29</v>
      </c>
      <c r="C15" s="245">
        <f t="shared" si="2"/>
        <v>0</v>
      </c>
      <c r="D15" s="10"/>
      <c r="E15" s="10"/>
      <c r="F15" s="10">
        <f>30-27-3</f>
        <v>0</v>
      </c>
      <c r="G15" s="10"/>
      <c r="H15" s="247">
        <f t="shared" si="3"/>
        <v>0</v>
      </c>
      <c r="I15" s="247"/>
      <c r="J15" s="247"/>
      <c r="K15" s="247">
        <f t="shared" si="0"/>
        <v>0</v>
      </c>
      <c r="L15" s="10"/>
      <c r="M15" s="10"/>
      <c r="N15" s="10"/>
      <c r="O15" s="10"/>
      <c r="P15" s="10">
        <f t="shared" si="1"/>
        <v>0</v>
      </c>
      <c r="Q15" s="10"/>
      <c r="R15" s="10"/>
      <c r="S15" s="10"/>
      <c r="T15" s="10"/>
      <c r="U15" s="248"/>
      <c r="V15" s="249"/>
    </row>
    <row r="16" spans="1:22" x14ac:dyDescent="0.2">
      <c r="A16" s="243">
        <v>10</v>
      </c>
      <c r="B16" s="250" t="s">
        <v>21</v>
      </c>
      <c r="C16" s="245">
        <f t="shared" si="2"/>
        <v>50</v>
      </c>
      <c r="D16" s="10"/>
      <c r="E16" s="10"/>
      <c r="F16" s="10">
        <f>100-50</f>
        <v>50</v>
      </c>
      <c r="G16" s="10"/>
      <c r="H16" s="247">
        <f t="shared" si="3"/>
        <v>0</v>
      </c>
      <c r="I16" s="247"/>
      <c r="J16" s="247"/>
      <c r="K16" s="247">
        <f t="shared" si="0"/>
        <v>0</v>
      </c>
      <c r="L16" s="10"/>
      <c r="M16" s="10"/>
      <c r="N16" s="10"/>
      <c r="O16" s="10"/>
      <c r="P16" s="10">
        <f t="shared" si="1"/>
        <v>0</v>
      </c>
      <c r="Q16" s="10"/>
      <c r="R16" s="10"/>
      <c r="S16" s="10"/>
      <c r="T16" s="10"/>
      <c r="U16" s="248"/>
      <c r="V16" s="249"/>
    </row>
    <row r="17" spans="1:22" x14ac:dyDescent="0.2">
      <c r="A17" s="243">
        <v>11</v>
      </c>
      <c r="B17" s="250" t="s">
        <v>14</v>
      </c>
      <c r="C17" s="245">
        <f t="shared" si="2"/>
        <v>20</v>
      </c>
      <c r="D17" s="10"/>
      <c r="E17" s="10"/>
      <c r="F17" s="10">
        <v>20</v>
      </c>
      <c r="G17" s="10"/>
      <c r="H17" s="247">
        <f t="shared" si="3"/>
        <v>0</v>
      </c>
      <c r="I17" s="247"/>
      <c r="J17" s="247"/>
      <c r="K17" s="247">
        <f t="shared" si="0"/>
        <v>0</v>
      </c>
      <c r="L17" s="10"/>
      <c r="M17" s="10"/>
      <c r="N17" s="10"/>
      <c r="O17" s="10"/>
      <c r="P17" s="10">
        <f t="shared" si="1"/>
        <v>0</v>
      </c>
      <c r="Q17" s="10"/>
      <c r="R17" s="10"/>
      <c r="S17" s="10"/>
      <c r="T17" s="10"/>
      <c r="U17" s="248"/>
      <c r="V17" s="249"/>
    </row>
    <row r="18" spans="1:22" x14ac:dyDescent="0.2">
      <c r="A18" s="243">
        <v>12</v>
      </c>
      <c r="B18" s="244" t="s">
        <v>17</v>
      </c>
      <c r="C18" s="245">
        <f t="shared" si="2"/>
        <v>50</v>
      </c>
      <c r="D18" s="10"/>
      <c r="E18" s="10">
        <v>50</v>
      </c>
      <c r="F18" s="10"/>
      <c r="G18" s="10"/>
      <c r="H18" s="247">
        <f t="shared" si="3"/>
        <v>0</v>
      </c>
      <c r="I18" s="247"/>
      <c r="J18" s="247"/>
      <c r="K18" s="247">
        <f t="shared" si="0"/>
        <v>0</v>
      </c>
      <c r="L18" s="10"/>
      <c r="M18" s="10"/>
      <c r="N18" s="10"/>
      <c r="O18" s="10"/>
      <c r="P18" s="10">
        <f t="shared" si="1"/>
        <v>0</v>
      </c>
      <c r="Q18" s="10"/>
      <c r="R18" s="10"/>
      <c r="S18" s="10"/>
      <c r="T18" s="10"/>
      <c r="U18" s="248"/>
      <c r="V18" s="249"/>
    </row>
    <row r="19" spans="1:22" x14ac:dyDescent="0.2">
      <c r="A19" s="243">
        <v>13</v>
      </c>
      <c r="B19" s="244" t="s">
        <v>50</v>
      </c>
      <c r="C19" s="245">
        <f t="shared" si="2"/>
        <v>983</v>
      </c>
      <c r="D19" s="10"/>
      <c r="E19" s="10"/>
      <c r="F19" s="10"/>
      <c r="G19" s="10"/>
      <c r="H19" s="247">
        <f t="shared" si="3"/>
        <v>983</v>
      </c>
      <c r="I19" s="247"/>
      <c r="J19" s="247"/>
      <c r="K19" s="247">
        <f t="shared" si="0"/>
        <v>983</v>
      </c>
      <c r="L19" s="10"/>
      <c r="M19" s="10">
        <f>0+983</f>
        <v>983</v>
      </c>
      <c r="N19" s="10"/>
      <c r="O19" s="10"/>
      <c r="P19" s="10">
        <f t="shared" si="1"/>
        <v>0</v>
      </c>
      <c r="Q19" s="10"/>
      <c r="R19" s="10"/>
      <c r="S19" s="10"/>
      <c r="T19" s="10"/>
      <c r="U19" s="248"/>
      <c r="V19" s="249"/>
    </row>
    <row r="20" spans="1:22" ht="24" x14ac:dyDescent="0.2">
      <c r="A20" s="243"/>
      <c r="B20" s="244" t="s">
        <v>32</v>
      </c>
      <c r="C20" s="245">
        <f t="shared" si="2"/>
        <v>5849</v>
      </c>
      <c r="D20" s="247"/>
      <c r="E20" s="247"/>
      <c r="F20" s="247"/>
      <c r="G20" s="247"/>
      <c r="H20" s="247">
        <f t="shared" si="3"/>
        <v>5849</v>
      </c>
      <c r="I20" s="247">
        <f>450-30-200</f>
        <v>220</v>
      </c>
      <c r="J20" s="247"/>
      <c r="K20" s="252">
        <f>L20+M20+N20</f>
        <v>5629</v>
      </c>
      <c r="L20" s="10"/>
      <c r="M20" s="10">
        <f>17022-360-5590-15-49-11-57-106-2-21-89-10-26-3159-6-99-5-1415-373</f>
        <v>5629</v>
      </c>
      <c r="N20" s="10"/>
      <c r="O20" s="10"/>
      <c r="P20" s="10">
        <f t="shared" si="1"/>
        <v>0</v>
      </c>
      <c r="Q20" s="10"/>
      <c r="R20" s="10"/>
      <c r="S20" s="10"/>
      <c r="T20" s="10"/>
      <c r="U20" s="248"/>
      <c r="V20" s="249"/>
    </row>
    <row r="21" spans="1:22" ht="13.5" customHeight="1" x14ac:dyDescent="0.2">
      <c r="A21" s="243"/>
      <c r="B21" s="253" t="s">
        <v>51</v>
      </c>
      <c r="C21" s="245">
        <f>SUM(C7:C20)</f>
        <v>193112</v>
      </c>
      <c r="D21" s="246">
        <f t="shared" ref="D21:T21" si="4">SUM(D7:D20)</f>
        <v>993</v>
      </c>
      <c r="E21" s="246">
        <f t="shared" si="4"/>
        <v>453</v>
      </c>
      <c r="F21" s="246">
        <f t="shared" si="4"/>
        <v>159</v>
      </c>
      <c r="G21" s="246">
        <f t="shared" si="4"/>
        <v>11</v>
      </c>
      <c r="H21" s="246">
        <f t="shared" si="4"/>
        <v>191496</v>
      </c>
      <c r="I21" s="246">
        <f t="shared" si="4"/>
        <v>2570</v>
      </c>
      <c r="J21" s="246">
        <f t="shared" si="4"/>
        <v>30</v>
      </c>
      <c r="K21" s="246">
        <f t="shared" si="4"/>
        <v>137208</v>
      </c>
      <c r="L21" s="246">
        <f t="shared" si="4"/>
        <v>10474</v>
      </c>
      <c r="M21" s="246">
        <f t="shared" si="4"/>
        <v>111001</v>
      </c>
      <c r="N21" s="246">
        <f t="shared" si="4"/>
        <v>15433</v>
      </c>
      <c r="O21" s="246">
        <f t="shared" si="4"/>
        <v>300</v>
      </c>
      <c r="P21" s="246">
        <f t="shared" si="4"/>
        <v>51688</v>
      </c>
      <c r="Q21" s="246">
        <f t="shared" si="4"/>
        <v>4346</v>
      </c>
      <c r="R21" s="246">
        <f t="shared" si="4"/>
        <v>38736</v>
      </c>
      <c r="S21" s="246">
        <f t="shared" si="4"/>
        <v>7256</v>
      </c>
      <c r="T21" s="246">
        <f t="shared" si="4"/>
        <v>1350</v>
      </c>
      <c r="U21" s="248"/>
      <c r="V21" s="249"/>
    </row>
    <row r="29" spans="1:22" s="6" customFormat="1" x14ac:dyDescent="0.2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2" s="6" customFormat="1" x14ac:dyDescent="0.2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2" s="6" customFormat="1" x14ac:dyDescent="0.2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mergeCells count="27">
    <mergeCell ref="A1:T1"/>
    <mergeCell ref="S2:T2"/>
    <mergeCell ref="D3:G3"/>
    <mergeCell ref="H3:T3"/>
    <mergeCell ref="I5:I6"/>
    <mergeCell ref="J5:J6"/>
    <mergeCell ref="K5:K6"/>
    <mergeCell ref="L5:L6"/>
    <mergeCell ref="M5:M6"/>
    <mergeCell ref="E4:G4"/>
    <mergeCell ref="H4:H6"/>
    <mergeCell ref="A3:A6"/>
    <mergeCell ref="B3:B6"/>
    <mergeCell ref="C4:C6"/>
    <mergeCell ref="D5:D6"/>
    <mergeCell ref="E5:E6"/>
    <mergeCell ref="I4:J4"/>
    <mergeCell ref="K4:O4"/>
    <mergeCell ref="P4:T4"/>
    <mergeCell ref="F5:G5"/>
    <mergeCell ref="N5:N6"/>
    <mergeCell ref="O5:O6"/>
    <mergeCell ref="P5:P6"/>
    <mergeCell ref="Q5:Q6"/>
    <mergeCell ref="R5:R6"/>
    <mergeCell ref="S5:S6"/>
    <mergeCell ref="T5:T6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K6" sqref="K6:K7"/>
    </sheetView>
  </sheetViews>
  <sheetFormatPr defaultRowHeight="12" x14ac:dyDescent="0.2"/>
  <cols>
    <col min="1" max="1" width="4.140625" style="1" customWidth="1"/>
    <col min="2" max="2" width="31" style="1" customWidth="1"/>
    <col min="3" max="3" width="9.140625" style="254" customWidth="1"/>
    <col min="4" max="4" width="9.7109375" style="254" customWidth="1"/>
    <col min="5" max="5" width="13.140625" style="254" customWidth="1"/>
    <col min="6" max="6" width="14.28515625" style="254" customWidth="1"/>
    <col min="7" max="7" width="12" style="254" customWidth="1"/>
    <col min="8" max="8" width="13.85546875" style="254" customWidth="1"/>
    <col min="9" max="9" width="9.42578125" style="254" customWidth="1"/>
    <col min="10" max="10" width="12.28515625" style="254" customWidth="1"/>
    <col min="11" max="11" width="14.42578125" style="254" customWidth="1"/>
    <col min="12" max="12" width="11.85546875" style="254" customWidth="1"/>
    <col min="13" max="13" width="14.42578125" style="254" customWidth="1"/>
    <col min="14" max="16384" width="9.140625" style="1"/>
  </cols>
  <sheetData>
    <row r="1" spans="1:19" ht="41.25" customHeight="1" x14ac:dyDescent="0.2">
      <c r="A1" s="344" t="s">
        <v>536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9" x14ac:dyDescent="0.2">
      <c r="M2" s="254" t="s">
        <v>6</v>
      </c>
    </row>
    <row r="3" spans="1:19" s="275" customFormat="1" ht="15" customHeight="1" x14ac:dyDescent="0.25">
      <c r="A3" s="377" t="s">
        <v>7</v>
      </c>
      <c r="B3" s="378" t="s">
        <v>34</v>
      </c>
      <c r="C3" s="379" t="s">
        <v>537</v>
      </c>
      <c r="D3" s="380"/>
      <c r="E3" s="380"/>
      <c r="F3" s="380"/>
      <c r="G3" s="380"/>
      <c r="H3" s="380"/>
      <c r="I3" s="380"/>
      <c r="J3" s="380"/>
      <c r="K3" s="380"/>
      <c r="L3" s="380"/>
      <c r="M3" s="381"/>
    </row>
    <row r="4" spans="1:19" s="275" customFormat="1" ht="12.75" customHeight="1" x14ac:dyDescent="0.25">
      <c r="A4" s="377"/>
      <c r="B4" s="378"/>
      <c r="C4" s="375" t="s">
        <v>538</v>
      </c>
      <c r="D4" s="376" t="s">
        <v>210</v>
      </c>
      <c r="E4" s="376"/>
      <c r="F4" s="376"/>
      <c r="G4" s="376"/>
      <c r="H4" s="376"/>
      <c r="I4" s="376"/>
      <c r="J4" s="376"/>
      <c r="K4" s="376"/>
      <c r="L4" s="376"/>
      <c r="M4" s="376"/>
    </row>
    <row r="5" spans="1:19" s="275" customFormat="1" ht="14.25" customHeight="1" x14ac:dyDescent="0.25">
      <c r="A5" s="377"/>
      <c r="B5" s="378"/>
      <c r="C5" s="375"/>
      <c r="D5" s="376" t="s">
        <v>518</v>
      </c>
      <c r="E5" s="376"/>
      <c r="F5" s="376"/>
      <c r="G5" s="376"/>
      <c r="H5" s="376"/>
      <c r="I5" s="376" t="s">
        <v>539</v>
      </c>
      <c r="J5" s="376"/>
      <c r="K5" s="376"/>
      <c r="L5" s="376"/>
      <c r="M5" s="376"/>
    </row>
    <row r="6" spans="1:19" s="275" customFormat="1" ht="11.25" x14ac:dyDescent="0.25">
      <c r="A6" s="377"/>
      <c r="B6" s="378"/>
      <c r="C6" s="375"/>
      <c r="D6" s="375" t="s">
        <v>540</v>
      </c>
      <c r="E6" s="375" t="s">
        <v>541</v>
      </c>
      <c r="F6" s="375" t="s">
        <v>542</v>
      </c>
      <c r="G6" s="375" t="s">
        <v>45</v>
      </c>
      <c r="H6" s="375" t="s">
        <v>543</v>
      </c>
      <c r="I6" s="375" t="s">
        <v>544</v>
      </c>
      <c r="J6" s="375" t="s">
        <v>541</v>
      </c>
      <c r="K6" s="375" t="s">
        <v>542</v>
      </c>
      <c r="L6" s="375" t="s">
        <v>45</v>
      </c>
      <c r="M6" s="375" t="s">
        <v>543</v>
      </c>
    </row>
    <row r="7" spans="1:19" s="275" customFormat="1" ht="68.25" customHeight="1" x14ac:dyDescent="0.25">
      <c r="A7" s="377"/>
      <c r="B7" s="378"/>
      <c r="C7" s="375"/>
      <c r="D7" s="375"/>
      <c r="E7" s="375"/>
      <c r="F7" s="375"/>
      <c r="G7" s="375"/>
      <c r="H7" s="375"/>
      <c r="I7" s="376"/>
      <c r="J7" s="375"/>
      <c r="K7" s="375"/>
      <c r="L7" s="375"/>
      <c r="M7" s="375"/>
    </row>
    <row r="8" spans="1:19" x14ac:dyDescent="0.2">
      <c r="A8" s="243">
        <v>1</v>
      </c>
      <c r="B8" s="244" t="s">
        <v>49</v>
      </c>
      <c r="C8" s="257">
        <f>D8+I8</f>
        <v>6181</v>
      </c>
      <c r="D8" s="257">
        <f>SUM(E8:H8)</f>
        <v>13</v>
      </c>
      <c r="E8" s="257">
        <v>0</v>
      </c>
      <c r="F8" s="257">
        <f>0+13</f>
        <v>13</v>
      </c>
      <c r="G8" s="257">
        <v>0</v>
      </c>
      <c r="H8" s="257">
        <v>0</v>
      </c>
      <c r="I8" s="257">
        <f>SUM(J8:M8)</f>
        <v>6168</v>
      </c>
      <c r="J8" s="257">
        <v>176</v>
      </c>
      <c r="K8" s="257">
        <v>2436</v>
      </c>
      <c r="L8" s="257">
        <v>3346</v>
      </c>
      <c r="M8" s="257">
        <v>210</v>
      </c>
      <c r="N8" s="248"/>
      <c r="O8" s="248"/>
      <c r="P8" s="248"/>
      <c r="Q8" s="248"/>
      <c r="R8" s="248"/>
      <c r="S8" s="248"/>
    </row>
    <row r="9" spans="1:19" x14ac:dyDescent="0.2">
      <c r="A9" s="243">
        <v>2</v>
      </c>
      <c r="B9" s="250" t="s">
        <v>25</v>
      </c>
      <c r="C9" s="257">
        <f t="shared" ref="C9:C13" si="0">D9+I9</f>
        <v>90</v>
      </c>
      <c r="D9" s="257">
        <f t="shared" ref="D9:D13" si="1">SUM(E9:H9)</f>
        <v>90</v>
      </c>
      <c r="E9" s="257">
        <v>0</v>
      </c>
      <c r="F9" s="257">
        <v>0</v>
      </c>
      <c r="G9" s="257">
        <v>0</v>
      </c>
      <c r="H9" s="257">
        <v>90</v>
      </c>
      <c r="I9" s="257">
        <f t="shared" ref="I9:I13" si="2">SUM(J9:M9)</f>
        <v>0</v>
      </c>
      <c r="J9" s="257">
        <f>94-94</f>
        <v>0</v>
      </c>
      <c r="K9" s="257">
        <f>503-503</f>
        <v>0</v>
      </c>
      <c r="L9" s="257">
        <f>223-223</f>
        <v>0</v>
      </c>
      <c r="M9" s="257">
        <f>709+270-979</f>
        <v>0</v>
      </c>
      <c r="N9" s="248"/>
      <c r="O9" s="248"/>
      <c r="P9" s="248"/>
      <c r="Q9" s="248"/>
      <c r="R9" s="248"/>
      <c r="S9" s="248"/>
    </row>
    <row r="10" spans="1:19" x14ac:dyDescent="0.2">
      <c r="A10" s="243">
        <v>3</v>
      </c>
      <c r="B10" s="244" t="s">
        <v>1</v>
      </c>
      <c r="C10" s="257">
        <f t="shared" si="0"/>
        <v>73087</v>
      </c>
      <c r="D10" s="257">
        <f t="shared" si="1"/>
        <v>5196</v>
      </c>
      <c r="E10" s="257">
        <v>0</v>
      </c>
      <c r="F10" s="257">
        <v>4847</v>
      </c>
      <c r="G10" s="257">
        <v>349</v>
      </c>
      <c r="H10" s="257">
        <v>0</v>
      </c>
      <c r="I10" s="257">
        <f t="shared" si="2"/>
        <v>67891</v>
      </c>
      <c r="J10" s="257">
        <v>0</v>
      </c>
      <c r="K10" s="257">
        <f>63248+1415</f>
        <v>64663</v>
      </c>
      <c r="L10" s="257">
        <v>3228</v>
      </c>
      <c r="M10" s="257">
        <v>0</v>
      </c>
      <c r="N10" s="248"/>
      <c r="O10" s="248"/>
      <c r="P10" s="248"/>
      <c r="Q10" s="248"/>
      <c r="R10" s="248"/>
      <c r="S10" s="248"/>
    </row>
    <row r="11" spans="1:19" x14ac:dyDescent="0.2">
      <c r="A11" s="243">
        <v>4</v>
      </c>
      <c r="B11" s="250" t="s">
        <v>4</v>
      </c>
      <c r="C11" s="257">
        <f t="shared" si="0"/>
        <v>25684</v>
      </c>
      <c r="D11" s="257">
        <f t="shared" si="1"/>
        <v>1365</v>
      </c>
      <c r="E11" s="257">
        <v>610</v>
      </c>
      <c r="F11" s="257">
        <v>668</v>
      </c>
      <c r="G11" s="257">
        <v>87</v>
      </c>
      <c r="H11" s="257">
        <v>0</v>
      </c>
      <c r="I11" s="257">
        <f t="shared" si="2"/>
        <v>24319</v>
      </c>
      <c r="J11" s="257">
        <v>9688</v>
      </c>
      <c r="K11" s="257">
        <v>11342</v>
      </c>
      <c r="L11" s="257">
        <v>3289</v>
      </c>
      <c r="M11" s="257">
        <v>0</v>
      </c>
      <c r="N11" s="248"/>
      <c r="O11" s="248"/>
      <c r="P11" s="248"/>
      <c r="Q11" s="248"/>
      <c r="R11" s="248"/>
      <c r="S11" s="248"/>
    </row>
    <row r="12" spans="1:19" x14ac:dyDescent="0.2">
      <c r="A12" s="243">
        <v>5</v>
      </c>
      <c r="B12" s="276" t="s">
        <v>2</v>
      </c>
      <c r="C12" s="257">
        <f t="shared" si="0"/>
        <v>15391</v>
      </c>
      <c r="D12" s="257">
        <f t="shared" si="1"/>
        <v>1394</v>
      </c>
      <c r="E12" s="257">
        <v>0</v>
      </c>
      <c r="F12" s="257">
        <v>1087</v>
      </c>
      <c r="G12" s="257">
        <v>307</v>
      </c>
      <c r="H12" s="257">
        <v>0</v>
      </c>
      <c r="I12" s="257">
        <f t="shared" si="2"/>
        <v>13997</v>
      </c>
      <c r="J12" s="257">
        <v>0</v>
      </c>
      <c r="K12" s="257">
        <f>10682+373</f>
        <v>11055</v>
      </c>
      <c r="L12" s="257">
        <v>2942</v>
      </c>
      <c r="M12" s="257">
        <v>0</v>
      </c>
      <c r="N12" s="248"/>
      <c r="O12" s="248"/>
      <c r="P12" s="248"/>
      <c r="Q12" s="248"/>
      <c r="R12" s="248"/>
      <c r="S12" s="248"/>
    </row>
    <row r="13" spans="1:19" x14ac:dyDescent="0.2">
      <c r="A13" s="243">
        <v>6</v>
      </c>
      <c r="B13" s="250" t="s">
        <v>3</v>
      </c>
      <c r="C13" s="257">
        <f t="shared" si="0"/>
        <v>10163</v>
      </c>
      <c r="D13" s="257">
        <f t="shared" si="1"/>
        <v>390</v>
      </c>
      <c r="E13" s="257">
        <v>0</v>
      </c>
      <c r="F13" s="257">
        <v>263</v>
      </c>
      <c r="G13" s="257">
        <v>127</v>
      </c>
      <c r="H13" s="257">
        <v>0</v>
      </c>
      <c r="I13" s="257">
        <f t="shared" si="2"/>
        <v>9773</v>
      </c>
      <c r="J13" s="257">
        <v>0</v>
      </c>
      <c r="K13" s="257">
        <v>8015</v>
      </c>
      <c r="L13" s="257">
        <v>1758</v>
      </c>
      <c r="M13" s="257">
        <v>0</v>
      </c>
      <c r="N13" s="248"/>
      <c r="O13" s="248"/>
      <c r="P13" s="248"/>
      <c r="Q13" s="248"/>
      <c r="R13" s="248"/>
      <c r="S13" s="248"/>
    </row>
    <row r="14" spans="1:19" x14ac:dyDescent="0.2">
      <c r="A14" s="243">
        <v>7</v>
      </c>
      <c r="B14" s="250" t="s">
        <v>24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48"/>
      <c r="O14" s="248"/>
      <c r="P14" s="248"/>
      <c r="Q14" s="248"/>
      <c r="R14" s="248"/>
      <c r="S14" s="248"/>
    </row>
    <row r="15" spans="1:19" x14ac:dyDescent="0.2">
      <c r="A15" s="243">
        <v>8</v>
      </c>
      <c r="B15" s="244" t="s">
        <v>545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48"/>
      <c r="O15" s="248"/>
      <c r="P15" s="248"/>
      <c r="Q15" s="248"/>
      <c r="R15" s="248"/>
      <c r="S15" s="248"/>
    </row>
    <row r="16" spans="1:19" x14ac:dyDescent="0.2">
      <c r="A16" s="243">
        <v>9</v>
      </c>
      <c r="B16" s="244" t="s">
        <v>52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48"/>
      <c r="O16" s="248"/>
      <c r="P16" s="248"/>
      <c r="Q16" s="248"/>
      <c r="R16" s="248"/>
      <c r="S16" s="248"/>
    </row>
    <row r="17" spans="1:19" x14ac:dyDescent="0.2">
      <c r="A17" s="243">
        <v>10</v>
      </c>
      <c r="B17" s="244" t="s">
        <v>53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48"/>
      <c r="O17" s="248"/>
      <c r="P17" s="248"/>
      <c r="Q17" s="248"/>
      <c r="R17" s="248"/>
      <c r="S17" s="248"/>
    </row>
    <row r="18" spans="1:19" x14ac:dyDescent="0.2">
      <c r="A18" s="243">
        <v>11</v>
      </c>
      <c r="B18" s="244" t="s">
        <v>14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48"/>
      <c r="O18" s="248"/>
      <c r="P18" s="248"/>
      <c r="Q18" s="248"/>
      <c r="R18" s="248"/>
      <c r="S18" s="248"/>
    </row>
    <row r="19" spans="1:19" x14ac:dyDescent="0.2">
      <c r="A19" s="243">
        <v>12</v>
      </c>
      <c r="B19" s="244" t="s">
        <v>54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48"/>
      <c r="O19" s="248"/>
      <c r="P19" s="248"/>
      <c r="Q19" s="248"/>
      <c r="R19" s="248"/>
      <c r="S19" s="248"/>
    </row>
    <row r="20" spans="1:19" x14ac:dyDescent="0.2">
      <c r="A20" s="243">
        <v>13</v>
      </c>
      <c r="B20" s="244" t="s">
        <v>50</v>
      </c>
      <c r="C20" s="257">
        <f t="shared" ref="C20:C21" si="3">D20+I20</f>
        <v>983</v>
      </c>
      <c r="D20" s="257">
        <f t="shared" ref="D20:D21" si="4">SUM(E20:H20)</f>
        <v>0</v>
      </c>
      <c r="E20" s="257"/>
      <c r="F20" s="257"/>
      <c r="G20" s="257"/>
      <c r="H20" s="257"/>
      <c r="I20" s="257">
        <f t="shared" ref="I20:I21" si="5">SUM(J20:M20)</f>
        <v>983</v>
      </c>
      <c r="J20" s="257"/>
      <c r="K20" s="257">
        <v>983</v>
      </c>
      <c r="L20" s="257"/>
      <c r="M20" s="257"/>
      <c r="N20" s="248"/>
      <c r="O20" s="248"/>
      <c r="P20" s="248"/>
      <c r="Q20" s="248"/>
      <c r="R20" s="248"/>
      <c r="S20" s="248"/>
    </row>
    <row r="21" spans="1:19" x14ac:dyDescent="0.2">
      <c r="A21" s="243"/>
      <c r="B21" s="244" t="s">
        <v>32</v>
      </c>
      <c r="C21" s="257">
        <f t="shared" si="3"/>
        <v>5629</v>
      </c>
      <c r="D21" s="257">
        <f t="shared" si="4"/>
        <v>3367</v>
      </c>
      <c r="E21" s="257"/>
      <c r="F21" s="257">
        <v>3367</v>
      </c>
      <c r="G21" s="257"/>
      <c r="H21" s="257"/>
      <c r="I21" s="257">
        <f t="shared" si="5"/>
        <v>2262</v>
      </c>
      <c r="J21" s="257"/>
      <c r="K21" s="257">
        <f>4055-1415-373-5</f>
        <v>2262</v>
      </c>
      <c r="L21" s="257"/>
      <c r="M21" s="257"/>
      <c r="N21" s="248"/>
      <c r="O21" s="248"/>
      <c r="P21" s="248"/>
      <c r="Q21" s="248"/>
      <c r="R21" s="248"/>
      <c r="S21" s="248"/>
    </row>
    <row r="22" spans="1:19" x14ac:dyDescent="0.2">
      <c r="A22" s="243"/>
      <c r="B22" s="277" t="s">
        <v>51</v>
      </c>
      <c r="C22" s="245">
        <f>C8+C9+C10+C11+C12+C13+C14+C15+C16+C17+C18+C19+C20+C21</f>
        <v>137208</v>
      </c>
      <c r="D22" s="245">
        <f t="shared" ref="D22:M22" si="6">D8+D9+D10+D11+D12+D13+D14+D15+D16+D17+D18+D19+D20+D21</f>
        <v>11815</v>
      </c>
      <c r="E22" s="245">
        <f t="shared" si="6"/>
        <v>610</v>
      </c>
      <c r="F22" s="245">
        <f t="shared" si="6"/>
        <v>10245</v>
      </c>
      <c r="G22" s="245">
        <f t="shared" si="6"/>
        <v>870</v>
      </c>
      <c r="H22" s="245">
        <f t="shared" si="6"/>
        <v>90</v>
      </c>
      <c r="I22" s="245">
        <f t="shared" si="6"/>
        <v>125393</v>
      </c>
      <c r="J22" s="245">
        <f t="shared" si="6"/>
        <v>9864</v>
      </c>
      <c r="K22" s="245">
        <f t="shared" si="6"/>
        <v>100756</v>
      </c>
      <c r="L22" s="245">
        <f t="shared" si="6"/>
        <v>14563</v>
      </c>
      <c r="M22" s="245">
        <f t="shared" si="6"/>
        <v>210</v>
      </c>
      <c r="N22" s="248"/>
      <c r="O22" s="248"/>
      <c r="P22" s="248"/>
      <c r="Q22" s="248"/>
      <c r="R22" s="248"/>
      <c r="S22" s="248"/>
    </row>
    <row r="23" spans="1:19" x14ac:dyDescent="0.2">
      <c r="O23" s="248"/>
      <c r="P23" s="248"/>
      <c r="Q23" s="248"/>
      <c r="R23" s="248"/>
      <c r="S23" s="248"/>
    </row>
  </sheetData>
  <mergeCells count="18">
    <mergeCell ref="G6:G7"/>
    <mergeCell ref="H6:H7"/>
    <mergeCell ref="I6:I7"/>
    <mergeCell ref="J6:J7"/>
    <mergeCell ref="K6:K7"/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Normal="10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G32" sqref="G32"/>
    </sheetView>
  </sheetViews>
  <sheetFormatPr defaultRowHeight="12" x14ac:dyDescent="0.2"/>
  <cols>
    <col min="1" max="1" width="4.42578125" style="4" customWidth="1"/>
    <col min="2" max="2" width="30.85546875" style="1" customWidth="1"/>
    <col min="3" max="3" width="9.140625" style="2" customWidth="1"/>
    <col min="4" max="4" width="7.140625" style="2" customWidth="1"/>
    <col min="5" max="5" width="8.42578125" style="2" customWidth="1"/>
    <col min="6" max="6" width="8.85546875" style="2" customWidth="1"/>
    <col min="7" max="7" width="8.42578125" style="2" customWidth="1"/>
    <col min="8" max="8" width="6.7109375" style="2" customWidth="1"/>
    <col min="9" max="10" width="8.42578125" style="2" customWidth="1"/>
    <col min="11" max="11" width="8.140625" style="2" customWidth="1"/>
    <col min="12" max="12" width="7.28515625" style="2" customWidth="1"/>
    <col min="13" max="13" width="8.85546875" style="2" customWidth="1"/>
    <col min="14" max="14" width="8.140625" style="2" customWidth="1"/>
    <col min="15" max="15" width="10.5703125" style="2" customWidth="1"/>
    <col min="16" max="16" width="7.5703125" style="2" customWidth="1"/>
    <col min="17" max="17" width="7.28515625" style="2" customWidth="1"/>
    <col min="18" max="18" width="8.140625" style="2" customWidth="1"/>
    <col min="19" max="19" width="9.28515625" style="4" customWidth="1"/>
    <col min="20" max="20" width="9.5703125" style="1" bestFit="1" customWidth="1"/>
    <col min="21" max="21" width="11.85546875" style="1" customWidth="1"/>
    <col min="22" max="16384" width="9.140625" style="1"/>
  </cols>
  <sheetData>
    <row r="1" spans="1:20" ht="18.75" customHeight="1" x14ac:dyDescent="0.2">
      <c r="A1" s="344" t="s">
        <v>286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1:20" x14ac:dyDescent="0.2">
      <c r="S2" s="2" t="s">
        <v>6</v>
      </c>
    </row>
    <row r="3" spans="1:20" s="256" customFormat="1" ht="32.25" customHeight="1" x14ac:dyDescent="0.25">
      <c r="A3" s="382" t="s">
        <v>7</v>
      </c>
      <c r="B3" s="382" t="s">
        <v>0</v>
      </c>
      <c r="C3" s="384" t="s">
        <v>287</v>
      </c>
      <c r="D3" s="385"/>
      <c r="E3" s="385"/>
      <c r="F3" s="386"/>
      <c r="G3" s="384" t="s">
        <v>288</v>
      </c>
      <c r="H3" s="385"/>
      <c r="I3" s="385"/>
      <c r="J3" s="386"/>
      <c r="K3" s="384" t="s">
        <v>289</v>
      </c>
      <c r="L3" s="385"/>
      <c r="M3" s="386"/>
      <c r="N3" s="341" t="s">
        <v>290</v>
      </c>
      <c r="O3" s="341" t="s">
        <v>291</v>
      </c>
      <c r="P3" s="388" t="s">
        <v>292</v>
      </c>
      <c r="Q3" s="389"/>
      <c r="R3" s="390"/>
      <c r="S3" s="382" t="s">
        <v>8</v>
      </c>
    </row>
    <row r="4" spans="1:20" s="256" customFormat="1" ht="24" x14ac:dyDescent="0.25">
      <c r="A4" s="383"/>
      <c r="B4" s="383"/>
      <c r="C4" s="257" t="s">
        <v>293</v>
      </c>
      <c r="D4" s="257" t="s">
        <v>294</v>
      </c>
      <c r="E4" s="258" t="s">
        <v>295</v>
      </c>
      <c r="F4" s="258" t="s">
        <v>5</v>
      </c>
      <c r="G4" s="257" t="s">
        <v>293</v>
      </c>
      <c r="H4" s="257" t="s">
        <v>294</v>
      </c>
      <c r="I4" s="258" t="s">
        <v>295</v>
      </c>
      <c r="J4" s="258" t="s">
        <v>5</v>
      </c>
      <c r="K4" s="259" t="s">
        <v>296</v>
      </c>
      <c r="L4" s="258" t="s">
        <v>297</v>
      </c>
      <c r="M4" s="258" t="s">
        <v>5</v>
      </c>
      <c r="N4" s="387"/>
      <c r="O4" s="387"/>
      <c r="P4" s="260" t="s">
        <v>298</v>
      </c>
      <c r="Q4" s="260" t="s">
        <v>299</v>
      </c>
      <c r="R4" s="258" t="s">
        <v>5</v>
      </c>
      <c r="S4" s="383"/>
    </row>
    <row r="5" spans="1:20" x14ac:dyDescent="0.2">
      <c r="A5" s="261">
        <v>1</v>
      </c>
      <c r="B5" s="262" t="s">
        <v>9</v>
      </c>
      <c r="C5" s="263">
        <f>1605-285</f>
        <v>1320</v>
      </c>
      <c r="D5" s="263">
        <f>198-46</f>
        <v>152</v>
      </c>
      <c r="E5" s="263"/>
      <c r="F5" s="264">
        <f t="shared" ref="F5:F31" si="0">C5+D5+E5</f>
        <v>1472</v>
      </c>
      <c r="G5" s="264"/>
      <c r="H5" s="264"/>
      <c r="I5" s="264"/>
      <c r="J5" s="264">
        <f>G5+H5+I5</f>
        <v>0</v>
      </c>
      <c r="K5" s="264"/>
      <c r="L5" s="264"/>
      <c r="M5" s="264"/>
      <c r="N5" s="264"/>
      <c r="O5" s="264"/>
      <c r="P5" s="264"/>
      <c r="Q5" s="264"/>
      <c r="R5" s="264">
        <f>P5+Q5</f>
        <v>0</v>
      </c>
      <c r="S5" s="264">
        <f>F5+J5+M5+N5+O5+R5</f>
        <v>1472</v>
      </c>
      <c r="T5" s="249"/>
    </row>
    <row r="6" spans="1:20" x14ac:dyDescent="0.2">
      <c r="A6" s="261">
        <v>2</v>
      </c>
      <c r="B6" s="262" t="s">
        <v>10</v>
      </c>
      <c r="C6" s="263">
        <v>2625</v>
      </c>
      <c r="D6" s="263"/>
      <c r="E6" s="263">
        <v>102</v>
      </c>
      <c r="F6" s="264">
        <f t="shared" si="0"/>
        <v>2727</v>
      </c>
      <c r="G6" s="264"/>
      <c r="H6" s="264"/>
      <c r="I6" s="264"/>
      <c r="J6" s="264">
        <f t="shared" ref="J6:J54" si="1">G6+H6+I6</f>
        <v>0</v>
      </c>
      <c r="K6" s="264"/>
      <c r="L6" s="264"/>
      <c r="M6" s="264"/>
      <c r="N6" s="264"/>
      <c r="O6" s="264"/>
      <c r="P6" s="264">
        <f>2200-200</f>
        <v>2000</v>
      </c>
      <c r="Q6" s="264">
        <f>2200-400+100</f>
        <v>1900</v>
      </c>
      <c r="R6" s="264">
        <f t="shared" ref="R6:R54" si="2">P6+Q6</f>
        <v>3900</v>
      </c>
      <c r="S6" s="264">
        <f t="shared" ref="S6:S54" si="3">F6+J6+M6+N6+O6+R6</f>
        <v>6627</v>
      </c>
      <c r="T6" s="249"/>
    </row>
    <row r="7" spans="1:20" x14ac:dyDescent="0.2">
      <c r="A7" s="261">
        <v>3</v>
      </c>
      <c r="B7" s="265" t="s">
        <v>11</v>
      </c>
      <c r="C7" s="263">
        <v>397</v>
      </c>
      <c r="D7" s="263">
        <f>33-32</f>
        <v>1</v>
      </c>
      <c r="E7" s="263"/>
      <c r="F7" s="264">
        <f t="shared" si="0"/>
        <v>398</v>
      </c>
      <c r="G7" s="264"/>
      <c r="H7" s="264"/>
      <c r="I7" s="264"/>
      <c r="J7" s="264">
        <f t="shared" si="1"/>
        <v>0</v>
      </c>
      <c r="K7" s="264"/>
      <c r="L7" s="264"/>
      <c r="M7" s="264"/>
      <c r="N7" s="264"/>
      <c r="O7" s="264"/>
      <c r="P7" s="264"/>
      <c r="Q7" s="264"/>
      <c r="R7" s="264">
        <f t="shared" si="2"/>
        <v>0</v>
      </c>
      <c r="S7" s="264">
        <f t="shared" si="3"/>
        <v>398</v>
      </c>
      <c r="T7" s="249"/>
    </row>
    <row r="8" spans="1:20" x14ac:dyDescent="0.2">
      <c r="A8" s="261">
        <v>4</v>
      </c>
      <c r="B8" s="262" t="s">
        <v>12</v>
      </c>
      <c r="C8" s="263">
        <v>2000</v>
      </c>
      <c r="D8" s="263"/>
      <c r="E8" s="263">
        <f>157-40</f>
        <v>117</v>
      </c>
      <c r="F8" s="264">
        <f t="shared" si="0"/>
        <v>2117</v>
      </c>
      <c r="G8" s="264"/>
      <c r="H8" s="264"/>
      <c r="I8" s="264"/>
      <c r="J8" s="264">
        <f t="shared" si="1"/>
        <v>0</v>
      </c>
      <c r="K8" s="264"/>
      <c r="L8" s="264"/>
      <c r="M8" s="264"/>
      <c r="N8" s="264"/>
      <c r="O8" s="264"/>
      <c r="P8" s="264">
        <f>1300-250-150</f>
        <v>900</v>
      </c>
      <c r="Q8" s="264">
        <f>1300-300</f>
        <v>1000</v>
      </c>
      <c r="R8" s="264">
        <f t="shared" si="2"/>
        <v>1900</v>
      </c>
      <c r="S8" s="264">
        <f t="shared" si="3"/>
        <v>4017</v>
      </c>
      <c r="T8" s="249"/>
    </row>
    <row r="9" spans="1:20" x14ac:dyDescent="0.2">
      <c r="A9" s="261">
        <v>5</v>
      </c>
      <c r="B9" s="262" t="s">
        <v>13</v>
      </c>
      <c r="C9" s="263">
        <v>1610</v>
      </c>
      <c r="D9" s="263"/>
      <c r="E9" s="263">
        <f>193-43</f>
        <v>150</v>
      </c>
      <c r="F9" s="264">
        <f t="shared" si="0"/>
        <v>1760</v>
      </c>
      <c r="G9" s="264"/>
      <c r="H9" s="264"/>
      <c r="I9" s="264"/>
      <c r="J9" s="264">
        <f t="shared" si="1"/>
        <v>0</v>
      </c>
      <c r="K9" s="264"/>
      <c r="L9" s="264"/>
      <c r="M9" s="264"/>
      <c r="N9" s="264"/>
      <c r="O9" s="264"/>
      <c r="P9" s="264"/>
      <c r="Q9" s="264"/>
      <c r="R9" s="264">
        <f t="shared" si="2"/>
        <v>0</v>
      </c>
      <c r="S9" s="264">
        <f t="shared" si="3"/>
        <v>1760</v>
      </c>
      <c r="T9" s="249"/>
    </row>
    <row r="10" spans="1:20" x14ac:dyDescent="0.2">
      <c r="A10" s="261">
        <v>6</v>
      </c>
      <c r="B10" s="262" t="s">
        <v>14</v>
      </c>
      <c r="C10" s="263">
        <f>2200+400-446</f>
        <v>2154</v>
      </c>
      <c r="D10" s="263"/>
      <c r="E10" s="263">
        <f>230-193</f>
        <v>37</v>
      </c>
      <c r="F10" s="264">
        <f t="shared" si="0"/>
        <v>2191</v>
      </c>
      <c r="G10" s="264"/>
      <c r="H10" s="264"/>
      <c r="I10" s="264"/>
      <c r="J10" s="264">
        <f t="shared" si="1"/>
        <v>0</v>
      </c>
      <c r="K10" s="264"/>
      <c r="L10" s="264"/>
      <c r="M10" s="264"/>
      <c r="N10" s="264"/>
      <c r="O10" s="264"/>
      <c r="P10" s="264">
        <f>2500-200</f>
        <v>2300</v>
      </c>
      <c r="Q10" s="264">
        <f>2500-300</f>
        <v>2200</v>
      </c>
      <c r="R10" s="264">
        <f t="shared" si="2"/>
        <v>4500</v>
      </c>
      <c r="S10" s="264">
        <f t="shared" si="3"/>
        <v>6691</v>
      </c>
      <c r="T10" s="249"/>
    </row>
    <row r="11" spans="1:20" x14ac:dyDescent="0.2">
      <c r="A11" s="261">
        <v>7</v>
      </c>
      <c r="B11" s="262" t="s">
        <v>15</v>
      </c>
      <c r="C11" s="263">
        <v>900</v>
      </c>
      <c r="D11" s="263">
        <v>400</v>
      </c>
      <c r="E11" s="263"/>
      <c r="F11" s="264">
        <f t="shared" si="0"/>
        <v>1300</v>
      </c>
      <c r="G11" s="264"/>
      <c r="H11" s="264"/>
      <c r="I11" s="264"/>
      <c r="J11" s="264">
        <f t="shared" si="1"/>
        <v>0</v>
      </c>
      <c r="K11" s="264"/>
      <c r="L11" s="264"/>
      <c r="M11" s="264"/>
      <c r="N11" s="264"/>
      <c r="O11" s="264"/>
      <c r="P11" s="264">
        <f>1100-150</f>
        <v>950</v>
      </c>
      <c r="Q11" s="264">
        <f>1100-150+50</f>
        <v>1000</v>
      </c>
      <c r="R11" s="264">
        <f t="shared" si="2"/>
        <v>1950</v>
      </c>
      <c r="S11" s="264">
        <f t="shared" si="3"/>
        <v>3250</v>
      </c>
      <c r="T11" s="249"/>
    </row>
    <row r="12" spans="1:20" x14ac:dyDescent="0.2">
      <c r="A12" s="261">
        <v>8</v>
      </c>
      <c r="B12" s="262" t="s">
        <v>300</v>
      </c>
      <c r="C12" s="263">
        <v>364</v>
      </c>
      <c r="D12" s="263"/>
      <c r="E12" s="263"/>
      <c r="F12" s="264">
        <f t="shared" si="0"/>
        <v>364</v>
      </c>
      <c r="G12" s="264"/>
      <c r="H12" s="264"/>
      <c r="I12" s="264"/>
      <c r="J12" s="264">
        <f t="shared" si="1"/>
        <v>0</v>
      </c>
      <c r="K12" s="264"/>
      <c r="L12" s="264"/>
      <c r="M12" s="264"/>
      <c r="N12" s="264"/>
      <c r="O12" s="264"/>
      <c r="P12" s="264"/>
      <c r="Q12" s="264"/>
      <c r="R12" s="264">
        <f t="shared" si="2"/>
        <v>0</v>
      </c>
      <c r="S12" s="264">
        <f t="shared" si="3"/>
        <v>364</v>
      </c>
      <c r="T12" s="249"/>
    </row>
    <row r="13" spans="1:20" x14ac:dyDescent="0.2">
      <c r="A13" s="261">
        <v>9</v>
      </c>
      <c r="B13" s="262" t="s">
        <v>196</v>
      </c>
      <c r="C13" s="263">
        <v>1500</v>
      </c>
      <c r="D13" s="263">
        <v>100</v>
      </c>
      <c r="E13" s="263">
        <v>100</v>
      </c>
      <c r="F13" s="264">
        <f t="shared" si="0"/>
        <v>1700</v>
      </c>
      <c r="G13" s="264"/>
      <c r="H13" s="264"/>
      <c r="I13" s="264"/>
      <c r="J13" s="264">
        <f t="shared" si="1"/>
        <v>0</v>
      </c>
      <c r="K13" s="264"/>
      <c r="L13" s="264"/>
      <c r="M13" s="264"/>
      <c r="N13" s="264"/>
      <c r="O13" s="264"/>
      <c r="P13" s="264">
        <f>2000-400-100</f>
        <v>1500</v>
      </c>
      <c r="Q13" s="264">
        <f>2000-400</f>
        <v>1600</v>
      </c>
      <c r="R13" s="264">
        <f t="shared" si="2"/>
        <v>3100</v>
      </c>
      <c r="S13" s="264">
        <f t="shared" si="3"/>
        <v>4800</v>
      </c>
      <c r="T13" s="249"/>
    </row>
    <row r="14" spans="1:20" x14ac:dyDescent="0.2">
      <c r="A14" s="261">
        <v>10</v>
      </c>
      <c r="B14" s="266" t="s">
        <v>301</v>
      </c>
      <c r="C14" s="263"/>
      <c r="D14" s="263"/>
      <c r="E14" s="263"/>
      <c r="F14" s="264">
        <f t="shared" si="0"/>
        <v>0</v>
      </c>
      <c r="G14" s="264">
        <f>625+100</f>
        <v>725</v>
      </c>
      <c r="H14" s="264"/>
      <c r="I14" s="264"/>
      <c r="J14" s="264">
        <f t="shared" si="1"/>
        <v>725</v>
      </c>
      <c r="K14" s="264"/>
      <c r="L14" s="264"/>
      <c r="M14" s="264"/>
      <c r="N14" s="264"/>
      <c r="O14" s="264"/>
      <c r="P14" s="264"/>
      <c r="Q14" s="264"/>
      <c r="R14" s="264">
        <f t="shared" si="2"/>
        <v>0</v>
      </c>
      <c r="S14" s="264">
        <f t="shared" si="3"/>
        <v>725</v>
      </c>
      <c r="T14" s="249"/>
    </row>
    <row r="15" spans="1:20" x14ac:dyDescent="0.2">
      <c r="A15" s="261">
        <v>11</v>
      </c>
      <c r="B15" s="262" t="s">
        <v>16</v>
      </c>
      <c r="C15" s="263">
        <v>1650</v>
      </c>
      <c r="D15" s="263">
        <v>125</v>
      </c>
      <c r="E15" s="263">
        <v>30</v>
      </c>
      <c r="F15" s="264">
        <f t="shared" si="0"/>
        <v>1805</v>
      </c>
      <c r="G15" s="264"/>
      <c r="H15" s="264"/>
      <c r="I15" s="264"/>
      <c r="J15" s="264">
        <f t="shared" si="1"/>
        <v>0</v>
      </c>
      <c r="K15" s="264"/>
      <c r="L15" s="264"/>
      <c r="M15" s="264"/>
      <c r="N15" s="264"/>
      <c r="O15" s="264"/>
      <c r="P15" s="264"/>
      <c r="Q15" s="264"/>
      <c r="R15" s="264">
        <f t="shared" si="2"/>
        <v>0</v>
      </c>
      <c r="S15" s="264">
        <f t="shared" si="3"/>
        <v>1805</v>
      </c>
      <c r="T15" s="249"/>
    </row>
    <row r="16" spans="1:20" x14ac:dyDescent="0.2">
      <c r="A16" s="261">
        <v>12</v>
      </c>
      <c r="B16" s="262" t="s">
        <v>17</v>
      </c>
      <c r="C16" s="263">
        <f>3200+180+32+10</f>
        <v>3422</v>
      </c>
      <c r="D16" s="263">
        <f>260-130</f>
        <v>130</v>
      </c>
      <c r="E16" s="263">
        <f>100-50-32-10</f>
        <v>8</v>
      </c>
      <c r="F16" s="264">
        <f t="shared" si="0"/>
        <v>3560</v>
      </c>
      <c r="G16" s="264">
        <f>1440-159-18</f>
        <v>1263</v>
      </c>
      <c r="H16" s="264">
        <f>100-9</f>
        <v>91</v>
      </c>
      <c r="I16" s="264"/>
      <c r="J16" s="264">
        <f t="shared" si="1"/>
        <v>1354</v>
      </c>
      <c r="K16" s="264"/>
      <c r="L16" s="264"/>
      <c r="M16" s="264"/>
      <c r="N16" s="264">
        <v>6000</v>
      </c>
      <c r="O16" s="264"/>
      <c r="P16" s="264"/>
      <c r="Q16" s="264"/>
      <c r="R16" s="264">
        <f t="shared" si="2"/>
        <v>0</v>
      </c>
      <c r="S16" s="264">
        <f t="shared" si="3"/>
        <v>10914</v>
      </c>
      <c r="T16" s="249"/>
    </row>
    <row r="17" spans="1:20" x14ac:dyDescent="0.2">
      <c r="A17" s="261">
        <v>13</v>
      </c>
      <c r="B17" s="262" t="s">
        <v>302</v>
      </c>
      <c r="C17" s="263">
        <v>2475</v>
      </c>
      <c r="D17" s="263">
        <v>260</v>
      </c>
      <c r="E17" s="263"/>
      <c r="F17" s="264">
        <f t="shared" si="0"/>
        <v>2735</v>
      </c>
      <c r="G17" s="264"/>
      <c r="H17" s="264"/>
      <c r="I17" s="264"/>
      <c r="J17" s="264">
        <f t="shared" si="1"/>
        <v>0</v>
      </c>
      <c r="K17" s="264"/>
      <c r="L17" s="264"/>
      <c r="M17" s="264"/>
      <c r="N17" s="264"/>
      <c r="O17" s="264"/>
      <c r="P17" s="264">
        <f>5500-1500</f>
        <v>4000</v>
      </c>
      <c r="Q17" s="264">
        <f>5500-2000-100</f>
        <v>3400</v>
      </c>
      <c r="R17" s="264">
        <f t="shared" si="2"/>
        <v>7400</v>
      </c>
      <c r="S17" s="264">
        <f t="shared" si="3"/>
        <v>10135</v>
      </c>
      <c r="T17" s="249"/>
    </row>
    <row r="18" spans="1:20" x14ac:dyDescent="0.2">
      <c r="A18" s="261">
        <v>14</v>
      </c>
      <c r="B18" s="262" t="s">
        <v>18</v>
      </c>
      <c r="C18" s="263">
        <v>651</v>
      </c>
      <c r="D18" s="263">
        <v>185</v>
      </c>
      <c r="E18" s="263"/>
      <c r="F18" s="264">
        <f t="shared" si="0"/>
        <v>836</v>
      </c>
      <c r="G18" s="264"/>
      <c r="H18" s="264"/>
      <c r="I18" s="264"/>
      <c r="J18" s="264">
        <f t="shared" si="1"/>
        <v>0</v>
      </c>
      <c r="K18" s="264"/>
      <c r="L18" s="264"/>
      <c r="M18" s="264"/>
      <c r="N18" s="264"/>
      <c r="O18" s="264"/>
      <c r="P18" s="264"/>
      <c r="Q18" s="264"/>
      <c r="R18" s="264">
        <f t="shared" si="2"/>
        <v>0</v>
      </c>
      <c r="S18" s="264">
        <f t="shared" si="3"/>
        <v>836</v>
      </c>
      <c r="T18" s="249"/>
    </row>
    <row r="19" spans="1:20" x14ac:dyDescent="0.2">
      <c r="A19" s="261">
        <v>15</v>
      </c>
      <c r="B19" s="262" t="s">
        <v>193</v>
      </c>
      <c r="C19" s="263">
        <f>2500+1050</f>
        <v>3550</v>
      </c>
      <c r="D19" s="263">
        <f>248+73</f>
        <v>321</v>
      </c>
      <c r="E19" s="263"/>
      <c r="F19" s="264">
        <f t="shared" si="0"/>
        <v>3871</v>
      </c>
      <c r="G19" s="264"/>
      <c r="H19" s="264"/>
      <c r="I19" s="264"/>
      <c r="J19" s="264">
        <f t="shared" si="1"/>
        <v>0</v>
      </c>
      <c r="K19" s="264"/>
      <c r="L19" s="264"/>
      <c r="M19" s="264"/>
      <c r="N19" s="264"/>
      <c r="O19" s="264"/>
      <c r="P19" s="264">
        <f>1600-600+300</f>
        <v>1300</v>
      </c>
      <c r="Q19" s="264">
        <f>1600-250+150</f>
        <v>1500</v>
      </c>
      <c r="R19" s="264">
        <f t="shared" si="2"/>
        <v>2800</v>
      </c>
      <c r="S19" s="264">
        <f t="shared" si="3"/>
        <v>6671</v>
      </c>
      <c r="T19" s="249"/>
    </row>
    <row r="20" spans="1:20" x14ac:dyDescent="0.2">
      <c r="A20" s="261">
        <v>16</v>
      </c>
      <c r="B20" s="262" t="s">
        <v>19</v>
      </c>
      <c r="C20" s="263">
        <f>2600</f>
        <v>2600</v>
      </c>
      <c r="D20" s="263"/>
      <c r="E20" s="263">
        <v>274</v>
      </c>
      <c r="F20" s="264">
        <f t="shared" si="0"/>
        <v>2874</v>
      </c>
      <c r="G20" s="264"/>
      <c r="H20" s="264"/>
      <c r="I20" s="264"/>
      <c r="J20" s="264">
        <f t="shared" si="1"/>
        <v>0</v>
      </c>
      <c r="K20" s="264"/>
      <c r="L20" s="264"/>
      <c r="M20" s="264"/>
      <c r="N20" s="264"/>
      <c r="O20" s="264"/>
      <c r="P20" s="264"/>
      <c r="Q20" s="264"/>
      <c r="R20" s="264">
        <f t="shared" si="2"/>
        <v>0</v>
      </c>
      <c r="S20" s="264">
        <f t="shared" si="3"/>
        <v>2874</v>
      </c>
      <c r="T20" s="249"/>
    </row>
    <row r="21" spans="1:20" x14ac:dyDescent="0.2">
      <c r="A21" s="261">
        <v>17</v>
      </c>
      <c r="B21" s="262" t="s">
        <v>195</v>
      </c>
      <c r="C21" s="263">
        <v>4050</v>
      </c>
      <c r="D21" s="263">
        <v>367</v>
      </c>
      <c r="E21" s="263"/>
      <c r="F21" s="264">
        <f t="shared" si="0"/>
        <v>4417</v>
      </c>
      <c r="G21" s="264"/>
      <c r="H21" s="264"/>
      <c r="I21" s="264"/>
      <c r="J21" s="264">
        <f t="shared" si="1"/>
        <v>0</v>
      </c>
      <c r="K21" s="264"/>
      <c r="L21" s="264"/>
      <c r="M21" s="264"/>
      <c r="N21" s="264"/>
      <c r="O21" s="264"/>
      <c r="P21" s="264">
        <f>1043-1043</f>
        <v>0</v>
      </c>
      <c r="Q21" s="264">
        <f>1025-1025</f>
        <v>0</v>
      </c>
      <c r="R21" s="264">
        <f t="shared" si="2"/>
        <v>0</v>
      </c>
      <c r="S21" s="264">
        <f t="shared" si="3"/>
        <v>4417</v>
      </c>
      <c r="T21" s="249"/>
    </row>
    <row r="22" spans="1:20" s="256" customFormat="1" ht="24" x14ac:dyDescent="0.25">
      <c r="A22" s="267">
        <v>18</v>
      </c>
      <c r="B22" s="262" t="s">
        <v>303</v>
      </c>
      <c r="C22" s="263"/>
      <c r="D22" s="263"/>
      <c r="E22" s="263"/>
      <c r="F22" s="257">
        <f t="shared" si="0"/>
        <v>0</v>
      </c>
      <c r="G22" s="257"/>
      <c r="H22" s="257"/>
      <c r="I22" s="257"/>
      <c r="J22" s="257">
        <f t="shared" si="1"/>
        <v>0</v>
      </c>
      <c r="K22" s="257"/>
      <c r="L22" s="257"/>
      <c r="M22" s="257"/>
      <c r="N22" s="257"/>
      <c r="O22" s="257"/>
      <c r="P22" s="257">
        <f>0+1043+757-1025</f>
        <v>775</v>
      </c>
      <c r="Q22" s="257">
        <f>0+1025+175-505</f>
        <v>695</v>
      </c>
      <c r="R22" s="257">
        <f t="shared" si="2"/>
        <v>1470</v>
      </c>
      <c r="S22" s="257">
        <f t="shared" si="3"/>
        <v>1470</v>
      </c>
      <c r="T22" s="268"/>
    </row>
    <row r="23" spans="1:20" x14ac:dyDescent="0.2">
      <c r="A23" s="261">
        <v>19</v>
      </c>
      <c r="B23" s="262" t="s">
        <v>304</v>
      </c>
      <c r="C23" s="263"/>
      <c r="D23" s="263"/>
      <c r="E23" s="263"/>
      <c r="F23" s="264">
        <f t="shared" si="0"/>
        <v>0</v>
      </c>
      <c r="G23" s="264"/>
      <c r="H23" s="264"/>
      <c r="I23" s="264"/>
      <c r="J23" s="264">
        <f t="shared" si="1"/>
        <v>0</v>
      </c>
      <c r="K23" s="264"/>
      <c r="L23" s="264"/>
      <c r="M23" s="264"/>
      <c r="N23" s="264"/>
      <c r="O23" s="264"/>
      <c r="P23" s="264">
        <f>2500-400-1043-32</f>
        <v>1025</v>
      </c>
      <c r="Q23" s="264">
        <f>2500-1000-1025+30</f>
        <v>505</v>
      </c>
      <c r="R23" s="264">
        <f t="shared" si="2"/>
        <v>1530</v>
      </c>
      <c r="S23" s="264">
        <f t="shared" si="3"/>
        <v>1530</v>
      </c>
      <c r="T23" s="249"/>
    </row>
    <row r="24" spans="1:20" x14ac:dyDescent="0.2">
      <c r="A24" s="261">
        <v>20</v>
      </c>
      <c r="B24" s="265" t="s">
        <v>20</v>
      </c>
      <c r="C24" s="263">
        <f>1290+105+168</f>
        <v>1563</v>
      </c>
      <c r="D24" s="263"/>
      <c r="E24" s="263"/>
      <c r="F24" s="264">
        <f t="shared" si="0"/>
        <v>1563</v>
      </c>
      <c r="G24" s="264"/>
      <c r="H24" s="264"/>
      <c r="I24" s="264"/>
      <c r="J24" s="264">
        <f t="shared" si="1"/>
        <v>0</v>
      </c>
      <c r="K24" s="264"/>
      <c r="L24" s="264"/>
      <c r="M24" s="264"/>
      <c r="N24" s="264"/>
      <c r="O24" s="264"/>
      <c r="P24" s="264">
        <f>1800-700+100</f>
        <v>1200</v>
      </c>
      <c r="Q24" s="264">
        <f>1800-800+100</f>
        <v>1100</v>
      </c>
      <c r="R24" s="264">
        <f t="shared" si="2"/>
        <v>2300</v>
      </c>
      <c r="S24" s="264">
        <f t="shared" si="3"/>
        <v>3863</v>
      </c>
      <c r="T24" s="249"/>
    </row>
    <row r="25" spans="1:20" x14ac:dyDescent="0.2">
      <c r="A25" s="261">
        <v>21</v>
      </c>
      <c r="B25" s="269" t="s">
        <v>305</v>
      </c>
      <c r="C25" s="263">
        <f>1920+39+62+180</f>
        <v>2201</v>
      </c>
      <c r="D25" s="263">
        <f>223+10</f>
        <v>233</v>
      </c>
      <c r="E25" s="263"/>
      <c r="F25" s="264">
        <f t="shared" si="0"/>
        <v>2434</v>
      </c>
      <c r="G25" s="264"/>
      <c r="H25" s="264"/>
      <c r="I25" s="264"/>
      <c r="J25" s="264">
        <f t="shared" si="1"/>
        <v>0</v>
      </c>
      <c r="K25" s="264"/>
      <c r="L25" s="264"/>
      <c r="M25" s="264"/>
      <c r="N25" s="264"/>
      <c r="O25" s="264"/>
      <c r="P25" s="264">
        <f>2100-300-50</f>
        <v>1750</v>
      </c>
      <c r="Q25" s="264">
        <f>2100-100-100</f>
        <v>1900</v>
      </c>
      <c r="R25" s="264">
        <f t="shared" si="2"/>
        <v>3650</v>
      </c>
      <c r="S25" s="264">
        <f t="shared" si="3"/>
        <v>6084</v>
      </c>
      <c r="T25" s="249"/>
    </row>
    <row r="26" spans="1:20" x14ac:dyDescent="0.2">
      <c r="A26" s="261">
        <v>23</v>
      </c>
      <c r="B26" s="262" t="s">
        <v>306</v>
      </c>
      <c r="C26" s="263">
        <f>1200-385</f>
        <v>815</v>
      </c>
      <c r="D26" s="263"/>
      <c r="E26" s="263"/>
      <c r="F26" s="264">
        <f t="shared" si="0"/>
        <v>815</v>
      </c>
      <c r="G26" s="264"/>
      <c r="H26" s="264"/>
      <c r="I26" s="264"/>
      <c r="J26" s="264">
        <f t="shared" si="1"/>
        <v>0</v>
      </c>
      <c r="K26" s="264"/>
      <c r="L26" s="264"/>
      <c r="M26" s="264"/>
      <c r="N26" s="264"/>
      <c r="O26" s="264"/>
      <c r="P26" s="264"/>
      <c r="Q26" s="264"/>
      <c r="R26" s="264">
        <f t="shared" si="2"/>
        <v>0</v>
      </c>
      <c r="S26" s="264">
        <f t="shared" si="3"/>
        <v>815</v>
      </c>
      <c r="T26" s="249"/>
    </row>
    <row r="27" spans="1:20" x14ac:dyDescent="0.2">
      <c r="A27" s="261">
        <v>24</v>
      </c>
      <c r="B27" s="262" t="s">
        <v>203</v>
      </c>
      <c r="C27" s="263">
        <f>5500+52+150</f>
        <v>5702</v>
      </c>
      <c r="D27" s="263">
        <v>295</v>
      </c>
      <c r="E27" s="263">
        <v>20</v>
      </c>
      <c r="F27" s="264">
        <f t="shared" si="0"/>
        <v>6017</v>
      </c>
      <c r="G27" s="264"/>
      <c r="H27" s="264"/>
      <c r="I27" s="264"/>
      <c r="J27" s="264">
        <f t="shared" si="1"/>
        <v>0</v>
      </c>
      <c r="K27" s="264"/>
      <c r="L27" s="264"/>
      <c r="M27" s="264"/>
      <c r="N27" s="264"/>
      <c r="O27" s="264"/>
      <c r="P27" s="264"/>
      <c r="Q27" s="264"/>
      <c r="R27" s="264">
        <f t="shared" si="2"/>
        <v>0</v>
      </c>
      <c r="S27" s="264">
        <f t="shared" si="3"/>
        <v>6017</v>
      </c>
      <c r="T27" s="249"/>
    </row>
    <row r="28" spans="1:20" x14ac:dyDescent="0.2">
      <c r="A28" s="261">
        <v>25</v>
      </c>
      <c r="B28" s="262" t="s">
        <v>307</v>
      </c>
      <c r="C28" s="263"/>
      <c r="D28" s="263"/>
      <c r="E28" s="263"/>
      <c r="F28" s="264">
        <f t="shared" si="0"/>
        <v>0</v>
      </c>
      <c r="G28" s="264"/>
      <c r="H28" s="264"/>
      <c r="I28" s="264"/>
      <c r="J28" s="264">
        <f t="shared" si="1"/>
        <v>0</v>
      </c>
      <c r="K28" s="264"/>
      <c r="L28" s="264"/>
      <c r="M28" s="264"/>
      <c r="N28" s="264"/>
      <c r="O28" s="264"/>
      <c r="P28" s="264">
        <f>3000-1400-50</f>
        <v>1550</v>
      </c>
      <c r="Q28" s="264">
        <f>3000-1400-100</f>
        <v>1500</v>
      </c>
      <c r="R28" s="264">
        <f t="shared" si="2"/>
        <v>3050</v>
      </c>
      <c r="S28" s="264">
        <f t="shared" si="3"/>
        <v>3050</v>
      </c>
      <c r="T28" s="249"/>
    </row>
    <row r="29" spans="1:20" ht="15.75" customHeight="1" x14ac:dyDescent="0.2">
      <c r="A29" s="261">
        <v>27</v>
      </c>
      <c r="B29" s="262" t="s">
        <v>308</v>
      </c>
      <c r="C29" s="263">
        <v>3300</v>
      </c>
      <c r="D29" s="263">
        <v>393</v>
      </c>
      <c r="E29" s="263"/>
      <c r="F29" s="264">
        <f t="shared" si="0"/>
        <v>3693</v>
      </c>
      <c r="G29" s="264"/>
      <c r="H29" s="264"/>
      <c r="I29" s="264"/>
      <c r="J29" s="264">
        <f t="shared" si="1"/>
        <v>0</v>
      </c>
      <c r="K29" s="264"/>
      <c r="L29" s="264"/>
      <c r="M29" s="264"/>
      <c r="N29" s="264"/>
      <c r="O29" s="264"/>
      <c r="P29" s="264"/>
      <c r="Q29" s="264"/>
      <c r="R29" s="264">
        <f t="shared" si="2"/>
        <v>0</v>
      </c>
      <c r="S29" s="264">
        <f t="shared" si="3"/>
        <v>3693</v>
      </c>
      <c r="T29" s="249"/>
    </row>
    <row r="30" spans="1:20" x14ac:dyDescent="0.2">
      <c r="A30" s="261">
        <v>28</v>
      </c>
      <c r="B30" s="262" t="s">
        <v>220</v>
      </c>
      <c r="C30" s="263">
        <f>870</f>
        <v>870</v>
      </c>
      <c r="D30" s="263">
        <f>150</f>
        <v>150</v>
      </c>
      <c r="E30" s="263"/>
      <c r="F30" s="264">
        <f t="shared" si="0"/>
        <v>1020</v>
      </c>
      <c r="G30" s="264"/>
      <c r="H30" s="264"/>
      <c r="I30" s="264"/>
      <c r="J30" s="264">
        <f t="shared" si="1"/>
        <v>0</v>
      </c>
      <c r="K30" s="264"/>
      <c r="L30" s="264"/>
      <c r="M30" s="264"/>
      <c r="N30" s="264"/>
      <c r="O30" s="264"/>
      <c r="P30" s="264"/>
      <c r="Q30" s="264"/>
      <c r="R30" s="264">
        <f t="shared" si="2"/>
        <v>0</v>
      </c>
      <c r="S30" s="264">
        <f t="shared" si="3"/>
        <v>1020</v>
      </c>
      <c r="T30" s="249"/>
    </row>
    <row r="31" spans="1:20" x14ac:dyDescent="0.2">
      <c r="A31" s="261">
        <v>29</v>
      </c>
      <c r="B31" s="262" t="s">
        <v>214</v>
      </c>
      <c r="C31" s="263">
        <f>2800+2+41+66+498</f>
        <v>3407</v>
      </c>
      <c r="D31" s="263">
        <f>300+13+26</f>
        <v>339</v>
      </c>
      <c r="E31" s="263">
        <v>123</v>
      </c>
      <c r="F31" s="264">
        <f t="shared" si="0"/>
        <v>3869</v>
      </c>
      <c r="G31" s="264"/>
      <c r="H31" s="264"/>
      <c r="I31" s="264"/>
      <c r="J31" s="264">
        <f t="shared" si="1"/>
        <v>0</v>
      </c>
      <c r="K31" s="264"/>
      <c r="L31" s="264"/>
      <c r="M31" s="264"/>
      <c r="N31" s="264"/>
      <c r="O31" s="264"/>
      <c r="P31" s="264">
        <f>3300-1150-300</f>
        <v>1850</v>
      </c>
      <c r="Q31" s="264">
        <f>3300-1250-250</f>
        <v>1800</v>
      </c>
      <c r="R31" s="264">
        <f t="shared" si="2"/>
        <v>3650</v>
      </c>
      <c r="S31" s="264">
        <f t="shared" si="3"/>
        <v>7519</v>
      </c>
      <c r="T31" s="249"/>
    </row>
    <row r="32" spans="1:20" x14ac:dyDescent="0.2">
      <c r="A32" s="261">
        <v>30</v>
      </c>
      <c r="B32" s="262" t="s">
        <v>309</v>
      </c>
      <c r="C32" s="263">
        <v>2300</v>
      </c>
      <c r="D32" s="263">
        <v>65</v>
      </c>
      <c r="E32" s="263">
        <v>5</v>
      </c>
      <c r="F32" s="264">
        <f>C32+D32+E32</f>
        <v>2370</v>
      </c>
      <c r="G32" s="264"/>
      <c r="H32" s="264"/>
      <c r="I32" s="264"/>
      <c r="J32" s="264">
        <f t="shared" si="1"/>
        <v>0</v>
      </c>
      <c r="K32" s="264"/>
      <c r="L32" s="264"/>
      <c r="M32" s="264"/>
      <c r="N32" s="264"/>
      <c r="O32" s="264"/>
      <c r="P32" s="264"/>
      <c r="Q32" s="264"/>
      <c r="R32" s="264">
        <f t="shared" si="2"/>
        <v>0</v>
      </c>
      <c r="S32" s="264">
        <f t="shared" si="3"/>
        <v>2370</v>
      </c>
      <c r="T32" s="249"/>
    </row>
    <row r="33" spans="1:20" x14ac:dyDescent="0.2">
      <c r="A33" s="261">
        <v>31</v>
      </c>
      <c r="B33" s="262" t="s">
        <v>21</v>
      </c>
      <c r="C33" s="263">
        <f>3500+85+131</f>
        <v>3716</v>
      </c>
      <c r="D33" s="263">
        <f>390+8+16</f>
        <v>414</v>
      </c>
      <c r="E33" s="263">
        <v>200</v>
      </c>
      <c r="F33" s="264">
        <f>C33+D33+E33</f>
        <v>4330</v>
      </c>
      <c r="G33" s="264">
        <v>3544</v>
      </c>
      <c r="H33" s="264"/>
      <c r="I33" s="264">
        <v>300</v>
      </c>
      <c r="J33" s="264">
        <f t="shared" si="1"/>
        <v>3844</v>
      </c>
      <c r="K33" s="264"/>
      <c r="L33" s="264"/>
      <c r="M33" s="264"/>
      <c r="N33" s="264"/>
      <c r="O33" s="264"/>
      <c r="P33" s="264"/>
      <c r="Q33" s="264"/>
      <c r="R33" s="264">
        <f t="shared" si="2"/>
        <v>0</v>
      </c>
      <c r="S33" s="264">
        <f t="shared" si="3"/>
        <v>8174</v>
      </c>
      <c r="T33" s="249"/>
    </row>
    <row r="34" spans="1:20" x14ac:dyDescent="0.2">
      <c r="A34" s="261">
        <v>33</v>
      </c>
      <c r="B34" s="262" t="s">
        <v>310</v>
      </c>
      <c r="C34" s="263"/>
      <c r="D34" s="263"/>
      <c r="E34" s="263"/>
      <c r="F34" s="264">
        <f t="shared" ref="F34:F54" si="4">C34+D34+E34</f>
        <v>0</v>
      </c>
      <c r="G34" s="264"/>
      <c r="H34" s="264"/>
      <c r="I34" s="264"/>
      <c r="J34" s="264">
        <f t="shared" si="1"/>
        <v>0</v>
      </c>
      <c r="K34" s="264"/>
      <c r="L34" s="264"/>
      <c r="M34" s="264"/>
      <c r="N34" s="264"/>
      <c r="O34" s="264"/>
      <c r="P34" s="264">
        <f>2100-100-100</f>
        <v>1900</v>
      </c>
      <c r="Q34" s="264">
        <f>2100-100-100</f>
        <v>1900</v>
      </c>
      <c r="R34" s="264">
        <f t="shared" si="2"/>
        <v>3800</v>
      </c>
      <c r="S34" s="264">
        <f t="shared" si="3"/>
        <v>3800</v>
      </c>
      <c r="T34" s="249"/>
    </row>
    <row r="35" spans="1:20" ht="15" customHeight="1" x14ac:dyDescent="0.2">
      <c r="A35" s="261">
        <v>34</v>
      </c>
      <c r="B35" s="262" t="s">
        <v>22</v>
      </c>
      <c r="C35" s="263">
        <v>6500</v>
      </c>
      <c r="D35" s="263"/>
      <c r="E35" s="263">
        <v>2130</v>
      </c>
      <c r="F35" s="264">
        <f t="shared" si="4"/>
        <v>8630</v>
      </c>
      <c r="G35" s="264">
        <v>2106</v>
      </c>
      <c r="H35" s="264">
        <v>100</v>
      </c>
      <c r="I35" s="264"/>
      <c r="J35" s="264">
        <f t="shared" si="1"/>
        <v>2206</v>
      </c>
      <c r="K35" s="264">
        <v>500</v>
      </c>
      <c r="L35" s="264"/>
      <c r="M35" s="264">
        <f>K35+L35</f>
        <v>500</v>
      </c>
      <c r="N35" s="264"/>
      <c r="O35" s="264"/>
      <c r="P35" s="264"/>
      <c r="Q35" s="264"/>
      <c r="R35" s="264">
        <f t="shared" si="2"/>
        <v>0</v>
      </c>
      <c r="S35" s="264">
        <f t="shared" si="3"/>
        <v>11336</v>
      </c>
      <c r="T35" s="249"/>
    </row>
    <row r="36" spans="1:20" x14ac:dyDescent="0.2">
      <c r="A36" s="261">
        <v>36</v>
      </c>
      <c r="B36" s="270" t="s">
        <v>311</v>
      </c>
      <c r="C36" s="263"/>
      <c r="D36" s="263"/>
      <c r="E36" s="263"/>
      <c r="F36" s="264">
        <f t="shared" si="4"/>
        <v>0</v>
      </c>
      <c r="G36" s="264">
        <f>700+100</f>
        <v>800</v>
      </c>
      <c r="H36" s="264">
        <v>39</v>
      </c>
      <c r="I36" s="264"/>
      <c r="J36" s="264">
        <f t="shared" si="1"/>
        <v>839</v>
      </c>
      <c r="K36" s="264"/>
      <c r="L36" s="264"/>
      <c r="M36" s="264"/>
      <c r="N36" s="264"/>
      <c r="O36" s="264"/>
      <c r="P36" s="264"/>
      <c r="Q36" s="264"/>
      <c r="R36" s="264">
        <f t="shared" si="2"/>
        <v>0</v>
      </c>
      <c r="S36" s="264">
        <f t="shared" si="3"/>
        <v>839</v>
      </c>
      <c r="T36" s="249"/>
    </row>
    <row r="37" spans="1:20" x14ac:dyDescent="0.2">
      <c r="A37" s="261">
        <v>37</v>
      </c>
      <c r="B37" s="270" t="s">
        <v>312</v>
      </c>
      <c r="C37" s="263"/>
      <c r="D37" s="263"/>
      <c r="E37" s="263"/>
      <c r="F37" s="264">
        <f t="shared" si="4"/>
        <v>0</v>
      </c>
      <c r="G37" s="264">
        <f>390+113</f>
        <v>503</v>
      </c>
      <c r="H37" s="264"/>
      <c r="I37" s="264"/>
      <c r="J37" s="264">
        <f t="shared" si="1"/>
        <v>503</v>
      </c>
      <c r="K37" s="264"/>
      <c r="L37" s="264"/>
      <c r="M37" s="264"/>
      <c r="N37" s="264"/>
      <c r="O37" s="264"/>
      <c r="P37" s="264"/>
      <c r="Q37" s="264"/>
      <c r="R37" s="264">
        <f t="shared" si="2"/>
        <v>0</v>
      </c>
      <c r="S37" s="264">
        <f t="shared" si="3"/>
        <v>503</v>
      </c>
      <c r="T37" s="249"/>
    </row>
    <row r="38" spans="1:20" x14ac:dyDescent="0.2">
      <c r="A38" s="261">
        <v>38</v>
      </c>
      <c r="B38" s="270" t="s">
        <v>313</v>
      </c>
      <c r="C38" s="263">
        <v>920</v>
      </c>
      <c r="D38" s="263">
        <v>90</v>
      </c>
      <c r="E38" s="263"/>
      <c r="F38" s="264">
        <f t="shared" si="4"/>
        <v>1010</v>
      </c>
      <c r="G38" s="264">
        <f>875-127+90+105</f>
        <v>943</v>
      </c>
      <c r="H38" s="264">
        <f>36+60+8+17</f>
        <v>121</v>
      </c>
      <c r="I38" s="264"/>
      <c r="J38" s="264">
        <f t="shared" si="1"/>
        <v>1064</v>
      </c>
      <c r="K38" s="264"/>
      <c r="L38" s="264"/>
      <c r="M38" s="264"/>
      <c r="N38" s="264"/>
      <c r="O38" s="264"/>
      <c r="P38" s="264"/>
      <c r="Q38" s="264"/>
      <c r="R38" s="264">
        <f t="shared" si="2"/>
        <v>0</v>
      </c>
      <c r="S38" s="264">
        <f t="shared" si="3"/>
        <v>2074</v>
      </c>
      <c r="T38" s="249"/>
    </row>
    <row r="39" spans="1:20" x14ac:dyDescent="0.2">
      <c r="A39" s="261">
        <v>39</v>
      </c>
      <c r="B39" s="262" t="s">
        <v>240</v>
      </c>
      <c r="C39" s="263">
        <f>9000-878</f>
        <v>8122</v>
      </c>
      <c r="D39" s="263"/>
      <c r="E39" s="263">
        <f>1300+400+264+300+550</f>
        <v>2814</v>
      </c>
      <c r="F39" s="264">
        <f t="shared" si="4"/>
        <v>10936</v>
      </c>
      <c r="G39" s="264">
        <f>5000-948-577-409+1025</f>
        <v>4091</v>
      </c>
      <c r="H39" s="264"/>
      <c r="I39" s="264">
        <f>700-50+200-142+215</f>
        <v>923</v>
      </c>
      <c r="J39" s="264">
        <f t="shared" si="1"/>
        <v>5014</v>
      </c>
      <c r="K39" s="264">
        <f>3400+100</f>
        <v>3500</v>
      </c>
      <c r="L39" s="264">
        <v>1440</v>
      </c>
      <c r="M39" s="264">
        <f>K39+L39</f>
        <v>4940</v>
      </c>
      <c r="N39" s="264"/>
      <c r="O39" s="264"/>
      <c r="P39" s="264"/>
      <c r="Q39" s="264"/>
      <c r="R39" s="264">
        <f t="shared" si="2"/>
        <v>0</v>
      </c>
      <c r="S39" s="264">
        <f t="shared" si="3"/>
        <v>20890</v>
      </c>
      <c r="T39" s="249"/>
    </row>
    <row r="40" spans="1:20" x14ac:dyDescent="0.2">
      <c r="A40" s="261">
        <v>40</v>
      </c>
      <c r="B40" s="262" t="s">
        <v>23</v>
      </c>
      <c r="C40" s="263">
        <f>11000+1900</f>
        <v>12900</v>
      </c>
      <c r="D40" s="263"/>
      <c r="E40" s="263">
        <f>4356+300</f>
        <v>4656</v>
      </c>
      <c r="F40" s="264">
        <f t="shared" si="4"/>
        <v>17556</v>
      </c>
      <c r="G40" s="264">
        <f>5070+1550</f>
        <v>6620</v>
      </c>
      <c r="H40" s="264"/>
      <c r="I40" s="264">
        <f>395+250</f>
        <v>645</v>
      </c>
      <c r="J40" s="264">
        <f t="shared" si="1"/>
        <v>7265</v>
      </c>
      <c r="K40" s="264">
        <f>6100+100</f>
        <v>6200</v>
      </c>
      <c r="L40" s="264"/>
      <c r="M40" s="264">
        <f>K40+L40</f>
        <v>6200</v>
      </c>
      <c r="N40" s="264">
        <v>40000</v>
      </c>
      <c r="O40" s="264"/>
      <c r="P40" s="264"/>
      <c r="Q40" s="264"/>
      <c r="R40" s="264">
        <f t="shared" si="2"/>
        <v>0</v>
      </c>
      <c r="S40" s="264">
        <f t="shared" si="3"/>
        <v>71021</v>
      </c>
      <c r="T40" s="249"/>
    </row>
    <row r="41" spans="1:20" x14ac:dyDescent="0.2">
      <c r="A41" s="261">
        <v>41</v>
      </c>
      <c r="B41" s="262" t="s">
        <v>24</v>
      </c>
      <c r="C41" s="263">
        <f>700-113-117</f>
        <v>470</v>
      </c>
      <c r="D41" s="263"/>
      <c r="E41" s="263">
        <f>1700+200+200-200-312-317</f>
        <v>1271</v>
      </c>
      <c r="F41" s="264">
        <f t="shared" si="4"/>
        <v>1741</v>
      </c>
      <c r="G41" s="264"/>
      <c r="H41" s="264"/>
      <c r="I41" s="264"/>
      <c r="J41" s="264">
        <f t="shared" si="1"/>
        <v>0</v>
      </c>
      <c r="K41" s="264">
        <f>950+200</f>
        <v>1150</v>
      </c>
      <c r="L41" s="264"/>
      <c r="M41" s="264">
        <f>K41+L41</f>
        <v>1150</v>
      </c>
      <c r="N41" s="264"/>
      <c r="O41" s="264"/>
      <c r="P41" s="264"/>
      <c r="Q41" s="264"/>
      <c r="R41" s="264">
        <f t="shared" si="2"/>
        <v>0</v>
      </c>
      <c r="S41" s="264">
        <f t="shared" si="3"/>
        <v>2891</v>
      </c>
      <c r="T41" s="249"/>
    </row>
    <row r="42" spans="1:20" x14ac:dyDescent="0.2">
      <c r="A42" s="261">
        <v>42</v>
      </c>
      <c r="B42" s="262" t="s">
        <v>25</v>
      </c>
      <c r="C42" s="263">
        <v>2200</v>
      </c>
      <c r="D42" s="263"/>
      <c r="E42" s="263"/>
      <c r="F42" s="264">
        <f t="shared" si="4"/>
        <v>2200</v>
      </c>
      <c r="G42" s="264">
        <v>2000</v>
      </c>
      <c r="H42" s="264"/>
      <c r="I42" s="264"/>
      <c r="J42" s="264">
        <f t="shared" si="1"/>
        <v>2000</v>
      </c>
      <c r="K42" s="264"/>
      <c r="L42" s="264"/>
      <c r="M42" s="264"/>
      <c r="N42" s="264"/>
      <c r="O42" s="264"/>
      <c r="P42" s="264"/>
      <c r="Q42" s="264"/>
      <c r="R42" s="264">
        <f t="shared" si="2"/>
        <v>0</v>
      </c>
      <c r="S42" s="264">
        <f t="shared" si="3"/>
        <v>4200</v>
      </c>
      <c r="T42" s="249"/>
    </row>
    <row r="43" spans="1:20" x14ac:dyDescent="0.2">
      <c r="A43" s="261">
        <v>43</v>
      </c>
      <c r="B43" s="270" t="s">
        <v>26</v>
      </c>
      <c r="C43" s="263"/>
      <c r="D43" s="263"/>
      <c r="E43" s="263"/>
      <c r="F43" s="264">
        <f t="shared" si="4"/>
        <v>0</v>
      </c>
      <c r="G43" s="264">
        <f>2000+440-150-500-113</f>
        <v>1677</v>
      </c>
      <c r="H43" s="264"/>
      <c r="I43" s="264">
        <f>100+27-20</f>
        <v>107</v>
      </c>
      <c r="J43" s="264">
        <f t="shared" si="1"/>
        <v>1784</v>
      </c>
      <c r="K43" s="264"/>
      <c r="L43" s="264"/>
      <c r="M43" s="264"/>
      <c r="N43" s="264"/>
      <c r="O43" s="264"/>
      <c r="P43" s="264">
        <f>7000-1000-100</f>
        <v>5900</v>
      </c>
      <c r="Q43" s="264">
        <f>7000-1000-600</f>
        <v>5400</v>
      </c>
      <c r="R43" s="264">
        <f t="shared" si="2"/>
        <v>11300</v>
      </c>
      <c r="S43" s="264">
        <f t="shared" si="3"/>
        <v>13084</v>
      </c>
      <c r="T43" s="249"/>
    </row>
    <row r="44" spans="1:20" x14ac:dyDescent="0.2">
      <c r="A44" s="261">
        <v>44</v>
      </c>
      <c r="B44" s="262" t="s">
        <v>27</v>
      </c>
      <c r="C44" s="263">
        <f>1320+60+101</f>
        <v>1481</v>
      </c>
      <c r="D44" s="263">
        <f>150+2+4</f>
        <v>156</v>
      </c>
      <c r="E44" s="263">
        <v>500</v>
      </c>
      <c r="F44" s="264">
        <f t="shared" si="4"/>
        <v>2137</v>
      </c>
      <c r="G44" s="264"/>
      <c r="H44" s="264"/>
      <c r="I44" s="264"/>
      <c r="J44" s="264">
        <f t="shared" si="1"/>
        <v>0</v>
      </c>
      <c r="K44" s="264"/>
      <c r="L44" s="264"/>
      <c r="M44" s="264"/>
      <c r="N44" s="264"/>
      <c r="O44" s="264"/>
      <c r="P44" s="264"/>
      <c r="Q44" s="264"/>
      <c r="R44" s="264">
        <f t="shared" si="2"/>
        <v>0</v>
      </c>
      <c r="S44" s="264">
        <f t="shared" si="3"/>
        <v>2137</v>
      </c>
      <c r="T44" s="249"/>
    </row>
    <row r="45" spans="1:20" x14ac:dyDescent="0.2">
      <c r="A45" s="261">
        <v>45</v>
      </c>
      <c r="B45" s="269" t="s">
        <v>28</v>
      </c>
      <c r="C45" s="263">
        <f>5200-382-818-611+750+1476</f>
        <v>5615</v>
      </c>
      <c r="D45" s="263">
        <f>700-23-177-153</f>
        <v>347</v>
      </c>
      <c r="E45" s="263">
        <f>1000-100-407+125</f>
        <v>618</v>
      </c>
      <c r="F45" s="264">
        <f t="shared" si="4"/>
        <v>6580</v>
      </c>
      <c r="G45" s="264">
        <f>4576-45+50-451+950</f>
        <v>5080</v>
      </c>
      <c r="H45" s="264">
        <f>445+45+200</f>
        <v>690</v>
      </c>
      <c r="I45" s="264">
        <f>100+10</f>
        <v>110</v>
      </c>
      <c r="J45" s="264">
        <f t="shared" si="1"/>
        <v>5880</v>
      </c>
      <c r="K45" s="264"/>
      <c r="L45" s="264"/>
      <c r="M45" s="264"/>
      <c r="N45" s="264"/>
      <c r="O45" s="264"/>
      <c r="P45" s="264"/>
      <c r="Q45" s="264"/>
      <c r="R45" s="264">
        <f t="shared" si="2"/>
        <v>0</v>
      </c>
      <c r="S45" s="264">
        <f t="shared" si="3"/>
        <v>12460</v>
      </c>
      <c r="T45" s="249"/>
    </row>
    <row r="46" spans="1:20" ht="12.75" x14ac:dyDescent="0.2">
      <c r="A46" s="261">
        <v>46</v>
      </c>
      <c r="B46" s="269" t="s">
        <v>29</v>
      </c>
      <c r="C46" s="85">
        <f>5200+500-2+226</f>
        <v>5924</v>
      </c>
      <c r="D46" s="263">
        <f>600+75</f>
        <v>675</v>
      </c>
      <c r="E46" s="263"/>
      <c r="F46" s="264">
        <f t="shared" si="4"/>
        <v>6599</v>
      </c>
      <c r="G46" s="264"/>
      <c r="H46" s="264"/>
      <c r="I46" s="264"/>
      <c r="J46" s="264">
        <f t="shared" si="1"/>
        <v>0</v>
      </c>
      <c r="K46" s="86">
        <f>2000-500-700-301</f>
        <v>499</v>
      </c>
      <c r="L46" s="264"/>
      <c r="M46" s="264">
        <f t="shared" ref="M46" si="5">K46+L46</f>
        <v>499</v>
      </c>
      <c r="N46" s="264"/>
      <c r="O46" s="264"/>
      <c r="P46" s="264"/>
      <c r="Q46" s="264"/>
      <c r="R46" s="264">
        <f t="shared" si="2"/>
        <v>0</v>
      </c>
      <c r="S46" s="264">
        <f t="shared" si="3"/>
        <v>7098</v>
      </c>
      <c r="T46" s="249"/>
    </row>
    <row r="47" spans="1:20" x14ac:dyDescent="0.2">
      <c r="A47" s="261">
        <v>47</v>
      </c>
      <c r="B47" s="262" t="s">
        <v>314</v>
      </c>
      <c r="C47" s="263"/>
      <c r="D47" s="263"/>
      <c r="E47" s="263"/>
      <c r="F47" s="264">
        <f t="shared" si="4"/>
        <v>0</v>
      </c>
      <c r="G47" s="264"/>
      <c r="H47" s="264"/>
      <c r="I47" s="264"/>
      <c r="J47" s="264">
        <f t="shared" si="1"/>
        <v>0</v>
      </c>
      <c r="K47" s="264"/>
      <c r="L47" s="264"/>
      <c r="M47" s="264"/>
      <c r="N47" s="264"/>
      <c r="O47" s="264">
        <f>5000-4166+1109+200+231</f>
        <v>2374</v>
      </c>
      <c r="P47" s="264"/>
      <c r="Q47" s="264"/>
      <c r="R47" s="264">
        <f t="shared" si="2"/>
        <v>0</v>
      </c>
      <c r="S47" s="264">
        <f t="shared" si="3"/>
        <v>2374</v>
      </c>
      <c r="T47" s="249"/>
    </row>
    <row r="48" spans="1:20" x14ac:dyDescent="0.2">
      <c r="A48" s="261">
        <v>48</v>
      </c>
      <c r="B48" s="262" t="s">
        <v>315</v>
      </c>
      <c r="C48" s="263">
        <f>1930-113</f>
        <v>1817</v>
      </c>
      <c r="D48" s="263"/>
      <c r="E48" s="263"/>
      <c r="F48" s="264">
        <f t="shared" si="4"/>
        <v>1817</v>
      </c>
      <c r="G48" s="264"/>
      <c r="H48" s="264"/>
      <c r="I48" s="264"/>
      <c r="J48" s="264">
        <f t="shared" si="1"/>
        <v>0</v>
      </c>
      <c r="K48" s="264"/>
      <c r="L48" s="264"/>
      <c r="M48" s="264"/>
      <c r="N48" s="264"/>
      <c r="O48" s="264"/>
      <c r="P48" s="264"/>
      <c r="Q48" s="264"/>
      <c r="R48" s="264">
        <f t="shared" si="2"/>
        <v>0</v>
      </c>
      <c r="S48" s="264">
        <f t="shared" si="3"/>
        <v>1817</v>
      </c>
      <c r="T48" s="249"/>
    </row>
    <row r="49" spans="1:20" x14ac:dyDescent="0.2">
      <c r="A49" s="261">
        <v>49</v>
      </c>
      <c r="B49" s="262" t="s">
        <v>30</v>
      </c>
      <c r="C49" s="263">
        <v>220</v>
      </c>
      <c r="D49" s="263"/>
      <c r="E49" s="263"/>
      <c r="F49" s="264">
        <f t="shared" si="4"/>
        <v>220</v>
      </c>
      <c r="G49" s="264"/>
      <c r="H49" s="264"/>
      <c r="I49" s="264"/>
      <c r="J49" s="264">
        <f t="shared" si="1"/>
        <v>0</v>
      </c>
      <c r="K49" s="264"/>
      <c r="L49" s="264"/>
      <c r="M49" s="264"/>
      <c r="N49" s="264"/>
      <c r="O49" s="264"/>
      <c r="P49" s="264"/>
      <c r="Q49" s="264"/>
      <c r="R49" s="264">
        <f t="shared" si="2"/>
        <v>0</v>
      </c>
      <c r="S49" s="264">
        <f t="shared" si="3"/>
        <v>220</v>
      </c>
      <c r="T49" s="249"/>
    </row>
    <row r="50" spans="1:20" ht="15.75" customHeight="1" x14ac:dyDescent="0.2">
      <c r="A50" s="261">
        <v>50</v>
      </c>
      <c r="B50" s="271" t="s">
        <v>31</v>
      </c>
      <c r="C50" s="263">
        <f>913</f>
        <v>913</v>
      </c>
      <c r="D50" s="263">
        <f>90</f>
        <v>90</v>
      </c>
      <c r="E50" s="263"/>
      <c r="F50" s="264">
        <f t="shared" si="4"/>
        <v>1003</v>
      </c>
      <c r="G50" s="264"/>
      <c r="H50" s="264"/>
      <c r="I50" s="264"/>
      <c r="J50" s="264">
        <f t="shared" si="1"/>
        <v>0</v>
      </c>
      <c r="K50" s="264"/>
      <c r="L50" s="264"/>
      <c r="M50" s="264"/>
      <c r="N50" s="264"/>
      <c r="O50" s="264"/>
      <c r="P50" s="264">
        <f>2500-900-100</f>
        <v>1500</v>
      </c>
      <c r="Q50" s="264">
        <f>2500-900-100</f>
        <v>1500</v>
      </c>
      <c r="R50" s="264">
        <f t="shared" si="2"/>
        <v>3000</v>
      </c>
      <c r="S50" s="264">
        <f t="shared" si="3"/>
        <v>4003</v>
      </c>
      <c r="T50" s="249"/>
    </row>
    <row r="51" spans="1:20" x14ac:dyDescent="0.2">
      <c r="A51" s="261">
        <v>51</v>
      </c>
      <c r="B51" s="262" t="s">
        <v>232</v>
      </c>
      <c r="C51" s="263">
        <v>355</v>
      </c>
      <c r="D51" s="263">
        <v>35</v>
      </c>
      <c r="E51" s="263"/>
      <c r="F51" s="264">
        <f t="shared" si="4"/>
        <v>390</v>
      </c>
      <c r="G51" s="264"/>
      <c r="H51" s="264"/>
      <c r="I51" s="264"/>
      <c r="J51" s="264">
        <f t="shared" si="1"/>
        <v>0</v>
      </c>
      <c r="K51" s="264"/>
      <c r="L51" s="264"/>
      <c r="M51" s="264"/>
      <c r="N51" s="264"/>
      <c r="O51" s="264"/>
      <c r="P51" s="264"/>
      <c r="Q51" s="264"/>
      <c r="R51" s="264">
        <f t="shared" si="2"/>
        <v>0</v>
      </c>
      <c r="S51" s="264">
        <f t="shared" si="3"/>
        <v>390</v>
      </c>
      <c r="T51" s="249"/>
    </row>
    <row r="52" spans="1:20" x14ac:dyDescent="0.2">
      <c r="A52" s="261">
        <v>52</v>
      </c>
      <c r="B52" s="262" t="s">
        <v>316</v>
      </c>
      <c r="C52" s="263"/>
      <c r="D52" s="263"/>
      <c r="E52" s="263"/>
      <c r="F52" s="264">
        <f t="shared" si="4"/>
        <v>0</v>
      </c>
      <c r="G52" s="264">
        <f>440-440</f>
        <v>0</v>
      </c>
      <c r="H52" s="264"/>
      <c r="I52" s="264"/>
      <c r="J52" s="264">
        <f t="shared" si="1"/>
        <v>0</v>
      </c>
      <c r="K52" s="264"/>
      <c r="L52" s="264"/>
      <c r="M52" s="264"/>
      <c r="N52" s="264"/>
      <c r="O52" s="264"/>
      <c r="P52" s="264"/>
      <c r="Q52" s="264"/>
      <c r="R52" s="264">
        <f t="shared" si="2"/>
        <v>0</v>
      </c>
      <c r="S52" s="264">
        <f t="shared" si="3"/>
        <v>0</v>
      </c>
      <c r="T52" s="249"/>
    </row>
    <row r="53" spans="1:20" x14ac:dyDescent="0.2">
      <c r="A53" s="261">
        <v>53</v>
      </c>
      <c r="B53" s="262" t="s">
        <v>218</v>
      </c>
      <c r="C53" s="264"/>
      <c r="D53" s="263"/>
      <c r="E53" s="263"/>
      <c r="F53" s="264">
        <f t="shared" si="4"/>
        <v>0</v>
      </c>
      <c r="G53" s="264"/>
      <c r="H53" s="264"/>
      <c r="I53" s="264"/>
      <c r="J53" s="264">
        <f t="shared" si="1"/>
        <v>0</v>
      </c>
      <c r="K53" s="264"/>
      <c r="L53" s="264"/>
      <c r="M53" s="264"/>
      <c r="N53" s="264"/>
      <c r="O53" s="264"/>
      <c r="P53" s="264">
        <f>3500+500-1000</f>
        <v>3000</v>
      </c>
      <c r="Q53" s="264">
        <f>3500+500+500</f>
        <v>4500</v>
      </c>
      <c r="R53" s="264">
        <f t="shared" si="2"/>
        <v>7500</v>
      </c>
      <c r="S53" s="264">
        <f t="shared" si="3"/>
        <v>7500</v>
      </c>
      <c r="T53" s="249"/>
    </row>
    <row r="54" spans="1:20" ht="15" customHeight="1" x14ac:dyDescent="0.2">
      <c r="A54" s="261"/>
      <c r="B54" s="272" t="s">
        <v>32</v>
      </c>
      <c r="C54" s="264">
        <f>3364-1900-400-1064</f>
        <v>0</v>
      </c>
      <c r="D54" s="264">
        <v>0</v>
      </c>
      <c r="E54" s="264">
        <f>1230-500-200-530</f>
        <v>0</v>
      </c>
      <c r="F54" s="264">
        <f t="shared" si="4"/>
        <v>0</v>
      </c>
      <c r="G54" s="264">
        <f>330-330+18</f>
        <v>18</v>
      </c>
      <c r="H54" s="264"/>
      <c r="I54" s="264">
        <f>1378-673-705</f>
        <v>0</v>
      </c>
      <c r="J54" s="264">
        <f t="shared" si="1"/>
        <v>18</v>
      </c>
      <c r="K54" s="264">
        <f>2600-2600</f>
        <v>0</v>
      </c>
      <c r="L54" s="264"/>
      <c r="M54" s="264">
        <f t="shared" ref="M54" si="6">K54+L54</f>
        <v>0</v>
      </c>
      <c r="N54" s="264"/>
      <c r="O54" s="264"/>
      <c r="P54" s="264"/>
      <c r="Q54" s="264"/>
      <c r="R54" s="264">
        <f t="shared" si="2"/>
        <v>0</v>
      </c>
      <c r="S54" s="264">
        <f t="shared" si="3"/>
        <v>18</v>
      </c>
      <c r="T54" s="249"/>
    </row>
    <row r="55" spans="1:20" x14ac:dyDescent="0.2">
      <c r="A55" s="261"/>
      <c r="B55" s="273" t="s">
        <v>8</v>
      </c>
      <c r="C55" s="274">
        <f t="shared" ref="C55:S55" si="7">SUM(C5:C54)</f>
        <v>102579</v>
      </c>
      <c r="D55" s="274">
        <f t="shared" si="7"/>
        <v>5323</v>
      </c>
      <c r="E55" s="274">
        <f t="shared" si="7"/>
        <v>13155</v>
      </c>
      <c r="F55" s="274">
        <f t="shared" si="7"/>
        <v>121057</v>
      </c>
      <c r="G55" s="274">
        <f t="shared" si="7"/>
        <v>29370</v>
      </c>
      <c r="H55" s="274">
        <f t="shared" si="7"/>
        <v>1041</v>
      </c>
      <c r="I55" s="274">
        <f t="shared" si="7"/>
        <v>2085</v>
      </c>
      <c r="J55" s="274">
        <f t="shared" si="7"/>
        <v>32496</v>
      </c>
      <c r="K55" s="274">
        <f t="shared" si="7"/>
        <v>11849</v>
      </c>
      <c r="L55" s="274">
        <f t="shared" si="7"/>
        <v>1440</v>
      </c>
      <c r="M55" s="274">
        <f t="shared" si="7"/>
        <v>13289</v>
      </c>
      <c r="N55" s="274">
        <f t="shared" si="7"/>
        <v>46000</v>
      </c>
      <c r="O55" s="274">
        <f t="shared" si="7"/>
        <v>2374</v>
      </c>
      <c r="P55" s="274">
        <f t="shared" si="7"/>
        <v>33400</v>
      </c>
      <c r="Q55" s="274">
        <f t="shared" si="7"/>
        <v>33400</v>
      </c>
      <c r="R55" s="274">
        <f t="shared" si="7"/>
        <v>66800</v>
      </c>
      <c r="S55" s="274">
        <f t="shared" si="7"/>
        <v>282016</v>
      </c>
      <c r="T55" s="249"/>
    </row>
    <row r="56" spans="1:20" x14ac:dyDescent="0.2">
      <c r="S56" s="2"/>
    </row>
    <row r="60" spans="1:20" x14ac:dyDescent="0.2">
      <c r="S60" s="2"/>
    </row>
  </sheetData>
  <mergeCells count="10">
    <mergeCell ref="A1:S1"/>
    <mergeCell ref="A3:A4"/>
    <mergeCell ref="B3:B4"/>
    <mergeCell ref="C3:F3"/>
    <mergeCell ref="G3:J3"/>
    <mergeCell ref="K3:M3"/>
    <mergeCell ref="N3:N4"/>
    <mergeCell ref="O3:O4"/>
    <mergeCell ref="P3:R3"/>
    <mergeCell ref="S3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zoomScale="90" zoomScaleNormal="90" workbookViewId="0">
      <pane xSplit="2" ySplit="6" topLeftCell="C178" activePane="bottomRight" state="frozen"/>
      <selection pane="topRight" activeCell="C1" sqref="C1"/>
      <selection pane="bottomLeft" activeCell="A7" sqref="A7"/>
      <selection pane="bottomRight" activeCell="F199" sqref="F199"/>
    </sheetView>
  </sheetViews>
  <sheetFormatPr defaultRowHeight="12.75" x14ac:dyDescent="0.2"/>
  <cols>
    <col min="1" max="1" width="3.5703125" style="91" customWidth="1"/>
    <col min="2" max="2" width="44.5703125" style="91" customWidth="1"/>
    <col min="3" max="3" width="9.5703125" style="119" customWidth="1"/>
    <col min="4" max="5" width="8.28515625" style="119" customWidth="1"/>
    <col min="6" max="6" width="10.42578125" style="97" customWidth="1"/>
    <col min="7" max="8" width="7.85546875" style="119" customWidth="1"/>
    <col min="9" max="9" width="8.85546875" style="119" customWidth="1"/>
    <col min="10" max="10" width="8" style="119" customWidth="1"/>
    <col min="11" max="11" width="8.7109375" style="119" customWidth="1"/>
    <col min="12" max="12" width="10.140625" style="119" customWidth="1"/>
    <col min="13" max="13" width="12.42578125" style="119" customWidth="1"/>
    <col min="14" max="14" width="13" style="119" customWidth="1"/>
    <col min="15" max="16384" width="9.140625" style="91"/>
  </cols>
  <sheetData>
    <row r="1" spans="1:15" ht="42.75" customHeight="1" x14ac:dyDescent="0.25">
      <c r="A1" s="398" t="s">
        <v>317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5" ht="16.5" customHeight="1" x14ac:dyDescent="0.25">
      <c r="A2" s="92"/>
      <c r="B2" s="92"/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</row>
    <row r="3" spans="1:15" s="94" customFormat="1" ht="18" customHeight="1" x14ac:dyDescent="0.2">
      <c r="A3" s="400" t="s">
        <v>7</v>
      </c>
      <c r="B3" s="400" t="s">
        <v>209</v>
      </c>
      <c r="C3" s="395" t="s">
        <v>318</v>
      </c>
      <c r="D3" s="404" t="s">
        <v>319</v>
      </c>
      <c r="E3" s="405"/>
      <c r="F3" s="394" t="s">
        <v>320</v>
      </c>
      <c r="G3" s="408" t="s">
        <v>321</v>
      </c>
      <c r="H3" s="409"/>
      <c r="I3" s="409"/>
      <c r="J3" s="409"/>
      <c r="K3" s="409"/>
      <c r="L3" s="409"/>
      <c r="M3" s="409"/>
      <c r="N3" s="410"/>
    </row>
    <row r="4" spans="1:15" s="94" customFormat="1" ht="20.25" customHeight="1" x14ac:dyDescent="0.2">
      <c r="A4" s="401"/>
      <c r="B4" s="401"/>
      <c r="C4" s="403"/>
      <c r="D4" s="406"/>
      <c r="E4" s="407"/>
      <c r="F4" s="394"/>
      <c r="G4" s="391" t="s">
        <v>322</v>
      </c>
      <c r="H4" s="391" t="s">
        <v>323</v>
      </c>
      <c r="I4" s="391" t="s">
        <v>324</v>
      </c>
      <c r="J4" s="391" t="s">
        <v>325</v>
      </c>
      <c r="K4" s="391" t="s">
        <v>326</v>
      </c>
      <c r="L4" s="394" t="s">
        <v>327</v>
      </c>
      <c r="M4" s="394"/>
      <c r="N4" s="394"/>
    </row>
    <row r="5" spans="1:15" s="94" customFormat="1" ht="24" customHeight="1" x14ac:dyDescent="0.2">
      <c r="A5" s="401"/>
      <c r="B5" s="401"/>
      <c r="C5" s="403"/>
      <c r="D5" s="395" t="s">
        <v>328</v>
      </c>
      <c r="E5" s="395" t="s">
        <v>329</v>
      </c>
      <c r="F5" s="394"/>
      <c r="G5" s="392"/>
      <c r="H5" s="392"/>
      <c r="I5" s="392"/>
      <c r="J5" s="392"/>
      <c r="K5" s="392"/>
      <c r="L5" s="394" t="s">
        <v>5</v>
      </c>
      <c r="M5" s="394" t="s">
        <v>210</v>
      </c>
      <c r="N5" s="394"/>
    </row>
    <row r="6" spans="1:15" s="94" customFormat="1" ht="91.5" customHeight="1" x14ac:dyDescent="0.2">
      <c r="A6" s="402"/>
      <c r="B6" s="402"/>
      <c r="C6" s="396"/>
      <c r="D6" s="396"/>
      <c r="E6" s="396"/>
      <c r="F6" s="394"/>
      <c r="G6" s="393"/>
      <c r="H6" s="393"/>
      <c r="I6" s="393"/>
      <c r="J6" s="393"/>
      <c r="K6" s="393"/>
      <c r="L6" s="394"/>
      <c r="M6" s="177" t="s">
        <v>330</v>
      </c>
      <c r="N6" s="177" t="s">
        <v>331</v>
      </c>
    </row>
    <row r="7" spans="1:15" ht="12.75" customHeight="1" x14ac:dyDescent="0.2">
      <c r="A7" s="32">
        <v>1</v>
      </c>
      <c r="B7" s="95" t="s">
        <v>12</v>
      </c>
      <c r="C7" s="96">
        <v>32260</v>
      </c>
      <c r="D7" s="96"/>
      <c r="E7" s="96"/>
      <c r="F7" s="96">
        <f>G7+I7+J7+K7+L7+H7</f>
        <v>92258</v>
      </c>
      <c r="G7" s="96">
        <v>4031</v>
      </c>
      <c r="H7" s="96"/>
      <c r="I7" s="96"/>
      <c r="J7" s="96"/>
      <c r="K7" s="96"/>
      <c r="L7" s="96">
        <f>M7+N7</f>
        <v>88227</v>
      </c>
      <c r="M7" s="96">
        <v>20998</v>
      </c>
      <c r="N7" s="96">
        <v>67229</v>
      </c>
      <c r="O7" s="97"/>
    </row>
    <row r="8" spans="1:15" ht="15.75" customHeight="1" x14ac:dyDescent="0.2">
      <c r="A8" s="32">
        <v>2</v>
      </c>
      <c r="B8" s="95" t="s">
        <v>332</v>
      </c>
      <c r="C8" s="96">
        <v>1100</v>
      </c>
      <c r="D8" s="96"/>
      <c r="E8" s="96"/>
      <c r="F8" s="96">
        <f t="shared" ref="F8:F72" si="0">G8+I8+J8+K8+L8+H8</f>
        <v>14751</v>
      </c>
      <c r="G8" s="96"/>
      <c r="H8" s="96"/>
      <c r="I8" s="96">
        <v>14751</v>
      </c>
      <c r="J8" s="96"/>
      <c r="K8" s="96"/>
      <c r="L8" s="96">
        <f t="shared" ref="L8:L73" si="1">M8+N8</f>
        <v>0</v>
      </c>
      <c r="M8" s="96"/>
      <c r="N8" s="96">
        <v>0</v>
      </c>
      <c r="O8" s="97"/>
    </row>
    <row r="9" spans="1:15" ht="13.5" customHeight="1" x14ac:dyDescent="0.2">
      <c r="A9" s="32">
        <v>3</v>
      </c>
      <c r="B9" s="98" t="s">
        <v>13</v>
      </c>
      <c r="C9" s="96">
        <f>32272-200-1557</f>
        <v>30515</v>
      </c>
      <c r="D9" s="96"/>
      <c r="E9" s="96"/>
      <c r="F9" s="96">
        <f t="shared" si="0"/>
        <v>96434</v>
      </c>
      <c r="G9" s="96"/>
      <c r="H9" s="96"/>
      <c r="I9" s="96"/>
      <c r="J9" s="96"/>
      <c r="K9" s="96"/>
      <c r="L9" s="96">
        <f t="shared" si="1"/>
        <v>96434</v>
      </c>
      <c r="M9" s="96">
        <v>22952</v>
      </c>
      <c r="N9" s="96">
        <v>73482</v>
      </c>
      <c r="O9" s="97"/>
    </row>
    <row r="10" spans="1:15" ht="12.75" customHeight="1" x14ac:dyDescent="0.2">
      <c r="A10" s="32">
        <v>4</v>
      </c>
      <c r="B10" s="98" t="s">
        <v>333</v>
      </c>
      <c r="C10" s="96">
        <v>1800</v>
      </c>
      <c r="D10" s="96"/>
      <c r="E10" s="96"/>
      <c r="F10" s="96">
        <f t="shared" si="0"/>
        <v>8940</v>
      </c>
      <c r="G10" s="96"/>
      <c r="H10" s="96"/>
      <c r="I10" s="96">
        <v>8940</v>
      </c>
      <c r="J10" s="96"/>
      <c r="K10" s="96"/>
      <c r="L10" s="96">
        <f t="shared" si="1"/>
        <v>0</v>
      </c>
      <c r="M10" s="96"/>
      <c r="N10" s="96">
        <v>0</v>
      </c>
      <c r="O10" s="97"/>
    </row>
    <row r="11" spans="1:15" ht="13.5" customHeight="1" x14ac:dyDescent="0.2">
      <c r="A11" s="318">
        <v>5</v>
      </c>
      <c r="B11" s="99" t="s">
        <v>57</v>
      </c>
      <c r="C11" s="96">
        <v>75909</v>
      </c>
      <c r="D11" s="96"/>
      <c r="E11" s="96"/>
      <c r="F11" s="96">
        <f t="shared" si="0"/>
        <v>237676</v>
      </c>
      <c r="G11" s="96">
        <f>6647-3324</f>
        <v>3323</v>
      </c>
      <c r="H11" s="96">
        <v>3324</v>
      </c>
      <c r="I11" s="96"/>
      <c r="J11" s="96"/>
      <c r="K11" s="96"/>
      <c r="L11" s="96">
        <f t="shared" si="1"/>
        <v>231029</v>
      </c>
      <c r="M11" s="96">
        <v>59601</v>
      </c>
      <c r="N11" s="96">
        <v>171428</v>
      </c>
      <c r="O11" s="97"/>
    </row>
    <row r="12" spans="1:15" s="101" customFormat="1" ht="37.5" customHeight="1" x14ac:dyDescent="0.2">
      <c r="A12" s="319"/>
      <c r="B12" s="35" t="s">
        <v>334</v>
      </c>
      <c r="C12" s="100">
        <v>9837</v>
      </c>
      <c r="D12" s="100"/>
      <c r="E12" s="100"/>
      <c r="F12" s="96">
        <f t="shared" si="0"/>
        <v>30414</v>
      </c>
      <c r="G12" s="100"/>
      <c r="H12" s="100"/>
      <c r="I12" s="100"/>
      <c r="J12" s="100"/>
      <c r="K12" s="100"/>
      <c r="L12" s="100">
        <f t="shared" si="1"/>
        <v>30414</v>
      </c>
      <c r="M12" s="100">
        <v>8266</v>
      </c>
      <c r="N12" s="100">
        <v>22148</v>
      </c>
      <c r="O12" s="97"/>
    </row>
    <row r="13" spans="1:15" ht="15" customHeight="1" x14ac:dyDescent="0.2">
      <c r="A13" s="32">
        <v>6</v>
      </c>
      <c r="B13" s="98" t="s">
        <v>59</v>
      </c>
      <c r="C13" s="96">
        <v>25538</v>
      </c>
      <c r="D13" s="96"/>
      <c r="E13" s="96"/>
      <c r="F13" s="96">
        <f t="shared" si="0"/>
        <v>79029</v>
      </c>
      <c r="G13" s="96"/>
      <c r="H13" s="96"/>
      <c r="I13" s="96"/>
      <c r="J13" s="96"/>
      <c r="K13" s="96"/>
      <c r="L13" s="96">
        <f t="shared" si="1"/>
        <v>79029</v>
      </c>
      <c r="M13" s="96">
        <v>24352</v>
      </c>
      <c r="N13" s="96">
        <v>54677</v>
      </c>
      <c r="O13" s="97"/>
    </row>
    <row r="14" spans="1:15" ht="12.75" customHeight="1" x14ac:dyDescent="0.2">
      <c r="A14" s="32">
        <v>7</v>
      </c>
      <c r="B14" s="98" t="s">
        <v>60</v>
      </c>
      <c r="C14" s="96">
        <v>11158</v>
      </c>
      <c r="D14" s="96"/>
      <c r="E14" s="96"/>
      <c r="F14" s="96">
        <f t="shared" si="0"/>
        <v>34541</v>
      </c>
      <c r="G14" s="96"/>
      <c r="H14" s="96"/>
      <c r="I14" s="96"/>
      <c r="J14" s="96"/>
      <c r="K14" s="96"/>
      <c r="L14" s="96">
        <f t="shared" si="1"/>
        <v>34541</v>
      </c>
      <c r="M14" s="96">
        <v>7539</v>
      </c>
      <c r="N14" s="96">
        <v>27002</v>
      </c>
      <c r="O14" s="97"/>
    </row>
    <row r="15" spans="1:15" ht="12.75" customHeight="1" x14ac:dyDescent="0.2">
      <c r="A15" s="32">
        <v>8</v>
      </c>
      <c r="B15" s="98" t="s">
        <v>61</v>
      </c>
      <c r="C15" s="96">
        <v>11531</v>
      </c>
      <c r="D15" s="96"/>
      <c r="E15" s="96"/>
      <c r="F15" s="96">
        <f t="shared" si="0"/>
        <v>36543</v>
      </c>
      <c r="G15" s="96"/>
      <c r="H15" s="96"/>
      <c r="I15" s="96"/>
      <c r="J15" s="96"/>
      <c r="K15" s="96"/>
      <c r="L15" s="96">
        <f t="shared" si="1"/>
        <v>36543</v>
      </c>
      <c r="M15" s="96">
        <f>7197+371+250+250</f>
        <v>8068</v>
      </c>
      <c r="N15" s="96">
        <v>28475</v>
      </c>
      <c r="O15" s="97"/>
    </row>
    <row r="16" spans="1:15" ht="12.75" customHeight="1" x14ac:dyDescent="0.2">
      <c r="A16" s="32">
        <v>9</v>
      </c>
      <c r="B16" s="98" t="s">
        <v>62</v>
      </c>
      <c r="C16" s="96">
        <v>12468</v>
      </c>
      <c r="D16" s="96"/>
      <c r="E16" s="96"/>
      <c r="F16" s="96">
        <f t="shared" si="0"/>
        <v>38562</v>
      </c>
      <c r="G16" s="96"/>
      <c r="H16" s="96"/>
      <c r="I16" s="96"/>
      <c r="J16" s="96"/>
      <c r="K16" s="96"/>
      <c r="L16" s="96">
        <f t="shared" si="1"/>
        <v>38562</v>
      </c>
      <c r="M16" s="96">
        <v>8233</v>
      </c>
      <c r="N16" s="96">
        <v>30329</v>
      </c>
      <c r="O16" s="97"/>
    </row>
    <row r="17" spans="1:15" ht="12.75" customHeight="1" x14ac:dyDescent="0.2">
      <c r="A17" s="32">
        <v>10</v>
      </c>
      <c r="B17" s="98" t="s">
        <v>63</v>
      </c>
      <c r="C17" s="96">
        <v>13193</v>
      </c>
      <c r="D17" s="96"/>
      <c r="E17" s="96"/>
      <c r="F17" s="96">
        <f t="shared" si="0"/>
        <v>41128</v>
      </c>
      <c r="G17" s="96"/>
      <c r="H17" s="96"/>
      <c r="I17" s="96"/>
      <c r="J17" s="96"/>
      <c r="K17" s="96"/>
      <c r="L17" s="96">
        <f t="shared" si="1"/>
        <v>41128</v>
      </c>
      <c r="M17" s="96">
        <f>9493+300</f>
        <v>9793</v>
      </c>
      <c r="N17" s="96">
        <v>31335</v>
      </c>
      <c r="O17" s="97"/>
    </row>
    <row r="18" spans="1:15" ht="13.5" customHeight="1" x14ac:dyDescent="0.2">
      <c r="A18" s="32">
        <v>11</v>
      </c>
      <c r="B18" s="99" t="s">
        <v>64</v>
      </c>
      <c r="C18" s="96">
        <v>14071</v>
      </c>
      <c r="D18" s="96"/>
      <c r="E18" s="96"/>
      <c r="F18" s="96">
        <f t="shared" si="0"/>
        <v>43559</v>
      </c>
      <c r="G18" s="96"/>
      <c r="H18" s="96"/>
      <c r="I18" s="96"/>
      <c r="J18" s="96"/>
      <c r="K18" s="96"/>
      <c r="L18" s="96">
        <f t="shared" si="1"/>
        <v>43559</v>
      </c>
      <c r="M18" s="96">
        <v>14403</v>
      </c>
      <c r="N18" s="96">
        <v>29156</v>
      </c>
      <c r="O18" s="97"/>
    </row>
    <row r="19" spans="1:15" ht="15" customHeight="1" x14ac:dyDescent="0.2">
      <c r="A19" s="32">
        <v>12</v>
      </c>
      <c r="B19" s="98" t="s">
        <v>65</v>
      </c>
      <c r="C19" s="96">
        <v>13080</v>
      </c>
      <c r="D19" s="96"/>
      <c r="E19" s="96"/>
      <c r="F19" s="96">
        <f t="shared" si="0"/>
        <v>40478</v>
      </c>
      <c r="G19" s="96"/>
      <c r="H19" s="96"/>
      <c r="I19" s="96"/>
      <c r="J19" s="96"/>
      <c r="K19" s="96"/>
      <c r="L19" s="96">
        <f t="shared" si="1"/>
        <v>40478</v>
      </c>
      <c r="M19" s="96">
        <v>9328</v>
      </c>
      <c r="N19" s="96">
        <v>31150</v>
      </c>
      <c r="O19" s="97"/>
    </row>
    <row r="20" spans="1:15" ht="12.75" customHeight="1" x14ac:dyDescent="0.2">
      <c r="A20" s="32">
        <v>13</v>
      </c>
      <c r="B20" s="99" t="s">
        <v>66</v>
      </c>
      <c r="C20" s="96">
        <v>15307</v>
      </c>
      <c r="D20" s="96"/>
      <c r="E20" s="96"/>
      <c r="F20" s="96">
        <f t="shared" si="0"/>
        <v>47358</v>
      </c>
      <c r="G20" s="96"/>
      <c r="H20" s="96"/>
      <c r="I20" s="96"/>
      <c r="J20" s="96"/>
      <c r="K20" s="96"/>
      <c r="L20" s="96">
        <f t="shared" si="1"/>
        <v>47358</v>
      </c>
      <c r="M20" s="96">
        <v>11129</v>
      </c>
      <c r="N20" s="96">
        <v>36229</v>
      </c>
      <c r="O20" s="97"/>
    </row>
    <row r="21" spans="1:15" ht="15" customHeight="1" x14ac:dyDescent="0.2">
      <c r="A21" s="32">
        <v>14</v>
      </c>
      <c r="B21" s="98" t="s">
        <v>67</v>
      </c>
      <c r="C21" s="96">
        <v>12907</v>
      </c>
      <c r="D21" s="96"/>
      <c r="E21" s="96"/>
      <c r="F21" s="96">
        <f t="shared" si="0"/>
        <v>39966</v>
      </c>
      <c r="G21" s="96"/>
      <c r="H21" s="96"/>
      <c r="I21" s="96"/>
      <c r="J21" s="96"/>
      <c r="K21" s="96"/>
      <c r="L21" s="96">
        <f t="shared" si="1"/>
        <v>39966</v>
      </c>
      <c r="M21" s="96">
        <v>8442</v>
      </c>
      <c r="N21" s="96">
        <v>31524</v>
      </c>
      <c r="O21" s="97"/>
    </row>
    <row r="22" spans="1:15" ht="10.5" customHeight="1" x14ac:dyDescent="0.2">
      <c r="A22" s="32">
        <v>15</v>
      </c>
      <c r="B22" s="98" t="s">
        <v>335</v>
      </c>
      <c r="C22" s="96">
        <v>0</v>
      </c>
      <c r="D22" s="96"/>
      <c r="E22" s="96"/>
      <c r="F22" s="96">
        <f t="shared" si="0"/>
        <v>0</v>
      </c>
      <c r="G22" s="96"/>
      <c r="H22" s="96"/>
      <c r="I22" s="96">
        <f>150-150</f>
        <v>0</v>
      </c>
      <c r="J22" s="96"/>
      <c r="K22" s="96"/>
      <c r="L22" s="96">
        <f t="shared" si="1"/>
        <v>0</v>
      </c>
      <c r="M22" s="96"/>
      <c r="N22" s="96">
        <v>0</v>
      </c>
      <c r="O22" s="97"/>
    </row>
    <row r="23" spans="1:15" ht="12" customHeight="1" x14ac:dyDescent="0.2">
      <c r="A23" s="32">
        <v>16</v>
      </c>
      <c r="B23" s="99" t="s">
        <v>68</v>
      </c>
      <c r="C23" s="96">
        <v>80</v>
      </c>
      <c r="D23" s="96"/>
      <c r="E23" s="96"/>
      <c r="F23" s="96">
        <f t="shared" si="0"/>
        <v>572</v>
      </c>
      <c r="G23" s="96"/>
      <c r="H23" s="96"/>
      <c r="I23" s="96">
        <v>572</v>
      </c>
      <c r="J23" s="96"/>
      <c r="K23" s="96"/>
      <c r="L23" s="96">
        <f t="shared" si="1"/>
        <v>0</v>
      </c>
      <c r="M23" s="96"/>
      <c r="N23" s="96">
        <v>0</v>
      </c>
      <c r="O23" s="97"/>
    </row>
    <row r="24" spans="1:15" ht="13.5" customHeight="1" x14ac:dyDescent="0.2">
      <c r="A24" s="32">
        <v>17</v>
      </c>
      <c r="B24" s="98" t="s">
        <v>336</v>
      </c>
      <c r="C24" s="96">
        <v>80</v>
      </c>
      <c r="D24" s="96"/>
      <c r="E24" s="96"/>
      <c r="F24" s="96">
        <f t="shared" si="0"/>
        <v>572</v>
      </c>
      <c r="G24" s="96"/>
      <c r="H24" s="96"/>
      <c r="I24" s="96">
        <v>572</v>
      </c>
      <c r="J24" s="96"/>
      <c r="K24" s="96"/>
      <c r="L24" s="96">
        <f t="shared" si="1"/>
        <v>0</v>
      </c>
      <c r="M24" s="96"/>
      <c r="N24" s="96">
        <v>0</v>
      </c>
      <c r="O24" s="97"/>
    </row>
    <row r="25" spans="1:15" ht="12.75" customHeight="1" x14ac:dyDescent="0.2">
      <c r="A25" s="32">
        <v>18</v>
      </c>
      <c r="B25" s="98" t="s">
        <v>337</v>
      </c>
      <c r="C25" s="96">
        <v>80</v>
      </c>
      <c r="D25" s="96"/>
      <c r="E25" s="96"/>
      <c r="F25" s="96">
        <f t="shared" si="0"/>
        <v>572</v>
      </c>
      <c r="G25" s="96"/>
      <c r="H25" s="96"/>
      <c r="I25" s="96">
        <v>572</v>
      </c>
      <c r="J25" s="96"/>
      <c r="K25" s="96"/>
      <c r="L25" s="96">
        <f t="shared" si="1"/>
        <v>0</v>
      </c>
      <c r="M25" s="96"/>
      <c r="N25" s="96">
        <v>0</v>
      </c>
      <c r="O25" s="97"/>
    </row>
    <row r="26" spans="1:15" ht="13.5" customHeight="1" x14ac:dyDescent="0.2">
      <c r="A26" s="32">
        <v>19</v>
      </c>
      <c r="B26" s="98" t="s">
        <v>338</v>
      </c>
      <c r="C26" s="96">
        <v>0</v>
      </c>
      <c r="D26" s="96"/>
      <c r="E26" s="96"/>
      <c r="F26" s="96">
        <f t="shared" si="0"/>
        <v>597</v>
      </c>
      <c r="G26" s="96"/>
      <c r="H26" s="96"/>
      <c r="I26" s="96">
        <v>597</v>
      </c>
      <c r="J26" s="96"/>
      <c r="K26" s="96"/>
      <c r="L26" s="96">
        <f t="shared" si="1"/>
        <v>0</v>
      </c>
      <c r="M26" s="96"/>
      <c r="N26" s="96">
        <v>0</v>
      </c>
      <c r="O26" s="97"/>
    </row>
    <row r="27" spans="1:15" ht="23.25" customHeight="1" x14ac:dyDescent="0.2">
      <c r="A27" s="32">
        <v>20</v>
      </c>
      <c r="B27" s="98" t="s">
        <v>339</v>
      </c>
      <c r="C27" s="96">
        <v>80</v>
      </c>
      <c r="D27" s="96"/>
      <c r="E27" s="96"/>
      <c r="F27" s="96">
        <f t="shared" si="0"/>
        <v>572</v>
      </c>
      <c r="G27" s="96"/>
      <c r="H27" s="96"/>
      <c r="I27" s="96">
        <v>572</v>
      </c>
      <c r="J27" s="96"/>
      <c r="K27" s="96"/>
      <c r="L27" s="96">
        <f t="shared" si="1"/>
        <v>0</v>
      </c>
      <c r="M27" s="96"/>
      <c r="N27" s="96">
        <v>0</v>
      </c>
      <c r="O27" s="97"/>
    </row>
    <row r="28" spans="1:15" ht="23.25" customHeight="1" x14ac:dyDescent="0.2">
      <c r="A28" s="32"/>
      <c r="B28" s="98" t="s">
        <v>340</v>
      </c>
      <c r="C28" s="96"/>
      <c r="D28" s="96"/>
      <c r="E28" s="96"/>
      <c r="F28" s="96">
        <f t="shared" si="0"/>
        <v>573</v>
      </c>
      <c r="G28" s="96"/>
      <c r="H28" s="96"/>
      <c r="I28" s="96">
        <v>573</v>
      </c>
      <c r="J28" s="96"/>
      <c r="K28" s="96"/>
      <c r="L28" s="96"/>
      <c r="M28" s="96"/>
      <c r="N28" s="96">
        <v>0</v>
      </c>
      <c r="O28" s="97"/>
    </row>
    <row r="29" spans="1:15" ht="10.5" customHeight="1" x14ac:dyDescent="0.2">
      <c r="A29" s="32">
        <v>21</v>
      </c>
      <c r="B29" s="98" t="s">
        <v>341</v>
      </c>
      <c r="C29" s="96">
        <v>0</v>
      </c>
      <c r="D29" s="96"/>
      <c r="E29" s="96"/>
      <c r="F29" s="96">
        <f t="shared" si="0"/>
        <v>572</v>
      </c>
      <c r="G29" s="96"/>
      <c r="H29" s="96"/>
      <c r="I29" s="96">
        <v>572</v>
      </c>
      <c r="J29" s="96"/>
      <c r="K29" s="96"/>
      <c r="L29" s="96">
        <f t="shared" si="1"/>
        <v>0</v>
      </c>
      <c r="M29" s="96"/>
      <c r="N29" s="96">
        <v>0</v>
      </c>
      <c r="O29" s="97"/>
    </row>
    <row r="30" spans="1:15" ht="13.5" customHeight="1" x14ac:dyDescent="0.2">
      <c r="A30" s="32">
        <v>22</v>
      </c>
      <c r="B30" s="99" t="s">
        <v>342</v>
      </c>
      <c r="C30" s="96">
        <v>80</v>
      </c>
      <c r="D30" s="96"/>
      <c r="E30" s="96"/>
      <c r="F30" s="96">
        <f t="shared" si="0"/>
        <v>572</v>
      </c>
      <c r="G30" s="96"/>
      <c r="H30" s="96"/>
      <c r="I30" s="96">
        <v>572</v>
      </c>
      <c r="J30" s="96"/>
      <c r="K30" s="96"/>
      <c r="L30" s="96">
        <f t="shared" si="1"/>
        <v>0</v>
      </c>
      <c r="M30" s="96"/>
      <c r="N30" s="96">
        <v>0</v>
      </c>
      <c r="O30" s="97"/>
    </row>
    <row r="31" spans="1:15" s="38" customFormat="1" ht="15" customHeight="1" x14ac:dyDescent="0.2">
      <c r="A31" s="32">
        <v>23</v>
      </c>
      <c r="B31" s="98" t="s">
        <v>343</v>
      </c>
      <c r="C31" s="96">
        <v>0</v>
      </c>
      <c r="D31" s="96"/>
      <c r="E31" s="96"/>
      <c r="F31" s="96">
        <f t="shared" si="0"/>
        <v>0</v>
      </c>
      <c r="G31" s="96"/>
      <c r="H31" s="96"/>
      <c r="I31" s="96">
        <f>25-25</f>
        <v>0</v>
      </c>
      <c r="J31" s="96"/>
      <c r="K31" s="96"/>
      <c r="L31" s="96">
        <f t="shared" si="1"/>
        <v>0</v>
      </c>
      <c r="M31" s="96"/>
      <c r="N31" s="96">
        <v>0</v>
      </c>
      <c r="O31" s="97"/>
    </row>
    <row r="32" spans="1:15" ht="12" customHeight="1" x14ac:dyDescent="0.2">
      <c r="A32" s="32">
        <v>24</v>
      </c>
      <c r="B32" s="98" t="s">
        <v>344</v>
      </c>
      <c r="C32" s="96">
        <v>0</v>
      </c>
      <c r="D32" s="96"/>
      <c r="E32" s="96"/>
      <c r="F32" s="96">
        <f t="shared" si="0"/>
        <v>325</v>
      </c>
      <c r="G32" s="96"/>
      <c r="H32" s="96"/>
      <c r="I32" s="96">
        <v>325</v>
      </c>
      <c r="J32" s="96"/>
      <c r="K32" s="96"/>
      <c r="L32" s="96">
        <f t="shared" si="1"/>
        <v>0</v>
      </c>
      <c r="M32" s="96"/>
      <c r="N32" s="96">
        <v>0</v>
      </c>
      <c r="O32" s="97"/>
    </row>
    <row r="33" spans="1:15" ht="10.5" customHeight="1" x14ac:dyDescent="0.2">
      <c r="A33" s="32">
        <v>25</v>
      </c>
      <c r="B33" s="98" t="s">
        <v>345</v>
      </c>
      <c r="C33" s="96">
        <v>0</v>
      </c>
      <c r="D33" s="96"/>
      <c r="E33" s="96"/>
      <c r="F33" s="96">
        <f t="shared" si="0"/>
        <v>572</v>
      </c>
      <c r="G33" s="96"/>
      <c r="H33" s="96"/>
      <c r="I33" s="96">
        <v>572</v>
      </c>
      <c r="J33" s="96"/>
      <c r="K33" s="96"/>
      <c r="L33" s="96">
        <f t="shared" si="1"/>
        <v>0</v>
      </c>
      <c r="M33" s="96"/>
      <c r="N33" s="96">
        <v>0</v>
      </c>
      <c r="O33" s="97"/>
    </row>
    <row r="34" spans="1:15" ht="15" customHeight="1" x14ac:dyDescent="0.2">
      <c r="A34" s="32">
        <v>26</v>
      </c>
      <c r="B34" s="98" t="s">
        <v>69</v>
      </c>
      <c r="C34" s="96">
        <v>0</v>
      </c>
      <c r="D34" s="96"/>
      <c r="E34" s="96"/>
      <c r="F34" s="96">
        <f t="shared" si="0"/>
        <v>275</v>
      </c>
      <c r="G34" s="96"/>
      <c r="H34" s="96"/>
      <c r="I34" s="96">
        <v>275</v>
      </c>
      <c r="J34" s="96"/>
      <c r="K34" s="96"/>
      <c r="L34" s="96">
        <f t="shared" si="1"/>
        <v>0</v>
      </c>
      <c r="M34" s="96"/>
      <c r="N34" s="96">
        <v>0</v>
      </c>
      <c r="O34" s="97"/>
    </row>
    <row r="35" spans="1:15" ht="12.75" customHeight="1" x14ac:dyDescent="0.2">
      <c r="A35" s="32">
        <v>27</v>
      </c>
      <c r="B35" s="98" t="s">
        <v>196</v>
      </c>
      <c r="C35" s="96">
        <v>33205</v>
      </c>
      <c r="D35" s="96"/>
      <c r="E35" s="96"/>
      <c r="F35" s="96">
        <f t="shared" si="0"/>
        <v>95204</v>
      </c>
      <c r="G35" s="96">
        <v>3819</v>
      </c>
      <c r="H35" s="96"/>
      <c r="I35" s="96"/>
      <c r="J35" s="96"/>
      <c r="K35" s="96"/>
      <c r="L35" s="96">
        <f t="shared" si="1"/>
        <v>91385</v>
      </c>
      <c r="M35" s="96">
        <v>20236</v>
      </c>
      <c r="N35" s="96">
        <v>71149</v>
      </c>
      <c r="O35" s="97"/>
    </row>
    <row r="36" spans="1:15" ht="15" customHeight="1" x14ac:dyDescent="0.2">
      <c r="A36" s="32">
        <v>28</v>
      </c>
      <c r="B36" s="102" t="s">
        <v>346</v>
      </c>
      <c r="C36" s="96">
        <v>1800</v>
      </c>
      <c r="D36" s="96"/>
      <c r="E36" s="96"/>
      <c r="F36" s="96">
        <f t="shared" si="0"/>
        <v>16986</v>
      </c>
      <c r="G36" s="96"/>
      <c r="H36" s="96"/>
      <c r="I36" s="96">
        <v>16986</v>
      </c>
      <c r="J36" s="96"/>
      <c r="K36" s="96"/>
      <c r="L36" s="96">
        <f t="shared" si="1"/>
        <v>0</v>
      </c>
      <c r="M36" s="96"/>
      <c r="N36" s="96">
        <v>0</v>
      </c>
      <c r="O36" s="97"/>
    </row>
    <row r="37" spans="1:15" ht="12.75" customHeight="1" x14ac:dyDescent="0.2">
      <c r="A37" s="32">
        <v>29</v>
      </c>
      <c r="B37" s="98" t="s">
        <v>16</v>
      </c>
      <c r="C37" s="96">
        <v>32546</v>
      </c>
      <c r="D37" s="96"/>
      <c r="E37" s="96"/>
      <c r="F37" s="96">
        <f t="shared" si="0"/>
        <v>98314</v>
      </c>
      <c r="G37" s="96"/>
      <c r="H37" s="96"/>
      <c r="I37" s="96"/>
      <c r="J37" s="96"/>
      <c r="K37" s="96"/>
      <c r="L37" s="96">
        <f t="shared" si="1"/>
        <v>98314</v>
      </c>
      <c r="M37" s="96">
        <v>28124</v>
      </c>
      <c r="N37" s="96">
        <v>70190</v>
      </c>
      <c r="O37" s="97"/>
    </row>
    <row r="38" spans="1:15" ht="12.75" customHeight="1" x14ac:dyDescent="0.2">
      <c r="A38" s="32">
        <v>30</v>
      </c>
      <c r="B38" s="98" t="s">
        <v>10</v>
      </c>
      <c r="C38" s="96">
        <v>58312</v>
      </c>
      <c r="D38" s="96"/>
      <c r="E38" s="96"/>
      <c r="F38" s="96">
        <f t="shared" si="0"/>
        <v>186262</v>
      </c>
      <c r="G38" s="96">
        <f>5532+300</f>
        <v>5832</v>
      </c>
      <c r="H38" s="96"/>
      <c r="I38" s="96"/>
      <c r="J38" s="96"/>
      <c r="K38" s="96"/>
      <c r="L38" s="96">
        <f t="shared" si="1"/>
        <v>180430</v>
      </c>
      <c r="M38" s="96">
        <v>53568</v>
      </c>
      <c r="N38" s="96">
        <v>126862</v>
      </c>
      <c r="O38" s="97"/>
    </row>
    <row r="39" spans="1:15" ht="12.75" customHeight="1" x14ac:dyDescent="0.2">
      <c r="A39" s="32">
        <v>31</v>
      </c>
      <c r="B39" s="98" t="s">
        <v>11</v>
      </c>
      <c r="C39" s="96">
        <v>41028</v>
      </c>
      <c r="D39" s="96"/>
      <c r="E39" s="96"/>
      <c r="F39" s="96">
        <f t="shared" si="0"/>
        <v>128961</v>
      </c>
      <c r="G39" s="96"/>
      <c r="H39" s="96"/>
      <c r="I39" s="96"/>
      <c r="J39" s="96"/>
      <c r="K39" s="96"/>
      <c r="L39" s="96">
        <f t="shared" si="1"/>
        <v>128961</v>
      </c>
      <c r="M39" s="96">
        <f>44440+2000</f>
        <v>46440</v>
      </c>
      <c r="N39" s="96">
        <v>82521</v>
      </c>
      <c r="O39" s="97"/>
    </row>
    <row r="40" spans="1:15" ht="12.75" customHeight="1" x14ac:dyDescent="0.2">
      <c r="A40" s="32">
        <v>32</v>
      </c>
      <c r="B40" s="98" t="s">
        <v>347</v>
      </c>
      <c r="C40" s="96">
        <v>7734</v>
      </c>
      <c r="D40" s="96"/>
      <c r="E40" s="96"/>
      <c r="F40" s="96">
        <f t="shared" si="0"/>
        <v>24487</v>
      </c>
      <c r="G40" s="96"/>
      <c r="H40" s="96"/>
      <c r="I40" s="96"/>
      <c r="J40" s="96"/>
      <c r="K40" s="96"/>
      <c r="L40" s="96">
        <f t="shared" si="1"/>
        <v>24487</v>
      </c>
      <c r="M40" s="96">
        <v>7882</v>
      </c>
      <c r="N40" s="96">
        <v>16605</v>
      </c>
      <c r="O40" s="97"/>
    </row>
    <row r="41" spans="1:15" ht="13.5" customHeight="1" x14ac:dyDescent="0.2">
      <c r="A41" s="32">
        <v>33</v>
      </c>
      <c r="B41" s="98" t="s">
        <v>72</v>
      </c>
      <c r="C41" s="96">
        <v>17003</v>
      </c>
      <c r="D41" s="96"/>
      <c r="E41" s="96"/>
      <c r="F41" s="96">
        <f t="shared" si="0"/>
        <v>52656</v>
      </c>
      <c r="G41" s="96"/>
      <c r="H41" s="96"/>
      <c r="I41" s="96"/>
      <c r="J41" s="96"/>
      <c r="K41" s="96"/>
      <c r="L41" s="96">
        <f t="shared" si="1"/>
        <v>52656</v>
      </c>
      <c r="M41" s="96">
        <v>10345</v>
      </c>
      <c r="N41" s="96">
        <v>42311</v>
      </c>
      <c r="O41" s="97"/>
    </row>
    <row r="42" spans="1:15" ht="12.75" customHeight="1" x14ac:dyDescent="0.2">
      <c r="A42" s="32">
        <v>34</v>
      </c>
      <c r="B42" s="98" t="s">
        <v>73</v>
      </c>
      <c r="C42" s="96">
        <f>22442</f>
        <v>22442</v>
      </c>
      <c r="D42" s="96"/>
      <c r="E42" s="96"/>
      <c r="F42" s="96">
        <f t="shared" si="0"/>
        <v>69622</v>
      </c>
      <c r="G42" s="96"/>
      <c r="H42" s="96"/>
      <c r="I42" s="96"/>
      <c r="J42" s="96"/>
      <c r="K42" s="96"/>
      <c r="L42" s="96">
        <f t="shared" si="1"/>
        <v>69622</v>
      </c>
      <c r="M42" s="96">
        <f>8819+300</f>
        <v>9119</v>
      </c>
      <c r="N42" s="96">
        <v>60503</v>
      </c>
      <c r="O42" s="97"/>
    </row>
    <row r="43" spans="1:15" ht="15" customHeight="1" x14ac:dyDescent="0.2">
      <c r="A43" s="32">
        <v>35</v>
      </c>
      <c r="B43" s="98" t="s">
        <v>74</v>
      </c>
      <c r="C43" s="96">
        <v>9634</v>
      </c>
      <c r="D43" s="96"/>
      <c r="E43" s="96"/>
      <c r="F43" s="96">
        <f t="shared" si="0"/>
        <v>31119</v>
      </c>
      <c r="G43" s="96"/>
      <c r="H43" s="96"/>
      <c r="I43" s="96"/>
      <c r="J43" s="96"/>
      <c r="K43" s="96"/>
      <c r="L43" s="96">
        <f t="shared" si="1"/>
        <v>31119</v>
      </c>
      <c r="M43" s="96">
        <f>8932+258+1000</f>
        <v>10190</v>
      </c>
      <c r="N43" s="96">
        <v>20929</v>
      </c>
      <c r="O43" s="97"/>
    </row>
    <row r="44" spans="1:15" ht="13.5" customHeight="1" x14ac:dyDescent="0.2">
      <c r="A44" s="32">
        <v>36</v>
      </c>
      <c r="B44" s="98" t="s">
        <v>75</v>
      </c>
      <c r="C44" s="96">
        <v>8036</v>
      </c>
      <c r="D44" s="96"/>
      <c r="E44" s="96"/>
      <c r="F44" s="96">
        <f t="shared" si="0"/>
        <v>24876</v>
      </c>
      <c r="G44" s="96"/>
      <c r="H44" s="96"/>
      <c r="I44" s="96"/>
      <c r="J44" s="96"/>
      <c r="K44" s="96"/>
      <c r="L44" s="96">
        <f t="shared" si="1"/>
        <v>24876</v>
      </c>
      <c r="M44" s="96">
        <v>4630</v>
      </c>
      <c r="N44" s="96">
        <v>20246</v>
      </c>
      <c r="O44" s="97"/>
    </row>
    <row r="45" spans="1:15" ht="13.5" customHeight="1" x14ac:dyDescent="0.2">
      <c r="A45" s="32">
        <v>37</v>
      </c>
      <c r="B45" s="98" t="s">
        <v>348</v>
      </c>
      <c r="C45" s="96">
        <v>0</v>
      </c>
      <c r="D45" s="96"/>
      <c r="E45" s="96"/>
      <c r="F45" s="96">
        <f t="shared" si="0"/>
        <v>670</v>
      </c>
      <c r="G45" s="96"/>
      <c r="H45" s="96"/>
      <c r="I45" s="96">
        <v>670</v>
      </c>
      <c r="J45" s="96"/>
      <c r="K45" s="96"/>
      <c r="L45" s="96">
        <f t="shared" si="1"/>
        <v>0</v>
      </c>
      <c r="M45" s="96"/>
      <c r="N45" s="96">
        <v>0</v>
      </c>
      <c r="O45" s="97"/>
    </row>
    <row r="46" spans="1:15" ht="12.75" customHeight="1" x14ac:dyDescent="0.2">
      <c r="A46" s="32">
        <v>38</v>
      </c>
      <c r="B46" s="98" t="s">
        <v>349</v>
      </c>
      <c r="C46" s="96">
        <v>0</v>
      </c>
      <c r="D46" s="96"/>
      <c r="E46" s="96"/>
      <c r="F46" s="96">
        <f t="shared" si="0"/>
        <v>1788</v>
      </c>
      <c r="G46" s="96"/>
      <c r="H46" s="96"/>
      <c r="I46" s="96">
        <v>1788</v>
      </c>
      <c r="J46" s="96"/>
      <c r="K46" s="96"/>
      <c r="L46" s="96">
        <f t="shared" si="1"/>
        <v>0</v>
      </c>
      <c r="M46" s="96"/>
      <c r="N46" s="96">
        <v>0</v>
      </c>
      <c r="O46" s="97"/>
    </row>
    <row r="47" spans="1:15" ht="12.75" customHeight="1" x14ac:dyDescent="0.2">
      <c r="A47" s="32">
        <v>39</v>
      </c>
      <c r="B47" s="98" t="s">
        <v>350</v>
      </c>
      <c r="C47" s="96">
        <v>0</v>
      </c>
      <c r="D47" s="96"/>
      <c r="E47" s="96"/>
      <c r="F47" s="96">
        <f t="shared" si="0"/>
        <v>36</v>
      </c>
      <c r="G47" s="96"/>
      <c r="H47" s="96"/>
      <c r="I47" s="96">
        <f>200-164</f>
        <v>36</v>
      </c>
      <c r="J47" s="96"/>
      <c r="K47" s="96"/>
      <c r="L47" s="96">
        <f t="shared" si="1"/>
        <v>0</v>
      </c>
      <c r="M47" s="96"/>
      <c r="N47" s="96">
        <v>0</v>
      </c>
      <c r="O47" s="97"/>
    </row>
    <row r="48" spans="1:15" ht="14.25" customHeight="1" x14ac:dyDescent="0.2">
      <c r="A48" s="32">
        <v>40</v>
      </c>
      <c r="B48" s="98" t="s">
        <v>211</v>
      </c>
      <c r="C48" s="96">
        <v>32781</v>
      </c>
      <c r="D48" s="96">
        <f>6211+290</f>
        <v>6501</v>
      </c>
      <c r="E48" s="96"/>
      <c r="F48" s="96">
        <f t="shared" si="0"/>
        <v>82506</v>
      </c>
      <c r="G48" s="96">
        <f>10096-5500</f>
        <v>4596</v>
      </c>
      <c r="H48" s="96"/>
      <c r="I48" s="96"/>
      <c r="J48" s="96"/>
      <c r="K48" s="96"/>
      <c r="L48" s="96">
        <f t="shared" si="1"/>
        <v>77910</v>
      </c>
      <c r="M48" s="96">
        <v>16397</v>
      </c>
      <c r="N48" s="96">
        <v>61513</v>
      </c>
      <c r="O48" s="97"/>
    </row>
    <row r="49" spans="1:15" ht="15.75" customHeight="1" x14ac:dyDescent="0.2">
      <c r="A49" s="32">
        <v>41</v>
      </c>
      <c r="B49" s="98" t="s">
        <v>197</v>
      </c>
      <c r="C49" s="96">
        <v>28004</v>
      </c>
      <c r="D49" s="96"/>
      <c r="E49" s="96"/>
      <c r="F49" s="96">
        <f t="shared" si="0"/>
        <v>81313</v>
      </c>
      <c r="G49" s="96"/>
      <c r="H49" s="96"/>
      <c r="I49" s="96"/>
      <c r="J49" s="96"/>
      <c r="K49" s="96"/>
      <c r="L49" s="96">
        <f t="shared" si="1"/>
        <v>81313</v>
      </c>
      <c r="M49" s="96">
        <f>27459-800</f>
        <v>26659</v>
      </c>
      <c r="N49" s="96">
        <v>54654</v>
      </c>
      <c r="O49" s="97"/>
    </row>
    <row r="50" spans="1:15" ht="15.75" customHeight="1" x14ac:dyDescent="0.2">
      <c r="A50" s="32">
        <v>42</v>
      </c>
      <c r="B50" s="98" t="s">
        <v>351</v>
      </c>
      <c r="C50" s="96">
        <f>33192-1000-2245-400</f>
        <v>29547</v>
      </c>
      <c r="D50" s="96"/>
      <c r="E50" s="96"/>
      <c r="F50" s="96">
        <f t="shared" si="0"/>
        <v>88059</v>
      </c>
      <c r="G50" s="96">
        <v>658</v>
      </c>
      <c r="H50" s="96"/>
      <c r="I50" s="96"/>
      <c r="J50" s="96"/>
      <c r="K50" s="96"/>
      <c r="L50" s="96">
        <f t="shared" si="1"/>
        <v>87401</v>
      </c>
      <c r="M50" s="96">
        <f>29578-658-300</f>
        <v>28620</v>
      </c>
      <c r="N50" s="96">
        <v>58781</v>
      </c>
      <c r="O50" s="97"/>
    </row>
    <row r="51" spans="1:15" ht="14.25" customHeight="1" x14ac:dyDescent="0.2">
      <c r="A51" s="318">
        <v>43</v>
      </c>
      <c r="B51" s="98" t="s">
        <v>352</v>
      </c>
      <c r="C51" s="96">
        <v>15621</v>
      </c>
      <c r="D51" s="96"/>
      <c r="E51" s="96"/>
      <c r="F51" s="96">
        <f t="shared" si="0"/>
        <v>46963</v>
      </c>
      <c r="G51" s="96"/>
      <c r="H51" s="96"/>
      <c r="I51" s="96"/>
      <c r="J51" s="96"/>
      <c r="K51" s="96"/>
      <c r="L51" s="96">
        <f t="shared" si="1"/>
        <v>46963</v>
      </c>
      <c r="M51" s="96">
        <v>9670</v>
      </c>
      <c r="N51" s="96">
        <v>37293</v>
      </c>
      <c r="O51" s="97"/>
    </row>
    <row r="52" spans="1:15" s="101" customFormat="1" ht="36.75" customHeight="1" x14ac:dyDescent="0.2">
      <c r="A52" s="319"/>
      <c r="B52" s="35" t="s">
        <v>353</v>
      </c>
      <c r="C52" s="100">
        <v>21844</v>
      </c>
      <c r="D52" s="100"/>
      <c r="E52" s="100"/>
      <c r="F52" s="96">
        <f t="shared" si="0"/>
        <v>69967</v>
      </c>
      <c r="G52" s="100"/>
      <c r="H52" s="100"/>
      <c r="I52" s="100"/>
      <c r="J52" s="100"/>
      <c r="K52" s="100"/>
      <c r="L52" s="100">
        <f t="shared" si="1"/>
        <v>69967</v>
      </c>
      <c r="M52" s="100">
        <v>14732</v>
      </c>
      <c r="N52" s="100">
        <v>55235</v>
      </c>
      <c r="O52" s="97"/>
    </row>
    <row r="53" spans="1:15" ht="16.5" customHeight="1" x14ac:dyDescent="0.2">
      <c r="A53" s="32">
        <v>44</v>
      </c>
      <c r="B53" s="98" t="s">
        <v>354</v>
      </c>
      <c r="C53" s="96">
        <v>22759</v>
      </c>
      <c r="D53" s="96"/>
      <c r="E53" s="96"/>
      <c r="F53" s="96">
        <f t="shared" si="0"/>
        <v>72431</v>
      </c>
      <c r="G53" s="96"/>
      <c r="H53" s="96"/>
      <c r="I53" s="96"/>
      <c r="J53" s="96"/>
      <c r="K53" s="96"/>
      <c r="L53" s="96">
        <f t="shared" si="1"/>
        <v>72431</v>
      </c>
      <c r="M53" s="96">
        <v>13575</v>
      </c>
      <c r="N53" s="96">
        <v>58856</v>
      </c>
      <c r="O53" s="97"/>
    </row>
    <row r="54" spans="1:15" ht="27" customHeight="1" x14ac:dyDescent="0.2">
      <c r="A54" s="32">
        <v>45</v>
      </c>
      <c r="B54" s="98" t="s">
        <v>355</v>
      </c>
      <c r="C54" s="96">
        <v>11000</v>
      </c>
      <c r="D54" s="96"/>
      <c r="E54" s="96"/>
      <c r="F54" s="96">
        <f t="shared" si="0"/>
        <v>63474</v>
      </c>
      <c r="G54" s="96"/>
      <c r="H54" s="96"/>
      <c r="I54" s="96">
        <v>63474</v>
      </c>
      <c r="J54" s="96"/>
      <c r="K54" s="96"/>
      <c r="L54" s="96">
        <f t="shared" si="1"/>
        <v>0</v>
      </c>
      <c r="M54" s="96"/>
      <c r="N54" s="96">
        <v>0</v>
      </c>
      <c r="O54" s="97"/>
    </row>
    <row r="55" spans="1:15" ht="12" customHeight="1" x14ac:dyDescent="0.2">
      <c r="A55" s="32">
        <v>46</v>
      </c>
      <c r="B55" s="98" t="s">
        <v>356</v>
      </c>
      <c r="C55" s="96"/>
      <c r="D55" s="96"/>
      <c r="E55" s="96"/>
      <c r="F55" s="96">
        <f t="shared" si="0"/>
        <v>10558</v>
      </c>
      <c r="G55" s="96"/>
      <c r="H55" s="96"/>
      <c r="I55" s="96">
        <v>10558</v>
      </c>
      <c r="J55" s="96"/>
      <c r="K55" s="96"/>
      <c r="L55" s="96">
        <f t="shared" si="1"/>
        <v>0</v>
      </c>
      <c r="M55" s="96"/>
      <c r="N55" s="96">
        <v>0</v>
      </c>
      <c r="O55" s="97"/>
    </row>
    <row r="56" spans="1:15" ht="13.5" customHeight="1" x14ac:dyDescent="0.2">
      <c r="A56" s="318">
        <v>47</v>
      </c>
      <c r="B56" s="98" t="s">
        <v>195</v>
      </c>
      <c r="C56" s="96">
        <f>51089-1350+585-585</f>
        <v>49739</v>
      </c>
      <c r="D56" s="96"/>
      <c r="E56" s="96"/>
      <c r="F56" s="96">
        <f t="shared" si="0"/>
        <v>137749</v>
      </c>
      <c r="G56" s="96">
        <f>3686+600+100</f>
        <v>4386</v>
      </c>
      <c r="H56" s="96"/>
      <c r="I56" s="96"/>
      <c r="J56" s="96"/>
      <c r="K56" s="96"/>
      <c r="L56" s="96">
        <f t="shared" si="1"/>
        <v>133363</v>
      </c>
      <c r="M56" s="96">
        <f>27267+9500-9500+4305-100</f>
        <v>31472</v>
      </c>
      <c r="N56" s="96">
        <v>101891</v>
      </c>
      <c r="O56" s="97"/>
    </row>
    <row r="57" spans="1:15" s="101" customFormat="1" ht="38.25" customHeight="1" x14ac:dyDescent="0.2">
      <c r="A57" s="397"/>
      <c r="B57" s="35" t="s">
        <v>357</v>
      </c>
      <c r="C57" s="100">
        <f>13984+1350</f>
        <v>15334</v>
      </c>
      <c r="D57" s="100"/>
      <c r="E57" s="100"/>
      <c r="F57" s="96">
        <f t="shared" si="0"/>
        <v>42612</v>
      </c>
      <c r="G57" s="100"/>
      <c r="H57" s="100"/>
      <c r="I57" s="100"/>
      <c r="J57" s="100"/>
      <c r="K57" s="100"/>
      <c r="L57" s="100">
        <f t="shared" si="1"/>
        <v>42612</v>
      </c>
      <c r="M57" s="100">
        <v>5104</v>
      </c>
      <c r="N57" s="100">
        <v>37508</v>
      </c>
      <c r="O57" s="97"/>
    </row>
    <row r="58" spans="1:15" s="101" customFormat="1" ht="31.5" customHeight="1" x14ac:dyDescent="0.2">
      <c r="A58" s="319"/>
      <c r="B58" s="103" t="s">
        <v>86</v>
      </c>
      <c r="C58" s="100">
        <f>585+133</f>
        <v>718</v>
      </c>
      <c r="D58" s="100"/>
      <c r="E58" s="100"/>
      <c r="F58" s="96">
        <f t="shared" si="0"/>
        <v>7000</v>
      </c>
      <c r="G58" s="100"/>
      <c r="H58" s="100"/>
      <c r="I58" s="100"/>
      <c r="J58" s="100"/>
      <c r="K58" s="100"/>
      <c r="L58" s="100">
        <f t="shared" si="1"/>
        <v>7000</v>
      </c>
      <c r="M58" s="100">
        <f>9500+4305-4305-2500</f>
        <v>7000</v>
      </c>
      <c r="N58" s="100">
        <v>0</v>
      </c>
      <c r="O58" s="97"/>
    </row>
    <row r="59" spans="1:15" ht="15.75" customHeight="1" x14ac:dyDescent="0.2">
      <c r="A59" s="32">
        <v>48</v>
      </c>
      <c r="B59" s="98" t="s">
        <v>358</v>
      </c>
      <c r="C59" s="96">
        <v>5710</v>
      </c>
      <c r="D59" s="96"/>
      <c r="E59" s="96"/>
      <c r="F59" s="96">
        <f t="shared" si="0"/>
        <v>26820</v>
      </c>
      <c r="G59" s="96"/>
      <c r="H59" s="96"/>
      <c r="I59" s="96">
        <v>26820</v>
      </c>
      <c r="J59" s="96"/>
      <c r="K59" s="96"/>
      <c r="L59" s="96">
        <f t="shared" si="1"/>
        <v>0</v>
      </c>
      <c r="M59" s="96"/>
      <c r="N59" s="96">
        <v>0</v>
      </c>
      <c r="O59" s="97"/>
    </row>
    <row r="60" spans="1:15" ht="13.5" customHeight="1" x14ac:dyDescent="0.2">
      <c r="A60" s="32">
        <v>49</v>
      </c>
      <c r="B60" s="98" t="s">
        <v>359</v>
      </c>
      <c r="C60" s="96">
        <v>0</v>
      </c>
      <c r="D60" s="96"/>
      <c r="E60" s="96"/>
      <c r="F60" s="96">
        <f t="shared" si="0"/>
        <v>8493</v>
      </c>
      <c r="G60" s="96"/>
      <c r="H60" s="96"/>
      <c r="I60" s="96">
        <v>8493</v>
      </c>
      <c r="J60" s="96"/>
      <c r="K60" s="96"/>
      <c r="L60" s="96">
        <f t="shared" si="1"/>
        <v>0</v>
      </c>
      <c r="M60" s="96"/>
      <c r="N60" s="96">
        <v>0</v>
      </c>
      <c r="O60" s="97"/>
    </row>
    <row r="61" spans="1:15" ht="14.25" customHeight="1" x14ac:dyDescent="0.2">
      <c r="A61" s="318">
        <v>50</v>
      </c>
      <c r="B61" s="98" t="s">
        <v>193</v>
      </c>
      <c r="C61" s="96">
        <v>34650</v>
      </c>
      <c r="D61" s="96"/>
      <c r="E61" s="96"/>
      <c r="F61" s="96">
        <f t="shared" si="0"/>
        <v>113002</v>
      </c>
      <c r="G61" s="96">
        <f>5807-2904</f>
        <v>2903</v>
      </c>
      <c r="H61" s="96">
        <v>2904</v>
      </c>
      <c r="I61" s="96"/>
      <c r="J61" s="96"/>
      <c r="K61" s="96"/>
      <c r="L61" s="96">
        <f t="shared" si="1"/>
        <v>107195</v>
      </c>
      <c r="M61" s="96">
        <v>35242</v>
      </c>
      <c r="N61" s="96">
        <v>71953</v>
      </c>
      <c r="O61" s="97"/>
    </row>
    <row r="62" spans="1:15" s="101" customFormat="1" ht="37.5" customHeight="1" x14ac:dyDescent="0.2">
      <c r="A62" s="319"/>
      <c r="B62" s="35" t="s">
        <v>360</v>
      </c>
      <c r="C62" s="100">
        <v>13626</v>
      </c>
      <c r="D62" s="100"/>
      <c r="E62" s="100"/>
      <c r="F62" s="96">
        <f t="shared" si="0"/>
        <v>42162</v>
      </c>
      <c r="G62" s="100"/>
      <c r="H62" s="100"/>
      <c r="I62" s="100"/>
      <c r="J62" s="100"/>
      <c r="K62" s="100"/>
      <c r="L62" s="100">
        <f t="shared" si="1"/>
        <v>42162</v>
      </c>
      <c r="M62" s="100">
        <v>14659</v>
      </c>
      <c r="N62" s="100">
        <v>27503</v>
      </c>
      <c r="O62" s="97"/>
    </row>
    <row r="63" spans="1:15" ht="13.5" customHeight="1" x14ac:dyDescent="0.2">
      <c r="A63" s="32">
        <v>51</v>
      </c>
      <c r="B63" s="98" t="s">
        <v>18</v>
      </c>
      <c r="C63" s="96">
        <v>48474</v>
      </c>
      <c r="D63" s="96"/>
      <c r="E63" s="96"/>
      <c r="F63" s="96">
        <f t="shared" si="0"/>
        <v>149892</v>
      </c>
      <c r="G63" s="96"/>
      <c r="H63" s="96"/>
      <c r="I63" s="96"/>
      <c r="J63" s="96"/>
      <c r="K63" s="96"/>
      <c r="L63" s="96">
        <f t="shared" si="1"/>
        <v>149892</v>
      </c>
      <c r="M63" s="96">
        <v>45352</v>
      </c>
      <c r="N63" s="96">
        <v>104540</v>
      </c>
      <c r="O63" s="97"/>
    </row>
    <row r="64" spans="1:15" s="38" customFormat="1" ht="12.75" customHeight="1" x14ac:dyDescent="0.2">
      <c r="A64" s="32">
        <v>52</v>
      </c>
      <c r="B64" s="98" t="s">
        <v>19</v>
      </c>
      <c r="C64" s="96">
        <f>47372-400</f>
        <v>46972</v>
      </c>
      <c r="D64" s="96"/>
      <c r="E64" s="96"/>
      <c r="F64" s="96">
        <f t="shared" si="0"/>
        <v>146587</v>
      </c>
      <c r="G64" s="96"/>
      <c r="H64" s="96"/>
      <c r="I64" s="96"/>
      <c r="J64" s="96"/>
      <c r="K64" s="96"/>
      <c r="L64" s="96">
        <f t="shared" si="1"/>
        <v>146587</v>
      </c>
      <c r="M64" s="96">
        <v>31957</v>
      </c>
      <c r="N64" s="96">
        <v>114630</v>
      </c>
      <c r="O64" s="97"/>
    </row>
    <row r="65" spans="1:15" ht="10.5" customHeight="1" x14ac:dyDescent="0.2">
      <c r="A65" s="32">
        <v>53</v>
      </c>
      <c r="B65" s="98" t="s">
        <v>90</v>
      </c>
      <c r="C65" s="96">
        <v>14707</v>
      </c>
      <c r="D65" s="96"/>
      <c r="E65" s="96"/>
      <c r="F65" s="96">
        <f t="shared" si="0"/>
        <v>45542</v>
      </c>
      <c r="G65" s="96"/>
      <c r="H65" s="96"/>
      <c r="I65" s="96"/>
      <c r="J65" s="96"/>
      <c r="K65" s="96"/>
      <c r="L65" s="96">
        <f t="shared" si="1"/>
        <v>45542</v>
      </c>
      <c r="M65" s="96">
        <v>12564</v>
      </c>
      <c r="N65" s="96">
        <v>32978</v>
      </c>
      <c r="O65" s="97"/>
    </row>
    <row r="66" spans="1:15" ht="10.5" customHeight="1" x14ac:dyDescent="0.2">
      <c r="A66" s="32">
        <v>54</v>
      </c>
      <c r="B66" s="98" t="s">
        <v>91</v>
      </c>
      <c r="C66" s="96">
        <v>18046</v>
      </c>
      <c r="D66" s="96"/>
      <c r="E66" s="96"/>
      <c r="F66" s="96">
        <f t="shared" si="0"/>
        <v>55880</v>
      </c>
      <c r="G66" s="96"/>
      <c r="H66" s="96"/>
      <c r="I66" s="96"/>
      <c r="J66" s="96"/>
      <c r="K66" s="96"/>
      <c r="L66" s="96">
        <f t="shared" si="1"/>
        <v>55880</v>
      </c>
      <c r="M66" s="96">
        <v>20154</v>
      </c>
      <c r="N66" s="96">
        <v>35726</v>
      </c>
      <c r="O66" s="97"/>
    </row>
    <row r="67" spans="1:15" ht="10.5" customHeight="1" x14ac:dyDescent="0.2">
      <c r="A67" s="32">
        <v>55</v>
      </c>
      <c r="B67" s="98" t="s">
        <v>92</v>
      </c>
      <c r="C67" s="96">
        <v>16520</v>
      </c>
      <c r="D67" s="96"/>
      <c r="E67" s="96"/>
      <c r="F67" s="96">
        <f t="shared" si="0"/>
        <v>51149</v>
      </c>
      <c r="G67" s="96"/>
      <c r="H67" s="96"/>
      <c r="I67" s="96"/>
      <c r="J67" s="96"/>
      <c r="K67" s="96"/>
      <c r="L67" s="96">
        <f t="shared" si="1"/>
        <v>51149</v>
      </c>
      <c r="M67" s="96">
        <v>15317</v>
      </c>
      <c r="N67" s="96">
        <v>35832</v>
      </c>
      <c r="O67" s="97"/>
    </row>
    <row r="68" spans="1:15" ht="11.25" customHeight="1" x14ac:dyDescent="0.2">
      <c r="A68" s="32">
        <v>56</v>
      </c>
      <c r="B68" s="98" t="s">
        <v>93</v>
      </c>
      <c r="C68" s="96">
        <v>10847</v>
      </c>
      <c r="D68" s="96"/>
      <c r="E68" s="96"/>
      <c r="F68" s="96">
        <f t="shared" si="0"/>
        <v>33557</v>
      </c>
      <c r="G68" s="96"/>
      <c r="H68" s="96"/>
      <c r="I68" s="96"/>
      <c r="J68" s="96"/>
      <c r="K68" s="96"/>
      <c r="L68" s="96">
        <f t="shared" si="1"/>
        <v>33557</v>
      </c>
      <c r="M68" s="96">
        <v>10049</v>
      </c>
      <c r="N68" s="96">
        <v>23508</v>
      </c>
      <c r="O68" s="97"/>
    </row>
    <row r="69" spans="1:15" ht="10.5" customHeight="1" x14ac:dyDescent="0.2">
      <c r="A69" s="32">
        <v>57</v>
      </c>
      <c r="B69" s="98" t="s">
        <v>94</v>
      </c>
      <c r="C69" s="96">
        <v>18810</v>
      </c>
      <c r="D69" s="96"/>
      <c r="E69" s="96"/>
      <c r="F69" s="96">
        <f t="shared" si="0"/>
        <v>58197</v>
      </c>
      <c r="G69" s="96"/>
      <c r="H69" s="96"/>
      <c r="I69" s="96"/>
      <c r="J69" s="96"/>
      <c r="K69" s="96"/>
      <c r="L69" s="96">
        <f t="shared" si="1"/>
        <v>58197</v>
      </c>
      <c r="M69" s="96">
        <v>15070</v>
      </c>
      <c r="N69" s="96">
        <v>43127</v>
      </c>
      <c r="O69" s="97"/>
    </row>
    <row r="70" spans="1:15" ht="10.5" customHeight="1" x14ac:dyDescent="0.2">
      <c r="A70" s="32">
        <v>58</v>
      </c>
      <c r="B70" s="98" t="s">
        <v>95</v>
      </c>
      <c r="C70" s="96">
        <v>8603</v>
      </c>
      <c r="D70" s="96"/>
      <c r="E70" s="96"/>
      <c r="F70" s="96">
        <f t="shared" si="0"/>
        <v>26616</v>
      </c>
      <c r="G70" s="96"/>
      <c r="H70" s="96"/>
      <c r="I70" s="96"/>
      <c r="J70" s="96"/>
      <c r="K70" s="96"/>
      <c r="L70" s="96">
        <f t="shared" si="1"/>
        <v>26616</v>
      </c>
      <c r="M70" s="96">
        <v>7269</v>
      </c>
      <c r="N70" s="96">
        <v>19347</v>
      </c>
      <c r="O70" s="97"/>
    </row>
    <row r="71" spans="1:15" s="38" customFormat="1" ht="11.25" customHeight="1" x14ac:dyDescent="0.2">
      <c r="A71" s="32">
        <v>59</v>
      </c>
      <c r="B71" s="104" t="s">
        <v>361</v>
      </c>
      <c r="C71" s="96">
        <v>3925</v>
      </c>
      <c r="D71" s="96"/>
      <c r="E71" s="96"/>
      <c r="F71" s="96">
        <f t="shared" si="0"/>
        <v>11506</v>
      </c>
      <c r="G71" s="96"/>
      <c r="H71" s="96"/>
      <c r="I71" s="96"/>
      <c r="J71" s="96"/>
      <c r="K71" s="96"/>
      <c r="L71" s="96">
        <f t="shared" si="1"/>
        <v>11506</v>
      </c>
      <c r="M71" s="96">
        <v>4822</v>
      </c>
      <c r="N71" s="96">
        <v>6684</v>
      </c>
      <c r="O71" s="97"/>
    </row>
    <row r="72" spans="1:15" ht="12.75" customHeight="1" x14ac:dyDescent="0.2">
      <c r="A72" s="32">
        <v>60</v>
      </c>
      <c r="B72" s="98" t="s">
        <v>96</v>
      </c>
      <c r="C72" s="96">
        <f>1170-585-133</f>
        <v>452</v>
      </c>
      <c r="D72" s="96"/>
      <c r="E72" s="96"/>
      <c r="F72" s="96">
        <f t="shared" si="0"/>
        <v>5195</v>
      </c>
      <c r="G72" s="96"/>
      <c r="H72" s="96"/>
      <c r="I72" s="96">
        <f>19000-9500-4305</f>
        <v>5195</v>
      </c>
      <c r="J72" s="96"/>
      <c r="K72" s="96"/>
      <c r="L72" s="96">
        <f t="shared" si="1"/>
        <v>0</v>
      </c>
      <c r="M72" s="96"/>
      <c r="N72" s="96">
        <v>0</v>
      </c>
      <c r="O72" s="97"/>
    </row>
    <row r="73" spans="1:15" s="38" customFormat="1" ht="15.75" customHeight="1" x14ac:dyDescent="0.2">
      <c r="A73" s="32">
        <v>61</v>
      </c>
      <c r="B73" s="98" t="s">
        <v>362</v>
      </c>
      <c r="C73" s="96">
        <f>7920-400-400-600</f>
        <v>6520</v>
      </c>
      <c r="D73" s="96"/>
      <c r="E73" s="96"/>
      <c r="F73" s="96">
        <f t="shared" ref="F73:F136" si="2">G73+I73+J73+K73+L73+H73</f>
        <v>19023</v>
      </c>
      <c r="G73" s="96"/>
      <c r="H73" s="96"/>
      <c r="I73" s="96"/>
      <c r="J73" s="96"/>
      <c r="K73" s="96"/>
      <c r="L73" s="96">
        <f t="shared" si="1"/>
        <v>19023</v>
      </c>
      <c r="M73" s="96">
        <f>7529-1000-800</f>
        <v>5729</v>
      </c>
      <c r="N73" s="96">
        <v>13294</v>
      </c>
      <c r="O73" s="97"/>
    </row>
    <row r="74" spans="1:15" ht="14.25" customHeight="1" x14ac:dyDescent="0.2">
      <c r="A74" s="32">
        <v>62</v>
      </c>
      <c r="B74" s="98" t="s">
        <v>363</v>
      </c>
      <c r="C74" s="96">
        <v>0</v>
      </c>
      <c r="D74" s="96"/>
      <c r="E74" s="96"/>
      <c r="F74" s="96">
        <f t="shared" si="2"/>
        <v>2000</v>
      </c>
      <c r="G74" s="96">
        <v>2000</v>
      </c>
      <c r="H74" s="96"/>
      <c r="I74" s="96"/>
      <c r="J74" s="96"/>
      <c r="K74" s="96"/>
      <c r="L74" s="96">
        <f t="shared" ref="L74:L137" si="3">M74+N74</f>
        <v>0</v>
      </c>
      <c r="M74" s="96"/>
      <c r="N74" s="96">
        <v>0</v>
      </c>
      <c r="O74" s="97"/>
    </row>
    <row r="75" spans="1:15" ht="13.5" customHeight="1" x14ac:dyDescent="0.2">
      <c r="A75" s="32">
        <v>63</v>
      </c>
      <c r="B75" s="98" t="s">
        <v>364</v>
      </c>
      <c r="C75" s="96">
        <v>0</v>
      </c>
      <c r="D75" s="96"/>
      <c r="E75" s="96"/>
      <c r="F75" s="96">
        <f t="shared" si="2"/>
        <v>190</v>
      </c>
      <c r="G75" s="96"/>
      <c r="H75" s="96"/>
      <c r="I75" s="96">
        <f>100+90</f>
        <v>190</v>
      </c>
      <c r="J75" s="96"/>
      <c r="K75" s="96"/>
      <c r="L75" s="96">
        <f t="shared" si="3"/>
        <v>0</v>
      </c>
      <c r="M75" s="96"/>
      <c r="N75" s="96">
        <v>0</v>
      </c>
      <c r="O75" s="97"/>
    </row>
    <row r="76" spans="1:15" ht="10.5" customHeight="1" x14ac:dyDescent="0.2">
      <c r="A76" s="32">
        <v>64</v>
      </c>
      <c r="B76" s="95" t="s">
        <v>20</v>
      </c>
      <c r="C76" s="96">
        <f>73298-815-400</f>
        <v>72083</v>
      </c>
      <c r="D76" s="96"/>
      <c r="E76" s="96"/>
      <c r="F76" s="96">
        <f t="shared" si="2"/>
        <v>226835</v>
      </c>
      <c r="G76" s="96"/>
      <c r="H76" s="96"/>
      <c r="I76" s="96"/>
      <c r="J76" s="96"/>
      <c r="K76" s="96"/>
      <c r="L76" s="96">
        <f t="shared" si="3"/>
        <v>226835</v>
      </c>
      <c r="M76" s="96">
        <v>48493</v>
      </c>
      <c r="N76" s="96">
        <v>178342</v>
      </c>
      <c r="O76" s="97"/>
    </row>
    <row r="77" spans="1:15" ht="10.5" customHeight="1" x14ac:dyDescent="0.2">
      <c r="A77" s="32">
        <v>65</v>
      </c>
      <c r="B77" s="98" t="s">
        <v>9</v>
      </c>
      <c r="C77" s="96">
        <v>51984</v>
      </c>
      <c r="D77" s="96"/>
      <c r="E77" s="96"/>
      <c r="F77" s="96">
        <f t="shared" si="2"/>
        <v>162201</v>
      </c>
      <c r="G77" s="96">
        <v>2288</v>
      </c>
      <c r="H77" s="96"/>
      <c r="I77" s="96"/>
      <c r="J77" s="96"/>
      <c r="K77" s="96"/>
      <c r="L77" s="96">
        <f t="shared" si="3"/>
        <v>159913</v>
      </c>
      <c r="M77" s="96">
        <v>34228</v>
      </c>
      <c r="N77" s="96">
        <v>125685</v>
      </c>
      <c r="O77" s="97"/>
    </row>
    <row r="78" spans="1:15" ht="10.5" customHeight="1" x14ac:dyDescent="0.2">
      <c r="A78" s="32">
        <v>66</v>
      </c>
      <c r="B78" s="95" t="s">
        <v>212</v>
      </c>
      <c r="C78" s="96">
        <v>55981</v>
      </c>
      <c r="D78" s="96"/>
      <c r="E78" s="96"/>
      <c r="F78" s="96">
        <f t="shared" si="2"/>
        <v>162331</v>
      </c>
      <c r="G78" s="96">
        <f>4587-2294</f>
        <v>2293</v>
      </c>
      <c r="H78" s="96">
        <v>2294</v>
      </c>
      <c r="I78" s="96"/>
      <c r="J78" s="96"/>
      <c r="K78" s="96"/>
      <c r="L78" s="96">
        <f t="shared" si="3"/>
        <v>157744</v>
      </c>
      <c r="M78" s="96">
        <v>32513</v>
      </c>
      <c r="N78" s="96">
        <v>125231</v>
      </c>
      <c r="O78" s="97"/>
    </row>
    <row r="79" spans="1:15" ht="24" customHeight="1" x14ac:dyDescent="0.2">
      <c r="A79" s="32">
        <v>67</v>
      </c>
      <c r="B79" s="95" t="s">
        <v>365</v>
      </c>
      <c r="C79" s="96">
        <v>3000</v>
      </c>
      <c r="D79" s="96"/>
      <c r="E79" s="96"/>
      <c r="F79" s="96">
        <f t="shared" si="2"/>
        <v>24758</v>
      </c>
      <c r="G79" s="96"/>
      <c r="H79" s="96"/>
      <c r="I79" s="96">
        <v>24758</v>
      </c>
      <c r="J79" s="96"/>
      <c r="K79" s="96"/>
      <c r="L79" s="96">
        <f t="shared" si="3"/>
        <v>0</v>
      </c>
      <c r="M79" s="96"/>
      <c r="N79" s="96">
        <v>0</v>
      </c>
      <c r="O79" s="97"/>
    </row>
    <row r="80" spans="1:15" ht="10.5" customHeight="1" x14ac:dyDescent="0.2">
      <c r="A80" s="32">
        <v>68</v>
      </c>
      <c r="B80" s="98" t="s">
        <v>100</v>
      </c>
      <c r="C80" s="96">
        <v>22614</v>
      </c>
      <c r="D80" s="96"/>
      <c r="E80" s="96"/>
      <c r="F80" s="96">
        <f t="shared" si="2"/>
        <v>69978</v>
      </c>
      <c r="G80" s="96"/>
      <c r="H80" s="96"/>
      <c r="I80" s="96"/>
      <c r="J80" s="96"/>
      <c r="K80" s="96"/>
      <c r="L80" s="96">
        <f t="shared" si="3"/>
        <v>69978</v>
      </c>
      <c r="M80" s="96">
        <v>15368</v>
      </c>
      <c r="N80" s="96">
        <v>54610</v>
      </c>
      <c r="O80" s="97"/>
    </row>
    <row r="81" spans="1:15" ht="10.5" customHeight="1" x14ac:dyDescent="0.2">
      <c r="A81" s="32">
        <v>69</v>
      </c>
      <c r="B81" s="95" t="s">
        <v>101</v>
      </c>
      <c r="C81" s="96">
        <v>15153</v>
      </c>
      <c r="D81" s="96"/>
      <c r="E81" s="96"/>
      <c r="F81" s="96">
        <f t="shared" si="2"/>
        <v>46884</v>
      </c>
      <c r="G81" s="96"/>
      <c r="H81" s="96"/>
      <c r="I81" s="96"/>
      <c r="J81" s="96"/>
      <c r="K81" s="96"/>
      <c r="L81" s="96">
        <f t="shared" si="3"/>
        <v>46884</v>
      </c>
      <c r="M81" s="96">
        <v>9705</v>
      </c>
      <c r="N81" s="96">
        <v>37179</v>
      </c>
      <c r="O81" s="97"/>
    </row>
    <row r="82" spans="1:15" ht="10.5" customHeight="1" x14ac:dyDescent="0.2">
      <c r="A82" s="32">
        <v>70</v>
      </c>
      <c r="B82" s="98" t="s">
        <v>102</v>
      </c>
      <c r="C82" s="96">
        <v>11760</v>
      </c>
      <c r="D82" s="96"/>
      <c r="E82" s="96"/>
      <c r="F82" s="96">
        <f t="shared" si="2"/>
        <v>37667</v>
      </c>
      <c r="G82" s="96"/>
      <c r="H82" s="96"/>
      <c r="I82" s="96"/>
      <c r="J82" s="96"/>
      <c r="K82" s="96"/>
      <c r="L82" s="96">
        <f t="shared" si="3"/>
        <v>37667</v>
      </c>
      <c r="M82" s="96">
        <v>8428</v>
      </c>
      <c r="N82" s="96">
        <v>29239</v>
      </c>
      <c r="O82" s="97"/>
    </row>
    <row r="83" spans="1:15" ht="10.5" customHeight="1" x14ac:dyDescent="0.2">
      <c r="A83" s="32">
        <v>71</v>
      </c>
      <c r="B83" s="95" t="s">
        <v>103</v>
      </c>
      <c r="C83" s="96">
        <v>17827</v>
      </c>
      <c r="D83" s="96"/>
      <c r="E83" s="96"/>
      <c r="F83" s="96">
        <f t="shared" si="2"/>
        <v>55259</v>
      </c>
      <c r="G83" s="96"/>
      <c r="H83" s="96"/>
      <c r="I83" s="96"/>
      <c r="J83" s="96"/>
      <c r="K83" s="96"/>
      <c r="L83" s="96">
        <f t="shared" si="3"/>
        <v>55259</v>
      </c>
      <c r="M83" s="96">
        <f>12243+273</f>
        <v>12516</v>
      </c>
      <c r="N83" s="96">
        <v>42743</v>
      </c>
      <c r="O83" s="97"/>
    </row>
    <row r="84" spans="1:15" ht="10.5" customHeight="1" x14ac:dyDescent="0.2">
      <c r="A84" s="32">
        <v>72</v>
      </c>
      <c r="B84" s="98" t="s">
        <v>104</v>
      </c>
      <c r="C84" s="96">
        <v>7799</v>
      </c>
      <c r="D84" s="96"/>
      <c r="E84" s="96"/>
      <c r="F84" s="96">
        <f t="shared" si="2"/>
        <v>24125</v>
      </c>
      <c r="G84" s="96"/>
      <c r="H84" s="96"/>
      <c r="I84" s="96"/>
      <c r="J84" s="96"/>
      <c r="K84" s="96"/>
      <c r="L84" s="96">
        <f t="shared" si="3"/>
        <v>24125</v>
      </c>
      <c r="M84" s="96">
        <v>7306</v>
      </c>
      <c r="N84" s="96">
        <v>16819</v>
      </c>
      <c r="O84" s="97"/>
    </row>
    <row r="85" spans="1:15" ht="10.5" customHeight="1" x14ac:dyDescent="0.2">
      <c r="A85" s="32">
        <v>73</v>
      </c>
      <c r="B85" s="98" t="s">
        <v>105</v>
      </c>
      <c r="C85" s="96">
        <v>14699</v>
      </c>
      <c r="D85" s="96"/>
      <c r="E85" s="96"/>
      <c r="F85" s="96">
        <f t="shared" si="2"/>
        <v>45692</v>
      </c>
      <c r="G85" s="96"/>
      <c r="H85" s="96"/>
      <c r="I85" s="96"/>
      <c r="J85" s="96"/>
      <c r="K85" s="96"/>
      <c r="L85" s="96">
        <f t="shared" si="3"/>
        <v>45692</v>
      </c>
      <c r="M85" s="96">
        <v>11153</v>
      </c>
      <c r="N85" s="96">
        <v>34539</v>
      </c>
      <c r="O85" s="97"/>
    </row>
    <row r="86" spans="1:15" ht="11.25" customHeight="1" x14ac:dyDescent="0.2">
      <c r="A86" s="32">
        <v>74</v>
      </c>
      <c r="B86" s="98" t="s">
        <v>106</v>
      </c>
      <c r="C86" s="96">
        <v>22079</v>
      </c>
      <c r="D86" s="96"/>
      <c r="E86" s="96"/>
      <c r="F86" s="96">
        <f t="shared" si="2"/>
        <v>68332</v>
      </c>
      <c r="G86" s="96"/>
      <c r="H86" s="96"/>
      <c r="I86" s="96"/>
      <c r="J86" s="96"/>
      <c r="K86" s="96"/>
      <c r="L86" s="96">
        <f t="shared" si="3"/>
        <v>68332</v>
      </c>
      <c r="M86" s="96">
        <v>18545</v>
      </c>
      <c r="N86" s="96">
        <v>49787</v>
      </c>
      <c r="O86" s="97"/>
    </row>
    <row r="87" spans="1:15" ht="10.5" customHeight="1" x14ac:dyDescent="0.2">
      <c r="A87" s="32">
        <v>75</v>
      </c>
      <c r="B87" s="95" t="s">
        <v>107</v>
      </c>
      <c r="C87" s="96">
        <v>12123</v>
      </c>
      <c r="D87" s="96"/>
      <c r="E87" s="96"/>
      <c r="F87" s="96">
        <f t="shared" si="2"/>
        <v>37517</v>
      </c>
      <c r="G87" s="96"/>
      <c r="H87" s="96"/>
      <c r="I87" s="96"/>
      <c r="J87" s="96"/>
      <c r="K87" s="96"/>
      <c r="L87" s="96">
        <f t="shared" si="3"/>
        <v>37517</v>
      </c>
      <c r="M87" s="96">
        <v>8981</v>
      </c>
      <c r="N87" s="96">
        <v>28536</v>
      </c>
      <c r="O87" s="97"/>
    </row>
    <row r="88" spans="1:15" ht="10.5" customHeight="1" x14ac:dyDescent="0.2">
      <c r="A88" s="32">
        <v>76</v>
      </c>
      <c r="B88" s="98" t="s">
        <v>366</v>
      </c>
      <c r="C88" s="96">
        <f>225-98</f>
        <v>127</v>
      </c>
      <c r="D88" s="96"/>
      <c r="E88" s="96"/>
      <c r="F88" s="96">
        <f t="shared" si="2"/>
        <v>60</v>
      </c>
      <c r="G88" s="96"/>
      <c r="H88" s="96"/>
      <c r="I88" s="96">
        <f>150-90</f>
        <v>60</v>
      </c>
      <c r="J88" s="96"/>
      <c r="K88" s="96"/>
      <c r="L88" s="96">
        <f t="shared" si="3"/>
        <v>0</v>
      </c>
      <c r="M88" s="96"/>
      <c r="N88" s="96">
        <v>0</v>
      </c>
      <c r="O88" s="97"/>
    </row>
    <row r="89" spans="1:15" ht="10.5" customHeight="1" x14ac:dyDescent="0.2">
      <c r="A89" s="32">
        <v>77</v>
      </c>
      <c r="B89" s="98" t="s">
        <v>367</v>
      </c>
      <c r="C89" s="96">
        <f>250-90</f>
        <v>160</v>
      </c>
      <c r="D89" s="96"/>
      <c r="E89" s="96"/>
      <c r="F89" s="96">
        <f t="shared" si="2"/>
        <v>50</v>
      </c>
      <c r="G89" s="96"/>
      <c r="H89" s="96"/>
      <c r="I89" s="96">
        <v>50</v>
      </c>
      <c r="J89" s="96"/>
      <c r="K89" s="96"/>
      <c r="L89" s="96">
        <f t="shared" si="3"/>
        <v>0</v>
      </c>
      <c r="M89" s="96"/>
      <c r="N89" s="96">
        <v>0</v>
      </c>
      <c r="O89" s="97"/>
    </row>
    <row r="90" spans="1:15" ht="10.5" customHeight="1" x14ac:dyDescent="0.2">
      <c r="A90" s="32">
        <v>78</v>
      </c>
      <c r="B90" s="105" t="s">
        <v>368</v>
      </c>
      <c r="C90" s="96">
        <v>0</v>
      </c>
      <c r="D90" s="96"/>
      <c r="E90" s="96"/>
      <c r="F90" s="96">
        <f t="shared" si="2"/>
        <v>175</v>
      </c>
      <c r="G90" s="96"/>
      <c r="H90" s="96"/>
      <c r="I90" s="96">
        <v>175</v>
      </c>
      <c r="J90" s="96"/>
      <c r="K90" s="96"/>
      <c r="L90" s="96">
        <f t="shared" si="3"/>
        <v>0</v>
      </c>
      <c r="M90" s="96"/>
      <c r="N90" s="96">
        <v>0</v>
      </c>
      <c r="O90" s="97"/>
    </row>
    <row r="91" spans="1:15" ht="10.5" customHeight="1" x14ac:dyDescent="0.2">
      <c r="A91" s="32">
        <v>79</v>
      </c>
      <c r="B91" s="98" t="s">
        <v>369</v>
      </c>
      <c r="C91" s="96">
        <v>115</v>
      </c>
      <c r="D91" s="96"/>
      <c r="E91" s="96"/>
      <c r="F91" s="96">
        <f t="shared" si="2"/>
        <v>50</v>
      </c>
      <c r="G91" s="96"/>
      <c r="H91" s="96"/>
      <c r="I91" s="96">
        <v>50</v>
      </c>
      <c r="J91" s="96"/>
      <c r="K91" s="96"/>
      <c r="L91" s="96">
        <f t="shared" si="3"/>
        <v>0</v>
      </c>
      <c r="M91" s="96"/>
      <c r="N91" s="96">
        <v>0</v>
      </c>
      <c r="O91" s="97"/>
    </row>
    <row r="92" spans="1:15" ht="15" customHeight="1" x14ac:dyDescent="0.2">
      <c r="A92" s="32">
        <v>80</v>
      </c>
      <c r="B92" s="98" t="s">
        <v>370</v>
      </c>
      <c r="C92" s="96">
        <v>0</v>
      </c>
      <c r="D92" s="96"/>
      <c r="E92" s="96"/>
      <c r="F92" s="96">
        <f t="shared" si="2"/>
        <v>41</v>
      </c>
      <c r="G92" s="96"/>
      <c r="H92" s="96"/>
      <c r="I92" s="96">
        <f>100-59</f>
        <v>41</v>
      </c>
      <c r="J92" s="96"/>
      <c r="K92" s="96"/>
      <c r="L92" s="96">
        <f t="shared" si="3"/>
        <v>0</v>
      </c>
      <c r="M92" s="96"/>
      <c r="N92" s="96">
        <v>0</v>
      </c>
      <c r="O92" s="97"/>
    </row>
    <row r="93" spans="1:15" ht="10.5" customHeight="1" x14ac:dyDescent="0.2">
      <c r="A93" s="32">
        <v>81</v>
      </c>
      <c r="B93" s="106" t="s">
        <v>371</v>
      </c>
      <c r="C93" s="96">
        <v>0</v>
      </c>
      <c r="D93" s="96"/>
      <c r="E93" s="96"/>
      <c r="F93" s="96">
        <f t="shared" si="2"/>
        <v>894</v>
      </c>
      <c r="G93" s="96"/>
      <c r="H93" s="96"/>
      <c r="I93" s="96">
        <v>894</v>
      </c>
      <c r="J93" s="96"/>
      <c r="K93" s="96"/>
      <c r="L93" s="96">
        <f t="shared" si="3"/>
        <v>0</v>
      </c>
      <c r="M93" s="96"/>
      <c r="N93" s="96">
        <v>0</v>
      </c>
      <c r="O93" s="97"/>
    </row>
    <row r="94" spans="1:15" ht="10.5" customHeight="1" x14ac:dyDescent="0.2">
      <c r="A94" s="32">
        <v>82</v>
      </c>
      <c r="B94" s="107" t="s">
        <v>372</v>
      </c>
      <c r="C94" s="96">
        <f>13953-430</f>
        <v>13523</v>
      </c>
      <c r="D94" s="96"/>
      <c r="E94" s="96"/>
      <c r="F94" s="96">
        <f t="shared" si="2"/>
        <v>61678</v>
      </c>
      <c r="G94" s="96"/>
      <c r="H94" s="96"/>
      <c r="I94" s="96"/>
      <c r="J94" s="96"/>
      <c r="K94" s="96"/>
      <c r="L94" s="96">
        <f t="shared" si="3"/>
        <v>61678</v>
      </c>
      <c r="M94" s="96">
        <f>13361-2000</f>
        <v>11361</v>
      </c>
      <c r="N94" s="96">
        <v>50317</v>
      </c>
      <c r="O94" s="97"/>
    </row>
    <row r="95" spans="1:15" ht="10.5" customHeight="1" x14ac:dyDescent="0.2">
      <c r="A95" s="32">
        <v>83</v>
      </c>
      <c r="B95" s="107" t="s">
        <v>373</v>
      </c>
      <c r="C95" s="96">
        <f>11980-290+480</f>
        <v>12170</v>
      </c>
      <c r="D95" s="96"/>
      <c r="E95" s="96"/>
      <c r="F95" s="96">
        <f t="shared" si="2"/>
        <v>54673</v>
      </c>
      <c r="G95" s="96"/>
      <c r="H95" s="96"/>
      <c r="I95" s="96"/>
      <c r="J95" s="96"/>
      <c r="K95" s="96"/>
      <c r="L95" s="96">
        <f t="shared" si="3"/>
        <v>54673</v>
      </c>
      <c r="M95" s="96">
        <v>10628</v>
      </c>
      <c r="N95" s="96">
        <v>44045</v>
      </c>
      <c r="O95" s="97"/>
    </row>
    <row r="96" spans="1:15" ht="10.5" customHeight="1" x14ac:dyDescent="0.2">
      <c r="A96" s="32">
        <v>84</v>
      </c>
      <c r="B96" s="107" t="s">
        <v>374</v>
      </c>
      <c r="C96" s="96">
        <f>23443-60</f>
        <v>23383</v>
      </c>
      <c r="D96" s="96">
        <v>7392</v>
      </c>
      <c r="E96" s="96"/>
      <c r="F96" s="96">
        <f t="shared" si="2"/>
        <v>74342.047721097551</v>
      </c>
      <c r="G96" s="96"/>
      <c r="H96" s="96"/>
      <c r="I96" s="96"/>
      <c r="J96" s="96"/>
      <c r="K96" s="96">
        <v>1090</v>
      </c>
      <c r="L96" s="96">
        <f t="shared" si="3"/>
        <v>73252.047721097551</v>
      </c>
      <c r="M96" s="96">
        <v>16723.047721097548</v>
      </c>
      <c r="N96" s="96">
        <v>56529</v>
      </c>
      <c r="O96" s="97"/>
    </row>
    <row r="97" spans="1:15" ht="10.5" customHeight="1" x14ac:dyDescent="0.2">
      <c r="A97" s="32">
        <v>85</v>
      </c>
      <c r="B97" s="107" t="s">
        <v>200</v>
      </c>
      <c r="C97" s="96">
        <f>26846-221</f>
        <v>26625</v>
      </c>
      <c r="D97" s="96">
        <v>7210</v>
      </c>
      <c r="E97" s="96"/>
      <c r="F97" s="96">
        <f t="shared" si="2"/>
        <v>90520</v>
      </c>
      <c r="G97" s="96"/>
      <c r="H97" s="96"/>
      <c r="I97" s="96"/>
      <c r="J97" s="96"/>
      <c r="K97" s="96">
        <v>1063</v>
      </c>
      <c r="L97" s="96">
        <f t="shared" si="3"/>
        <v>89457</v>
      </c>
      <c r="M97" s="96">
        <f>22570-514-837</f>
        <v>21219</v>
      </c>
      <c r="N97" s="96">
        <f>67401+837</f>
        <v>68238</v>
      </c>
      <c r="O97" s="97"/>
    </row>
    <row r="98" spans="1:15" ht="10.5" customHeight="1" x14ac:dyDescent="0.2">
      <c r="A98" s="32">
        <v>86</v>
      </c>
      <c r="B98" s="107" t="s">
        <v>375</v>
      </c>
      <c r="C98" s="96">
        <f>7572-66</f>
        <v>7506</v>
      </c>
      <c r="D98" s="96"/>
      <c r="E98" s="96"/>
      <c r="F98" s="96">
        <f t="shared" si="2"/>
        <v>34557</v>
      </c>
      <c r="G98" s="96"/>
      <c r="H98" s="96"/>
      <c r="I98" s="96"/>
      <c r="J98" s="96"/>
      <c r="K98" s="96"/>
      <c r="L98" s="96">
        <f t="shared" si="3"/>
        <v>34557</v>
      </c>
      <c r="M98" s="96">
        <v>8081</v>
      </c>
      <c r="N98" s="96">
        <v>26476</v>
      </c>
      <c r="O98" s="97"/>
    </row>
    <row r="99" spans="1:15" ht="22.5" customHeight="1" x14ac:dyDescent="0.2">
      <c r="A99" s="32">
        <v>87</v>
      </c>
      <c r="B99" s="107" t="s">
        <v>376</v>
      </c>
      <c r="C99" s="96">
        <v>0</v>
      </c>
      <c r="D99" s="96"/>
      <c r="E99" s="96"/>
      <c r="F99" s="96">
        <f t="shared" si="2"/>
        <v>20562</v>
      </c>
      <c r="G99" s="96"/>
      <c r="H99" s="96"/>
      <c r="I99" s="96">
        <v>20562</v>
      </c>
      <c r="J99" s="96"/>
      <c r="K99" s="96"/>
      <c r="L99" s="96">
        <f t="shared" si="3"/>
        <v>0</v>
      </c>
      <c r="M99" s="96"/>
      <c r="N99" s="96">
        <v>0</v>
      </c>
      <c r="O99" s="97"/>
    </row>
    <row r="100" spans="1:15" ht="24" customHeight="1" x14ac:dyDescent="0.2">
      <c r="A100" s="32">
        <v>88</v>
      </c>
      <c r="B100" s="107" t="s">
        <v>377</v>
      </c>
      <c r="C100" s="96">
        <v>9725</v>
      </c>
      <c r="D100" s="96"/>
      <c r="E100" s="96"/>
      <c r="F100" s="96">
        <f t="shared" si="2"/>
        <v>30217</v>
      </c>
      <c r="G100" s="96"/>
      <c r="H100" s="96"/>
      <c r="I100" s="96">
        <v>30217</v>
      </c>
      <c r="J100" s="96"/>
      <c r="K100" s="96"/>
      <c r="L100" s="96">
        <f t="shared" si="3"/>
        <v>0</v>
      </c>
      <c r="M100" s="96"/>
      <c r="N100" s="96">
        <v>0</v>
      </c>
      <c r="O100" s="97"/>
    </row>
    <row r="101" spans="1:15" ht="10.5" customHeight="1" x14ac:dyDescent="0.2">
      <c r="A101" s="32">
        <v>89</v>
      </c>
      <c r="B101" s="107" t="s">
        <v>378</v>
      </c>
      <c r="C101" s="96">
        <v>27360</v>
      </c>
      <c r="D101" s="96"/>
      <c r="E101" s="96"/>
      <c r="F101" s="96">
        <f t="shared" si="2"/>
        <v>97099</v>
      </c>
      <c r="G101" s="96"/>
      <c r="H101" s="96"/>
      <c r="I101" s="96"/>
      <c r="J101" s="96"/>
      <c r="K101" s="96"/>
      <c r="L101" s="96">
        <f t="shared" si="3"/>
        <v>97099</v>
      </c>
      <c r="M101" s="96">
        <v>23662</v>
      </c>
      <c r="N101" s="96">
        <v>73437</v>
      </c>
      <c r="O101" s="97"/>
    </row>
    <row r="102" spans="1:15" ht="10.5" customHeight="1" x14ac:dyDescent="0.2">
      <c r="A102" s="32">
        <v>90</v>
      </c>
      <c r="B102" s="107" t="s">
        <v>201</v>
      </c>
      <c r="C102" s="96">
        <v>15309</v>
      </c>
      <c r="D102" s="96"/>
      <c r="E102" s="96"/>
      <c r="F102" s="96">
        <f t="shared" si="2"/>
        <v>52841</v>
      </c>
      <c r="G102" s="96"/>
      <c r="H102" s="96"/>
      <c r="I102" s="96"/>
      <c r="J102" s="96"/>
      <c r="K102" s="96"/>
      <c r="L102" s="96">
        <f t="shared" si="3"/>
        <v>52841</v>
      </c>
      <c r="M102" s="96">
        <v>14136</v>
      </c>
      <c r="N102" s="96">
        <v>38705</v>
      </c>
      <c r="O102" s="97"/>
    </row>
    <row r="103" spans="1:15" ht="10.5" customHeight="1" x14ac:dyDescent="0.2">
      <c r="A103" s="32">
        <v>91</v>
      </c>
      <c r="B103" s="107" t="s">
        <v>379</v>
      </c>
      <c r="C103" s="96">
        <v>14721</v>
      </c>
      <c r="D103" s="96"/>
      <c r="E103" s="96"/>
      <c r="F103" s="96">
        <f t="shared" si="2"/>
        <v>64917</v>
      </c>
      <c r="G103" s="96">
        <f>4774+500</f>
        <v>5274</v>
      </c>
      <c r="H103" s="96"/>
      <c r="I103" s="96"/>
      <c r="J103" s="96"/>
      <c r="K103" s="96"/>
      <c r="L103" s="96">
        <f t="shared" si="3"/>
        <v>59643</v>
      </c>
      <c r="M103" s="96">
        <v>16945</v>
      </c>
      <c r="N103" s="96">
        <v>42698</v>
      </c>
      <c r="O103" s="97"/>
    </row>
    <row r="104" spans="1:15" ht="10.5" customHeight="1" x14ac:dyDescent="0.2">
      <c r="A104" s="32">
        <v>92</v>
      </c>
      <c r="B104" s="107" t="s">
        <v>202</v>
      </c>
      <c r="C104" s="96">
        <v>11459</v>
      </c>
      <c r="D104" s="96"/>
      <c r="E104" s="96"/>
      <c r="F104" s="96">
        <f t="shared" si="2"/>
        <v>39862</v>
      </c>
      <c r="G104" s="96"/>
      <c r="H104" s="96"/>
      <c r="I104" s="96"/>
      <c r="J104" s="96"/>
      <c r="K104" s="96"/>
      <c r="L104" s="96">
        <f t="shared" si="3"/>
        <v>39862</v>
      </c>
      <c r="M104" s="96">
        <v>10507</v>
      </c>
      <c r="N104" s="96">
        <v>29355</v>
      </c>
      <c r="O104" s="97"/>
    </row>
    <row r="105" spans="1:15" ht="10.5" customHeight="1" x14ac:dyDescent="0.2">
      <c r="A105" s="32">
        <v>93</v>
      </c>
      <c r="B105" s="107" t="s">
        <v>306</v>
      </c>
      <c r="C105" s="96">
        <v>28200</v>
      </c>
      <c r="D105" s="96"/>
      <c r="E105" s="96"/>
      <c r="F105" s="96">
        <f t="shared" si="2"/>
        <v>117829</v>
      </c>
      <c r="G105" s="96">
        <v>4675</v>
      </c>
      <c r="H105" s="96"/>
      <c r="I105" s="96"/>
      <c r="J105" s="96"/>
      <c r="K105" s="96"/>
      <c r="L105" s="96">
        <f t="shared" si="3"/>
        <v>113154</v>
      </c>
      <c r="M105" s="96">
        <v>28679</v>
      </c>
      <c r="N105" s="96">
        <v>84475</v>
      </c>
      <c r="O105" s="97"/>
    </row>
    <row r="106" spans="1:15" ht="10.5" customHeight="1" x14ac:dyDescent="0.2">
      <c r="A106" s="32">
        <v>94</v>
      </c>
      <c r="B106" s="107" t="s">
        <v>380</v>
      </c>
      <c r="C106" s="96">
        <f>15028</f>
        <v>15028</v>
      </c>
      <c r="D106" s="96"/>
      <c r="E106" s="96"/>
      <c r="F106" s="96">
        <f t="shared" si="2"/>
        <v>60604</v>
      </c>
      <c r="G106" s="96"/>
      <c r="H106" s="96"/>
      <c r="I106" s="96"/>
      <c r="J106" s="96"/>
      <c r="K106" s="96"/>
      <c r="L106" s="96">
        <f t="shared" si="3"/>
        <v>60604</v>
      </c>
      <c r="M106" s="96">
        <f>20396+300</f>
        <v>20696</v>
      </c>
      <c r="N106" s="96">
        <v>39908</v>
      </c>
      <c r="O106" s="97"/>
    </row>
    <row r="107" spans="1:15" ht="10.5" customHeight="1" x14ac:dyDescent="0.2">
      <c r="A107" s="32">
        <v>95</v>
      </c>
      <c r="B107" s="107" t="s">
        <v>203</v>
      </c>
      <c r="C107" s="96">
        <f>16995</f>
        <v>16995</v>
      </c>
      <c r="D107" s="96"/>
      <c r="E107" s="96"/>
      <c r="F107" s="96">
        <f t="shared" si="2"/>
        <v>59830</v>
      </c>
      <c r="G107" s="96"/>
      <c r="H107" s="96"/>
      <c r="I107" s="96"/>
      <c r="J107" s="96"/>
      <c r="K107" s="96"/>
      <c r="L107" s="96">
        <f t="shared" si="3"/>
        <v>59830</v>
      </c>
      <c r="M107" s="96">
        <v>17192</v>
      </c>
      <c r="N107" s="96">
        <v>42638</v>
      </c>
      <c r="O107" s="97"/>
    </row>
    <row r="108" spans="1:15" ht="10.5" customHeight="1" x14ac:dyDescent="0.2">
      <c r="A108" s="32">
        <v>96</v>
      </c>
      <c r="B108" s="107" t="s">
        <v>381</v>
      </c>
      <c r="C108" s="96">
        <v>10374</v>
      </c>
      <c r="D108" s="96"/>
      <c r="E108" s="96"/>
      <c r="F108" s="96">
        <f t="shared" si="2"/>
        <v>42994</v>
      </c>
      <c r="G108" s="96">
        <v>7016</v>
      </c>
      <c r="H108" s="96"/>
      <c r="I108" s="96"/>
      <c r="J108" s="96"/>
      <c r="K108" s="96"/>
      <c r="L108" s="96">
        <f t="shared" si="3"/>
        <v>35978</v>
      </c>
      <c r="M108" s="96">
        <v>11205</v>
      </c>
      <c r="N108" s="96">
        <v>24773</v>
      </c>
      <c r="O108" s="97"/>
    </row>
    <row r="109" spans="1:15" ht="10.5" customHeight="1" x14ac:dyDescent="0.2">
      <c r="A109" s="32">
        <v>97</v>
      </c>
      <c r="B109" s="107" t="s">
        <v>382</v>
      </c>
      <c r="C109" s="96">
        <v>28528</v>
      </c>
      <c r="D109" s="96"/>
      <c r="E109" s="96"/>
      <c r="F109" s="96">
        <f t="shared" si="2"/>
        <v>125118</v>
      </c>
      <c r="G109" s="96">
        <f>5815+1200</f>
        <v>7015</v>
      </c>
      <c r="H109" s="96"/>
      <c r="I109" s="96"/>
      <c r="J109" s="96"/>
      <c r="K109" s="96"/>
      <c r="L109" s="96">
        <f t="shared" si="3"/>
        <v>118103</v>
      </c>
      <c r="M109" s="96">
        <f>28322+300</f>
        <v>28622</v>
      </c>
      <c r="N109" s="96">
        <v>89481</v>
      </c>
      <c r="O109" s="97"/>
    </row>
    <row r="110" spans="1:15" ht="10.5" customHeight="1" x14ac:dyDescent="0.2">
      <c r="A110" s="32">
        <v>98</v>
      </c>
      <c r="B110" s="107" t="s">
        <v>383</v>
      </c>
      <c r="C110" s="96">
        <v>12983</v>
      </c>
      <c r="D110" s="96"/>
      <c r="E110" s="96"/>
      <c r="F110" s="96">
        <f t="shared" si="2"/>
        <v>45147</v>
      </c>
      <c r="G110" s="96"/>
      <c r="H110" s="96"/>
      <c r="I110" s="96"/>
      <c r="J110" s="96"/>
      <c r="K110" s="96"/>
      <c r="L110" s="96">
        <f t="shared" si="3"/>
        <v>45147</v>
      </c>
      <c r="M110" s="96">
        <v>12727</v>
      </c>
      <c r="N110" s="96">
        <v>32420</v>
      </c>
      <c r="O110" s="97"/>
    </row>
    <row r="111" spans="1:15" ht="10.5" customHeight="1" x14ac:dyDescent="0.2">
      <c r="A111" s="32">
        <v>99</v>
      </c>
      <c r="B111" s="107" t="s">
        <v>384</v>
      </c>
      <c r="C111" s="96">
        <f>12553</f>
        <v>12553</v>
      </c>
      <c r="D111" s="96"/>
      <c r="E111" s="96"/>
      <c r="F111" s="96">
        <f t="shared" si="2"/>
        <v>45494</v>
      </c>
      <c r="G111" s="96"/>
      <c r="H111" s="96"/>
      <c r="I111" s="96"/>
      <c r="J111" s="96"/>
      <c r="K111" s="96"/>
      <c r="L111" s="96">
        <f t="shared" si="3"/>
        <v>45494</v>
      </c>
      <c r="M111" s="96">
        <f>15481+371+1350</f>
        <v>17202</v>
      </c>
      <c r="N111" s="96">
        <v>28292</v>
      </c>
      <c r="O111" s="97"/>
    </row>
    <row r="112" spans="1:15" ht="12.75" customHeight="1" x14ac:dyDescent="0.2">
      <c r="A112" s="32">
        <v>100</v>
      </c>
      <c r="B112" s="107" t="s">
        <v>385</v>
      </c>
      <c r="C112" s="96">
        <v>0</v>
      </c>
      <c r="D112" s="96"/>
      <c r="E112" s="96"/>
      <c r="F112" s="96">
        <f t="shared" si="2"/>
        <v>16487</v>
      </c>
      <c r="G112" s="96"/>
      <c r="H112" s="96"/>
      <c r="I112" s="96">
        <v>16487</v>
      </c>
      <c r="J112" s="96"/>
      <c r="K112" s="96"/>
      <c r="L112" s="96">
        <f t="shared" si="3"/>
        <v>0</v>
      </c>
      <c r="M112" s="96"/>
      <c r="N112" s="96">
        <v>0</v>
      </c>
      <c r="O112" s="97"/>
    </row>
    <row r="113" spans="1:15" ht="14.25" customHeight="1" x14ac:dyDescent="0.2">
      <c r="A113" s="32">
        <v>101</v>
      </c>
      <c r="B113" s="107" t="s">
        <v>386</v>
      </c>
      <c r="C113" s="96">
        <v>23001</v>
      </c>
      <c r="D113" s="96"/>
      <c r="E113" s="96"/>
      <c r="F113" s="96">
        <f t="shared" si="2"/>
        <v>19227</v>
      </c>
      <c r="G113" s="96"/>
      <c r="H113" s="96"/>
      <c r="I113" s="96">
        <v>19227</v>
      </c>
      <c r="J113" s="96"/>
      <c r="K113" s="96"/>
      <c r="L113" s="96">
        <f t="shared" si="3"/>
        <v>0</v>
      </c>
      <c r="M113" s="96"/>
      <c r="N113" s="96">
        <v>0</v>
      </c>
      <c r="O113" s="97"/>
    </row>
    <row r="114" spans="1:15" ht="13.5" customHeight="1" x14ac:dyDescent="0.2">
      <c r="A114" s="32">
        <v>102</v>
      </c>
      <c r="B114" s="107" t="s">
        <v>387</v>
      </c>
      <c r="C114" s="96">
        <v>0</v>
      </c>
      <c r="D114" s="96"/>
      <c r="E114" s="96"/>
      <c r="F114" s="96">
        <f t="shared" si="2"/>
        <v>22812</v>
      </c>
      <c r="G114" s="96"/>
      <c r="H114" s="96"/>
      <c r="I114" s="96">
        <v>22812</v>
      </c>
      <c r="J114" s="96"/>
      <c r="K114" s="96"/>
      <c r="L114" s="96">
        <f t="shared" si="3"/>
        <v>0</v>
      </c>
      <c r="M114" s="96"/>
      <c r="N114" s="96">
        <v>0</v>
      </c>
      <c r="O114" s="97"/>
    </row>
    <row r="115" spans="1:15" ht="15" customHeight="1" x14ac:dyDescent="0.2">
      <c r="A115" s="32">
        <v>103</v>
      </c>
      <c r="B115" s="107" t="s">
        <v>388</v>
      </c>
      <c r="C115" s="96">
        <v>0</v>
      </c>
      <c r="D115" s="96"/>
      <c r="E115" s="96"/>
      <c r="F115" s="96">
        <f t="shared" si="2"/>
        <v>18511</v>
      </c>
      <c r="G115" s="96"/>
      <c r="H115" s="96"/>
      <c r="I115" s="96">
        <v>18511</v>
      </c>
      <c r="J115" s="96"/>
      <c r="K115" s="96"/>
      <c r="L115" s="96">
        <f t="shared" si="3"/>
        <v>0</v>
      </c>
      <c r="M115" s="96"/>
      <c r="N115" s="96">
        <v>0</v>
      </c>
      <c r="O115" s="97"/>
    </row>
    <row r="116" spans="1:15" ht="15.75" customHeight="1" x14ac:dyDescent="0.2">
      <c r="A116" s="32">
        <v>104</v>
      </c>
      <c r="B116" s="107" t="s">
        <v>389</v>
      </c>
      <c r="C116" s="96">
        <v>0</v>
      </c>
      <c r="D116" s="96"/>
      <c r="E116" s="96"/>
      <c r="F116" s="96">
        <f t="shared" si="2"/>
        <v>27899</v>
      </c>
      <c r="G116" s="96"/>
      <c r="H116" s="96"/>
      <c r="I116" s="96">
        <v>27899</v>
      </c>
      <c r="J116" s="96"/>
      <c r="K116" s="96"/>
      <c r="L116" s="96">
        <f t="shared" si="3"/>
        <v>0</v>
      </c>
      <c r="M116" s="96"/>
      <c r="N116" s="96">
        <v>0</v>
      </c>
      <c r="O116" s="97"/>
    </row>
    <row r="117" spans="1:15" ht="15.75" customHeight="1" x14ac:dyDescent="0.2">
      <c r="A117" s="32">
        <v>105</v>
      </c>
      <c r="B117" s="107" t="s">
        <v>390</v>
      </c>
      <c r="C117" s="96">
        <v>0</v>
      </c>
      <c r="D117" s="96"/>
      <c r="E117" s="96"/>
      <c r="F117" s="96">
        <f t="shared" si="2"/>
        <v>16867</v>
      </c>
      <c r="G117" s="96"/>
      <c r="H117" s="96"/>
      <c r="I117" s="96">
        <v>16867</v>
      </c>
      <c r="J117" s="96"/>
      <c r="K117" s="96"/>
      <c r="L117" s="96">
        <f t="shared" si="3"/>
        <v>0</v>
      </c>
      <c r="M117" s="96"/>
      <c r="N117" s="96">
        <v>0</v>
      </c>
      <c r="O117" s="97"/>
    </row>
    <row r="118" spans="1:15" ht="13.5" customHeight="1" x14ac:dyDescent="0.2">
      <c r="A118" s="32">
        <v>106</v>
      </c>
      <c r="B118" s="107" t="s">
        <v>391</v>
      </c>
      <c r="C118" s="96">
        <v>0</v>
      </c>
      <c r="D118" s="96"/>
      <c r="E118" s="96"/>
      <c r="F118" s="96">
        <f t="shared" si="2"/>
        <v>14605</v>
      </c>
      <c r="G118" s="96"/>
      <c r="H118" s="96"/>
      <c r="I118" s="96">
        <v>14605</v>
      </c>
      <c r="J118" s="96"/>
      <c r="K118" s="96"/>
      <c r="L118" s="96">
        <f t="shared" si="3"/>
        <v>0</v>
      </c>
      <c r="M118" s="96"/>
      <c r="N118" s="96">
        <v>0</v>
      </c>
      <c r="O118" s="97"/>
    </row>
    <row r="119" spans="1:15" ht="10.5" customHeight="1" x14ac:dyDescent="0.2">
      <c r="A119" s="32">
        <v>107</v>
      </c>
      <c r="B119" s="107" t="s">
        <v>213</v>
      </c>
      <c r="C119" s="96">
        <f>38543-60</f>
        <v>38483</v>
      </c>
      <c r="D119" s="96">
        <v>9233</v>
      </c>
      <c r="E119" s="96"/>
      <c r="F119" s="96">
        <f t="shared" si="2"/>
        <v>112685</v>
      </c>
      <c r="G119" s="96"/>
      <c r="H119" s="96"/>
      <c r="I119" s="96"/>
      <c r="J119" s="96"/>
      <c r="K119" s="96">
        <v>1361</v>
      </c>
      <c r="L119" s="96">
        <f t="shared" si="3"/>
        <v>111324</v>
      </c>
      <c r="M119" s="96">
        <f>25651+250</f>
        <v>25901</v>
      </c>
      <c r="N119" s="96">
        <v>85423</v>
      </c>
      <c r="O119" s="97"/>
    </row>
    <row r="120" spans="1:15" ht="10.5" customHeight="1" x14ac:dyDescent="0.2">
      <c r="A120" s="32">
        <v>108</v>
      </c>
      <c r="B120" s="107" t="s">
        <v>392</v>
      </c>
      <c r="C120" s="96">
        <f>41087+103</f>
        <v>41190</v>
      </c>
      <c r="D120" s="96">
        <f>24625+103</f>
        <v>24728</v>
      </c>
      <c r="E120" s="96"/>
      <c r="F120" s="96">
        <f t="shared" si="2"/>
        <v>74736</v>
      </c>
      <c r="G120" s="96"/>
      <c r="H120" s="96"/>
      <c r="I120" s="96"/>
      <c r="J120" s="96"/>
      <c r="K120" s="96">
        <f>3629+1498</f>
        <v>5127</v>
      </c>
      <c r="L120" s="96">
        <f t="shared" si="3"/>
        <v>69609</v>
      </c>
      <c r="M120" s="96">
        <f>26101-1498</f>
        <v>24603</v>
      </c>
      <c r="N120" s="96">
        <v>45006</v>
      </c>
      <c r="O120" s="97"/>
    </row>
    <row r="121" spans="1:15" ht="10.5" customHeight="1" x14ac:dyDescent="0.2">
      <c r="A121" s="32">
        <v>109</v>
      </c>
      <c r="B121" s="107" t="s">
        <v>220</v>
      </c>
      <c r="C121" s="96">
        <v>14481</v>
      </c>
      <c r="D121" s="96"/>
      <c r="E121" s="96"/>
      <c r="F121" s="96">
        <f t="shared" si="2"/>
        <v>63874</v>
      </c>
      <c r="G121" s="96"/>
      <c r="H121" s="96"/>
      <c r="I121" s="96"/>
      <c r="J121" s="96"/>
      <c r="K121" s="96"/>
      <c r="L121" s="96">
        <f t="shared" si="3"/>
        <v>63874</v>
      </c>
      <c r="M121" s="96">
        <v>12912</v>
      </c>
      <c r="N121" s="96">
        <v>50962</v>
      </c>
      <c r="O121" s="97"/>
    </row>
    <row r="122" spans="1:15" ht="10.5" customHeight="1" x14ac:dyDescent="0.2">
      <c r="A122" s="32">
        <v>110</v>
      </c>
      <c r="B122" s="107" t="s">
        <v>393</v>
      </c>
      <c r="C122" s="96">
        <v>8209</v>
      </c>
      <c r="D122" s="96"/>
      <c r="E122" s="96"/>
      <c r="F122" s="96">
        <f t="shared" si="2"/>
        <v>37258</v>
      </c>
      <c r="G122" s="96"/>
      <c r="H122" s="96"/>
      <c r="I122" s="96"/>
      <c r="J122" s="96"/>
      <c r="K122" s="96"/>
      <c r="L122" s="96">
        <f t="shared" si="3"/>
        <v>37258</v>
      </c>
      <c r="M122" s="96">
        <v>11096</v>
      </c>
      <c r="N122" s="96">
        <v>26162</v>
      </c>
      <c r="O122" s="97"/>
    </row>
    <row r="123" spans="1:15" ht="10.5" customHeight="1" x14ac:dyDescent="0.2">
      <c r="A123" s="32">
        <v>111</v>
      </c>
      <c r="B123" s="107" t="s">
        <v>205</v>
      </c>
      <c r="C123" s="96">
        <v>43627</v>
      </c>
      <c r="D123" s="96">
        <v>26209</v>
      </c>
      <c r="E123" s="96">
        <v>13682</v>
      </c>
      <c r="F123" s="96">
        <f t="shared" si="2"/>
        <v>16974</v>
      </c>
      <c r="G123" s="96"/>
      <c r="H123" s="96"/>
      <c r="I123" s="96"/>
      <c r="J123" s="96"/>
      <c r="K123" s="96">
        <v>3862</v>
      </c>
      <c r="L123" s="96">
        <f t="shared" si="3"/>
        <v>13112</v>
      </c>
      <c r="M123" s="96">
        <f>3059+1350-1350</f>
        <v>3059</v>
      </c>
      <c r="N123" s="96">
        <v>10053</v>
      </c>
      <c r="O123" s="97"/>
    </row>
    <row r="124" spans="1:15" ht="10.5" customHeight="1" x14ac:dyDescent="0.2">
      <c r="A124" s="32">
        <v>112</v>
      </c>
      <c r="B124" s="107" t="s">
        <v>394</v>
      </c>
      <c r="C124" s="96">
        <v>6990</v>
      </c>
      <c r="D124" s="96"/>
      <c r="E124" s="96"/>
      <c r="F124" s="96">
        <f t="shared" si="2"/>
        <v>31947</v>
      </c>
      <c r="G124" s="96"/>
      <c r="H124" s="96"/>
      <c r="I124" s="96"/>
      <c r="J124" s="96"/>
      <c r="K124" s="96"/>
      <c r="L124" s="96">
        <f t="shared" si="3"/>
        <v>31947</v>
      </c>
      <c r="M124" s="96">
        <f>9892+225</f>
        <v>10117</v>
      </c>
      <c r="N124" s="96">
        <v>21830</v>
      </c>
      <c r="O124" s="97"/>
    </row>
    <row r="125" spans="1:15" ht="10.5" customHeight="1" x14ac:dyDescent="0.2">
      <c r="A125" s="32">
        <v>113</v>
      </c>
      <c r="B125" s="107" t="s">
        <v>214</v>
      </c>
      <c r="C125" s="96">
        <f>42904+11+720</f>
        <v>43635</v>
      </c>
      <c r="D125" s="96"/>
      <c r="E125" s="96"/>
      <c r="F125" s="96">
        <f t="shared" si="2"/>
        <v>189793.97628965075</v>
      </c>
      <c r="G125" s="96">
        <f>5935-2968</f>
        <v>2967</v>
      </c>
      <c r="H125" s="96">
        <v>2968</v>
      </c>
      <c r="I125" s="96"/>
      <c r="J125" s="96"/>
      <c r="K125" s="96"/>
      <c r="L125" s="96">
        <f t="shared" si="3"/>
        <v>183858.97628965075</v>
      </c>
      <c r="M125" s="96">
        <v>58793.976289650753</v>
      </c>
      <c r="N125" s="96">
        <v>125065</v>
      </c>
      <c r="O125" s="97"/>
    </row>
    <row r="126" spans="1:15" ht="10.5" customHeight="1" x14ac:dyDescent="0.2">
      <c r="A126" s="32">
        <v>114</v>
      </c>
      <c r="B126" s="107" t="s">
        <v>206</v>
      </c>
      <c r="C126" s="96">
        <f>28184+800+345</f>
        <v>29329</v>
      </c>
      <c r="D126" s="96"/>
      <c r="E126" s="96"/>
      <c r="F126" s="96">
        <f t="shared" si="2"/>
        <v>53451</v>
      </c>
      <c r="G126" s="96"/>
      <c r="H126" s="96"/>
      <c r="I126" s="96"/>
      <c r="J126" s="96"/>
      <c r="K126" s="96"/>
      <c r="L126" s="96">
        <f t="shared" si="3"/>
        <v>53451</v>
      </c>
      <c r="M126" s="96">
        <v>11225</v>
      </c>
      <c r="N126" s="96">
        <v>42226</v>
      </c>
      <c r="O126" s="97"/>
    </row>
    <row r="127" spans="1:15" ht="10.5" customHeight="1" x14ac:dyDescent="0.2">
      <c r="A127" s="32">
        <v>115</v>
      </c>
      <c r="B127" s="107" t="s">
        <v>21</v>
      </c>
      <c r="C127" s="96">
        <v>16114</v>
      </c>
      <c r="D127" s="96"/>
      <c r="E127" s="96"/>
      <c r="F127" s="96">
        <f t="shared" si="2"/>
        <v>72088</v>
      </c>
      <c r="G127" s="96"/>
      <c r="H127" s="96"/>
      <c r="I127" s="96"/>
      <c r="J127" s="96"/>
      <c r="K127" s="96"/>
      <c r="L127" s="96">
        <f t="shared" si="3"/>
        <v>72088</v>
      </c>
      <c r="M127" s="96">
        <v>18708</v>
      </c>
      <c r="N127" s="96">
        <v>53380</v>
      </c>
      <c r="O127" s="97"/>
    </row>
    <row r="128" spans="1:15" ht="10.5" customHeight="1" x14ac:dyDescent="0.2">
      <c r="A128" s="32">
        <v>116</v>
      </c>
      <c r="B128" s="107" t="s">
        <v>310</v>
      </c>
      <c r="C128" s="96">
        <v>0</v>
      </c>
      <c r="D128" s="96"/>
      <c r="E128" s="96"/>
      <c r="F128" s="96">
        <f t="shared" si="2"/>
        <v>34164</v>
      </c>
      <c r="G128" s="96"/>
      <c r="H128" s="96"/>
      <c r="I128" s="96">
        <v>34164</v>
      </c>
      <c r="J128" s="96"/>
      <c r="K128" s="96"/>
      <c r="L128" s="96">
        <f t="shared" si="3"/>
        <v>0</v>
      </c>
      <c r="M128" s="96"/>
      <c r="N128" s="96">
        <v>0</v>
      </c>
      <c r="O128" s="97"/>
    </row>
    <row r="129" spans="1:15" ht="10.5" customHeight="1" x14ac:dyDescent="0.2">
      <c r="A129" s="318">
        <v>117</v>
      </c>
      <c r="B129" s="107" t="s">
        <v>22</v>
      </c>
      <c r="C129" s="96">
        <v>4245</v>
      </c>
      <c r="D129" s="96"/>
      <c r="E129" s="96"/>
      <c r="F129" s="96">
        <f t="shared" si="2"/>
        <v>12590</v>
      </c>
      <c r="G129" s="96"/>
      <c r="H129" s="96"/>
      <c r="I129" s="96"/>
      <c r="J129" s="96"/>
      <c r="K129" s="96"/>
      <c r="L129" s="96">
        <f t="shared" si="3"/>
        <v>12590</v>
      </c>
      <c r="M129" s="96">
        <f>2851-850</f>
        <v>2001</v>
      </c>
      <c r="N129" s="96">
        <v>10589</v>
      </c>
      <c r="O129" s="97"/>
    </row>
    <row r="130" spans="1:15" ht="26.25" customHeight="1" x14ac:dyDescent="0.2">
      <c r="A130" s="319"/>
      <c r="B130" s="108" t="s">
        <v>395</v>
      </c>
      <c r="C130" s="109">
        <v>0</v>
      </c>
      <c r="D130" s="109"/>
      <c r="E130" s="109"/>
      <c r="F130" s="96">
        <f t="shared" si="2"/>
        <v>4470</v>
      </c>
      <c r="G130" s="109"/>
      <c r="H130" s="109"/>
      <c r="I130" s="109">
        <v>4470</v>
      </c>
      <c r="J130" s="109"/>
      <c r="K130" s="109"/>
      <c r="L130" s="109">
        <f t="shared" si="3"/>
        <v>0</v>
      </c>
      <c r="M130" s="109"/>
      <c r="N130" s="109">
        <v>0</v>
      </c>
      <c r="O130" s="97"/>
    </row>
    <row r="131" spans="1:15" ht="23.25" customHeight="1" x14ac:dyDescent="0.2">
      <c r="A131" s="32">
        <v>118</v>
      </c>
      <c r="B131" s="107" t="s">
        <v>396</v>
      </c>
      <c r="C131" s="96">
        <v>0</v>
      </c>
      <c r="D131" s="96"/>
      <c r="E131" s="96"/>
      <c r="F131" s="96">
        <f t="shared" si="2"/>
        <v>1341</v>
      </c>
      <c r="G131" s="96"/>
      <c r="H131" s="96"/>
      <c r="I131" s="96">
        <v>1341</v>
      </c>
      <c r="J131" s="96"/>
      <c r="K131" s="96"/>
      <c r="L131" s="96">
        <f t="shared" si="3"/>
        <v>0</v>
      </c>
      <c r="M131" s="96"/>
      <c r="N131" s="96">
        <v>0</v>
      </c>
      <c r="O131" s="97"/>
    </row>
    <row r="132" spans="1:15" ht="10.5" customHeight="1" x14ac:dyDescent="0.2">
      <c r="A132" s="32">
        <v>119</v>
      </c>
      <c r="B132" s="98" t="s">
        <v>397</v>
      </c>
      <c r="C132" s="96">
        <v>2365</v>
      </c>
      <c r="D132" s="96"/>
      <c r="E132" s="96"/>
      <c r="F132" s="96">
        <f t="shared" si="2"/>
        <v>8243</v>
      </c>
      <c r="G132" s="96"/>
      <c r="H132" s="96"/>
      <c r="I132" s="96"/>
      <c r="J132" s="96"/>
      <c r="K132" s="96"/>
      <c r="L132" s="96">
        <f t="shared" si="3"/>
        <v>8243</v>
      </c>
      <c r="M132" s="96">
        <f>1807+200</f>
        <v>2007</v>
      </c>
      <c r="N132" s="96">
        <v>6236</v>
      </c>
      <c r="O132" s="97"/>
    </row>
    <row r="133" spans="1:15" ht="10.5" customHeight="1" x14ac:dyDescent="0.2">
      <c r="A133" s="32">
        <v>120</v>
      </c>
      <c r="B133" s="95" t="s">
        <v>134</v>
      </c>
      <c r="C133" s="96">
        <v>9927</v>
      </c>
      <c r="D133" s="96"/>
      <c r="E133" s="96"/>
      <c r="F133" s="96">
        <f t="shared" si="2"/>
        <v>30982</v>
      </c>
      <c r="G133" s="96"/>
      <c r="H133" s="96"/>
      <c r="I133" s="96"/>
      <c r="J133" s="96"/>
      <c r="K133" s="96"/>
      <c r="L133" s="96">
        <f t="shared" si="3"/>
        <v>30982</v>
      </c>
      <c r="M133" s="96">
        <f>9323+250</f>
        <v>9573</v>
      </c>
      <c r="N133" s="96">
        <v>21409</v>
      </c>
      <c r="O133" s="97"/>
    </row>
    <row r="134" spans="1:15" ht="10.5" customHeight="1" x14ac:dyDescent="0.2">
      <c r="A134" s="32">
        <v>121</v>
      </c>
      <c r="B134" s="98" t="s">
        <v>135</v>
      </c>
      <c r="C134" s="96">
        <v>10074</v>
      </c>
      <c r="D134" s="96"/>
      <c r="E134" s="96"/>
      <c r="F134" s="96">
        <f t="shared" si="2"/>
        <v>31191</v>
      </c>
      <c r="G134" s="96"/>
      <c r="H134" s="96"/>
      <c r="I134" s="96"/>
      <c r="J134" s="96"/>
      <c r="K134" s="96"/>
      <c r="L134" s="96">
        <f t="shared" si="3"/>
        <v>31191</v>
      </c>
      <c r="M134" s="96">
        <v>9284</v>
      </c>
      <c r="N134" s="96">
        <v>21907</v>
      </c>
      <c r="O134" s="97"/>
    </row>
    <row r="135" spans="1:15" ht="11.25" customHeight="1" x14ac:dyDescent="0.2">
      <c r="A135" s="32">
        <v>122</v>
      </c>
      <c r="B135" s="95" t="s">
        <v>30</v>
      </c>
      <c r="C135" s="96">
        <v>28337</v>
      </c>
      <c r="D135" s="96"/>
      <c r="E135" s="96"/>
      <c r="F135" s="96">
        <f t="shared" si="2"/>
        <v>88040</v>
      </c>
      <c r="G135" s="96"/>
      <c r="H135" s="96"/>
      <c r="I135" s="96"/>
      <c r="J135" s="96"/>
      <c r="K135" s="96"/>
      <c r="L135" s="96">
        <f t="shared" si="3"/>
        <v>88040</v>
      </c>
      <c r="M135" s="96">
        <v>21432</v>
      </c>
      <c r="N135" s="96">
        <v>66608</v>
      </c>
      <c r="O135" s="97"/>
    </row>
    <row r="136" spans="1:15" ht="10.5" customHeight="1" x14ac:dyDescent="0.2">
      <c r="A136" s="32">
        <v>123</v>
      </c>
      <c r="B136" s="98" t="s">
        <v>136</v>
      </c>
      <c r="C136" s="96">
        <v>12355</v>
      </c>
      <c r="D136" s="96"/>
      <c r="E136" s="96"/>
      <c r="F136" s="96">
        <f t="shared" si="2"/>
        <v>38243</v>
      </c>
      <c r="G136" s="96"/>
      <c r="H136" s="96"/>
      <c r="I136" s="96"/>
      <c r="J136" s="96"/>
      <c r="K136" s="96"/>
      <c r="L136" s="96">
        <f t="shared" si="3"/>
        <v>38243</v>
      </c>
      <c r="M136" s="96">
        <v>9050</v>
      </c>
      <c r="N136" s="96">
        <v>29193</v>
      </c>
      <c r="O136" s="97"/>
    </row>
    <row r="137" spans="1:15" ht="10.5" customHeight="1" x14ac:dyDescent="0.2">
      <c r="A137" s="32">
        <v>124</v>
      </c>
      <c r="B137" s="98" t="s">
        <v>137</v>
      </c>
      <c r="C137" s="96">
        <v>15121</v>
      </c>
      <c r="D137" s="96"/>
      <c r="E137" s="96"/>
      <c r="F137" s="96">
        <f t="shared" ref="F137:F189" si="4">G137+I137+J137+K137+L137+H137</f>
        <v>47277</v>
      </c>
      <c r="G137" s="96"/>
      <c r="H137" s="96"/>
      <c r="I137" s="96"/>
      <c r="J137" s="96"/>
      <c r="K137" s="96"/>
      <c r="L137" s="96">
        <f t="shared" si="3"/>
        <v>47277</v>
      </c>
      <c r="M137" s="96">
        <f>11207+500</f>
        <v>11707</v>
      </c>
      <c r="N137" s="96">
        <v>35570</v>
      </c>
      <c r="O137" s="97"/>
    </row>
    <row r="138" spans="1:15" ht="10.5" customHeight="1" x14ac:dyDescent="0.2">
      <c r="A138" s="32">
        <v>125</v>
      </c>
      <c r="B138" s="95" t="s">
        <v>138</v>
      </c>
      <c r="C138" s="96">
        <v>29340</v>
      </c>
      <c r="D138" s="96"/>
      <c r="E138" s="96"/>
      <c r="F138" s="96">
        <f t="shared" si="4"/>
        <v>91879</v>
      </c>
      <c r="G138" s="96"/>
      <c r="H138" s="96"/>
      <c r="I138" s="96"/>
      <c r="J138" s="96"/>
      <c r="K138" s="96"/>
      <c r="L138" s="96">
        <f t="shared" ref="L138:L191" si="5">M138+N138</f>
        <v>91879</v>
      </c>
      <c r="M138" s="96">
        <f>27838+1000</f>
        <v>28838</v>
      </c>
      <c r="N138" s="96">
        <v>63041</v>
      </c>
      <c r="O138" s="97"/>
    </row>
    <row r="139" spans="1:15" ht="10.5" customHeight="1" x14ac:dyDescent="0.2">
      <c r="A139" s="32">
        <v>126</v>
      </c>
      <c r="B139" s="95" t="s">
        <v>139</v>
      </c>
      <c r="C139" s="96">
        <v>25635</v>
      </c>
      <c r="D139" s="96"/>
      <c r="E139" s="96"/>
      <c r="F139" s="96">
        <f t="shared" si="4"/>
        <v>79350</v>
      </c>
      <c r="G139" s="96"/>
      <c r="H139" s="96"/>
      <c r="I139" s="96"/>
      <c r="J139" s="96"/>
      <c r="K139" s="96"/>
      <c r="L139" s="96">
        <f t="shared" si="5"/>
        <v>79350</v>
      </c>
      <c r="M139" s="96">
        <v>16634</v>
      </c>
      <c r="N139" s="96">
        <v>62716</v>
      </c>
      <c r="O139" s="97"/>
    </row>
    <row r="140" spans="1:15" ht="10.5" customHeight="1" x14ac:dyDescent="0.2">
      <c r="A140" s="32">
        <v>127</v>
      </c>
      <c r="B140" s="98" t="s">
        <v>140</v>
      </c>
      <c r="C140" s="96">
        <v>9300</v>
      </c>
      <c r="D140" s="96"/>
      <c r="E140" s="96"/>
      <c r="F140" s="96">
        <f t="shared" si="4"/>
        <v>28751</v>
      </c>
      <c r="G140" s="96"/>
      <c r="H140" s="96"/>
      <c r="I140" s="96"/>
      <c r="J140" s="96"/>
      <c r="K140" s="96"/>
      <c r="L140" s="96">
        <f t="shared" si="5"/>
        <v>28751</v>
      </c>
      <c r="M140" s="96">
        <v>7743</v>
      </c>
      <c r="N140" s="96">
        <v>21008</v>
      </c>
      <c r="O140" s="97"/>
    </row>
    <row r="141" spans="1:15" ht="10.5" customHeight="1" x14ac:dyDescent="0.2">
      <c r="A141" s="32">
        <v>128</v>
      </c>
      <c r="B141" s="95" t="s">
        <v>141</v>
      </c>
      <c r="C141" s="96">
        <v>14613</v>
      </c>
      <c r="D141" s="96"/>
      <c r="E141" s="96"/>
      <c r="F141" s="96">
        <f t="shared" si="4"/>
        <v>45223</v>
      </c>
      <c r="G141" s="96"/>
      <c r="H141" s="96"/>
      <c r="I141" s="96"/>
      <c r="J141" s="96"/>
      <c r="K141" s="96"/>
      <c r="L141" s="96">
        <f t="shared" si="5"/>
        <v>45223</v>
      </c>
      <c r="M141" s="96">
        <v>8594</v>
      </c>
      <c r="N141" s="96">
        <v>36629</v>
      </c>
      <c r="O141" s="97"/>
    </row>
    <row r="142" spans="1:15" ht="10.5" customHeight="1" x14ac:dyDescent="0.2">
      <c r="A142" s="32">
        <v>129</v>
      </c>
      <c r="B142" s="98" t="s">
        <v>142</v>
      </c>
      <c r="C142" s="96">
        <v>13934</v>
      </c>
      <c r="D142" s="96"/>
      <c r="E142" s="96"/>
      <c r="F142" s="96">
        <f t="shared" si="4"/>
        <v>43144</v>
      </c>
      <c r="G142" s="96"/>
      <c r="H142" s="96"/>
      <c r="I142" s="96"/>
      <c r="J142" s="96"/>
      <c r="K142" s="96"/>
      <c r="L142" s="96">
        <f t="shared" si="5"/>
        <v>43144</v>
      </c>
      <c r="M142" s="96">
        <v>12239</v>
      </c>
      <c r="N142" s="96">
        <v>30905</v>
      </c>
      <c r="O142" s="97"/>
    </row>
    <row r="143" spans="1:15" ht="10.5" customHeight="1" x14ac:dyDescent="0.2">
      <c r="A143" s="32">
        <v>130</v>
      </c>
      <c r="B143" s="98" t="s">
        <v>15</v>
      </c>
      <c r="C143" s="96">
        <v>16861</v>
      </c>
      <c r="D143" s="96"/>
      <c r="E143" s="96"/>
      <c r="F143" s="96">
        <f t="shared" si="4"/>
        <v>54786</v>
      </c>
      <c r="G143" s="96">
        <v>2552</v>
      </c>
      <c r="H143" s="96"/>
      <c r="I143" s="96"/>
      <c r="J143" s="96"/>
      <c r="K143" s="96"/>
      <c r="L143" s="96">
        <f t="shared" si="5"/>
        <v>52234</v>
      </c>
      <c r="M143" s="96">
        <v>10249</v>
      </c>
      <c r="N143" s="96">
        <v>41985</v>
      </c>
      <c r="O143" s="97"/>
    </row>
    <row r="144" spans="1:15" ht="10.5" customHeight="1" x14ac:dyDescent="0.2">
      <c r="A144" s="32">
        <v>131</v>
      </c>
      <c r="B144" s="95" t="s">
        <v>143</v>
      </c>
      <c r="C144" s="96">
        <v>10773</v>
      </c>
      <c r="D144" s="96"/>
      <c r="E144" s="96"/>
      <c r="F144" s="96">
        <f t="shared" si="4"/>
        <v>33356</v>
      </c>
      <c r="G144" s="96"/>
      <c r="H144" s="96"/>
      <c r="I144" s="96"/>
      <c r="J144" s="96"/>
      <c r="K144" s="96"/>
      <c r="L144" s="96">
        <f t="shared" si="5"/>
        <v>33356</v>
      </c>
      <c r="M144" s="96">
        <v>8880</v>
      </c>
      <c r="N144" s="96">
        <v>24476</v>
      </c>
      <c r="O144" s="97"/>
    </row>
    <row r="145" spans="1:15" ht="10.5" customHeight="1" x14ac:dyDescent="0.2">
      <c r="A145" s="32">
        <v>132</v>
      </c>
      <c r="B145" s="98" t="s">
        <v>144</v>
      </c>
      <c r="C145" s="96">
        <v>15929</v>
      </c>
      <c r="D145" s="96"/>
      <c r="E145" s="96"/>
      <c r="F145" s="96">
        <f t="shared" si="4"/>
        <v>49287.982871125612</v>
      </c>
      <c r="G145" s="96"/>
      <c r="H145" s="96"/>
      <c r="I145" s="96"/>
      <c r="J145" s="96"/>
      <c r="K145" s="96"/>
      <c r="L145" s="96">
        <f t="shared" si="5"/>
        <v>49287.982871125612</v>
      </c>
      <c r="M145" s="96">
        <v>10295.982871125612</v>
      </c>
      <c r="N145" s="96">
        <v>38992</v>
      </c>
      <c r="O145" s="97"/>
    </row>
    <row r="146" spans="1:15" ht="10.5" customHeight="1" x14ac:dyDescent="0.2">
      <c r="A146" s="32">
        <v>133</v>
      </c>
      <c r="B146" s="98" t="s">
        <v>145</v>
      </c>
      <c r="C146" s="96">
        <v>26621</v>
      </c>
      <c r="D146" s="96"/>
      <c r="E146" s="96"/>
      <c r="F146" s="96">
        <f t="shared" si="4"/>
        <v>82387</v>
      </c>
      <c r="G146" s="96"/>
      <c r="H146" s="96"/>
      <c r="I146" s="96"/>
      <c r="J146" s="96"/>
      <c r="K146" s="96"/>
      <c r="L146" s="96">
        <f t="shared" si="5"/>
        <v>82387</v>
      </c>
      <c r="M146" s="96">
        <v>21410</v>
      </c>
      <c r="N146" s="96">
        <v>60977</v>
      </c>
      <c r="O146" s="97"/>
    </row>
    <row r="147" spans="1:15" ht="10.5" customHeight="1" x14ac:dyDescent="0.2">
      <c r="A147" s="32">
        <v>134</v>
      </c>
      <c r="B147" s="98" t="s">
        <v>146</v>
      </c>
      <c r="C147" s="96">
        <v>12725</v>
      </c>
      <c r="D147" s="96"/>
      <c r="E147" s="96"/>
      <c r="F147" s="96">
        <f t="shared" si="4"/>
        <v>39384</v>
      </c>
      <c r="G147" s="96"/>
      <c r="H147" s="96"/>
      <c r="I147" s="96"/>
      <c r="J147" s="96"/>
      <c r="K147" s="96"/>
      <c r="L147" s="96">
        <f t="shared" si="5"/>
        <v>39384</v>
      </c>
      <c r="M147" s="96">
        <v>7856</v>
      </c>
      <c r="N147" s="96">
        <v>31528</v>
      </c>
      <c r="O147" s="97"/>
    </row>
    <row r="148" spans="1:15" ht="15" customHeight="1" x14ac:dyDescent="0.2">
      <c r="A148" s="32">
        <v>135</v>
      </c>
      <c r="B148" s="110" t="s">
        <v>398</v>
      </c>
      <c r="C148" s="96">
        <v>7086</v>
      </c>
      <c r="D148" s="96"/>
      <c r="E148" s="96"/>
      <c r="F148" s="96">
        <f t="shared" si="4"/>
        <v>32164</v>
      </c>
      <c r="G148" s="96"/>
      <c r="H148" s="96"/>
      <c r="I148" s="96"/>
      <c r="J148" s="96"/>
      <c r="K148" s="96"/>
      <c r="L148" s="96">
        <f t="shared" si="5"/>
        <v>32164</v>
      </c>
      <c r="M148" s="96">
        <v>7343</v>
      </c>
      <c r="N148" s="96">
        <v>24821</v>
      </c>
      <c r="O148" s="97"/>
    </row>
    <row r="149" spans="1:15" ht="10.5" customHeight="1" x14ac:dyDescent="0.2">
      <c r="A149" s="32">
        <v>136</v>
      </c>
      <c r="B149" s="111" t="s">
        <v>399</v>
      </c>
      <c r="C149" s="96">
        <v>0</v>
      </c>
      <c r="D149" s="96"/>
      <c r="E149" s="96"/>
      <c r="F149" s="96">
        <f t="shared" si="4"/>
        <v>1003</v>
      </c>
      <c r="G149" s="96"/>
      <c r="H149" s="96"/>
      <c r="I149" s="96"/>
      <c r="J149" s="96">
        <f>240+602+210-49</f>
        <v>1003</v>
      </c>
      <c r="K149" s="96"/>
      <c r="L149" s="96">
        <f t="shared" si="5"/>
        <v>0</v>
      </c>
      <c r="M149" s="96"/>
      <c r="N149" s="96">
        <v>0</v>
      </c>
      <c r="O149" s="97"/>
    </row>
    <row r="150" spans="1:15" ht="10.5" customHeight="1" x14ac:dyDescent="0.2">
      <c r="A150" s="32">
        <v>137</v>
      </c>
      <c r="B150" s="107" t="s">
        <v>400</v>
      </c>
      <c r="C150" s="96">
        <v>0</v>
      </c>
      <c r="D150" s="96"/>
      <c r="E150" s="96"/>
      <c r="F150" s="96">
        <f t="shared" si="4"/>
        <v>0</v>
      </c>
      <c r="G150" s="96"/>
      <c r="H150" s="96"/>
      <c r="I150" s="96">
        <f>56-56</f>
        <v>0</v>
      </c>
      <c r="J150" s="96"/>
      <c r="K150" s="96"/>
      <c r="L150" s="96">
        <f t="shared" si="5"/>
        <v>0</v>
      </c>
      <c r="M150" s="96"/>
      <c r="N150" s="96">
        <v>0</v>
      </c>
      <c r="O150" s="97"/>
    </row>
    <row r="151" spans="1:15" ht="10.5" customHeight="1" x14ac:dyDescent="0.2">
      <c r="A151" s="32">
        <v>138</v>
      </c>
      <c r="B151" s="107" t="s">
        <v>401</v>
      </c>
      <c r="C151" s="96">
        <v>0</v>
      </c>
      <c r="D151" s="96"/>
      <c r="E151" s="96"/>
      <c r="F151" s="96">
        <f t="shared" si="4"/>
        <v>31</v>
      </c>
      <c r="G151" s="96"/>
      <c r="H151" s="96"/>
      <c r="I151" s="96">
        <v>31</v>
      </c>
      <c r="J151" s="96"/>
      <c r="K151" s="96"/>
      <c r="L151" s="96">
        <f t="shared" si="5"/>
        <v>0</v>
      </c>
      <c r="M151" s="96"/>
      <c r="N151" s="96">
        <v>0</v>
      </c>
      <c r="O151" s="97"/>
    </row>
    <row r="152" spans="1:15" ht="10.5" customHeight="1" x14ac:dyDescent="0.2">
      <c r="A152" s="32">
        <v>139</v>
      </c>
      <c r="B152" s="98" t="s">
        <v>402</v>
      </c>
      <c r="C152" s="96">
        <f>103-92</f>
        <v>11</v>
      </c>
      <c r="D152" s="96"/>
      <c r="E152" s="96"/>
      <c r="F152" s="96">
        <f t="shared" si="4"/>
        <v>19</v>
      </c>
      <c r="G152" s="96"/>
      <c r="H152" s="96"/>
      <c r="I152" s="96">
        <f>113-94</f>
        <v>19</v>
      </c>
      <c r="J152" s="96"/>
      <c r="K152" s="96"/>
      <c r="L152" s="96">
        <f t="shared" si="5"/>
        <v>0</v>
      </c>
      <c r="M152" s="96"/>
      <c r="N152" s="96">
        <v>0</v>
      </c>
      <c r="O152" s="97"/>
    </row>
    <row r="153" spans="1:15" ht="10.5" customHeight="1" x14ac:dyDescent="0.2">
      <c r="A153" s="32">
        <v>140</v>
      </c>
      <c r="B153" s="98" t="s">
        <v>403</v>
      </c>
      <c r="C153" s="96">
        <f>50-50</f>
        <v>0</v>
      </c>
      <c r="D153" s="96"/>
      <c r="E153" s="96"/>
      <c r="F153" s="96">
        <f t="shared" si="4"/>
        <v>0</v>
      </c>
      <c r="G153" s="96"/>
      <c r="H153" s="96"/>
      <c r="I153" s="96">
        <f>113-113</f>
        <v>0</v>
      </c>
      <c r="J153" s="96"/>
      <c r="K153" s="96"/>
      <c r="L153" s="96">
        <f t="shared" si="5"/>
        <v>0</v>
      </c>
      <c r="M153" s="96"/>
      <c r="N153" s="96">
        <v>0</v>
      </c>
      <c r="O153" s="97"/>
    </row>
    <row r="154" spans="1:15" ht="10.5" customHeight="1" x14ac:dyDescent="0.2">
      <c r="A154" s="32">
        <v>141</v>
      </c>
      <c r="B154" s="95" t="s">
        <v>404</v>
      </c>
      <c r="C154" s="96">
        <v>250</v>
      </c>
      <c r="D154" s="96"/>
      <c r="E154" s="96"/>
      <c r="F154" s="96">
        <f t="shared" si="4"/>
        <v>447</v>
      </c>
      <c r="G154" s="96"/>
      <c r="H154" s="96"/>
      <c r="I154" s="96">
        <v>447</v>
      </c>
      <c r="J154" s="96"/>
      <c r="K154" s="96"/>
      <c r="L154" s="96">
        <f t="shared" si="5"/>
        <v>0</v>
      </c>
      <c r="M154" s="96"/>
      <c r="N154" s="96">
        <v>0</v>
      </c>
      <c r="O154" s="97"/>
    </row>
    <row r="155" spans="1:15" ht="10.5" customHeight="1" x14ac:dyDescent="0.2">
      <c r="A155" s="32">
        <v>142</v>
      </c>
      <c r="B155" s="98" t="s">
        <v>405</v>
      </c>
      <c r="C155" s="96">
        <v>0</v>
      </c>
      <c r="D155" s="96"/>
      <c r="E155" s="96"/>
      <c r="F155" s="96">
        <f t="shared" si="4"/>
        <v>113</v>
      </c>
      <c r="G155" s="96"/>
      <c r="H155" s="96"/>
      <c r="I155" s="96">
        <v>113</v>
      </c>
      <c r="J155" s="96"/>
      <c r="K155" s="96"/>
      <c r="L155" s="96">
        <f t="shared" si="5"/>
        <v>0</v>
      </c>
      <c r="M155" s="96"/>
      <c r="N155" s="96">
        <v>0</v>
      </c>
      <c r="O155" s="97"/>
    </row>
    <row r="156" spans="1:15" ht="10.5" customHeight="1" x14ac:dyDescent="0.2">
      <c r="A156" s="32">
        <v>143</v>
      </c>
      <c r="B156" s="98" t="s">
        <v>406</v>
      </c>
      <c r="C156" s="96">
        <v>0</v>
      </c>
      <c r="D156" s="96"/>
      <c r="E156" s="96"/>
      <c r="F156" s="96">
        <f t="shared" si="4"/>
        <v>0</v>
      </c>
      <c r="G156" s="96"/>
      <c r="H156" s="96"/>
      <c r="I156" s="96">
        <f>56-56</f>
        <v>0</v>
      </c>
      <c r="J156" s="96"/>
      <c r="K156" s="96"/>
      <c r="L156" s="96">
        <f t="shared" si="5"/>
        <v>0</v>
      </c>
      <c r="M156" s="96"/>
      <c r="N156" s="96">
        <v>0</v>
      </c>
      <c r="O156" s="97"/>
    </row>
    <row r="157" spans="1:15" ht="10.5" customHeight="1" x14ac:dyDescent="0.2">
      <c r="A157" s="32">
        <v>144</v>
      </c>
      <c r="B157" s="98" t="s">
        <v>407</v>
      </c>
      <c r="C157" s="96">
        <v>0</v>
      </c>
      <c r="D157" s="96"/>
      <c r="E157" s="96"/>
      <c r="F157" s="96">
        <f t="shared" si="4"/>
        <v>56</v>
      </c>
      <c r="G157" s="96"/>
      <c r="H157" s="96"/>
      <c r="I157" s="96">
        <v>56</v>
      </c>
      <c r="J157" s="96"/>
      <c r="K157" s="96"/>
      <c r="L157" s="96">
        <f t="shared" si="5"/>
        <v>0</v>
      </c>
      <c r="M157" s="96"/>
      <c r="N157" s="96">
        <v>0</v>
      </c>
      <c r="O157" s="97"/>
    </row>
    <row r="158" spans="1:15" ht="10.5" customHeight="1" x14ac:dyDescent="0.2">
      <c r="A158" s="32">
        <v>145</v>
      </c>
      <c r="B158" s="98" t="s">
        <v>408</v>
      </c>
      <c r="C158" s="96">
        <v>0</v>
      </c>
      <c r="D158" s="96"/>
      <c r="E158" s="96"/>
      <c r="F158" s="96">
        <f t="shared" si="4"/>
        <v>56</v>
      </c>
      <c r="G158" s="96"/>
      <c r="H158" s="96"/>
      <c r="I158" s="96">
        <v>56</v>
      </c>
      <c r="J158" s="96"/>
      <c r="K158" s="96"/>
      <c r="L158" s="96">
        <f t="shared" si="5"/>
        <v>0</v>
      </c>
      <c r="M158" s="96"/>
      <c r="N158" s="96">
        <v>0</v>
      </c>
      <c r="O158" s="97"/>
    </row>
    <row r="159" spans="1:15" s="38" customFormat="1" ht="12.75" customHeight="1" x14ac:dyDescent="0.2">
      <c r="A159" s="32">
        <v>146</v>
      </c>
      <c r="B159" s="107" t="s">
        <v>409</v>
      </c>
      <c r="C159" s="96">
        <v>0</v>
      </c>
      <c r="D159" s="96"/>
      <c r="E159" s="96"/>
      <c r="F159" s="96">
        <f t="shared" si="4"/>
        <v>5390</v>
      </c>
      <c r="G159" s="96"/>
      <c r="H159" s="96"/>
      <c r="I159" s="96"/>
      <c r="J159" s="96">
        <f>1332+3624+210+224</f>
        <v>5390</v>
      </c>
      <c r="K159" s="96"/>
      <c r="L159" s="96">
        <f t="shared" si="5"/>
        <v>0</v>
      </c>
      <c r="M159" s="96"/>
      <c r="N159" s="96">
        <v>0</v>
      </c>
      <c r="O159" s="97"/>
    </row>
    <row r="160" spans="1:15" ht="12" customHeight="1" x14ac:dyDescent="0.2">
      <c r="A160" s="32">
        <v>147</v>
      </c>
      <c r="B160" s="98" t="s">
        <v>410</v>
      </c>
      <c r="C160" s="96">
        <v>103</v>
      </c>
      <c r="D160" s="96"/>
      <c r="E160" s="96"/>
      <c r="F160" s="96">
        <f t="shared" si="4"/>
        <v>113</v>
      </c>
      <c r="G160" s="96"/>
      <c r="H160" s="96"/>
      <c r="I160" s="96">
        <v>113</v>
      </c>
      <c r="J160" s="96"/>
      <c r="K160" s="96"/>
      <c r="L160" s="96">
        <f t="shared" si="5"/>
        <v>0</v>
      </c>
      <c r="M160" s="96"/>
      <c r="N160" s="96">
        <v>0</v>
      </c>
      <c r="O160" s="97"/>
    </row>
    <row r="161" spans="1:15" ht="10.5" customHeight="1" x14ac:dyDescent="0.2">
      <c r="A161" s="32">
        <v>148</v>
      </c>
      <c r="B161" s="98" t="s">
        <v>216</v>
      </c>
      <c r="C161" s="96">
        <v>0</v>
      </c>
      <c r="D161" s="96"/>
      <c r="E161" s="96"/>
      <c r="F161" s="96">
        <f t="shared" si="4"/>
        <v>31</v>
      </c>
      <c r="G161" s="96"/>
      <c r="H161" s="96"/>
      <c r="I161" s="96">
        <f>31</f>
        <v>31</v>
      </c>
      <c r="J161" s="96"/>
      <c r="K161" s="96"/>
      <c r="L161" s="96">
        <f t="shared" si="5"/>
        <v>0</v>
      </c>
      <c r="M161" s="96"/>
      <c r="N161" s="96">
        <v>0</v>
      </c>
      <c r="O161" s="97"/>
    </row>
    <row r="162" spans="1:15" ht="12.75" customHeight="1" x14ac:dyDescent="0.2">
      <c r="A162" s="32">
        <v>149</v>
      </c>
      <c r="B162" s="98" t="s">
        <v>411</v>
      </c>
      <c r="C162" s="96">
        <v>0</v>
      </c>
      <c r="D162" s="96"/>
      <c r="E162" s="96"/>
      <c r="F162" s="96">
        <f t="shared" si="4"/>
        <v>0</v>
      </c>
      <c r="G162" s="96"/>
      <c r="H162" s="96"/>
      <c r="I162" s="96">
        <f>31-31</f>
        <v>0</v>
      </c>
      <c r="J162" s="96"/>
      <c r="K162" s="96"/>
      <c r="L162" s="96">
        <f t="shared" si="5"/>
        <v>0</v>
      </c>
      <c r="M162" s="96"/>
      <c r="N162" s="96">
        <v>0</v>
      </c>
      <c r="O162" s="97"/>
    </row>
    <row r="163" spans="1:15" s="112" customFormat="1" ht="12.75" customHeight="1" x14ac:dyDescent="0.2">
      <c r="A163" s="32">
        <v>150</v>
      </c>
      <c r="B163" s="98" t="s">
        <v>412</v>
      </c>
      <c r="C163" s="96">
        <v>0</v>
      </c>
      <c r="D163" s="96"/>
      <c r="E163" s="96"/>
      <c r="F163" s="96">
        <f t="shared" si="4"/>
        <v>31</v>
      </c>
      <c r="G163" s="96"/>
      <c r="H163" s="96"/>
      <c r="I163" s="96">
        <v>31</v>
      </c>
      <c r="J163" s="96"/>
      <c r="K163" s="96"/>
      <c r="L163" s="96">
        <f t="shared" si="5"/>
        <v>0</v>
      </c>
      <c r="M163" s="96"/>
      <c r="N163" s="96">
        <v>0</v>
      </c>
      <c r="O163" s="97"/>
    </row>
    <row r="164" spans="1:15" x14ac:dyDescent="0.2">
      <c r="A164" s="32">
        <v>151</v>
      </c>
      <c r="B164" s="98" t="s">
        <v>413</v>
      </c>
      <c r="C164" s="96">
        <v>0</v>
      </c>
      <c r="D164" s="96"/>
      <c r="E164" s="96"/>
      <c r="F164" s="96">
        <f t="shared" si="4"/>
        <v>26</v>
      </c>
      <c r="G164" s="96"/>
      <c r="H164" s="96"/>
      <c r="I164" s="96">
        <v>26</v>
      </c>
      <c r="J164" s="96"/>
      <c r="K164" s="96"/>
      <c r="L164" s="96">
        <f t="shared" si="5"/>
        <v>0</v>
      </c>
      <c r="M164" s="96"/>
      <c r="N164" s="96">
        <v>0</v>
      </c>
      <c r="O164" s="97"/>
    </row>
    <row r="165" spans="1:15" x14ac:dyDescent="0.2">
      <c r="A165" s="32">
        <v>152</v>
      </c>
      <c r="B165" s="98" t="s">
        <v>149</v>
      </c>
      <c r="C165" s="96">
        <v>25</v>
      </c>
      <c r="D165" s="96"/>
      <c r="E165" s="96"/>
      <c r="F165" s="96">
        <f t="shared" si="4"/>
        <v>459</v>
      </c>
      <c r="G165" s="96"/>
      <c r="H165" s="96"/>
      <c r="I165" s="96">
        <v>459</v>
      </c>
      <c r="J165" s="96"/>
      <c r="K165" s="96"/>
      <c r="L165" s="96">
        <f t="shared" si="5"/>
        <v>0</v>
      </c>
      <c r="M165" s="96"/>
      <c r="N165" s="96">
        <v>0</v>
      </c>
      <c r="O165" s="97"/>
    </row>
    <row r="166" spans="1:15" ht="14.25" customHeight="1" x14ac:dyDescent="0.2">
      <c r="A166" s="32">
        <v>153</v>
      </c>
      <c r="B166" s="98" t="s">
        <v>414</v>
      </c>
      <c r="C166" s="96">
        <v>0</v>
      </c>
      <c r="D166" s="96"/>
      <c r="E166" s="96"/>
      <c r="F166" s="96">
        <f t="shared" si="4"/>
        <v>27</v>
      </c>
      <c r="G166" s="96"/>
      <c r="H166" s="96"/>
      <c r="I166" s="96">
        <f>50-23</f>
        <v>27</v>
      </c>
      <c r="J166" s="96"/>
      <c r="K166" s="96"/>
      <c r="L166" s="96">
        <f t="shared" si="5"/>
        <v>0</v>
      </c>
      <c r="M166" s="96"/>
      <c r="N166" s="96">
        <v>0</v>
      </c>
      <c r="O166" s="97"/>
    </row>
    <row r="167" spans="1:15" x14ac:dyDescent="0.2">
      <c r="A167" s="32">
        <v>154</v>
      </c>
      <c r="B167" s="98" t="s">
        <v>415</v>
      </c>
      <c r="C167" s="96">
        <f>103-71</f>
        <v>32</v>
      </c>
      <c r="D167" s="96"/>
      <c r="E167" s="96"/>
      <c r="F167" s="96">
        <f t="shared" si="4"/>
        <v>169</v>
      </c>
      <c r="G167" s="96"/>
      <c r="H167" s="96"/>
      <c r="I167" s="96">
        <v>169</v>
      </c>
      <c r="J167" s="96"/>
      <c r="K167" s="96"/>
      <c r="L167" s="96">
        <f t="shared" si="5"/>
        <v>0</v>
      </c>
      <c r="M167" s="96"/>
      <c r="N167" s="96">
        <v>0</v>
      </c>
      <c r="O167" s="97"/>
    </row>
    <row r="168" spans="1:15" x14ac:dyDescent="0.2">
      <c r="A168" s="32">
        <v>155</v>
      </c>
      <c r="B168" s="98" t="s">
        <v>416</v>
      </c>
      <c r="C168" s="96">
        <f>103-87</f>
        <v>16</v>
      </c>
      <c r="D168" s="96"/>
      <c r="E168" s="96"/>
      <c r="F168" s="96">
        <f t="shared" si="4"/>
        <v>113</v>
      </c>
      <c r="G168" s="96"/>
      <c r="H168" s="96"/>
      <c r="I168" s="96">
        <v>113</v>
      </c>
      <c r="J168" s="96"/>
      <c r="K168" s="96"/>
      <c r="L168" s="96">
        <f t="shared" si="5"/>
        <v>0</v>
      </c>
      <c r="M168" s="96"/>
      <c r="N168" s="96">
        <v>0</v>
      </c>
      <c r="O168" s="97"/>
    </row>
    <row r="169" spans="1:15" x14ac:dyDescent="0.2">
      <c r="A169" s="32">
        <v>156</v>
      </c>
      <c r="B169" s="98" t="s">
        <v>417</v>
      </c>
      <c r="C169" s="96">
        <v>0</v>
      </c>
      <c r="D169" s="96"/>
      <c r="E169" s="96"/>
      <c r="F169" s="96">
        <f t="shared" si="4"/>
        <v>853</v>
      </c>
      <c r="G169" s="96"/>
      <c r="H169" s="96"/>
      <c r="I169" s="96"/>
      <c r="J169" s="96">
        <f>120+908-175</f>
        <v>853</v>
      </c>
      <c r="K169" s="96"/>
      <c r="L169" s="96">
        <f t="shared" si="5"/>
        <v>0</v>
      </c>
      <c r="M169" s="96"/>
      <c r="N169" s="96">
        <v>0</v>
      </c>
      <c r="O169" s="97"/>
    </row>
    <row r="170" spans="1:15" x14ac:dyDescent="0.2">
      <c r="A170" s="32">
        <v>157</v>
      </c>
      <c r="B170" s="98" t="s">
        <v>418</v>
      </c>
      <c r="C170" s="96">
        <v>0</v>
      </c>
      <c r="D170" s="96"/>
      <c r="E170" s="96"/>
      <c r="F170" s="96">
        <f t="shared" si="4"/>
        <v>25</v>
      </c>
      <c r="G170" s="96"/>
      <c r="H170" s="96"/>
      <c r="I170" s="96">
        <v>25</v>
      </c>
      <c r="J170" s="96"/>
      <c r="K170" s="96"/>
      <c r="L170" s="96">
        <f t="shared" si="5"/>
        <v>0</v>
      </c>
      <c r="M170" s="96"/>
      <c r="N170" s="96">
        <v>0</v>
      </c>
      <c r="O170" s="97"/>
    </row>
    <row r="171" spans="1:15" x14ac:dyDescent="0.2">
      <c r="A171" s="32">
        <v>158</v>
      </c>
      <c r="B171" s="98" t="s">
        <v>419</v>
      </c>
      <c r="C171" s="96">
        <v>0</v>
      </c>
      <c r="D171" s="96"/>
      <c r="E171" s="96"/>
      <c r="F171" s="96">
        <f t="shared" si="4"/>
        <v>31</v>
      </c>
      <c r="G171" s="96"/>
      <c r="H171" s="96"/>
      <c r="I171" s="96">
        <v>31</v>
      </c>
      <c r="J171" s="96"/>
      <c r="K171" s="96"/>
      <c r="L171" s="96">
        <f t="shared" si="5"/>
        <v>0</v>
      </c>
      <c r="M171" s="96"/>
      <c r="N171" s="96">
        <v>0</v>
      </c>
      <c r="O171" s="97"/>
    </row>
    <row r="172" spans="1:15" x14ac:dyDescent="0.2">
      <c r="A172" s="32">
        <v>159</v>
      </c>
      <c r="B172" s="98" t="s">
        <v>420</v>
      </c>
      <c r="C172" s="96">
        <v>0</v>
      </c>
      <c r="D172" s="96"/>
      <c r="E172" s="96"/>
      <c r="F172" s="96">
        <f t="shared" si="4"/>
        <v>2037</v>
      </c>
      <c r="G172" s="96"/>
      <c r="H172" s="96"/>
      <c r="I172" s="96"/>
      <c r="J172" s="96">
        <f>420+1617</f>
        <v>2037</v>
      </c>
      <c r="K172" s="96"/>
      <c r="L172" s="96">
        <f t="shared" si="5"/>
        <v>0</v>
      </c>
      <c r="M172" s="96"/>
      <c r="N172" s="96">
        <v>0</v>
      </c>
      <c r="O172" s="97"/>
    </row>
    <row r="173" spans="1:15" s="113" customFormat="1" ht="14.25" customHeight="1" x14ac:dyDescent="0.2">
      <c r="A173" s="32">
        <v>160</v>
      </c>
      <c r="B173" s="98" t="s">
        <v>421</v>
      </c>
      <c r="C173" s="96">
        <v>103</v>
      </c>
      <c r="D173" s="96"/>
      <c r="E173" s="96"/>
      <c r="F173" s="96">
        <f t="shared" si="4"/>
        <v>113</v>
      </c>
      <c r="G173" s="96"/>
      <c r="H173" s="96"/>
      <c r="I173" s="96">
        <v>113</v>
      </c>
      <c r="J173" s="96"/>
      <c r="K173" s="96"/>
      <c r="L173" s="96">
        <f t="shared" si="5"/>
        <v>0</v>
      </c>
      <c r="M173" s="96"/>
      <c r="N173" s="96">
        <v>0</v>
      </c>
      <c r="O173" s="97"/>
    </row>
    <row r="174" spans="1:15" s="113" customFormat="1" ht="15.75" customHeight="1" x14ac:dyDescent="0.2">
      <c r="A174" s="32">
        <v>161</v>
      </c>
      <c r="B174" s="98" t="s">
        <v>422</v>
      </c>
      <c r="C174" s="96">
        <v>103</v>
      </c>
      <c r="D174" s="96"/>
      <c r="E174" s="96"/>
      <c r="F174" s="96">
        <f t="shared" si="4"/>
        <v>113</v>
      </c>
      <c r="G174" s="96"/>
      <c r="H174" s="96"/>
      <c r="I174" s="96">
        <v>113</v>
      </c>
      <c r="J174" s="96"/>
      <c r="K174" s="96"/>
      <c r="L174" s="96">
        <f t="shared" si="5"/>
        <v>0</v>
      </c>
      <c r="M174" s="96"/>
      <c r="N174" s="96">
        <v>0</v>
      </c>
      <c r="O174" s="97"/>
    </row>
    <row r="175" spans="1:15" x14ac:dyDescent="0.2">
      <c r="A175" s="32">
        <v>162</v>
      </c>
      <c r="B175" s="98" t="s">
        <v>423</v>
      </c>
      <c r="C175" s="96">
        <f>103-90</f>
        <v>13</v>
      </c>
      <c r="D175" s="96"/>
      <c r="E175" s="96"/>
      <c r="F175" s="96">
        <f t="shared" si="4"/>
        <v>113</v>
      </c>
      <c r="G175" s="96"/>
      <c r="H175" s="96"/>
      <c r="I175" s="96">
        <v>113</v>
      </c>
      <c r="J175" s="96"/>
      <c r="K175" s="96"/>
      <c r="L175" s="96">
        <f t="shared" si="5"/>
        <v>0</v>
      </c>
      <c r="M175" s="96"/>
      <c r="N175" s="96">
        <v>0</v>
      </c>
      <c r="O175" s="97"/>
    </row>
    <row r="176" spans="1:15" x14ac:dyDescent="0.2">
      <c r="A176" s="32">
        <v>163</v>
      </c>
      <c r="B176" s="98" t="s">
        <v>424</v>
      </c>
      <c r="C176" s="96">
        <f>96-96</f>
        <v>0</v>
      </c>
      <c r="D176" s="96"/>
      <c r="E176" s="96"/>
      <c r="F176" s="96">
        <f t="shared" si="4"/>
        <v>0</v>
      </c>
      <c r="G176" s="96"/>
      <c r="H176" s="96"/>
      <c r="I176" s="96">
        <f>113-113</f>
        <v>0</v>
      </c>
      <c r="J176" s="96"/>
      <c r="K176" s="96"/>
      <c r="L176" s="96">
        <f t="shared" si="5"/>
        <v>0</v>
      </c>
      <c r="M176" s="96"/>
      <c r="N176" s="96">
        <v>0</v>
      </c>
      <c r="O176" s="97"/>
    </row>
    <row r="177" spans="1:15" x14ac:dyDescent="0.2">
      <c r="A177" s="32">
        <v>164</v>
      </c>
      <c r="B177" s="98" t="s">
        <v>425</v>
      </c>
      <c r="C177" s="96">
        <v>0</v>
      </c>
      <c r="D177" s="96"/>
      <c r="E177" s="96"/>
      <c r="F177" s="96">
        <f t="shared" si="4"/>
        <v>0</v>
      </c>
      <c r="G177" s="96"/>
      <c r="H177" s="96"/>
      <c r="I177" s="96">
        <f>113-113</f>
        <v>0</v>
      </c>
      <c r="J177" s="96"/>
      <c r="K177" s="96"/>
      <c r="L177" s="96">
        <f t="shared" si="5"/>
        <v>0</v>
      </c>
      <c r="M177" s="96"/>
      <c r="N177" s="96">
        <v>0</v>
      </c>
      <c r="O177" s="97"/>
    </row>
    <row r="178" spans="1:15" x14ac:dyDescent="0.2">
      <c r="A178" s="32">
        <v>165</v>
      </c>
      <c r="B178" s="98" t="s">
        <v>426</v>
      </c>
      <c r="C178" s="96">
        <f>103-103</f>
        <v>0</v>
      </c>
      <c r="D178" s="96"/>
      <c r="E178" s="96"/>
      <c r="F178" s="96">
        <f t="shared" si="4"/>
        <v>0</v>
      </c>
      <c r="G178" s="96"/>
      <c r="H178" s="96"/>
      <c r="I178" s="96">
        <f>169-169</f>
        <v>0</v>
      </c>
      <c r="J178" s="96"/>
      <c r="K178" s="96"/>
      <c r="L178" s="96">
        <f t="shared" si="5"/>
        <v>0</v>
      </c>
      <c r="M178" s="96"/>
      <c r="N178" s="96">
        <v>0</v>
      </c>
      <c r="O178" s="97"/>
    </row>
    <row r="179" spans="1:15" x14ac:dyDescent="0.2">
      <c r="A179" s="32">
        <v>166</v>
      </c>
      <c r="B179" s="98" t="s">
        <v>49</v>
      </c>
      <c r="C179" s="96">
        <v>0</v>
      </c>
      <c r="D179" s="96"/>
      <c r="E179" s="96"/>
      <c r="F179" s="96">
        <f t="shared" si="4"/>
        <v>467</v>
      </c>
      <c r="G179" s="96"/>
      <c r="H179" s="96"/>
      <c r="I179" s="96"/>
      <c r="J179" s="96">
        <f>457+10</f>
        <v>467</v>
      </c>
      <c r="K179" s="96"/>
      <c r="L179" s="96">
        <f t="shared" si="5"/>
        <v>0</v>
      </c>
      <c r="M179" s="96"/>
      <c r="N179" s="96">
        <v>0</v>
      </c>
      <c r="O179" s="97"/>
    </row>
    <row r="180" spans="1:15" x14ac:dyDescent="0.2">
      <c r="A180" s="32">
        <v>167</v>
      </c>
      <c r="B180" s="98" t="s">
        <v>25</v>
      </c>
      <c r="C180" s="96">
        <f>13584+238+4617+800+400+346</f>
        <v>19985</v>
      </c>
      <c r="D180" s="96">
        <f>10854+238+1870+800+346</f>
        <v>14108</v>
      </c>
      <c r="E180" s="96"/>
      <c r="F180" s="96">
        <f t="shared" si="4"/>
        <v>1608</v>
      </c>
      <c r="G180" s="96"/>
      <c r="H180" s="96"/>
      <c r="I180" s="96"/>
      <c r="J180" s="96">
        <f>87+12-90</f>
        <v>9</v>
      </c>
      <c r="K180" s="96">
        <v>1599</v>
      </c>
      <c r="L180" s="96">
        <f t="shared" si="5"/>
        <v>0</v>
      </c>
      <c r="M180" s="96"/>
      <c r="N180" s="96">
        <v>0</v>
      </c>
      <c r="O180" s="97"/>
    </row>
    <row r="181" spans="1:15" x14ac:dyDescent="0.2">
      <c r="A181" s="32">
        <v>168</v>
      </c>
      <c r="B181" s="98" t="s">
        <v>154</v>
      </c>
      <c r="C181" s="96">
        <v>12283</v>
      </c>
      <c r="D181" s="96"/>
      <c r="E181" s="96">
        <v>12283</v>
      </c>
      <c r="F181" s="96">
        <f t="shared" si="4"/>
        <v>23691</v>
      </c>
      <c r="G181" s="96"/>
      <c r="H181" s="96"/>
      <c r="I181" s="96">
        <v>23691</v>
      </c>
      <c r="J181" s="96"/>
      <c r="K181" s="96"/>
      <c r="L181" s="96">
        <f t="shared" si="5"/>
        <v>0</v>
      </c>
      <c r="M181" s="96"/>
      <c r="N181" s="96">
        <v>0</v>
      </c>
      <c r="O181" s="97"/>
    </row>
    <row r="182" spans="1:15" x14ac:dyDescent="0.2">
      <c r="A182" s="32">
        <v>169</v>
      </c>
      <c r="B182" s="98" t="s">
        <v>250</v>
      </c>
      <c r="C182" s="96">
        <v>0</v>
      </c>
      <c r="D182" s="96"/>
      <c r="E182" s="96"/>
      <c r="F182" s="96">
        <f t="shared" si="4"/>
        <v>35562</v>
      </c>
      <c r="G182" s="96"/>
      <c r="H182" s="96"/>
      <c r="I182" s="96">
        <v>35562</v>
      </c>
      <c r="J182" s="96"/>
      <c r="K182" s="96"/>
      <c r="L182" s="96">
        <f t="shared" si="5"/>
        <v>0</v>
      </c>
      <c r="M182" s="96"/>
      <c r="N182" s="96">
        <v>0</v>
      </c>
      <c r="O182" s="97"/>
    </row>
    <row r="183" spans="1:15" x14ac:dyDescent="0.2">
      <c r="A183" s="32">
        <v>170</v>
      </c>
      <c r="B183" s="98" t="s">
        <v>249</v>
      </c>
      <c r="C183" s="96">
        <v>0</v>
      </c>
      <c r="D183" s="96"/>
      <c r="E183" s="96"/>
      <c r="F183" s="96">
        <f t="shared" si="4"/>
        <v>27453</v>
      </c>
      <c r="G183" s="96"/>
      <c r="H183" s="96"/>
      <c r="I183" s="96">
        <f>35453-4000-4000</f>
        <v>27453</v>
      </c>
      <c r="J183" s="96"/>
      <c r="K183" s="96"/>
      <c r="L183" s="96">
        <f t="shared" si="5"/>
        <v>0</v>
      </c>
      <c r="M183" s="96"/>
      <c r="N183" s="96">
        <v>0</v>
      </c>
      <c r="O183" s="97"/>
    </row>
    <row r="184" spans="1:15" x14ac:dyDescent="0.2">
      <c r="A184" s="32">
        <v>171</v>
      </c>
      <c r="B184" s="98" t="s">
        <v>28</v>
      </c>
      <c r="C184" s="96">
        <f>30000+1127+345</f>
        <v>31472</v>
      </c>
      <c r="D184" s="96"/>
      <c r="E184" s="96"/>
      <c r="F184" s="96">
        <f t="shared" si="4"/>
        <v>0</v>
      </c>
      <c r="G184" s="96"/>
      <c r="H184" s="96"/>
      <c r="I184" s="96"/>
      <c r="J184" s="96"/>
      <c r="K184" s="96"/>
      <c r="L184" s="96">
        <f t="shared" si="5"/>
        <v>0</v>
      </c>
      <c r="M184" s="96"/>
      <c r="N184" s="96">
        <v>0</v>
      </c>
      <c r="O184" s="97"/>
    </row>
    <row r="185" spans="1:15" x14ac:dyDescent="0.2">
      <c r="A185" s="318">
        <v>172</v>
      </c>
      <c r="B185" s="98" t="s">
        <v>219</v>
      </c>
      <c r="C185" s="96">
        <f>48492-11</f>
        <v>48481</v>
      </c>
      <c r="D185" s="96">
        <f>34804-7000-1000</f>
        <v>26804</v>
      </c>
      <c r="E185" s="96"/>
      <c r="F185" s="96">
        <f t="shared" si="4"/>
        <v>70049</v>
      </c>
      <c r="G185" s="96"/>
      <c r="H185" s="96"/>
      <c r="I185" s="96"/>
      <c r="J185" s="96"/>
      <c r="K185" s="96">
        <v>5128</v>
      </c>
      <c r="L185" s="96">
        <f t="shared" si="5"/>
        <v>64921</v>
      </c>
      <c r="M185" s="96">
        <v>17714</v>
      </c>
      <c r="N185" s="96">
        <v>47207</v>
      </c>
      <c r="O185" s="97"/>
    </row>
    <row r="186" spans="1:15" s="115" customFormat="1" ht="39.75" customHeight="1" x14ac:dyDescent="0.2">
      <c r="A186" s="319"/>
      <c r="B186" s="114" t="s">
        <v>158</v>
      </c>
      <c r="C186" s="100">
        <v>33814</v>
      </c>
      <c r="D186" s="100"/>
      <c r="E186" s="100"/>
      <c r="F186" s="96">
        <f t="shared" si="4"/>
        <v>119754</v>
      </c>
      <c r="G186" s="100"/>
      <c r="H186" s="100"/>
      <c r="I186" s="100"/>
      <c r="J186" s="100"/>
      <c r="K186" s="100"/>
      <c r="L186" s="100">
        <f t="shared" si="5"/>
        <v>119754</v>
      </c>
      <c r="M186" s="100">
        <v>24314</v>
      </c>
      <c r="N186" s="100">
        <v>95440</v>
      </c>
      <c r="O186" s="97"/>
    </row>
    <row r="187" spans="1:15" x14ac:dyDescent="0.2">
      <c r="A187" s="32">
        <v>173</v>
      </c>
      <c r="B187" s="98" t="s">
        <v>427</v>
      </c>
      <c r="C187" s="96">
        <v>4000</v>
      </c>
      <c r="D187" s="96"/>
      <c r="E187" s="96"/>
      <c r="F187" s="96">
        <f t="shared" si="4"/>
        <v>0</v>
      </c>
      <c r="G187" s="96"/>
      <c r="H187" s="96"/>
      <c r="I187" s="96"/>
      <c r="J187" s="96"/>
      <c r="K187" s="96"/>
      <c r="L187" s="96">
        <f t="shared" si="5"/>
        <v>0</v>
      </c>
      <c r="M187" s="96"/>
      <c r="N187" s="96"/>
      <c r="O187" s="97"/>
    </row>
    <row r="188" spans="1:15" x14ac:dyDescent="0.2">
      <c r="A188" s="32">
        <v>174</v>
      </c>
      <c r="B188" s="98" t="s">
        <v>428</v>
      </c>
      <c r="C188" s="96">
        <v>0</v>
      </c>
      <c r="D188" s="96"/>
      <c r="E188" s="96"/>
      <c r="F188" s="96">
        <f t="shared" si="4"/>
        <v>13410</v>
      </c>
      <c r="G188" s="96"/>
      <c r="H188" s="96"/>
      <c r="I188" s="96">
        <v>13410</v>
      </c>
      <c r="J188" s="96"/>
      <c r="K188" s="96"/>
      <c r="L188" s="96">
        <f t="shared" si="5"/>
        <v>0</v>
      </c>
      <c r="M188" s="96"/>
      <c r="N188" s="96"/>
      <c r="O188" s="97"/>
    </row>
    <row r="189" spans="1:15" x14ac:dyDescent="0.2">
      <c r="A189" s="32">
        <v>175</v>
      </c>
      <c r="B189" s="98" t="s">
        <v>252</v>
      </c>
      <c r="C189" s="96">
        <v>0</v>
      </c>
      <c r="D189" s="96"/>
      <c r="E189" s="96"/>
      <c r="F189" s="96">
        <f t="shared" si="4"/>
        <v>894</v>
      </c>
      <c r="G189" s="96"/>
      <c r="H189" s="96"/>
      <c r="I189" s="96">
        <v>894</v>
      </c>
      <c r="J189" s="96"/>
      <c r="K189" s="96"/>
      <c r="L189" s="96">
        <f t="shared" si="5"/>
        <v>0</v>
      </c>
      <c r="M189" s="96"/>
      <c r="N189" s="96"/>
      <c r="O189" s="97"/>
    </row>
    <row r="190" spans="1:15" x14ac:dyDescent="0.2">
      <c r="A190" s="47"/>
      <c r="B190" s="98" t="s">
        <v>32</v>
      </c>
      <c r="C190" s="96">
        <v>9204</v>
      </c>
      <c r="D190" s="96"/>
      <c r="E190" s="96"/>
      <c r="F190" s="96">
        <f>20307-7295</f>
        <v>13012</v>
      </c>
      <c r="G190" s="96"/>
      <c r="H190" s="96"/>
      <c r="I190" s="96"/>
      <c r="J190" s="96"/>
      <c r="K190" s="96"/>
      <c r="L190" s="96">
        <f t="shared" si="5"/>
        <v>0</v>
      </c>
      <c r="M190" s="96"/>
      <c r="N190" s="96"/>
      <c r="O190" s="97"/>
    </row>
    <row r="191" spans="1:15" x14ac:dyDescent="0.2">
      <c r="A191" s="47"/>
      <c r="B191" s="116" t="s">
        <v>429</v>
      </c>
      <c r="C191" s="96">
        <v>0</v>
      </c>
      <c r="D191" s="96"/>
      <c r="E191" s="96"/>
      <c r="F191" s="96">
        <f t="shared" ref="F191" si="6">G191+I191+J191+K191+L191</f>
        <v>957</v>
      </c>
      <c r="G191" s="96"/>
      <c r="H191" s="96"/>
      <c r="I191" s="96"/>
      <c r="J191" s="96">
        <f>1309-12-430+90</f>
        <v>957</v>
      </c>
      <c r="K191" s="96"/>
      <c r="L191" s="96">
        <f t="shared" si="5"/>
        <v>0</v>
      </c>
      <c r="M191" s="96"/>
      <c r="N191" s="96"/>
      <c r="O191" s="97"/>
    </row>
    <row r="192" spans="1:15" x14ac:dyDescent="0.2">
      <c r="A192" s="117"/>
      <c r="B192" s="117" t="s">
        <v>166</v>
      </c>
      <c r="C192" s="118">
        <f>SUM(C7:C191)</f>
        <v>2272164</v>
      </c>
      <c r="D192" s="118">
        <f>SUM(D7:D191)</f>
        <v>122185</v>
      </c>
      <c r="E192" s="118">
        <f>SUM(E7:E191)</f>
        <v>25965</v>
      </c>
      <c r="F192" s="118">
        <f>SUM(F7:F191)</f>
        <v>7181662.0068818731</v>
      </c>
      <c r="G192" s="118">
        <f t="shared" ref="G192:N192" si="7">SUM(G7:G191)</f>
        <v>65628</v>
      </c>
      <c r="H192" s="118">
        <f t="shared" si="7"/>
        <v>11490</v>
      </c>
      <c r="I192" s="118">
        <f t="shared" si="7"/>
        <v>519961</v>
      </c>
      <c r="J192" s="118">
        <f t="shared" si="7"/>
        <v>10716</v>
      </c>
      <c r="K192" s="118">
        <f t="shared" si="7"/>
        <v>19230</v>
      </c>
      <c r="L192" s="118">
        <f t="shared" si="7"/>
        <v>6541625.0068818731</v>
      </c>
      <c r="M192" s="118">
        <f t="shared" si="7"/>
        <v>1675451.0068818741</v>
      </c>
      <c r="N192" s="118">
        <f t="shared" si="7"/>
        <v>4866174</v>
      </c>
      <c r="O192" s="97"/>
    </row>
    <row r="195" spans="6:6" x14ac:dyDescent="0.2">
      <c r="F195" s="119"/>
    </row>
  </sheetData>
  <mergeCells count="23">
    <mergeCell ref="A1:N1"/>
    <mergeCell ref="A3:A6"/>
    <mergeCell ref="B3:B6"/>
    <mergeCell ref="C3:C6"/>
    <mergeCell ref="D3:E4"/>
    <mergeCell ref="F3:F6"/>
    <mergeCell ref="G3:N3"/>
    <mergeCell ref="G4:G6"/>
    <mergeCell ref="H4:H6"/>
    <mergeCell ref="I4:I6"/>
    <mergeCell ref="A185:A186"/>
    <mergeCell ref="J4:J6"/>
    <mergeCell ref="K4:K6"/>
    <mergeCell ref="L4:N4"/>
    <mergeCell ref="D5:D6"/>
    <mergeCell ref="E5:E6"/>
    <mergeCell ref="L5:L6"/>
    <mergeCell ref="M5:N5"/>
    <mergeCell ref="A11:A12"/>
    <mergeCell ref="A51:A52"/>
    <mergeCell ref="A56:A58"/>
    <mergeCell ref="A61:A62"/>
    <mergeCell ref="A129:A130"/>
  </mergeCells>
  <pageMargins left="0.51181102362204722" right="0.39370078740157483" top="0.39370078740157483" bottom="0.19685039370078741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zoomScale="124" zoomScaleNormal="124" workbookViewId="0">
      <pane xSplit="3" ySplit="7" topLeftCell="D152" activePane="bottomRight" state="frozen"/>
      <selection pane="topRight" activeCell="D1" sqref="D1"/>
      <selection pane="bottomLeft" activeCell="A8" sqref="A8"/>
      <selection pane="bottomRight" activeCell="E188" sqref="E188"/>
    </sheetView>
  </sheetViews>
  <sheetFormatPr defaultRowHeight="15" x14ac:dyDescent="0.25"/>
  <cols>
    <col min="1" max="1" width="4.28515625" style="120" customWidth="1"/>
    <col min="2" max="2" width="26.140625" style="11" customWidth="1"/>
    <col min="3" max="3" width="7" style="120" customWidth="1"/>
    <col min="4" max="5" width="7.7109375" style="120" customWidth="1"/>
    <col min="6" max="6" width="5.5703125" style="120" customWidth="1"/>
    <col min="7" max="7" width="8.85546875" style="120" customWidth="1"/>
    <col min="8" max="8" width="11.42578125" style="120" customWidth="1"/>
    <col min="9" max="9" width="9.28515625" style="120" customWidth="1"/>
    <col min="10" max="10" width="6" style="122" customWidth="1"/>
    <col min="11" max="11" width="6.5703125" style="120" customWidth="1"/>
    <col min="12" max="12" width="7" style="120" customWidth="1"/>
    <col min="13" max="13" width="6.85546875" style="120" customWidth="1"/>
    <col min="14" max="14" width="8" style="120" customWidth="1"/>
    <col min="15" max="15" width="6.42578125" style="120" customWidth="1"/>
    <col min="16" max="16" width="8.7109375" style="120" customWidth="1"/>
    <col min="17" max="17" width="4.85546875" style="120" customWidth="1"/>
    <col min="18" max="16384" width="9.140625" style="120"/>
  </cols>
  <sheetData>
    <row r="1" spans="1:16" x14ac:dyDescent="0.25">
      <c r="A1" s="423" t="s">
        <v>430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 x14ac:dyDescent="0.25">
      <c r="A2" s="121"/>
      <c r="O2" s="424" t="s">
        <v>431</v>
      </c>
      <c r="P2" s="424"/>
    </row>
    <row r="3" spans="1:16" s="123" customFormat="1" ht="11.25" customHeight="1" x14ac:dyDescent="0.25">
      <c r="A3" s="413" t="s">
        <v>7</v>
      </c>
      <c r="B3" s="413" t="s">
        <v>209</v>
      </c>
      <c r="C3" s="413" t="s">
        <v>432</v>
      </c>
      <c r="D3" s="416" t="s">
        <v>210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17"/>
    </row>
    <row r="4" spans="1:16" s="123" customFormat="1" ht="21" customHeight="1" x14ac:dyDescent="0.25">
      <c r="A4" s="415"/>
      <c r="B4" s="415"/>
      <c r="C4" s="415"/>
      <c r="D4" s="413" t="s">
        <v>433</v>
      </c>
      <c r="E4" s="416" t="s">
        <v>434</v>
      </c>
      <c r="F4" s="417"/>
      <c r="G4" s="413" t="s">
        <v>435</v>
      </c>
      <c r="H4" s="413" t="s">
        <v>519</v>
      </c>
      <c r="I4" s="413" t="s">
        <v>436</v>
      </c>
      <c r="J4" s="413" t="s">
        <v>437</v>
      </c>
      <c r="K4" s="416" t="s">
        <v>210</v>
      </c>
      <c r="L4" s="417"/>
      <c r="M4" s="413" t="s">
        <v>438</v>
      </c>
      <c r="N4" s="413" t="s">
        <v>439</v>
      </c>
      <c r="O4" s="419" t="s">
        <v>440</v>
      </c>
      <c r="P4" s="420"/>
    </row>
    <row r="5" spans="1:16" s="123" customFormat="1" ht="15" customHeight="1" x14ac:dyDescent="0.25">
      <c r="A5" s="415"/>
      <c r="B5" s="415"/>
      <c r="C5" s="415"/>
      <c r="D5" s="415"/>
      <c r="E5" s="413" t="s">
        <v>441</v>
      </c>
      <c r="F5" s="413" t="s">
        <v>442</v>
      </c>
      <c r="G5" s="415"/>
      <c r="H5" s="415"/>
      <c r="I5" s="415"/>
      <c r="J5" s="415"/>
      <c r="K5" s="413" t="s">
        <v>443</v>
      </c>
      <c r="L5" s="413" t="s">
        <v>444</v>
      </c>
      <c r="M5" s="415"/>
      <c r="N5" s="415"/>
      <c r="O5" s="421"/>
      <c r="P5" s="422"/>
    </row>
    <row r="6" spans="1:16" s="123" customFormat="1" ht="32.25" customHeight="1" x14ac:dyDescent="0.25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174" t="s">
        <v>330</v>
      </c>
      <c r="P6" s="174" t="s">
        <v>331</v>
      </c>
    </row>
    <row r="7" spans="1:16" s="123" customFormat="1" ht="12.75" customHeight="1" x14ac:dyDescent="0.25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  <c r="J7" s="174">
        <v>10</v>
      </c>
      <c r="K7" s="174">
        <v>11</v>
      </c>
      <c r="L7" s="174">
        <v>12</v>
      </c>
      <c r="M7" s="174">
        <v>13</v>
      </c>
      <c r="N7" s="174">
        <v>14</v>
      </c>
      <c r="O7" s="174">
        <v>15</v>
      </c>
      <c r="P7" s="174">
        <v>16</v>
      </c>
    </row>
    <row r="8" spans="1:16" s="126" customFormat="1" ht="15" customHeight="1" x14ac:dyDescent="0.2">
      <c r="A8" s="175">
        <v>1</v>
      </c>
      <c r="B8" s="124" t="s">
        <v>12</v>
      </c>
      <c r="C8" s="125">
        <f t="shared" ref="C8:C72" si="0">D8+E8+F8+G8+H8+I8+J8+M8+N8+O8+P8</f>
        <v>161994</v>
      </c>
      <c r="D8" s="125">
        <v>23979</v>
      </c>
      <c r="E8" s="125">
        <v>10139</v>
      </c>
      <c r="F8" s="125">
        <v>2032</v>
      </c>
      <c r="G8" s="125">
        <v>529</v>
      </c>
      <c r="H8" s="125">
        <v>7667</v>
      </c>
      <c r="I8" s="125">
        <v>27045</v>
      </c>
      <c r="J8" s="125">
        <v>1464</v>
      </c>
      <c r="K8" s="125">
        <v>1025</v>
      </c>
      <c r="L8" s="125">
        <v>439</v>
      </c>
      <c r="M8" s="125"/>
      <c r="N8" s="125"/>
      <c r="O8" s="125">
        <v>7321</v>
      </c>
      <c r="P8" s="125">
        <v>81818</v>
      </c>
    </row>
    <row r="9" spans="1:16" s="126" customFormat="1" ht="16.5" x14ac:dyDescent="0.2">
      <c r="A9" s="175">
        <v>2</v>
      </c>
      <c r="B9" s="124" t="s">
        <v>332</v>
      </c>
      <c r="C9" s="125">
        <f t="shared" si="0"/>
        <v>6000</v>
      </c>
      <c r="D9" s="125"/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/>
      <c r="L9" s="125"/>
      <c r="M9" s="125"/>
      <c r="N9" s="125">
        <v>6000</v>
      </c>
      <c r="O9" s="125"/>
      <c r="P9" s="125">
        <v>0</v>
      </c>
    </row>
    <row r="10" spans="1:16" s="128" customFormat="1" ht="12" x14ac:dyDescent="0.2">
      <c r="A10" s="175">
        <v>3</v>
      </c>
      <c r="B10" s="127" t="s">
        <v>13</v>
      </c>
      <c r="C10" s="125">
        <f t="shared" si="0"/>
        <v>158822</v>
      </c>
      <c r="D10" s="125">
        <v>9956</v>
      </c>
      <c r="E10" s="125">
        <v>10964</v>
      </c>
      <c r="F10" s="125">
        <v>3065</v>
      </c>
      <c r="G10" s="125">
        <v>181</v>
      </c>
      <c r="H10" s="125">
        <v>7546</v>
      </c>
      <c r="I10" s="125">
        <v>23781</v>
      </c>
      <c r="J10" s="125">
        <v>1464</v>
      </c>
      <c r="K10" s="125">
        <v>1025</v>
      </c>
      <c r="L10" s="125">
        <v>439</v>
      </c>
      <c r="M10" s="125">
        <v>260</v>
      </c>
      <c r="N10" s="125"/>
      <c r="O10" s="125">
        <v>10325</v>
      </c>
      <c r="P10" s="125">
        <v>91280</v>
      </c>
    </row>
    <row r="11" spans="1:16" s="128" customFormat="1" ht="15.75" customHeight="1" x14ac:dyDescent="0.2">
      <c r="A11" s="175">
        <v>4</v>
      </c>
      <c r="B11" s="127" t="s">
        <v>333</v>
      </c>
      <c r="C11" s="125">
        <f t="shared" si="0"/>
        <v>5340</v>
      </c>
      <c r="D11" s="125"/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/>
      <c r="L11" s="125"/>
      <c r="M11" s="125"/>
      <c r="N11" s="125">
        <v>5340</v>
      </c>
      <c r="O11" s="125"/>
      <c r="P11" s="125">
        <v>0</v>
      </c>
    </row>
    <row r="12" spans="1:16" s="128" customFormat="1" ht="12" x14ac:dyDescent="0.2">
      <c r="A12" s="411">
        <v>5</v>
      </c>
      <c r="B12" s="129" t="s">
        <v>57</v>
      </c>
      <c r="C12" s="125">
        <f t="shared" si="0"/>
        <v>409397</v>
      </c>
      <c r="D12" s="125">
        <v>36428</v>
      </c>
      <c r="E12" s="125">
        <v>26783</v>
      </c>
      <c r="F12" s="125">
        <v>8202</v>
      </c>
      <c r="G12" s="125">
        <f>253-50</f>
        <v>203</v>
      </c>
      <c r="H12" s="125">
        <v>38352</v>
      </c>
      <c r="I12" s="125">
        <v>73205</v>
      </c>
      <c r="J12" s="125">
        <v>1464</v>
      </c>
      <c r="K12" s="125">
        <v>1025</v>
      </c>
      <c r="L12" s="125">
        <v>439</v>
      </c>
      <c r="M12" s="125"/>
      <c r="N12" s="125"/>
      <c r="O12" s="125">
        <v>48289</v>
      </c>
      <c r="P12" s="125">
        <v>176471</v>
      </c>
    </row>
    <row r="13" spans="1:16" s="128" customFormat="1" ht="26.25" customHeight="1" x14ac:dyDescent="0.2">
      <c r="A13" s="412"/>
      <c r="B13" s="130" t="s">
        <v>334</v>
      </c>
      <c r="C13" s="125">
        <f t="shared" si="0"/>
        <v>47434</v>
      </c>
      <c r="D13" s="125"/>
      <c r="E13" s="125">
        <v>3515</v>
      </c>
      <c r="F13" s="125">
        <v>1094</v>
      </c>
      <c r="G13" s="125">
        <v>21</v>
      </c>
      <c r="H13" s="125">
        <v>4143</v>
      </c>
      <c r="I13" s="125">
        <v>5328</v>
      </c>
      <c r="J13" s="125">
        <v>0</v>
      </c>
      <c r="K13" s="125"/>
      <c r="L13" s="125"/>
      <c r="M13" s="125"/>
      <c r="N13" s="125"/>
      <c r="O13" s="125">
        <v>7920</v>
      </c>
      <c r="P13" s="125">
        <f>20921+4492</f>
        <v>25413</v>
      </c>
    </row>
    <row r="14" spans="1:16" s="128" customFormat="1" ht="12" x14ac:dyDescent="0.2">
      <c r="A14" s="175">
        <v>6</v>
      </c>
      <c r="B14" s="127" t="s">
        <v>59</v>
      </c>
      <c r="C14" s="125">
        <f t="shared" si="0"/>
        <v>122570</v>
      </c>
      <c r="D14" s="125"/>
      <c r="E14" s="125">
        <v>9401</v>
      </c>
      <c r="F14" s="125">
        <v>2741</v>
      </c>
      <c r="G14" s="125">
        <v>270</v>
      </c>
      <c r="H14" s="125">
        <v>8891</v>
      </c>
      <c r="I14" s="125">
        <v>21648</v>
      </c>
      <c r="J14" s="125">
        <v>1464</v>
      </c>
      <c r="K14" s="125">
        <v>1025</v>
      </c>
      <c r="L14" s="125">
        <v>439</v>
      </c>
      <c r="M14" s="125"/>
      <c r="N14" s="125"/>
      <c r="O14" s="125">
        <v>17450</v>
      </c>
      <c r="P14" s="125">
        <v>60705</v>
      </c>
    </row>
    <row r="15" spans="1:16" s="128" customFormat="1" ht="12" x14ac:dyDescent="0.2">
      <c r="A15" s="175">
        <v>7</v>
      </c>
      <c r="B15" s="127" t="s">
        <v>60</v>
      </c>
      <c r="C15" s="125">
        <f t="shared" si="0"/>
        <v>50269</v>
      </c>
      <c r="D15" s="125"/>
      <c r="E15" s="125">
        <v>4289</v>
      </c>
      <c r="F15" s="125">
        <v>1139</v>
      </c>
      <c r="G15" s="125">
        <v>80</v>
      </c>
      <c r="H15" s="125">
        <v>6102</v>
      </c>
      <c r="I15" s="125">
        <v>9254</v>
      </c>
      <c r="J15" s="125">
        <v>0</v>
      </c>
      <c r="K15" s="125"/>
      <c r="L15" s="125"/>
      <c r="M15" s="125"/>
      <c r="N15" s="125"/>
      <c r="O15" s="125">
        <v>9750</v>
      </c>
      <c r="P15" s="125">
        <v>19655</v>
      </c>
    </row>
    <row r="16" spans="1:16" s="128" customFormat="1" ht="12" x14ac:dyDescent="0.2">
      <c r="A16" s="175">
        <v>8</v>
      </c>
      <c r="B16" s="127" t="s">
        <v>61</v>
      </c>
      <c r="C16" s="125">
        <f t="shared" si="0"/>
        <v>55598</v>
      </c>
      <c r="D16" s="125"/>
      <c r="E16" s="125">
        <v>4292</v>
      </c>
      <c r="F16" s="125">
        <v>1051</v>
      </c>
      <c r="G16" s="125">
        <v>120</v>
      </c>
      <c r="H16" s="125">
        <v>5921</v>
      </c>
      <c r="I16" s="125">
        <v>9579</v>
      </c>
      <c r="J16" s="125">
        <v>1464</v>
      </c>
      <c r="K16" s="125">
        <v>1025</v>
      </c>
      <c r="L16" s="125">
        <v>439</v>
      </c>
      <c r="M16" s="125"/>
      <c r="N16" s="125"/>
      <c r="O16" s="125">
        <v>6546</v>
      </c>
      <c r="P16" s="125">
        <v>26625</v>
      </c>
    </row>
    <row r="17" spans="1:16" s="128" customFormat="1" ht="12" x14ac:dyDescent="0.2">
      <c r="A17" s="175">
        <v>9</v>
      </c>
      <c r="B17" s="127" t="s">
        <v>62</v>
      </c>
      <c r="C17" s="125">
        <f t="shared" si="0"/>
        <v>59091</v>
      </c>
      <c r="D17" s="125"/>
      <c r="E17" s="125">
        <v>4846</v>
      </c>
      <c r="F17" s="125">
        <v>1465</v>
      </c>
      <c r="G17" s="125">
        <v>71</v>
      </c>
      <c r="H17" s="125">
        <v>6565</v>
      </c>
      <c r="I17" s="125">
        <v>7831</v>
      </c>
      <c r="J17" s="125">
        <v>0</v>
      </c>
      <c r="K17" s="125"/>
      <c r="L17" s="125"/>
      <c r="M17" s="125"/>
      <c r="N17" s="125"/>
      <c r="O17" s="125">
        <v>8579</v>
      </c>
      <c r="P17" s="125">
        <v>29734</v>
      </c>
    </row>
    <row r="18" spans="1:16" s="128" customFormat="1" ht="12" x14ac:dyDescent="0.2">
      <c r="A18" s="175">
        <v>10</v>
      </c>
      <c r="B18" s="127" t="s">
        <v>63</v>
      </c>
      <c r="C18" s="125">
        <f t="shared" si="0"/>
        <v>60373</v>
      </c>
      <c r="D18" s="125"/>
      <c r="E18" s="125">
        <v>4895</v>
      </c>
      <c r="F18" s="125">
        <v>1316</v>
      </c>
      <c r="G18" s="125">
        <v>67</v>
      </c>
      <c r="H18" s="125">
        <v>3261</v>
      </c>
      <c r="I18" s="125">
        <v>11307</v>
      </c>
      <c r="J18" s="125">
        <v>0</v>
      </c>
      <c r="K18" s="125"/>
      <c r="L18" s="125"/>
      <c r="M18" s="125"/>
      <c r="N18" s="125"/>
      <c r="O18" s="125">
        <f>10032+200+1000</f>
        <v>11232</v>
      </c>
      <c r="P18" s="125">
        <v>28295</v>
      </c>
    </row>
    <row r="19" spans="1:16" s="128" customFormat="1" ht="12" x14ac:dyDescent="0.2">
      <c r="A19" s="175">
        <v>11</v>
      </c>
      <c r="B19" s="129" t="s">
        <v>64</v>
      </c>
      <c r="C19" s="125">
        <f t="shared" si="0"/>
        <v>63719</v>
      </c>
      <c r="D19" s="125"/>
      <c r="E19" s="125">
        <v>4571</v>
      </c>
      <c r="F19" s="125">
        <v>1321</v>
      </c>
      <c r="G19" s="125">
        <v>158</v>
      </c>
      <c r="H19" s="125">
        <v>4315</v>
      </c>
      <c r="I19" s="125">
        <v>11306</v>
      </c>
      <c r="J19" s="125">
        <v>0</v>
      </c>
      <c r="K19" s="125"/>
      <c r="L19" s="125"/>
      <c r="M19" s="125"/>
      <c r="N19" s="125"/>
      <c r="O19" s="125">
        <v>10188</v>
      </c>
      <c r="P19" s="125">
        <v>31860</v>
      </c>
    </row>
    <row r="20" spans="1:16" s="128" customFormat="1" ht="12" x14ac:dyDescent="0.2">
      <c r="A20" s="175">
        <v>12</v>
      </c>
      <c r="B20" s="127" t="s">
        <v>65</v>
      </c>
      <c r="C20" s="125">
        <f t="shared" si="0"/>
        <v>59367</v>
      </c>
      <c r="D20" s="125"/>
      <c r="E20" s="125">
        <v>4768</v>
      </c>
      <c r="F20" s="125">
        <v>1220</v>
      </c>
      <c r="G20" s="125">
        <v>55</v>
      </c>
      <c r="H20" s="125">
        <v>7642</v>
      </c>
      <c r="I20" s="125">
        <v>9730</v>
      </c>
      <c r="J20" s="125">
        <v>1464</v>
      </c>
      <c r="K20" s="125">
        <v>1025</v>
      </c>
      <c r="L20" s="125">
        <v>439</v>
      </c>
      <c r="M20" s="125"/>
      <c r="N20" s="125"/>
      <c r="O20" s="125">
        <v>9847</v>
      </c>
      <c r="P20" s="125">
        <v>24641</v>
      </c>
    </row>
    <row r="21" spans="1:16" s="128" customFormat="1" ht="12" x14ac:dyDescent="0.2">
      <c r="A21" s="175">
        <v>13</v>
      </c>
      <c r="B21" s="129" t="s">
        <v>66</v>
      </c>
      <c r="C21" s="125">
        <f t="shared" si="0"/>
        <v>73321</v>
      </c>
      <c r="D21" s="125"/>
      <c r="E21" s="125">
        <v>5942</v>
      </c>
      <c r="F21" s="125">
        <v>3276</v>
      </c>
      <c r="G21" s="125">
        <v>60</v>
      </c>
      <c r="H21" s="125">
        <v>5198</v>
      </c>
      <c r="I21" s="125">
        <v>10699</v>
      </c>
      <c r="J21" s="125">
        <v>0</v>
      </c>
      <c r="K21" s="125"/>
      <c r="L21" s="125"/>
      <c r="M21" s="125"/>
      <c r="N21" s="125"/>
      <c r="O21" s="125">
        <f>11356+4112</f>
        <v>15468</v>
      </c>
      <c r="P21" s="125">
        <v>32678</v>
      </c>
    </row>
    <row r="22" spans="1:16" s="128" customFormat="1" ht="12" x14ac:dyDescent="0.2">
      <c r="A22" s="175">
        <v>14</v>
      </c>
      <c r="B22" s="127" t="s">
        <v>67</v>
      </c>
      <c r="C22" s="125">
        <f t="shared" si="0"/>
        <v>53051.5</v>
      </c>
      <c r="D22" s="125"/>
      <c r="E22" s="125">
        <v>4690</v>
      </c>
      <c r="F22" s="125">
        <v>1341</v>
      </c>
      <c r="G22" s="125">
        <v>92</v>
      </c>
      <c r="H22" s="125">
        <v>3916</v>
      </c>
      <c r="I22" s="125">
        <v>8794.5</v>
      </c>
      <c r="J22" s="125">
        <v>0</v>
      </c>
      <c r="K22" s="125"/>
      <c r="L22" s="125"/>
      <c r="M22" s="125"/>
      <c r="N22" s="125"/>
      <c r="O22" s="125">
        <v>7477</v>
      </c>
      <c r="P22" s="125">
        <v>26741</v>
      </c>
    </row>
    <row r="23" spans="1:16" s="128" customFormat="1" ht="12" x14ac:dyDescent="0.2">
      <c r="A23" s="175">
        <v>15</v>
      </c>
      <c r="B23" s="127" t="s">
        <v>335</v>
      </c>
      <c r="C23" s="125">
        <f t="shared" si="0"/>
        <v>0</v>
      </c>
      <c r="D23" s="125"/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/>
      <c r="L23" s="125"/>
      <c r="M23" s="125"/>
      <c r="N23" s="125">
        <v>0</v>
      </c>
      <c r="O23" s="125"/>
      <c r="P23" s="125">
        <v>0</v>
      </c>
    </row>
    <row r="24" spans="1:16" s="128" customFormat="1" ht="12" x14ac:dyDescent="0.2">
      <c r="A24" s="175">
        <v>16</v>
      </c>
      <c r="B24" s="127" t="s">
        <v>337</v>
      </c>
      <c r="C24" s="125">
        <f t="shared" si="0"/>
        <v>25</v>
      </c>
      <c r="D24" s="125"/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/>
      <c r="L24" s="125"/>
      <c r="M24" s="125"/>
      <c r="N24" s="125">
        <v>25</v>
      </c>
      <c r="O24" s="125"/>
      <c r="P24" s="125">
        <v>0</v>
      </c>
    </row>
    <row r="25" spans="1:16" s="128" customFormat="1" ht="12" x14ac:dyDescent="0.2">
      <c r="A25" s="175">
        <v>17</v>
      </c>
      <c r="B25" s="127" t="s">
        <v>338</v>
      </c>
      <c r="C25" s="125">
        <f t="shared" si="0"/>
        <v>4</v>
      </c>
      <c r="D25" s="125"/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/>
      <c r="L25" s="125"/>
      <c r="M25" s="125"/>
      <c r="N25" s="125">
        <f>25-21</f>
        <v>4</v>
      </c>
      <c r="O25" s="125"/>
      <c r="P25" s="125">
        <v>0</v>
      </c>
    </row>
    <row r="26" spans="1:16" s="128" customFormat="1" ht="12" x14ac:dyDescent="0.2">
      <c r="A26" s="175">
        <v>18</v>
      </c>
      <c r="B26" s="127" t="s">
        <v>343</v>
      </c>
      <c r="C26" s="125">
        <f t="shared" si="0"/>
        <v>0</v>
      </c>
      <c r="D26" s="125"/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/>
      <c r="L26" s="125"/>
      <c r="M26" s="125"/>
      <c r="N26" s="125">
        <v>0</v>
      </c>
      <c r="O26" s="125"/>
      <c r="P26" s="125">
        <v>0</v>
      </c>
    </row>
    <row r="27" spans="1:16" s="128" customFormat="1" ht="12" x14ac:dyDescent="0.2">
      <c r="A27" s="175">
        <v>19</v>
      </c>
      <c r="B27" s="127" t="s">
        <v>445</v>
      </c>
      <c r="C27" s="125">
        <f t="shared" si="0"/>
        <v>100</v>
      </c>
      <c r="D27" s="125"/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/>
      <c r="L27" s="125"/>
      <c r="M27" s="125"/>
      <c r="N27" s="125">
        <v>100</v>
      </c>
      <c r="O27" s="125"/>
      <c r="P27" s="125">
        <v>0</v>
      </c>
    </row>
    <row r="28" spans="1:16" s="128" customFormat="1" ht="12" x14ac:dyDescent="0.2">
      <c r="A28" s="175">
        <v>20</v>
      </c>
      <c r="B28" s="127" t="s">
        <v>196</v>
      </c>
      <c r="C28" s="125">
        <f t="shared" si="0"/>
        <v>159291</v>
      </c>
      <c r="D28" s="125">
        <v>16786</v>
      </c>
      <c r="E28" s="125">
        <v>10353</v>
      </c>
      <c r="F28" s="125">
        <v>2472</v>
      </c>
      <c r="G28" s="125">
        <v>264</v>
      </c>
      <c r="H28" s="125">
        <v>3726</v>
      </c>
      <c r="I28" s="125">
        <v>27995</v>
      </c>
      <c r="J28" s="125">
        <v>1464</v>
      </c>
      <c r="K28" s="125">
        <v>1025</v>
      </c>
      <c r="L28" s="125">
        <v>439</v>
      </c>
      <c r="M28" s="125">
        <v>0</v>
      </c>
      <c r="N28" s="125"/>
      <c r="O28" s="125">
        <v>13219</v>
      </c>
      <c r="P28" s="125">
        <v>83012</v>
      </c>
    </row>
    <row r="29" spans="1:16" s="128" customFormat="1" ht="16.5" x14ac:dyDescent="0.2">
      <c r="A29" s="175">
        <v>21</v>
      </c>
      <c r="B29" s="131" t="s">
        <v>346</v>
      </c>
      <c r="C29" s="125">
        <f t="shared" si="0"/>
        <v>9821</v>
      </c>
      <c r="D29" s="125"/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/>
      <c r="L29" s="125"/>
      <c r="M29" s="125"/>
      <c r="N29" s="125">
        <v>9821</v>
      </c>
      <c r="O29" s="125"/>
      <c r="P29" s="125">
        <v>0</v>
      </c>
    </row>
    <row r="30" spans="1:16" s="128" customFormat="1" ht="12" x14ac:dyDescent="0.2">
      <c r="A30" s="175">
        <v>22</v>
      </c>
      <c r="B30" s="127" t="s">
        <v>16</v>
      </c>
      <c r="C30" s="125">
        <f t="shared" si="0"/>
        <v>150290</v>
      </c>
      <c r="D30" s="125">
        <v>250</v>
      </c>
      <c r="E30" s="125">
        <v>9989</v>
      </c>
      <c r="F30" s="125">
        <v>2461</v>
      </c>
      <c r="G30" s="125">
        <v>127</v>
      </c>
      <c r="H30" s="125">
        <v>8812</v>
      </c>
      <c r="I30" s="125">
        <v>34249</v>
      </c>
      <c r="J30" s="125">
        <v>0</v>
      </c>
      <c r="K30" s="125"/>
      <c r="L30" s="125"/>
      <c r="M30" s="125"/>
      <c r="N30" s="125"/>
      <c r="O30" s="125">
        <v>25083</v>
      </c>
      <c r="P30" s="125">
        <v>69319</v>
      </c>
    </row>
    <row r="31" spans="1:16" s="128" customFormat="1" ht="12" x14ac:dyDescent="0.2">
      <c r="A31" s="175">
        <v>23</v>
      </c>
      <c r="B31" s="127" t="s">
        <v>10</v>
      </c>
      <c r="C31" s="125">
        <f t="shared" si="0"/>
        <v>297746</v>
      </c>
      <c r="D31" s="125">
        <v>23951</v>
      </c>
      <c r="E31" s="125">
        <v>19576</v>
      </c>
      <c r="F31" s="125">
        <v>4203</v>
      </c>
      <c r="G31" s="125">
        <v>740</v>
      </c>
      <c r="H31" s="125">
        <v>20914</v>
      </c>
      <c r="I31" s="125">
        <v>51109</v>
      </c>
      <c r="J31" s="125">
        <v>1464</v>
      </c>
      <c r="K31" s="125">
        <v>1025</v>
      </c>
      <c r="L31" s="125">
        <v>439</v>
      </c>
      <c r="M31" s="125"/>
      <c r="N31" s="125"/>
      <c r="O31" s="125">
        <v>43085</v>
      </c>
      <c r="P31" s="125">
        <v>132704</v>
      </c>
    </row>
    <row r="32" spans="1:16" s="128" customFormat="1" ht="12" x14ac:dyDescent="0.2">
      <c r="A32" s="175">
        <v>24</v>
      </c>
      <c r="B32" s="127" t="s">
        <v>11</v>
      </c>
      <c r="C32" s="125">
        <f t="shared" si="0"/>
        <v>196953</v>
      </c>
      <c r="D32" s="125">
        <v>92</v>
      </c>
      <c r="E32" s="125">
        <v>14489</v>
      </c>
      <c r="F32" s="125">
        <v>6711</v>
      </c>
      <c r="G32" s="125">
        <f>300+12</f>
        <v>312</v>
      </c>
      <c r="H32" s="125">
        <v>15473</v>
      </c>
      <c r="I32" s="125">
        <v>39383</v>
      </c>
      <c r="J32" s="125">
        <v>1464</v>
      </c>
      <c r="K32" s="125">
        <v>1025</v>
      </c>
      <c r="L32" s="125">
        <v>439</v>
      </c>
      <c r="M32" s="125"/>
      <c r="N32" s="125"/>
      <c r="O32" s="125">
        <f>33600+2700</f>
        <v>36300</v>
      </c>
      <c r="P32" s="125">
        <v>82729</v>
      </c>
    </row>
    <row r="33" spans="1:16" s="128" customFormat="1" ht="12" x14ac:dyDescent="0.2">
      <c r="A33" s="175">
        <v>25</v>
      </c>
      <c r="B33" s="127" t="s">
        <v>347</v>
      </c>
      <c r="C33" s="125">
        <f t="shared" si="0"/>
        <v>40998</v>
      </c>
      <c r="D33" s="125"/>
      <c r="E33" s="125">
        <v>2929</v>
      </c>
      <c r="F33" s="125">
        <v>884</v>
      </c>
      <c r="G33" s="125">
        <v>46</v>
      </c>
      <c r="H33" s="125">
        <v>2924</v>
      </c>
      <c r="I33" s="125">
        <v>6055</v>
      </c>
      <c r="J33" s="125">
        <v>0</v>
      </c>
      <c r="K33" s="125"/>
      <c r="L33" s="125"/>
      <c r="M33" s="125"/>
      <c r="N33" s="125"/>
      <c r="O33" s="125">
        <v>11218</v>
      </c>
      <c r="P33" s="125">
        <v>16942</v>
      </c>
    </row>
    <row r="34" spans="1:16" s="128" customFormat="1" ht="12" x14ac:dyDescent="0.2">
      <c r="A34" s="175">
        <v>26</v>
      </c>
      <c r="B34" s="127" t="s">
        <v>72</v>
      </c>
      <c r="C34" s="125">
        <f t="shared" si="0"/>
        <v>68375</v>
      </c>
      <c r="D34" s="125">
        <v>260</v>
      </c>
      <c r="E34" s="125">
        <v>5736</v>
      </c>
      <c r="F34" s="125">
        <v>1568</v>
      </c>
      <c r="G34" s="125">
        <f>130+33</f>
        <v>163</v>
      </c>
      <c r="H34" s="125">
        <v>1408</v>
      </c>
      <c r="I34" s="125">
        <v>14770</v>
      </c>
      <c r="J34" s="125">
        <v>0</v>
      </c>
      <c r="K34" s="125"/>
      <c r="L34" s="125"/>
      <c r="M34" s="125"/>
      <c r="N34" s="125"/>
      <c r="O34" s="125">
        <v>6863</v>
      </c>
      <c r="P34" s="125">
        <v>37607</v>
      </c>
    </row>
    <row r="35" spans="1:16" s="128" customFormat="1" ht="12" x14ac:dyDescent="0.2">
      <c r="A35" s="175">
        <v>27</v>
      </c>
      <c r="B35" s="127" t="s">
        <v>73</v>
      </c>
      <c r="C35" s="125">
        <f t="shared" si="0"/>
        <v>94943</v>
      </c>
      <c r="D35" s="125">
        <v>437</v>
      </c>
      <c r="E35" s="125">
        <v>7482</v>
      </c>
      <c r="F35" s="125">
        <v>2355</v>
      </c>
      <c r="G35" s="125">
        <f>306-37</f>
        <v>269</v>
      </c>
      <c r="H35" s="125">
        <v>5948</v>
      </c>
      <c r="I35" s="125">
        <v>25009</v>
      </c>
      <c r="J35" s="125">
        <v>1464</v>
      </c>
      <c r="K35" s="125">
        <v>1025</v>
      </c>
      <c r="L35" s="125">
        <v>439</v>
      </c>
      <c r="M35" s="125"/>
      <c r="N35" s="125"/>
      <c r="O35" s="125">
        <f>12367+500</f>
        <v>12867</v>
      </c>
      <c r="P35" s="125">
        <v>39112</v>
      </c>
    </row>
    <row r="36" spans="1:16" s="128" customFormat="1" ht="12" x14ac:dyDescent="0.2">
      <c r="A36" s="175">
        <v>28</v>
      </c>
      <c r="B36" s="127" t="s">
        <v>74</v>
      </c>
      <c r="C36" s="125">
        <f t="shared" si="0"/>
        <v>41822</v>
      </c>
      <c r="D36" s="125">
        <v>1470</v>
      </c>
      <c r="E36" s="125">
        <v>3071</v>
      </c>
      <c r="F36" s="125">
        <v>890</v>
      </c>
      <c r="G36" s="125">
        <v>30</v>
      </c>
      <c r="H36" s="125">
        <v>2589</v>
      </c>
      <c r="I36" s="125">
        <v>10758</v>
      </c>
      <c r="J36" s="125">
        <v>0</v>
      </c>
      <c r="K36" s="125"/>
      <c r="L36" s="125"/>
      <c r="M36" s="125"/>
      <c r="N36" s="125"/>
      <c r="O36" s="125">
        <v>7900</v>
      </c>
      <c r="P36" s="125">
        <v>15114</v>
      </c>
    </row>
    <row r="37" spans="1:16" s="128" customFormat="1" ht="12" x14ac:dyDescent="0.2">
      <c r="A37" s="175">
        <v>29</v>
      </c>
      <c r="B37" s="127" t="s">
        <v>75</v>
      </c>
      <c r="C37" s="125">
        <f t="shared" si="0"/>
        <v>32583</v>
      </c>
      <c r="D37" s="125">
        <v>194</v>
      </c>
      <c r="E37" s="125">
        <v>3044</v>
      </c>
      <c r="F37" s="125">
        <v>891</v>
      </c>
      <c r="G37" s="125">
        <v>209</v>
      </c>
      <c r="H37" s="125">
        <v>2464</v>
      </c>
      <c r="I37" s="125">
        <v>7325</v>
      </c>
      <c r="J37" s="125">
        <v>0</v>
      </c>
      <c r="K37" s="125"/>
      <c r="L37" s="125"/>
      <c r="M37" s="125"/>
      <c r="N37" s="125"/>
      <c r="O37" s="125">
        <v>5254</v>
      </c>
      <c r="P37" s="125">
        <v>13202</v>
      </c>
    </row>
    <row r="38" spans="1:16" s="128" customFormat="1" ht="12" x14ac:dyDescent="0.2">
      <c r="A38" s="175">
        <v>30</v>
      </c>
      <c r="B38" s="127" t="s">
        <v>350</v>
      </c>
      <c r="C38" s="125">
        <f t="shared" si="0"/>
        <v>2</v>
      </c>
      <c r="D38" s="125"/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/>
      <c r="L38" s="125"/>
      <c r="M38" s="125"/>
      <c r="N38" s="125">
        <v>2</v>
      </c>
      <c r="O38" s="125"/>
      <c r="P38" s="125">
        <v>0</v>
      </c>
    </row>
    <row r="39" spans="1:16" s="128" customFormat="1" ht="12" x14ac:dyDescent="0.2">
      <c r="A39" s="175">
        <v>31</v>
      </c>
      <c r="B39" s="127" t="s">
        <v>211</v>
      </c>
      <c r="C39" s="125">
        <f t="shared" si="0"/>
        <v>118570</v>
      </c>
      <c r="D39" s="125"/>
      <c r="E39" s="125">
        <v>13140</v>
      </c>
      <c r="F39" s="125">
        <v>3879</v>
      </c>
      <c r="G39" s="125">
        <v>0</v>
      </c>
      <c r="H39" s="125">
        <v>16511</v>
      </c>
      <c r="I39" s="125">
        <v>0</v>
      </c>
      <c r="J39" s="125">
        <v>0</v>
      </c>
      <c r="K39" s="125"/>
      <c r="L39" s="125"/>
      <c r="M39" s="125">
        <f>4238-3300</f>
        <v>938</v>
      </c>
      <c r="N39" s="125"/>
      <c r="O39" s="125">
        <f>13097+4115</f>
        <v>17212</v>
      </c>
      <c r="P39" s="125">
        <v>66890</v>
      </c>
    </row>
    <row r="40" spans="1:16" s="128" customFormat="1" ht="12" x14ac:dyDescent="0.2">
      <c r="A40" s="175">
        <v>32</v>
      </c>
      <c r="B40" s="127" t="s">
        <v>197</v>
      </c>
      <c r="C40" s="125">
        <f t="shared" si="0"/>
        <v>156835</v>
      </c>
      <c r="D40" s="125">
        <v>38714</v>
      </c>
      <c r="E40" s="125">
        <v>13837</v>
      </c>
      <c r="F40" s="125">
        <v>4163</v>
      </c>
      <c r="G40" s="125">
        <v>0</v>
      </c>
      <c r="H40" s="125">
        <v>18172</v>
      </c>
      <c r="I40" s="125">
        <v>0</v>
      </c>
      <c r="J40" s="125">
        <v>1464</v>
      </c>
      <c r="K40" s="125">
        <v>1025</v>
      </c>
      <c r="L40" s="125">
        <v>439</v>
      </c>
      <c r="M40" s="125"/>
      <c r="N40" s="125"/>
      <c r="O40" s="125">
        <f>28920-2725</f>
        <v>26195</v>
      </c>
      <c r="P40" s="125">
        <v>54290</v>
      </c>
    </row>
    <row r="41" spans="1:16" s="128" customFormat="1" ht="12" x14ac:dyDescent="0.2">
      <c r="A41" s="175">
        <v>33</v>
      </c>
      <c r="B41" s="127" t="s">
        <v>351</v>
      </c>
      <c r="C41" s="125">
        <f t="shared" si="0"/>
        <v>131295</v>
      </c>
      <c r="D41" s="125"/>
      <c r="E41" s="125">
        <v>13584</v>
      </c>
      <c r="F41" s="125">
        <v>3679</v>
      </c>
      <c r="G41" s="125">
        <v>30</v>
      </c>
      <c r="H41" s="125">
        <v>4483</v>
      </c>
      <c r="I41" s="125">
        <v>15435</v>
      </c>
      <c r="J41" s="125">
        <v>1464</v>
      </c>
      <c r="K41" s="125">
        <v>1025</v>
      </c>
      <c r="L41" s="125">
        <v>439</v>
      </c>
      <c r="M41" s="125">
        <v>0</v>
      </c>
      <c r="N41" s="125"/>
      <c r="O41" s="125">
        <v>19000</v>
      </c>
      <c r="P41" s="125">
        <v>73620</v>
      </c>
    </row>
    <row r="42" spans="1:16" s="128" customFormat="1" ht="12" x14ac:dyDescent="0.2">
      <c r="A42" s="411">
        <v>34</v>
      </c>
      <c r="B42" s="127" t="s">
        <v>352</v>
      </c>
      <c r="C42" s="125">
        <f t="shared" si="0"/>
        <v>84565</v>
      </c>
      <c r="D42" s="125"/>
      <c r="E42" s="125">
        <v>5534</v>
      </c>
      <c r="F42" s="125">
        <v>1708</v>
      </c>
      <c r="G42" s="125">
        <v>4</v>
      </c>
      <c r="H42" s="125">
        <v>5286</v>
      </c>
      <c r="I42" s="125">
        <v>15422</v>
      </c>
      <c r="J42" s="125">
        <v>0</v>
      </c>
      <c r="K42" s="125"/>
      <c r="L42" s="125"/>
      <c r="M42" s="125">
        <f>4046-1160</f>
        <v>2886</v>
      </c>
      <c r="N42" s="125"/>
      <c r="O42" s="125">
        <f>10825+1160</f>
        <v>11985</v>
      </c>
      <c r="P42" s="125">
        <v>41740</v>
      </c>
    </row>
    <row r="43" spans="1:16" s="128" customFormat="1" ht="24.75" x14ac:dyDescent="0.2">
      <c r="A43" s="412"/>
      <c r="B43" s="130" t="s">
        <v>353</v>
      </c>
      <c r="C43" s="125">
        <f t="shared" si="0"/>
        <v>108888</v>
      </c>
      <c r="D43" s="125"/>
      <c r="E43" s="125">
        <v>7567</v>
      </c>
      <c r="F43" s="125">
        <v>2496</v>
      </c>
      <c r="G43" s="125">
        <v>60</v>
      </c>
      <c r="H43" s="125">
        <v>11616</v>
      </c>
      <c r="I43" s="125">
        <v>17434</v>
      </c>
      <c r="J43" s="125">
        <v>1464</v>
      </c>
      <c r="K43" s="125">
        <v>1025</v>
      </c>
      <c r="L43" s="125">
        <v>439</v>
      </c>
      <c r="M43" s="125"/>
      <c r="N43" s="125"/>
      <c r="O43" s="125">
        <v>11055</v>
      </c>
      <c r="P43" s="125">
        <v>57196</v>
      </c>
    </row>
    <row r="44" spans="1:16" s="128" customFormat="1" ht="16.5" x14ac:dyDescent="0.2">
      <c r="A44" s="175">
        <v>35</v>
      </c>
      <c r="B44" s="127" t="s">
        <v>446</v>
      </c>
      <c r="C44" s="125">
        <f t="shared" si="0"/>
        <v>1600</v>
      </c>
      <c r="D44" s="125"/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/>
      <c r="L44" s="125"/>
      <c r="M44" s="125">
        <v>1600</v>
      </c>
      <c r="N44" s="125"/>
      <c r="O44" s="125"/>
      <c r="P44" s="125">
        <v>0</v>
      </c>
    </row>
    <row r="45" spans="1:16" s="128" customFormat="1" ht="12" x14ac:dyDescent="0.2">
      <c r="A45" s="175">
        <v>36</v>
      </c>
      <c r="B45" s="127" t="s">
        <v>354</v>
      </c>
      <c r="C45" s="125">
        <f t="shared" si="0"/>
        <v>126421</v>
      </c>
      <c r="D45" s="125">
        <v>11946</v>
      </c>
      <c r="E45" s="125">
        <v>0</v>
      </c>
      <c r="F45" s="125">
        <v>0</v>
      </c>
      <c r="G45" s="125">
        <v>295</v>
      </c>
      <c r="H45" s="125">
        <v>0</v>
      </c>
      <c r="I45" s="125">
        <v>35163</v>
      </c>
      <c r="J45" s="125">
        <v>0</v>
      </c>
      <c r="K45" s="125"/>
      <c r="L45" s="125"/>
      <c r="M45" s="125">
        <v>2430</v>
      </c>
      <c r="N45" s="125"/>
      <c r="O45" s="125">
        <v>3609</v>
      </c>
      <c r="P45" s="125">
        <v>72978</v>
      </c>
    </row>
    <row r="46" spans="1:16" s="128" customFormat="1" ht="16.5" x14ac:dyDescent="0.2">
      <c r="A46" s="175">
        <v>37</v>
      </c>
      <c r="B46" s="127" t="s">
        <v>355</v>
      </c>
      <c r="C46" s="125">
        <f t="shared" si="0"/>
        <v>12000</v>
      </c>
      <c r="D46" s="125"/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/>
      <c r="L46" s="125"/>
      <c r="M46" s="125"/>
      <c r="N46" s="125">
        <f>11500+500</f>
        <v>12000</v>
      </c>
      <c r="O46" s="125"/>
      <c r="P46" s="125">
        <v>0</v>
      </c>
    </row>
    <row r="47" spans="1:16" s="128" customFormat="1" ht="12" x14ac:dyDescent="0.2">
      <c r="A47" s="175">
        <v>38</v>
      </c>
      <c r="B47" s="127" t="s">
        <v>356</v>
      </c>
      <c r="C47" s="125">
        <f t="shared" si="0"/>
        <v>10266</v>
      </c>
      <c r="D47" s="125"/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/>
      <c r="L47" s="125"/>
      <c r="M47" s="125"/>
      <c r="N47" s="125">
        <v>10266</v>
      </c>
      <c r="O47" s="125">
        <v>0</v>
      </c>
      <c r="P47" s="125">
        <v>0</v>
      </c>
    </row>
    <row r="48" spans="1:16" s="128" customFormat="1" ht="12" x14ac:dyDescent="0.2">
      <c r="A48" s="411">
        <v>39</v>
      </c>
      <c r="B48" s="127" t="s">
        <v>195</v>
      </c>
      <c r="C48" s="125">
        <f t="shared" si="0"/>
        <v>215933</v>
      </c>
      <c r="D48" s="125">
        <v>20717</v>
      </c>
      <c r="E48" s="125">
        <v>26907</v>
      </c>
      <c r="F48" s="125">
        <v>7156</v>
      </c>
      <c r="G48" s="125">
        <v>0</v>
      </c>
      <c r="H48" s="125">
        <v>17723</v>
      </c>
      <c r="I48" s="125">
        <v>0</v>
      </c>
      <c r="J48" s="125">
        <v>1464</v>
      </c>
      <c r="K48" s="125">
        <v>1025</v>
      </c>
      <c r="L48" s="125">
        <v>439</v>
      </c>
      <c r="M48" s="125"/>
      <c r="N48" s="125"/>
      <c r="O48" s="125">
        <f>16500+11000-11000+3792</f>
        <v>20292</v>
      </c>
      <c r="P48" s="125">
        <v>121674</v>
      </c>
    </row>
    <row r="49" spans="1:16" s="128" customFormat="1" ht="30.75" customHeight="1" x14ac:dyDescent="0.2">
      <c r="A49" s="418"/>
      <c r="B49" s="130" t="s">
        <v>357</v>
      </c>
      <c r="C49" s="125">
        <f t="shared" si="0"/>
        <v>89800</v>
      </c>
      <c r="D49" s="125"/>
      <c r="E49" s="125">
        <v>0</v>
      </c>
      <c r="F49" s="125">
        <v>0</v>
      </c>
      <c r="G49" s="125">
        <f>200+35</f>
        <v>235</v>
      </c>
      <c r="H49" s="125">
        <v>0</v>
      </c>
      <c r="I49" s="125">
        <v>54930</v>
      </c>
      <c r="J49" s="125">
        <v>0</v>
      </c>
      <c r="K49" s="125"/>
      <c r="L49" s="125"/>
      <c r="M49" s="125"/>
      <c r="N49" s="125"/>
      <c r="O49" s="125">
        <v>8093</v>
      </c>
      <c r="P49" s="125">
        <v>26542</v>
      </c>
    </row>
    <row r="50" spans="1:16" s="128" customFormat="1" ht="18.75" customHeight="1" x14ac:dyDescent="0.2">
      <c r="A50" s="412"/>
      <c r="B50" s="130" t="s">
        <v>447</v>
      </c>
      <c r="C50" s="125">
        <f t="shared" si="0"/>
        <v>7650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>
        <f>11000+3792-3792-3000-350</f>
        <v>7650</v>
      </c>
      <c r="P50" s="125">
        <v>0</v>
      </c>
    </row>
    <row r="51" spans="1:16" s="132" customFormat="1" ht="22.5" customHeight="1" x14ac:dyDescent="0.2">
      <c r="A51" s="175">
        <v>40</v>
      </c>
      <c r="B51" s="127" t="s">
        <v>358</v>
      </c>
      <c r="C51" s="125">
        <f t="shared" si="0"/>
        <v>16800</v>
      </c>
      <c r="D51" s="125"/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/>
      <c r="L51" s="125"/>
      <c r="M51" s="125"/>
      <c r="N51" s="125">
        <v>16800</v>
      </c>
      <c r="O51" s="125"/>
      <c r="P51" s="125">
        <v>0</v>
      </c>
    </row>
    <row r="52" spans="1:16" s="128" customFormat="1" ht="15" customHeight="1" x14ac:dyDescent="0.2">
      <c r="A52" s="175">
        <v>41</v>
      </c>
      <c r="B52" s="127" t="s">
        <v>359</v>
      </c>
      <c r="C52" s="125">
        <f t="shared" si="0"/>
        <v>11900</v>
      </c>
      <c r="D52" s="125"/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/>
      <c r="L52" s="125"/>
      <c r="M52" s="125"/>
      <c r="N52" s="125">
        <v>11900</v>
      </c>
      <c r="O52" s="125"/>
      <c r="P52" s="125">
        <v>0</v>
      </c>
    </row>
    <row r="53" spans="1:16" s="128" customFormat="1" ht="12" x14ac:dyDescent="0.2">
      <c r="A53" s="411">
        <v>42</v>
      </c>
      <c r="B53" s="127" t="s">
        <v>193</v>
      </c>
      <c r="C53" s="125">
        <f t="shared" si="0"/>
        <v>175759</v>
      </c>
      <c r="D53" s="125">
        <v>20400</v>
      </c>
      <c r="E53" s="125">
        <f>13205-700-1500</f>
        <v>11005</v>
      </c>
      <c r="F53" s="125">
        <f>2983-1300</f>
        <v>1683</v>
      </c>
      <c r="G53" s="125">
        <f>236-35</f>
        <v>201</v>
      </c>
      <c r="H53" s="125">
        <v>8643</v>
      </c>
      <c r="I53" s="125">
        <v>26061</v>
      </c>
      <c r="J53" s="125">
        <v>1464</v>
      </c>
      <c r="K53" s="125">
        <v>1025</v>
      </c>
      <c r="L53" s="125">
        <v>439</v>
      </c>
      <c r="M53" s="125"/>
      <c r="N53" s="125"/>
      <c r="O53" s="125">
        <v>25080</v>
      </c>
      <c r="P53" s="125">
        <v>81222</v>
      </c>
    </row>
    <row r="54" spans="1:16" s="128" customFormat="1" ht="29.25" customHeight="1" x14ac:dyDescent="0.2">
      <c r="A54" s="412"/>
      <c r="B54" s="130" t="s">
        <v>360</v>
      </c>
      <c r="C54" s="125">
        <f t="shared" si="0"/>
        <v>60425</v>
      </c>
      <c r="D54" s="125"/>
      <c r="E54" s="125">
        <v>4546</v>
      </c>
      <c r="F54" s="125">
        <v>1336</v>
      </c>
      <c r="G54" s="125">
        <v>112</v>
      </c>
      <c r="H54" s="125">
        <v>4464</v>
      </c>
      <c r="I54" s="125">
        <v>7287</v>
      </c>
      <c r="J54" s="125">
        <v>0</v>
      </c>
      <c r="K54" s="125"/>
      <c r="L54" s="125"/>
      <c r="M54" s="125"/>
      <c r="N54" s="125"/>
      <c r="O54" s="125">
        <v>6835</v>
      </c>
      <c r="P54" s="125">
        <v>35845</v>
      </c>
    </row>
    <row r="55" spans="1:16" s="128" customFormat="1" ht="12" x14ac:dyDescent="0.2">
      <c r="A55" s="175">
        <v>43</v>
      </c>
      <c r="B55" s="127" t="s">
        <v>18</v>
      </c>
      <c r="C55" s="125">
        <f t="shared" si="0"/>
        <v>217089</v>
      </c>
      <c r="D55" s="125">
        <v>6665</v>
      </c>
      <c r="E55" s="125">
        <v>17787</v>
      </c>
      <c r="F55" s="125">
        <v>4767</v>
      </c>
      <c r="G55" s="125">
        <f>347+15</f>
        <v>362</v>
      </c>
      <c r="H55" s="125">
        <v>11619</v>
      </c>
      <c r="I55" s="125">
        <v>26902</v>
      </c>
      <c r="J55" s="125">
        <v>0</v>
      </c>
      <c r="K55" s="125"/>
      <c r="L55" s="125"/>
      <c r="M55" s="125"/>
      <c r="N55" s="125"/>
      <c r="O55" s="125">
        <v>39139</v>
      </c>
      <c r="P55" s="125">
        <v>109848</v>
      </c>
    </row>
    <row r="56" spans="1:16" s="128" customFormat="1" ht="12" x14ac:dyDescent="0.2">
      <c r="A56" s="175">
        <v>44</v>
      </c>
      <c r="B56" s="127" t="s">
        <v>19</v>
      </c>
      <c r="C56" s="125">
        <f t="shared" si="0"/>
        <v>232858</v>
      </c>
      <c r="D56" s="125"/>
      <c r="E56" s="125">
        <v>17441</v>
      </c>
      <c r="F56" s="125">
        <v>4435</v>
      </c>
      <c r="G56" s="125">
        <v>373</v>
      </c>
      <c r="H56" s="125">
        <v>18435</v>
      </c>
      <c r="I56" s="125">
        <v>49239</v>
      </c>
      <c r="J56" s="125">
        <v>1464</v>
      </c>
      <c r="K56" s="125">
        <v>1025</v>
      </c>
      <c r="L56" s="125">
        <v>439</v>
      </c>
      <c r="M56" s="125"/>
      <c r="N56" s="125"/>
      <c r="O56" s="125">
        <v>28122</v>
      </c>
      <c r="P56" s="125">
        <v>113349</v>
      </c>
    </row>
    <row r="57" spans="1:16" s="128" customFormat="1" ht="12" x14ac:dyDescent="0.2">
      <c r="A57" s="175">
        <v>45</v>
      </c>
      <c r="B57" s="127" t="s">
        <v>90</v>
      </c>
      <c r="C57" s="125">
        <f t="shared" si="0"/>
        <v>60324</v>
      </c>
      <c r="D57" s="125"/>
      <c r="E57" s="125">
        <v>5426</v>
      </c>
      <c r="F57" s="125">
        <v>1395</v>
      </c>
      <c r="G57" s="125">
        <v>25</v>
      </c>
      <c r="H57" s="125">
        <v>2843</v>
      </c>
      <c r="I57" s="125">
        <v>12933</v>
      </c>
      <c r="J57" s="125">
        <v>0</v>
      </c>
      <c r="K57" s="125"/>
      <c r="L57" s="125"/>
      <c r="M57" s="125"/>
      <c r="N57" s="125"/>
      <c r="O57" s="125">
        <v>11492</v>
      </c>
      <c r="P57" s="125">
        <v>26210</v>
      </c>
    </row>
    <row r="58" spans="1:16" s="128" customFormat="1" ht="12" x14ac:dyDescent="0.2">
      <c r="A58" s="175">
        <v>46</v>
      </c>
      <c r="B58" s="127" t="s">
        <v>91</v>
      </c>
      <c r="C58" s="125">
        <f t="shared" si="0"/>
        <v>84314</v>
      </c>
      <c r="D58" s="125"/>
      <c r="E58" s="125">
        <v>5419</v>
      </c>
      <c r="F58" s="125">
        <v>1109</v>
      </c>
      <c r="G58" s="125">
        <v>90</v>
      </c>
      <c r="H58" s="125">
        <v>8334</v>
      </c>
      <c r="I58" s="125">
        <v>15187</v>
      </c>
      <c r="J58" s="125">
        <v>0</v>
      </c>
      <c r="K58" s="125"/>
      <c r="L58" s="125"/>
      <c r="M58" s="125"/>
      <c r="N58" s="125"/>
      <c r="O58" s="125">
        <v>10077</v>
      </c>
      <c r="P58" s="125">
        <v>44098</v>
      </c>
    </row>
    <row r="59" spans="1:16" s="132" customFormat="1" ht="14.25" customHeight="1" x14ac:dyDescent="0.2">
      <c r="A59" s="175">
        <v>47</v>
      </c>
      <c r="B59" s="127" t="s">
        <v>92</v>
      </c>
      <c r="C59" s="125">
        <f t="shared" si="0"/>
        <v>68704</v>
      </c>
      <c r="D59" s="125"/>
      <c r="E59" s="125">
        <v>5945</v>
      </c>
      <c r="F59" s="125">
        <v>1201</v>
      </c>
      <c r="G59" s="125">
        <v>53</v>
      </c>
      <c r="H59" s="125">
        <v>1582</v>
      </c>
      <c r="I59" s="125">
        <v>11874</v>
      </c>
      <c r="J59" s="125">
        <v>0</v>
      </c>
      <c r="K59" s="125"/>
      <c r="L59" s="125"/>
      <c r="M59" s="125"/>
      <c r="N59" s="125"/>
      <c r="O59" s="125">
        <v>9008</v>
      </c>
      <c r="P59" s="125">
        <v>39041</v>
      </c>
    </row>
    <row r="60" spans="1:16" s="128" customFormat="1" ht="12" x14ac:dyDescent="0.2">
      <c r="A60" s="175">
        <v>48</v>
      </c>
      <c r="B60" s="127" t="s">
        <v>93</v>
      </c>
      <c r="C60" s="125">
        <f t="shared" si="0"/>
        <v>51746</v>
      </c>
      <c r="D60" s="125"/>
      <c r="E60" s="125">
        <v>4405</v>
      </c>
      <c r="F60" s="125">
        <v>1122</v>
      </c>
      <c r="G60" s="125">
        <v>184</v>
      </c>
      <c r="H60" s="125">
        <v>7324</v>
      </c>
      <c r="I60" s="125">
        <v>9394</v>
      </c>
      <c r="J60" s="125">
        <v>0</v>
      </c>
      <c r="K60" s="125"/>
      <c r="L60" s="125"/>
      <c r="M60" s="125"/>
      <c r="N60" s="125"/>
      <c r="O60" s="125">
        <v>5707</v>
      </c>
      <c r="P60" s="125">
        <v>23610</v>
      </c>
    </row>
    <row r="61" spans="1:16" s="128" customFormat="1" ht="12" x14ac:dyDescent="0.2">
      <c r="A61" s="175">
        <v>49</v>
      </c>
      <c r="B61" s="127" t="s">
        <v>94</v>
      </c>
      <c r="C61" s="125">
        <f t="shared" si="0"/>
        <v>84853</v>
      </c>
      <c r="D61" s="125"/>
      <c r="E61" s="125">
        <v>7260</v>
      </c>
      <c r="F61" s="125">
        <v>1993</v>
      </c>
      <c r="G61" s="125">
        <v>118</v>
      </c>
      <c r="H61" s="125">
        <v>4045</v>
      </c>
      <c r="I61" s="125">
        <v>12637</v>
      </c>
      <c r="J61" s="125">
        <v>0</v>
      </c>
      <c r="K61" s="125"/>
      <c r="L61" s="125"/>
      <c r="M61" s="125"/>
      <c r="N61" s="125"/>
      <c r="O61" s="125">
        <v>7165</v>
      </c>
      <c r="P61" s="125">
        <v>51635</v>
      </c>
    </row>
    <row r="62" spans="1:16" s="132" customFormat="1" ht="14.25" customHeight="1" x14ac:dyDescent="0.2">
      <c r="A62" s="175">
        <v>50</v>
      </c>
      <c r="B62" s="127" t="s">
        <v>95</v>
      </c>
      <c r="C62" s="125">
        <f t="shared" si="0"/>
        <v>40184</v>
      </c>
      <c r="D62" s="125"/>
      <c r="E62" s="125">
        <v>3518</v>
      </c>
      <c r="F62" s="125">
        <v>821</v>
      </c>
      <c r="G62" s="125">
        <v>71</v>
      </c>
      <c r="H62" s="125">
        <v>4110</v>
      </c>
      <c r="I62" s="125">
        <v>5452</v>
      </c>
      <c r="J62" s="125">
        <v>0</v>
      </c>
      <c r="K62" s="125"/>
      <c r="L62" s="125"/>
      <c r="M62" s="125"/>
      <c r="N62" s="125"/>
      <c r="O62" s="125">
        <v>5988</v>
      </c>
      <c r="P62" s="125">
        <v>20224</v>
      </c>
    </row>
    <row r="63" spans="1:16" s="128" customFormat="1" ht="12" customHeight="1" x14ac:dyDescent="0.2">
      <c r="A63" s="175">
        <v>51</v>
      </c>
      <c r="B63" s="133" t="s">
        <v>448</v>
      </c>
      <c r="C63" s="125">
        <f t="shared" si="0"/>
        <v>14738</v>
      </c>
      <c r="D63" s="125"/>
      <c r="E63" s="125">
        <v>2189</v>
      </c>
      <c r="F63" s="125">
        <v>515</v>
      </c>
      <c r="G63" s="125">
        <v>0</v>
      </c>
      <c r="H63" s="125">
        <v>883</v>
      </c>
      <c r="I63" s="125">
        <v>0</v>
      </c>
      <c r="J63" s="125">
        <v>0</v>
      </c>
      <c r="K63" s="125"/>
      <c r="L63" s="125"/>
      <c r="M63" s="125"/>
      <c r="N63" s="125"/>
      <c r="O63" s="125">
        <v>839</v>
      </c>
      <c r="P63" s="125">
        <v>10312</v>
      </c>
    </row>
    <row r="64" spans="1:16" s="128" customFormat="1" ht="12" x14ac:dyDescent="0.2">
      <c r="A64" s="175">
        <v>52</v>
      </c>
      <c r="B64" s="127" t="s">
        <v>96</v>
      </c>
      <c r="C64" s="125">
        <f t="shared" si="0"/>
        <v>7208</v>
      </c>
      <c r="D64" s="125"/>
      <c r="E64" s="125">
        <v>0</v>
      </c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125"/>
      <c r="L64" s="125"/>
      <c r="M64" s="125"/>
      <c r="N64" s="125">
        <f>22000-11000-3792</f>
        <v>7208</v>
      </c>
      <c r="O64" s="125"/>
      <c r="P64" s="125">
        <v>0</v>
      </c>
    </row>
    <row r="65" spans="1:16" s="128" customFormat="1" ht="12" x14ac:dyDescent="0.2">
      <c r="A65" s="175">
        <v>53</v>
      </c>
      <c r="B65" s="127" t="s">
        <v>362</v>
      </c>
      <c r="C65" s="125">
        <f t="shared" si="0"/>
        <v>31692</v>
      </c>
      <c r="D65" s="125"/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/>
      <c r="L65" s="125"/>
      <c r="M65" s="125"/>
      <c r="N65" s="125"/>
      <c r="O65" s="125">
        <f>4600-500</f>
        <v>4100</v>
      </c>
      <c r="P65" s="125">
        <v>27592</v>
      </c>
    </row>
    <row r="66" spans="1:16" s="128" customFormat="1" ht="12" x14ac:dyDescent="0.2">
      <c r="A66" s="175">
        <v>54</v>
      </c>
      <c r="B66" s="124" t="s">
        <v>20</v>
      </c>
      <c r="C66" s="125">
        <f t="shared" si="0"/>
        <v>328725</v>
      </c>
      <c r="D66" s="125">
        <v>4414</v>
      </c>
      <c r="E66" s="125">
        <v>25389</v>
      </c>
      <c r="F66" s="125">
        <v>7380</v>
      </c>
      <c r="G66" s="125">
        <v>729</v>
      </c>
      <c r="H66" s="125">
        <v>16552</v>
      </c>
      <c r="I66" s="125">
        <v>61733</v>
      </c>
      <c r="J66" s="125">
        <v>1464</v>
      </c>
      <c r="K66" s="125">
        <v>1025</v>
      </c>
      <c r="L66" s="125">
        <v>439</v>
      </c>
      <c r="M66" s="125">
        <v>398</v>
      </c>
      <c r="N66" s="125"/>
      <c r="O66" s="125">
        <v>56995</v>
      </c>
      <c r="P66" s="125">
        <v>153671</v>
      </c>
    </row>
    <row r="67" spans="1:16" s="128" customFormat="1" ht="12" x14ac:dyDescent="0.2">
      <c r="A67" s="175">
        <v>55</v>
      </c>
      <c r="B67" s="127" t="s">
        <v>9</v>
      </c>
      <c r="C67" s="125">
        <f t="shared" si="0"/>
        <v>233875</v>
      </c>
      <c r="D67" s="125"/>
      <c r="E67" s="125">
        <v>18307</v>
      </c>
      <c r="F67" s="125">
        <v>3858</v>
      </c>
      <c r="G67" s="125">
        <f>154+5</f>
        <v>159</v>
      </c>
      <c r="H67" s="125">
        <v>6247</v>
      </c>
      <c r="I67" s="125">
        <v>39657</v>
      </c>
      <c r="J67" s="125">
        <v>1464</v>
      </c>
      <c r="K67" s="125">
        <v>1025</v>
      </c>
      <c r="L67" s="125">
        <v>439</v>
      </c>
      <c r="M67" s="125"/>
      <c r="N67" s="125"/>
      <c r="O67" s="125">
        <v>29409</v>
      </c>
      <c r="P67" s="125">
        <v>134774</v>
      </c>
    </row>
    <row r="68" spans="1:16" s="128" customFormat="1" ht="12" x14ac:dyDescent="0.2">
      <c r="A68" s="175">
        <v>56</v>
      </c>
      <c r="B68" s="124" t="s">
        <v>212</v>
      </c>
      <c r="C68" s="125">
        <f t="shared" si="0"/>
        <v>289683</v>
      </c>
      <c r="D68" s="125">
        <v>38466</v>
      </c>
      <c r="E68" s="125">
        <v>19722</v>
      </c>
      <c r="F68" s="125">
        <v>5846</v>
      </c>
      <c r="G68" s="125">
        <v>319</v>
      </c>
      <c r="H68" s="125">
        <v>11963</v>
      </c>
      <c r="I68" s="125">
        <v>44122</v>
      </c>
      <c r="J68" s="125">
        <v>1464</v>
      </c>
      <c r="K68" s="125">
        <v>1025</v>
      </c>
      <c r="L68" s="125">
        <v>439</v>
      </c>
      <c r="M68" s="125">
        <f>1892-1728</f>
        <v>164</v>
      </c>
      <c r="N68" s="125"/>
      <c r="O68" s="125">
        <v>31209</v>
      </c>
      <c r="P68" s="125">
        <v>136408</v>
      </c>
    </row>
    <row r="69" spans="1:16" s="128" customFormat="1" ht="16.5" x14ac:dyDescent="0.2">
      <c r="A69" s="175">
        <v>57</v>
      </c>
      <c r="B69" s="124" t="s">
        <v>365</v>
      </c>
      <c r="C69" s="125">
        <f t="shared" si="0"/>
        <v>11200</v>
      </c>
      <c r="D69" s="125"/>
      <c r="E69" s="125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125"/>
      <c r="L69" s="125"/>
      <c r="M69" s="125"/>
      <c r="N69" s="125">
        <v>11200</v>
      </c>
      <c r="O69" s="125"/>
      <c r="P69" s="125">
        <v>0</v>
      </c>
    </row>
    <row r="70" spans="1:16" s="128" customFormat="1" ht="12" x14ac:dyDescent="0.2">
      <c r="A70" s="175">
        <v>58</v>
      </c>
      <c r="B70" s="127" t="s">
        <v>100</v>
      </c>
      <c r="C70" s="125">
        <f t="shared" si="0"/>
        <v>106989</v>
      </c>
      <c r="D70" s="125"/>
      <c r="E70" s="125">
        <v>7864</v>
      </c>
      <c r="F70" s="125">
        <v>2149</v>
      </c>
      <c r="G70" s="125">
        <v>176</v>
      </c>
      <c r="H70" s="125">
        <v>8481</v>
      </c>
      <c r="I70" s="125">
        <v>17045</v>
      </c>
      <c r="J70" s="125">
        <v>1464</v>
      </c>
      <c r="K70" s="125">
        <v>1025</v>
      </c>
      <c r="L70" s="125">
        <v>439</v>
      </c>
      <c r="M70" s="125"/>
      <c r="N70" s="125"/>
      <c r="O70" s="125">
        <v>12454</v>
      </c>
      <c r="P70" s="125">
        <v>57356</v>
      </c>
    </row>
    <row r="71" spans="1:16" s="128" customFormat="1" ht="12" x14ac:dyDescent="0.2">
      <c r="A71" s="175">
        <v>59</v>
      </c>
      <c r="B71" s="124" t="s">
        <v>101</v>
      </c>
      <c r="C71" s="125">
        <f t="shared" si="0"/>
        <v>69307</v>
      </c>
      <c r="D71" s="125"/>
      <c r="E71" s="125">
        <v>5916</v>
      </c>
      <c r="F71" s="125">
        <v>1758</v>
      </c>
      <c r="G71" s="125">
        <f>125+2</f>
        <v>127</v>
      </c>
      <c r="H71" s="125">
        <v>4235</v>
      </c>
      <c r="I71" s="125">
        <v>10725</v>
      </c>
      <c r="J71" s="125">
        <v>0</v>
      </c>
      <c r="K71" s="125"/>
      <c r="L71" s="125"/>
      <c r="M71" s="125"/>
      <c r="N71" s="125"/>
      <c r="O71" s="125">
        <v>7845</v>
      </c>
      <c r="P71" s="125">
        <v>38701</v>
      </c>
    </row>
    <row r="72" spans="1:16" s="128" customFormat="1" ht="12" x14ac:dyDescent="0.2">
      <c r="A72" s="175">
        <v>60</v>
      </c>
      <c r="B72" s="127" t="s">
        <v>102</v>
      </c>
      <c r="C72" s="125">
        <f t="shared" si="0"/>
        <v>51938</v>
      </c>
      <c r="D72" s="125">
        <v>524</v>
      </c>
      <c r="E72" s="125">
        <v>4950</v>
      </c>
      <c r="F72" s="125">
        <v>1135</v>
      </c>
      <c r="G72" s="125">
        <f>195+1</f>
        <v>196</v>
      </c>
      <c r="H72" s="125">
        <v>2014</v>
      </c>
      <c r="I72" s="125">
        <v>9742</v>
      </c>
      <c r="J72" s="125">
        <v>0</v>
      </c>
      <c r="K72" s="125"/>
      <c r="L72" s="125"/>
      <c r="M72" s="125"/>
      <c r="N72" s="125"/>
      <c r="O72" s="125">
        <v>8128</v>
      </c>
      <c r="P72" s="125">
        <v>25249</v>
      </c>
    </row>
    <row r="73" spans="1:16" s="128" customFormat="1" ht="12" x14ac:dyDescent="0.2">
      <c r="A73" s="175">
        <v>61</v>
      </c>
      <c r="B73" s="124" t="s">
        <v>103</v>
      </c>
      <c r="C73" s="125">
        <f t="shared" ref="C73:C136" si="1">D73+E73+F73+G73+H73+I73+J73+M73+N73+O73+P73</f>
        <v>79938</v>
      </c>
      <c r="D73" s="125"/>
      <c r="E73" s="125">
        <v>6226</v>
      </c>
      <c r="F73" s="125">
        <v>1848</v>
      </c>
      <c r="G73" s="125">
        <v>124</v>
      </c>
      <c r="H73" s="125">
        <v>3481</v>
      </c>
      <c r="I73" s="125">
        <v>13804</v>
      </c>
      <c r="J73" s="125">
        <v>0</v>
      </c>
      <c r="K73" s="125"/>
      <c r="L73" s="125"/>
      <c r="M73" s="125"/>
      <c r="N73" s="125"/>
      <c r="O73" s="125">
        <v>15306</v>
      </c>
      <c r="P73" s="125">
        <v>39149</v>
      </c>
    </row>
    <row r="74" spans="1:16" s="128" customFormat="1" ht="12" x14ac:dyDescent="0.2">
      <c r="A74" s="175">
        <v>62</v>
      </c>
      <c r="B74" s="127" t="s">
        <v>104</v>
      </c>
      <c r="C74" s="125">
        <f t="shared" si="1"/>
        <v>36501</v>
      </c>
      <c r="D74" s="125">
        <v>223</v>
      </c>
      <c r="E74" s="125">
        <v>3190</v>
      </c>
      <c r="F74" s="125">
        <v>1048</v>
      </c>
      <c r="G74" s="125">
        <v>45</v>
      </c>
      <c r="H74" s="125">
        <v>3607</v>
      </c>
      <c r="I74" s="125">
        <v>5187</v>
      </c>
      <c r="J74" s="125">
        <v>0</v>
      </c>
      <c r="K74" s="125"/>
      <c r="L74" s="125"/>
      <c r="M74" s="125"/>
      <c r="N74" s="125"/>
      <c r="O74" s="125">
        <v>3114</v>
      </c>
      <c r="P74" s="125">
        <v>20087</v>
      </c>
    </row>
    <row r="75" spans="1:16" s="128" customFormat="1" ht="12" x14ac:dyDescent="0.2">
      <c r="A75" s="175">
        <v>63</v>
      </c>
      <c r="B75" s="127" t="s">
        <v>105</v>
      </c>
      <c r="C75" s="125">
        <f t="shared" si="1"/>
        <v>67114.5</v>
      </c>
      <c r="D75" s="125">
        <v>0</v>
      </c>
      <c r="E75" s="125">
        <v>5973</v>
      </c>
      <c r="F75" s="125">
        <v>1847</v>
      </c>
      <c r="G75" s="125">
        <v>20</v>
      </c>
      <c r="H75" s="125">
        <v>2963</v>
      </c>
      <c r="I75" s="125">
        <v>10935.5</v>
      </c>
      <c r="J75" s="125">
        <v>1464</v>
      </c>
      <c r="K75" s="125">
        <v>1025</v>
      </c>
      <c r="L75" s="125">
        <v>439</v>
      </c>
      <c r="M75" s="125"/>
      <c r="N75" s="125"/>
      <c r="O75" s="125">
        <v>8996</v>
      </c>
      <c r="P75" s="125">
        <v>34916</v>
      </c>
    </row>
    <row r="76" spans="1:16" s="128" customFormat="1" ht="12" x14ac:dyDescent="0.2">
      <c r="A76" s="175">
        <v>64</v>
      </c>
      <c r="B76" s="127" t="s">
        <v>106</v>
      </c>
      <c r="C76" s="125">
        <f t="shared" si="1"/>
        <v>109905</v>
      </c>
      <c r="D76" s="125">
        <v>542</v>
      </c>
      <c r="E76" s="125">
        <v>8694</v>
      </c>
      <c r="F76" s="125">
        <v>2114</v>
      </c>
      <c r="G76" s="125">
        <v>170</v>
      </c>
      <c r="H76" s="125">
        <f>14975-300</f>
        <v>14675</v>
      </c>
      <c r="I76" s="125">
        <v>18631</v>
      </c>
      <c r="J76" s="125">
        <v>0</v>
      </c>
      <c r="K76" s="125"/>
      <c r="L76" s="125"/>
      <c r="M76" s="125"/>
      <c r="N76" s="125"/>
      <c r="O76" s="125">
        <v>12008</v>
      </c>
      <c r="P76" s="125">
        <v>53071</v>
      </c>
    </row>
    <row r="77" spans="1:16" s="128" customFormat="1" ht="12" x14ac:dyDescent="0.2">
      <c r="A77" s="175">
        <v>65</v>
      </c>
      <c r="B77" s="124" t="s">
        <v>107</v>
      </c>
      <c r="C77" s="125">
        <f t="shared" si="1"/>
        <v>47759</v>
      </c>
      <c r="D77" s="125"/>
      <c r="E77" s="125">
        <v>4510</v>
      </c>
      <c r="F77" s="125">
        <v>998</v>
      </c>
      <c r="G77" s="125">
        <v>105</v>
      </c>
      <c r="H77" s="125">
        <v>1250</v>
      </c>
      <c r="I77" s="125">
        <v>7165</v>
      </c>
      <c r="J77" s="125">
        <v>0</v>
      </c>
      <c r="K77" s="125"/>
      <c r="L77" s="125"/>
      <c r="M77" s="125"/>
      <c r="N77" s="125"/>
      <c r="O77" s="125">
        <v>9835</v>
      </c>
      <c r="P77" s="125">
        <v>23896</v>
      </c>
    </row>
    <row r="78" spans="1:16" s="128" customFormat="1" ht="12" x14ac:dyDescent="0.2">
      <c r="A78" s="175">
        <v>66</v>
      </c>
      <c r="B78" s="127" t="s">
        <v>366</v>
      </c>
      <c r="C78" s="125">
        <f t="shared" si="1"/>
        <v>36</v>
      </c>
      <c r="D78" s="125"/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/>
      <c r="L78" s="125"/>
      <c r="M78" s="125"/>
      <c r="N78" s="125">
        <f>107-71</f>
        <v>36</v>
      </c>
      <c r="O78" s="125"/>
      <c r="P78" s="125">
        <v>0</v>
      </c>
    </row>
    <row r="79" spans="1:16" s="128" customFormat="1" ht="12" x14ac:dyDescent="0.2">
      <c r="A79" s="175">
        <v>67</v>
      </c>
      <c r="B79" s="127" t="s">
        <v>367</v>
      </c>
      <c r="C79" s="125">
        <f t="shared" si="1"/>
        <v>100</v>
      </c>
      <c r="D79" s="125"/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/>
      <c r="L79" s="125"/>
      <c r="M79" s="125"/>
      <c r="N79" s="125">
        <v>100</v>
      </c>
      <c r="O79" s="125"/>
      <c r="P79" s="125">
        <v>0</v>
      </c>
    </row>
    <row r="80" spans="1:16" s="128" customFormat="1" ht="12" x14ac:dyDescent="0.2">
      <c r="A80" s="175">
        <v>68</v>
      </c>
      <c r="B80" s="127" t="s">
        <v>369</v>
      </c>
      <c r="C80" s="125">
        <f t="shared" si="1"/>
        <v>85</v>
      </c>
      <c r="D80" s="125"/>
      <c r="E80" s="125">
        <v>0</v>
      </c>
      <c r="F80" s="125">
        <v>0</v>
      </c>
      <c r="G80" s="125">
        <v>0</v>
      </c>
      <c r="H80" s="125">
        <v>0</v>
      </c>
      <c r="I80" s="125">
        <v>0</v>
      </c>
      <c r="J80" s="125">
        <v>0</v>
      </c>
      <c r="K80" s="125"/>
      <c r="L80" s="125"/>
      <c r="M80" s="125"/>
      <c r="N80" s="125">
        <v>85</v>
      </c>
      <c r="O80" s="125"/>
      <c r="P80" s="125">
        <v>0</v>
      </c>
    </row>
    <row r="81" spans="1:16" s="128" customFormat="1" ht="16.5" x14ac:dyDescent="0.2">
      <c r="A81" s="175">
        <v>69</v>
      </c>
      <c r="B81" s="127" t="s">
        <v>370</v>
      </c>
      <c r="C81" s="125">
        <f t="shared" si="1"/>
        <v>11</v>
      </c>
      <c r="D81" s="125"/>
      <c r="E81" s="125">
        <v>0</v>
      </c>
      <c r="F81" s="125">
        <v>0</v>
      </c>
      <c r="G81" s="125">
        <v>0</v>
      </c>
      <c r="H81" s="125">
        <v>0</v>
      </c>
      <c r="I81" s="125">
        <v>0</v>
      </c>
      <c r="J81" s="125">
        <v>0</v>
      </c>
      <c r="K81" s="125"/>
      <c r="L81" s="125"/>
      <c r="M81" s="125"/>
      <c r="N81" s="125">
        <f>25-14</f>
        <v>11</v>
      </c>
      <c r="O81" s="125"/>
      <c r="P81" s="125">
        <v>0</v>
      </c>
    </row>
    <row r="82" spans="1:16" s="128" customFormat="1" ht="12" x14ac:dyDescent="0.2">
      <c r="A82" s="175">
        <v>70</v>
      </c>
      <c r="B82" s="134" t="s">
        <v>372</v>
      </c>
      <c r="C82" s="125">
        <f t="shared" si="1"/>
        <v>151908</v>
      </c>
      <c r="D82" s="125"/>
      <c r="E82" s="125">
        <v>0</v>
      </c>
      <c r="F82" s="125">
        <v>0</v>
      </c>
      <c r="G82" s="125">
        <v>270</v>
      </c>
      <c r="H82" s="125">
        <v>0</v>
      </c>
      <c r="I82" s="125">
        <v>72805</v>
      </c>
      <c r="J82" s="125">
        <v>0</v>
      </c>
      <c r="K82" s="125"/>
      <c r="L82" s="125"/>
      <c r="M82" s="125">
        <v>609</v>
      </c>
      <c r="N82" s="125"/>
      <c r="O82" s="125">
        <v>10096</v>
      </c>
      <c r="P82" s="125">
        <v>68128</v>
      </c>
    </row>
    <row r="83" spans="1:16" s="128" customFormat="1" ht="12" x14ac:dyDescent="0.2">
      <c r="A83" s="175">
        <v>71</v>
      </c>
      <c r="B83" s="134" t="s">
        <v>373</v>
      </c>
      <c r="C83" s="125">
        <f t="shared" si="1"/>
        <v>141060</v>
      </c>
      <c r="D83" s="125"/>
      <c r="E83" s="125">
        <v>0</v>
      </c>
      <c r="F83" s="125">
        <v>0</v>
      </c>
      <c r="G83" s="125">
        <v>418</v>
      </c>
      <c r="H83" s="125">
        <v>0</v>
      </c>
      <c r="I83" s="125">
        <v>69106</v>
      </c>
      <c r="J83" s="125">
        <v>0</v>
      </c>
      <c r="K83" s="125"/>
      <c r="L83" s="125"/>
      <c r="M83" s="125"/>
      <c r="N83" s="125"/>
      <c r="O83" s="125">
        <f>2720+900</f>
        <v>3620</v>
      </c>
      <c r="P83" s="125">
        <v>67916</v>
      </c>
    </row>
    <row r="84" spans="1:16" s="128" customFormat="1" ht="12" x14ac:dyDescent="0.2">
      <c r="A84" s="175">
        <v>72</v>
      </c>
      <c r="B84" s="134" t="s">
        <v>374</v>
      </c>
      <c r="C84" s="125">
        <f t="shared" si="1"/>
        <v>178746</v>
      </c>
      <c r="D84" s="125"/>
      <c r="E84" s="125">
        <v>0</v>
      </c>
      <c r="F84" s="125">
        <v>0</v>
      </c>
      <c r="G84" s="125">
        <v>75</v>
      </c>
      <c r="H84" s="125">
        <v>0</v>
      </c>
      <c r="I84" s="125">
        <v>85902</v>
      </c>
      <c r="J84" s="125">
        <v>0</v>
      </c>
      <c r="K84" s="125"/>
      <c r="L84" s="125"/>
      <c r="M84" s="125"/>
      <c r="N84" s="125"/>
      <c r="O84" s="125">
        <v>10494</v>
      </c>
      <c r="P84" s="125">
        <v>82275</v>
      </c>
    </row>
    <row r="85" spans="1:16" s="128" customFormat="1" ht="12" x14ac:dyDescent="0.2">
      <c r="A85" s="175">
        <v>73</v>
      </c>
      <c r="B85" s="134" t="s">
        <v>200</v>
      </c>
      <c r="C85" s="125">
        <f t="shared" si="1"/>
        <v>224310</v>
      </c>
      <c r="D85" s="125">
        <v>12756</v>
      </c>
      <c r="E85" s="125">
        <v>0</v>
      </c>
      <c r="F85" s="125">
        <v>0</v>
      </c>
      <c r="G85" s="125">
        <v>352</v>
      </c>
      <c r="H85" s="125">
        <v>0</v>
      </c>
      <c r="I85" s="125">
        <v>118484</v>
      </c>
      <c r="J85" s="125">
        <v>0</v>
      </c>
      <c r="K85" s="125"/>
      <c r="L85" s="125"/>
      <c r="M85" s="125"/>
      <c r="N85" s="125"/>
      <c r="O85" s="125">
        <f>32843-7153-3656</f>
        <v>22034</v>
      </c>
      <c r="P85" s="125">
        <f>67028+3656</f>
        <v>70684</v>
      </c>
    </row>
    <row r="86" spans="1:16" s="128" customFormat="1" ht="12" x14ac:dyDescent="0.2">
      <c r="A86" s="175">
        <v>74</v>
      </c>
      <c r="B86" s="134" t="s">
        <v>375</v>
      </c>
      <c r="C86" s="125">
        <f t="shared" si="1"/>
        <v>94975</v>
      </c>
      <c r="D86" s="125"/>
      <c r="E86" s="125">
        <v>0</v>
      </c>
      <c r="F86" s="125">
        <v>0</v>
      </c>
      <c r="G86" s="125">
        <v>105</v>
      </c>
      <c r="H86" s="125">
        <v>0</v>
      </c>
      <c r="I86" s="125">
        <v>46905</v>
      </c>
      <c r="J86" s="125">
        <v>0</v>
      </c>
      <c r="K86" s="125"/>
      <c r="L86" s="125"/>
      <c r="M86" s="125"/>
      <c r="N86" s="125"/>
      <c r="O86" s="125">
        <v>4555</v>
      </c>
      <c r="P86" s="125">
        <v>43410</v>
      </c>
    </row>
    <row r="87" spans="1:16" s="128" customFormat="1" ht="16.5" x14ac:dyDescent="0.2">
      <c r="A87" s="175">
        <v>75</v>
      </c>
      <c r="B87" s="134" t="s">
        <v>376</v>
      </c>
      <c r="C87" s="125">
        <f t="shared" si="1"/>
        <v>36413</v>
      </c>
      <c r="D87" s="125"/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/>
      <c r="L87" s="125"/>
      <c r="M87" s="125"/>
      <c r="N87" s="125">
        <f>29413+7000</f>
        <v>36413</v>
      </c>
      <c r="O87" s="125"/>
      <c r="P87" s="125">
        <v>0</v>
      </c>
    </row>
    <row r="88" spans="1:16" s="128" customFormat="1" ht="16.5" x14ac:dyDescent="0.2">
      <c r="A88" s="175">
        <v>76</v>
      </c>
      <c r="B88" s="134" t="s">
        <v>377</v>
      </c>
      <c r="C88" s="125">
        <f t="shared" si="1"/>
        <v>31369</v>
      </c>
      <c r="D88" s="125"/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/>
      <c r="L88" s="125"/>
      <c r="M88" s="125"/>
      <c r="N88" s="125">
        <f>31369</f>
        <v>31369</v>
      </c>
      <c r="O88" s="125"/>
      <c r="P88" s="125">
        <v>0</v>
      </c>
    </row>
    <row r="89" spans="1:16" s="128" customFormat="1" ht="12" x14ac:dyDescent="0.2">
      <c r="A89" s="175">
        <v>77</v>
      </c>
      <c r="B89" s="134" t="s">
        <v>378</v>
      </c>
      <c r="C89" s="125">
        <f t="shared" si="1"/>
        <v>120108</v>
      </c>
      <c r="D89" s="125"/>
      <c r="E89" s="125">
        <v>13167</v>
      </c>
      <c r="F89" s="125">
        <v>1852</v>
      </c>
      <c r="G89" s="125">
        <v>0</v>
      </c>
      <c r="H89" s="125">
        <v>10781</v>
      </c>
      <c r="I89" s="125">
        <v>10815</v>
      </c>
      <c r="J89" s="125">
        <v>478</v>
      </c>
      <c r="K89" s="135">
        <f>335+101</f>
        <v>436</v>
      </c>
      <c r="L89" s="135">
        <f>143-101</f>
        <v>42</v>
      </c>
      <c r="M89" s="125"/>
      <c r="N89" s="125"/>
      <c r="O89" s="125">
        <v>5042</v>
      </c>
      <c r="P89" s="125">
        <v>77973</v>
      </c>
    </row>
    <row r="90" spans="1:16" s="128" customFormat="1" ht="12" x14ac:dyDescent="0.2">
      <c r="A90" s="175">
        <v>78</v>
      </c>
      <c r="B90" s="134" t="s">
        <v>201</v>
      </c>
      <c r="C90" s="125">
        <f t="shared" si="1"/>
        <v>90337</v>
      </c>
      <c r="D90" s="125">
        <f>15603-565-451</f>
        <v>14587</v>
      </c>
      <c r="E90" s="125">
        <f>10125+500</f>
        <v>10625</v>
      </c>
      <c r="F90" s="125">
        <f>2996+171</f>
        <v>3167</v>
      </c>
      <c r="G90" s="125">
        <v>0</v>
      </c>
      <c r="H90" s="125">
        <v>11053</v>
      </c>
      <c r="I90" s="125">
        <v>0</v>
      </c>
      <c r="J90" s="125">
        <v>0</v>
      </c>
      <c r="K90" s="125"/>
      <c r="L90" s="125"/>
      <c r="M90" s="125"/>
      <c r="N90" s="125"/>
      <c r="O90" s="125">
        <v>7010</v>
      </c>
      <c r="P90" s="125">
        <v>43895</v>
      </c>
    </row>
    <row r="91" spans="1:16" s="128" customFormat="1" ht="12" x14ac:dyDescent="0.2">
      <c r="A91" s="175">
        <v>79</v>
      </c>
      <c r="B91" s="134" t="s">
        <v>379</v>
      </c>
      <c r="C91" s="125">
        <f t="shared" si="1"/>
        <v>77825</v>
      </c>
      <c r="D91" s="125"/>
      <c r="E91" s="125">
        <v>9919</v>
      </c>
      <c r="F91" s="125">
        <v>2729</v>
      </c>
      <c r="G91" s="125">
        <v>0</v>
      </c>
      <c r="H91" s="125">
        <v>13434</v>
      </c>
      <c r="I91" s="125">
        <v>0</v>
      </c>
      <c r="J91" s="125">
        <v>0</v>
      </c>
      <c r="K91" s="125"/>
      <c r="L91" s="125"/>
      <c r="M91" s="125"/>
      <c r="N91" s="125"/>
      <c r="O91" s="125">
        <v>13719</v>
      </c>
      <c r="P91" s="125">
        <v>38024</v>
      </c>
    </row>
    <row r="92" spans="1:16" s="128" customFormat="1" ht="12" x14ac:dyDescent="0.2">
      <c r="A92" s="175">
        <v>80</v>
      </c>
      <c r="B92" s="134" t="s">
        <v>202</v>
      </c>
      <c r="C92" s="125">
        <f t="shared" si="1"/>
        <v>84767</v>
      </c>
      <c r="D92" s="125">
        <v>22392</v>
      </c>
      <c r="E92" s="125">
        <f>7249+700</f>
        <v>7949</v>
      </c>
      <c r="F92" s="125">
        <v>1751</v>
      </c>
      <c r="G92" s="125">
        <v>0</v>
      </c>
      <c r="H92" s="125">
        <v>12524</v>
      </c>
      <c r="I92" s="125">
        <v>0</v>
      </c>
      <c r="J92" s="125">
        <v>0</v>
      </c>
      <c r="K92" s="125"/>
      <c r="L92" s="125"/>
      <c r="M92" s="125"/>
      <c r="N92" s="125"/>
      <c r="O92" s="125">
        <v>6437</v>
      </c>
      <c r="P92" s="125">
        <v>33714</v>
      </c>
    </row>
    <row r="93" spans="1:16" s="128" customFormat="1" ht="12" x14ac:dyDescent="0.2">
      <c r="A93" s="175">
        <v>81</v>
      </c>
      <c r="B93" s="134" t="s">
        <v>306</v>
      </c>
      <c r="C93" s="125">
        <f t="shared" si="1"/>
        <v>156662</v>
      </c>
      <c r="D93" s="125"/>
      <c r="E93" s="125">
        <v>16887</v>
      </c>
      <c r="F93" s="125">
        <v>4848</v>
      </c>
      <c r="G93" s="125">
        <v>0</v>
      </c>
      <c r="H93" s="125">
        <v>9588</v>
      </c>
      <c r="I93" s="125">
        <v>0</v>
      </c>
      <c r="J93" s="125">
        <v>1464</v>
      </c>
      <c r="K93" s="125">
        <v>1025</v>
      </c>
      <c r="L93" s="125">
        <v>439</v>
      </c>
      <c r="M93" s="125"/>
      <c r="N93" s="125"/>
      <c r="O93" s="125">
        <v>43044</v>
      </c>
      <c r="P93" s="125">
        <v>80831</v>
      </c>
    </row>
    <row r="94" spans="1:16" s="128" customFormat="1" ht="12" x14ac:dyDescent="0.2">
      <c r="A94" s="175">
        <v>82</v>
      </c>
      <c r="B94" s="134" t="s">
        <v>380</v>
      </c>
      <c r="C94" s="125">
        <f t="shared" si="1"/>
        <v>90489</v>
      </c>
      <c r="D94" s="125"/>
      <c r="E94" s="125">
        <f>9613+500</f>
        <v>10113</v>
      </c>
      <c r="F94" s="125">
        <v>2794</v>
      </c>
      <c r="G94" s="125">
        <v>0</v>
      </c>
      <c r="H94" s="125">
        <v>13315</v>
      </c>
      <c r="I94" s="125">
        <v>0</v>
      </c>
      <c r="J94" s="125">
        <f>K94+L94</f>
        <v>737</v>
      </c>
      <c r="K94" s="125">
        <f>358+150</f>
        <v>508</v>
      </c>
      <c r="L94" s="125">
        <f>154+75</f>
        <v>229</v>
      </c>
      <c r="M94" s="125"/>
      <c r="N94" s="125"/>
      <c r="O94" s="125">
        <v>20397</v>
      </c>
      <c r="P94" s="125">
        <v>43133</v>
      </c>
    </row>
    <row r="95" spans="1:16" s="128" customFormat="1" ht="12" x14ac:dyDescent="0.2">
      <c r="A95" s="175">
        <v>83</v>
      </c>
      <c r="B95" s="134" t="s">
        <v>203</v>
      </c>
      <c r="C95" s="125">
        <f t="shared" si="1"/>
        <v>98660</v>
      </c>
      <c r="D95" s="125">
        <v>14781</v>
      </c>
      <c r="E95" s="125">
        <v>10776</v>
      </c>
      <c r="F95" s="125">
        <v>2720</v>
      </c>
      <c r="G95" s="125">
        <v>0</v>
      </c>
      <c r="H95" s="125">
        <v>9025</v>
      </c>
      <c r="I95" s="125">
        <v>0</v>
      </c>
      <c r="J95" s="125">
        <v>1464</v>
      </c>
      <c r="K95" s="125">
        <v>1025</v>
      </c>
      <c r="L95" s="125">
        <v>439</v>
      </c>
      <c r="M95" s="125">
        <v>661</v>
      </c>
      <c r="N95" s="125"/>
      <c r="O95" s="125">
        <v>10011</v>
      </c>
      <c r="P95" s="125">
        <v>49222</v>
      </c>
    </row>
    <row r="96" spans="1:16" s="128" customFormat="1" ht="12" x14ac:dyDescent="0.2">
      <c r="A96" s="175">
        <v>84</v>
      </c>
      <c r="B96" s="134" t="s">
        <v>381</v>
      </c>
      <c r="C96" s="125">
        <f t="shared" si="1"/>
        <v>54953</v>
      </c>
      <c r="D96" s="125"/>
      <c r="E96" s="125">
        <v>6544</v>
      </c>
      <c r="F96" s="125">
        <v>1802</v>
      </c>
      <c r="G96" s="125">
        <v>0</v>
      </c>
      <c r="H96" s="125">
        <v>10623</v>
      </c>
      <c r="I96" s="125">
        <v>0</v>
      </c>
      <c r="J96" s="125">
        <v>0</v>
      </c>
      <c r="K96" s="125"/>
      <c r="L96" s="125"/>
      <c r="M96" s="125"/>
      <c r="N96" s="125"/>
      <c r="O96" s="125">
        <v>4696</v>
      </c>
      <c r="P96" s="125">
        <v>31288</v>
      </c>
    </row>
    <row r="97" spans="1:16" s="128" customFormat="1" ht="12" x14ac:dyDescent="0.2">
      <c r="A97" s="175">
        <v>85</v>
      </c>
      <c r="B97" s="134" t="s">
        <v>382</v>
      </c>
      <c r="C97" s="125">
        <f t="shared" si="1"/>
        <v>171391</v>
      </c>
      <c r="D97" s="125"/>
      <c r="E97" s="125">
        <v>19313</v>
      </c>
      <c r="F97" s="125">
        <v>5991</v>
      </c>
      <c r="G97" s="125">
        <v>0</v>
      </c>
      <c r="H97" s="125">
        <f>16799+300</f>
        <v>17099</v>
      </c>
      <c r="I97" s="125">
        <v>0</v>
      </c>
      <c r="J97" s="125">
        <v>1464</v>
      </c>
      <c r="K97" s="125">
        <v>1025</v>
      </c>
      <c r="L97" s="125">
        <v>439</v>
      </c>
      <c r="M97" s="125"/>
      <c r="N97" s="125"/>
      <c r="O97" s="125">
        <f>29000+1000</f>
        <v>30000</v>
      </c>
      <c r="P97" s="125">
        <v>97524</v>
      </c>
    </row>
    <row r="98" spans="1:16" s="128" customFormat="1" ht="12" x14ac:dyDescent="0.2">
      <c r="A98" s="175">
        <v>86</v>
      </c>
      <c r="B98" s="134" t="s">
        <v>383</v>
      </c>
      <c r="C98" s="125">
        <f t="shared" si="1"/>
        <v>60685</v>
      </c>
      <c r="D98" s="125"/>
      <c r="E98" s="125">
        <f>8077+500</f>
        <v>8577</v>
      </c>
      <c r="F98" s="125">
        <f>1909+105</f>
        <v>2014</v>
      </c>
      <c r="G98" s="125">
        <v>0</v>
      </c>
      <c r="H98" s="125">
        <v>5441</v>
      </c>
      <c r="I98" s="125">
        <v>0</v>
      </c>
      <c r="J98" s="125">
        <v>0</v>
      </c>
      <c r="K98" s="125"/>
      <c r="L98" s="125"/>
      <c r="M98" s="125"/>
      <c r="N98" s="125"/>
      <c r="O98" s="125">
        <v>7560</v>
      </c>
      <c r="P98" s="125">
        <v>37093</v>
      </c>
    </row>
    <row r="99" spans="1:16" s="128" customFormat="1" ht="12" x14ac:dyDescent="0.2">
      <c r="A99" s="175">
        <v>87</v>
      </c>
      <c r="B99" s="134" t="s">
        <v>384</v>
      </c>
      <c r="C99" s="125">
        <f t="shared" si="1"/>
        <v>66104</v>
      </c>
      <c r="D99" s="125"/>
      <c r="E99" s="125">
        <v>7672</v>
      </c>
      <c r="F99" s="125">
        <v>2106</v>
      </c>
      <c r="G99" s="125">
        <v>0</v>
      </c>
      <c r="H99" s="125">
        <v>7487</v>
      </c>
      <c r="I99" s="125">
        <v>0</v>
      </c>
      <c r="J99" s="125">
        <v>0</v>
      </c>
      <c r="K99" s="125"/>
      <c r="L99" s="125"/>
      <c r="M99" s="125"/>
      <c r="N99" s="125"/>
      <c r="O99" s="125">
        <f>10870+2500+1000</f>
        <v>14370</v>
      </c>
      <c r="P99" s="125">
        <v>34469</v>
      </c>
    </row>
    <row r="100" spans="1:16" s="128" customFormat="1" ht="16.5" x14ac:dyDescent="0.2">
      <c r="A100" s="175">
        <v>88</v>
      </c>
      <c r="B100" s="134" t="s">
        <v>385</v>
      </c>
      <c r="C100" s="125">
        <f t="shared" si="1"/>
        <v>2646</v>
      </c>
      <c r="D100" s="125"/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/>
      <c r="L100" s="125"/>
      <c r="M100" s="125"/>
      <c r="N100" s="125">
        <v>2646</v>
      </c>
      <c r="O100" s="125"/>
      <c r="P100" s="125">
        <v>0</v>
      </c>
    </row>
    <row r="101" spans="1:16" s="128" customFormat="1" ht="16.5" x14ac:dyDescent="0.2">
      <c r="A101" s="175">
        <v>89</v>
      </c>
      <c r="B101" s="134" t="s">
        <v>386</v>
      </c>
      <c r="C101" s="125">
        <f t="shared" si="1"/>
        <v>3086</v>
      </c>
      <c r="D101" s="125"/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/>
      <c r="L101" s="125"/>
      <c r="M101" s="125"/>
      <c r="N101" s="125">
        <v>3086</v>
      </c>
      <c r="O101" s="125"/>
      <c r="P101" s="125">
        <v>0</v>
      </c>
    </row>
    <row r="102" spans="1:16" s="128" customFormat="1" ht="16.5" x14ac:dyDescent="0.2">
      <c r="A102" s="175">
        <v>90</v>
      </c>
      <c r="B102" s="134" t="s">
        <v>387</v>
      </c>
      <c r="C102" s="125">
        <f t="shared" si="1"/>
        <v>3661</v>
      </c>
      <c r="D102" s="125"/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25"/>
      <c r="L102" s="125"/>
      <c r="M102" s="125"/>
      <c r="N102" s="125">
        <v>3661</v>
      </c>
      <c r="O102" s="125"/>
      <c r="P102" s="125">
        <v>0</v>
      </c>
    </row>
    <row r="103" spans="1:16" s="128" customFormat="1" ht="16.5" x14ac:dyDescent="0.2">
      <c r="A103" s="175">
        <v>91</v>
      </c>
      <c r="B103" s="134" t="s">
        <v>388</v>
      </c>
      <c r="C103" s="125">
        <f t="shared" si="1"/>
        <v>2971</v>
      </c>
      <c r="D103" s="125"/>
      <c r="E103" s="125">
        <v>0</v>
      </c>
      <c r="F103" s="125">
        <v>0</v>
      </c>
      <c r="G103" s="125">
        <v>0</v>
      </c>
      <c r="H103" s="125">
        <v>0</v>
      </c>
      <c r="I103" s="125">
        <v>0</v>
      </c>
      <c r="J103" s="125">
        <v>0</v>
      </c>
      <c r="K103" s="125"/>
      <c r="L103" s="125"/>
      <c r="M103" s="125"/>
      <c r="N103" s="125">
        <v>2971</v>
      </c>
      <c r="O103" s="125"/>
      <c r="P103" s="125">
        <v>0</v>
      </c>
    </row>
    <row r="104" spans="1:16" s="128" customFormat="1" ht="16.5" x14ac:dyDescent="0.2">
      <c r="A104" s="175">
        <v>92</v>
      </c>
      <c r="B104" s="134" t="s">
        <v>389</v>
      </c>
      <c r="C104" s="125">
        <f t="shared" si="1"/>
        <v>13089</v>
      </c>
      <c r="D104" s="125"/>
      <c r="E104" s="125">
        <v>0</v>
      </c>
      <c r="F104" s="125">
        <v>0</v>
      </c>
      <c r="G104" s="125">
        <v>0</v>
      </c>
      <c r="H104" s="125">
        <v>0</v>
      </c>
      <c r="I104" s="125">
        <v>0</v>
      </c>
      <c r="J104" s="125">
        <v>0</v>
      </c>
      <c r="K104" s="125"/>
      <c r="L104" s="125"/>
      <c r="M104" s="125"/>
      <c r="N104" s="125">
        <v>13089</v>
      </c>
      <c r="O104" s="125"/>
      <c r="P104" s="125">
        <v>0</v>
      </c>
    </row>
    <row r="105" spans="1:16" s="128" customFormat="1" ht="16.5" x14ac:dyDescent="0.2">
      <c r="A105" s="175">
        <v>93</v>
      </c>
      <c r="B105" s="134" t="s">
        <v>390</v>
      </c>
      <c r="C105" s="125">
        <f t="shared" si="1"/>
        <v>2707</v>
      </c>
      <c r="D105" s="125"/>
      <c r="E105" s="125">
        <v>0</v>
      </c>
      <c r="F105" s="125">
        <v>0</v>
      </c>
      <c r="G105" s="125">
        <v>0</v>
      </c>
      <c r="H105" s="125">
        <v>0</v>
      </c>
      <c r="I105" s="125">
        <v>0</v>
      </c>
      <c r="J105" s="125">
        <v>0</v>
      </c>
      <c r="K105" s="125"/>
      <c r="L105" s="125"/>
      <c r="M105" s="125"/>
      <c r="N105" s="125">
        <v>2707</v>
      </c>
      <c r="O105" s="125"/>
      <c r="P105" s="125">
        <v>0</v>
      </c>
    </row>
    <row r="106" spans="1:16" s="128" customFormat="1" ht="16.5" x14ac:dyDescent="0.2">
      <c r="A106" s="175">
        <v>94</v>
      </c>
      <c r="B106" s="134" t="s">
        <v>391</v>
      </c>
      <c r="C106" s="125">
        <f t="shared" si="1"/>
        <v>2344</v>
      </c>
      <c r="D106" s="125"/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/>
      <c r="L106" s="125"/>
      <c r="M106" s="125"/>
      <c r="N106" s="125">
        <v>2344</v>
      </c>
      <c r="O106" s="125"/>
      <c r="P106" s="125">
        <v>0</v>
      </c>
    </row>
    <row r="107" spans="1:16" s="128" customFormat="1" ht="12" x14ac:dyDescent="0.2">
      <c r="A107" s="175">
        <v>95</v>
      </c>
      <c r="B107" s="134" t="s">
        <v>213</v>
      </c>
      <c r="C107" s="125">
        <f t="shared" si="1"/>
        <v>166952</v>
      </c>
      <c r="D107" s="125">
        <v>11581</v>
      </c>
      <c r="E107" s="125">
        <v>10897</v>
      </c>
      <c r="F107" s="125">
        <v>2790</v>
      </c>
      <c r="G107" s="125">
        <v>185</v>
      </c>
      <c r="H107" s="125">
        <v>11704</v>
      </c>
      <c r="I107" s="125">
        <v>41603</v>
      </c>
      <c r="J107" s="125">
        <v>0</v>
      </c>
      <c r="K107" s="125"/>
      <c r="L107" s="125"/>
      <c r="M107" s="125"/>
      <c r="N107" s="125"/>
      <c r="O107" s="125">
        <v>24171</v>
      </c>
      <c r="P107" s="125">
        <v>64021</v>
      </c>
    </row>
    <row r="108" spans="1:16" s="128" customFormat="1" ht="12" x14ac:dyDescent="0.2">
      <c r="A108" s="175">
        <v>96</v>
      </c>
      <c r="B108" s="134" t="s">
        <v>392</v>
      </c>
      <c r="C108" s="125">
        <f t="shared" si="1"/>
        <v>106490.8</v>
      </c>
      <c r="D108" s="125"/>
      <c r="E108" s="125">
        <v>12001</v>
      </c>
      <c r="F108" s="125">
        <v>2036</v>
      </c>
      <c r="G108" s="125">
        <v>0</v>
      </c>
      <c r="H108" s="125">
        <v>10693</v>
      </c>
      <c r="I108" s="125">
        <v>0</v>
      </c>
      <c r="J108" s="125">
        <v>1463.8</v>
      </c>
      <c r="K108" s="125">
        <v>1024.8</v>
      </c>
      <c r="L108" s="125">
        <v>439</v>
      </c>
      <c r="M108" s="125">
        <v>2635</v>
      </c>
      <c r="N108" s="125"/>
      <c r="O108" s="125">
        <v>24330</v>
      </c>
      <c r="P108" s="125">
        <v>53332</v>
      </c>
    </row>
    <row r="109" spans="1:16" s="128" customFormat="1" ht="12" x14ac:dyDescent="0.2">
      <c r="A109" s="175">
        <v>97</v>
      </c>
      <c r="B109" s="134" t="s">
        <v>220</v>
      </c>
      <c r="C109" s="125">
        <f t="shared" si="1"/>
        <v>84282</v>
      </c>
      <c r="D109" s="125"/>
      <c r="E109" s="125">
        <v>9275</v>
      </c>
      <c r="F109" s="125">
        <v>2961</v>
      </c>
      <c r="G109" s="125">
        <v>0</v>
      </c>
      <c r="H109" s="125">
        <v>5949</v>
      </c>
      <c r="I109" s="125">
        <v>0</v>
      </c>
      <c r="J109" s="125">
        <v>0</v>
      </c>
      <c r="K109" s="125"/>
      <c r="L109" s="125"/>
      <c r="M109" s="125">
        <v>108</v>
      </c>
      <c r="N109" s="125"/>
      <c r="O109" s="125">
        <v>15592</v>
      </c>
      <c r="P109" s="125">
        <v>50397</v>
      </c>
    </row>
    <row r="110" spans="1:16" s="128" customFormat="1" ht="12" x14ac:dyDescent="0.2">
      <c r="A110" s="175">
        <v>98</v>
      </c>
      <c r="B110" s="134" t="s">
        <v>393</v>
      </c>
      <c r="C110" s="125">
        <f t="shared" si="1"/>
        <v>48139</v>
      </c>
      <c r="D110" s="125"/>
      <c r="E110" s="125">
        <v>5336</v>
      </c>
      <c r="F110" s="125">
        <v>1566</v>
      </c>
      <c r="G110" s="125">
        <v>0</v>
      </c>
      <c r="H110" s="125">
        <v>4707</v>
      </c>
      <c r="I110" s="125">
        <v>0</v>
      </c>
      <c r="J110" s="125">
        <v>0</v>
      </c>
      <c r="K110" s="125"/>
      <c r="L110" s="125"/>
      <c r="M110" s="125"/>
      <c r="N110" s="125"/>
      <c r="O110" s="125">
        <v>10416</v>
      </c>
      <c r="P110" s="125">
        <v>26114</v>
      </c>
    </row>
    <row r="111" spans="1:16" s="128" customFormat="1" ht="12" x14ac:dyDescent="0.2">
      <c r="A111" s="175">
        <v>99</v>
      </c>
      <c r="B111" s="134" t="s">
        <v>205</v>
      </c>
      <c r="C111" s="125">
        <f t="shared" si="1"/>
        <v>27914</v>
      </c>
      <c r="D111" s="125">
        <v>8666</v>
      </c>
      <c r="E111" s="125">
        <v>2108</v>
      </c>
      <c r="F111" s="125">
        <v>523</v>
      </c>
      <c r="G111" s="125">
        <v>0</v>
      </c>
      <c r="H111" s="125">
        <v>1526</v>
      </c>
      <c r="I111" s="125">
        <v>0</v>
      </c>
      <c r="J111" s="125">
        <v>1464</v>
      </c>
      <c r="K111" s="125">
        <v>1025</v>
      </c>
      <c r="L111" s="125">
        <v>439</v>
      </c>
      <c r="M111" s="125"/>
      <c r="N111" s="125"/>
      <c r="O111" s="125">
        <f>467+3993-3993</f>
        <v>467</v>
      </c>
      <c r="P111" s="125">
        <v>13160</v>
      </c>
    </row>
    <row r="112" spans="1:16" s="128" customFormat="1" ht="12" x14ac:dyDescent="0.2">
      <c r="A112" s="175">
        <v>100</v>
      </c>
      <c r="B112" s="134" t="s">
        <v>394</v>
      </c>
      <c r="C112" s="125">
        <f t="shared" si="1"/>
        <v>38862</v>
      </c>
      <c r="D112" s="125"/>
      <c r="E112" s="125">
        <v>3534</v>
      </c>
      <c r="F112" s="125">
        <v>681</v>
      </c>
      <c r="G112" s="125">
        <v>0</v>
      </c>
      <c r="H112" s="125">
        <v>1400</v>
      </c>
      <c r="I112" s="125">
        <v>0</v>
      </c>
      <c r="J112" s="125">
        <v>0</v>
      </c>
      <c r="K112" s="125"/>
      <c r="L112" s="125"/>
      <c r="M112" s="125"/>
      <c r="N112" s="125"/>
      <c r="O112" s="125">
        <v>8963</v>
      </c>
      <c r="P112" s="125">
        <v>24284</v>
      </c>
    </row>
    <row r="113" spans="1:16" s="128" customFormat="1" ht="12" x14ac:dyDescent="0.2">
      <c r="A113" s="175">
        <v>101</v>
      </c>
      <c r="B113" s="134" t="s">
        <v>214</v>
      </c>
      <c r="C113" s="125">
        <f t="shared" si="1"/>
        <v>246663</v>
      </c>
      <c r="D113" s="125"/>
      <c r="E113" s="125">
        <v>25723</v>
      </c>
      <c r="F113" s="125">
        <f>5859-1600</f>
        <v>4259</v>
      </c>
      <c r="G113" s="125">
        <v>0</v>
      </c>
      <c r="H113" s="125">
        <v>7838</v>
      </c>
      <c r="I113" s="125">
        <v>0</v>
      </c>
      <c r="J113" s="125">
        <v>2928</v>
      </c>
      <c r="K113" s="125">
        <v>2050</v>
      </c>
      <c r="L113" s="125">
        <v>878</v>
      </c>
      <c r="M113" s="125">
        <f>21274-13630</f>
        <v>7644</v>
      </c>
      <c r="N113" s="125"/>
      <c r="O113" s="125">
        <f>58119+13630-6200</f>
        <v>65549</v>
      </c>
      <c r="P113" s="125">
        <v>132722</v>
      </c>
    </row>
    <row r="114" spans="1:16" s="128" customFormat="1" ht="12" x14ac:dyDescent="0.2">
      <c r="A114" s="175">
        <v>102</v>
      </c>
      <c r="B114" s="134" t="s">
        <v>206</v>
      </c>
      <c r="C114" s="125">
        <f t="shared" si="1"/>
        <v>139749</v>
      </c>
      <c r="D114" s="125">
        <v>8117</v>
      </c>
      <c r="E114" s="125">
        <v>0</v>
      </c>
      <c r="F114" s="125">
        <v>0</v>
      </c>
      <c r="G114" s="125">
        <v>482</v>
      </c>
      <c r="H114" s="125">
        <v>0</v>
      </c>
      <c r="I114" s="125">
        <v>71821</v>
      </c>
      <c r="J114" s="125">
        <v>0</v>
      </c>
      <c r="K114" s="125"/>
      <c r="L114" s="125"/>
      <c r="M114" s="125"/>
      <c r="N114" s="125"/>
      <c r="O114" s="125">
        <v>4131</v>
      </c>
      <c r="P114" s="125">
        <v>55198</v>
      </c>
    </row>
    <row r="115" spans="1:16" s="128" customFormat="1" ht="12" x14ac:dyDescent="0.2">
      <c r="A115" s="175">
        <v>103</v>
      </c>
      <c r="B115" s="134" t="s">
        <v>21</v>
      </c>
      <c r="C115" s="125">
        <f t="shared" si="1"/>
        <v>112143</v>
      </c>
      <c r="D115" s="125">
        <v>15675</v>
      </c>
      <c r="E115" s="125">
        <v>7150</v>
      </c>
      <c r="F115" s="125">
        <v>1607</v>
      </c>
      <c r="G115" s="125">
        <v>0</v>
      </c>
      <c r="H115" s="125">
        <v>7096</v>
      </c>
      <c r="I115" s="125">
        <v>0</v>
      </c>
      <c r="J115" s="125">
        <v>0</v>
      </c>
      <c r="K115" s="125"/>
      <c r="L115" s="125"/>
      <c r="M115" s="125">
        <f>207+1160</f>
        <v>1367</v>
      </c>
      <c r="N115" s="125"/>
      <c r="O115" s="125">
        <v>17865</v>
      </c>
      <c r="P115" s="125">
        <v>61383</v>
      </c>
    </row>
    <row r="116" spans="1:16" s="128" customFormat="1" ht="12" x14ac:dyDescent="0.2">
      <c r="A116" s="175">
        <v>104</v>
      </c>
      <c r="B116" s="134" t="s">
        <v>310</v>
      </c>
      <c r="C116" s="125">
        <f t="shared" si="1"/>
        <v>44588</v>
      </c>
      <c r="D116" s="125"/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/>
      <c r="L116" s="125"/>
      <c r="M116" s="125"/>
      <c r="N116" s="125">
        <v>44588</v>
      </c>
      <c r="O116" s="125"/>
      <c r="P116" s="125">
        <v>0</v>
      </c>
    </row>
    <row r="117" spans="1:16" s="128" customFormat="1" ht="12" x14ac:dyDescent="0.2">
      <c r="A117" s="411">
        <v>105</v>
      </c>
      <c r="B117" s="134" t="s">
        <v>22</v>
      </c>
      <c r="C117" s="125">
        <f t="shared" si="1"/>
        <v>28393</v>
      </c>
      <c r="D117" s="125"/>
      <c r="E117" s="125">
        <v>904</v>
      </c>
      <c r="F117" s="125">
        <v>38</v>
      </c>
      <c r="G117" s="125">
        <v>0</v>
      </c>
      <c r="H117" s="125">
        <v>184</v>
      </c>
      <c r="I117" s="125">
        <v>0</v>
      </c>
      <c r="J117" s="125">
        <v>0</v>
      </c>
      <c r="K117" s="125"/>
      <c r="L117" s="125"/>
      <c r="M117" s="125">
        <v>8240</v>
      </c>
      <c r="N117" s="125"/>
      <c r="O117" s="125">
        <v>732</v>
      </c>
      <c r="P117" s="125">
        <v>18295</v>
      </c>
    </row>
    <row r="118" spans="1:16" s="128" customFormat="1" ht="16.5" x14ac:dyDescent="0.2">
      <c r="A118" s="412"/>
      <c r="B118" s="134" t="s">
        <v>395</v>
      </c>
      <c r="C118" s="125">
        <f t="shared" si="1"/>
        <v>3600</v>
      </c>
      <c r="D118" s="125"/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/>
      <c r="L118" s="125"/>
      <c r="M118" s="125"/>
      <c r="N118" s="125">
        <v>3600</v>
      </c>
      <c r="O118" s="125"/>
      <c r="P118" s="125">
        <v>0</v>
      </c>
    </row>
    <row r="119" spans="1:16" s="128" customFormat="1" ht="16.5" x14ac:dyDescent="0.2">
      <c r="A119" s="175">
        <v>106</v>
      </c>
      <c r="B119" s="134" t="s">
        <v>396</v>
      </c>
      <c r="C119" s="125">
        <f t="shared" si="1"/>
        <v>8362</v>
      </c>
      <c r="D119" s="125"/>
      <c r="E119" s="125">
        <v>0</v>
      </c>
      <c r="F119" s="125">
        <v>0</v>
      </c>
      <c r="G119" s="125">
        <v>0</v>
      </c>
      <c r="H119" s="125">
        <v>0</v>
      </c>
      <c r="I119" s="125">
        <v>0</v>
      </c>
      <c r="J119" s="125">
        <v>0</v>
      </c>
      <c r="K119" s="125"/>
      <c r="L119" s="125"/>
      <c r="M119" s="125"/>
      <c r="N119" s="125">
        <v>8362</v>
      </c>
      <c r="O119" s="125"/>
      <c r="P119" s="125">
        <v>0</v>
      </c>
    </row>
    <row r="120" spans="1:16" s="128" customFormat="1" ht="12" x14ac:dyDescent="0.2">
      <c r="A120" s="175">
        <v>107</v>
      </c>
      <c r="B120" s="127" t="s">
        <v>397</v>
      </c>
      <c r="C120" s="125">
        <f t="shared" si="1"/>
        <v>11360</v>
      </c>
      <c r="D120" s="125"/>
      <c r="E120" s="125">
        <v>1444</v>
      </c>
      <c r="F120" s="125">
        <v>233</v>
      </c>
      <c r="G120" s="125">
        <v>0</v>
      </c>
      <c r="H120" s="125">
        <v>1251</v>
      </c>
      <c r="I120" s="125">
        <v>0</v>
      </c>
      <c r="J120" s="125">
        <v>0</v>
      </c>
      <c r="K120" s="125"/>
      <c r="L120" s="125"/>
      <c r="M120" s="125"/>
      <c r="N120" s="125"/>
      <c r="O120" s="125">
        <f>1140+350</f>
        <v>1490</v>
      </c>
      <c r="P120" s="125">
        <v>6942</v>
      </c>
    </row>
    <row r="121" spans="1:16" s="128" customFormat="1" ht="12" x14ac:dyDescent="0.2">
      <c r="A121" s="175">
        <v>108</v>
      </c>
      <c r="B121" s="124" t="s">
        <v>134</v>
      </c>
      <c r="C121" s="125">
        <f t="shared" si="1"/>
        <v>44807</v>
      </c>
      <c r="D121" s="125">
        <v>1170</v>
      </c>
      <c r="E121" s="125">
        <v>3397</v>
      </c>
      <c r="F121" s="125">
        <v>749</v>
      </c>
      <c r="G121" s="125">
        <f>93+2</f>
        <v>95</v>
      </c>
      <c r="H121" s="125">
        <v>5059</v>
      </c>
      <c r="I121" s="125">
        <v>7646</v>
      </c>
      <c r="J121" s="125">
        <v>0</v>
      </c>
      <c r="K121" s="125"/>
      <c r="L121" s="125"/>
      <c r="M121" s="125"/>
      <c r="N121" s="125"/>
      <c r="O121" s="125">
        <f>5522+1476</f>
        <v>6998</v>
      </c>
      <c r="P121" s="125">
        <v>19693</v>
      </c>
    </row>
    <row r="122" spans="1:16" s="128" customFormat="1" ht="12" x14ac:dyDescent="0.2">
      <c r="A122" s="175">
        <v>109</v>
      </c>
      <c r="B122" s="127" t="s">
        <v>135</v>
      </c>
      <c r="C122" s="125">
        <f t="shared" si="1"/>
        <v>44485.5</v>
      </c>
      <c r="D122" s="125"/>
      <c r="E122" s="125">
        <v>3708</v>
      </c>
      <c r="F122" s="125">
        <v>855</v>
      </c>
      <c r="G122" s="125">
        <v>16</v>
      </c>
      <c r="H122" s="125">
        <v>4303</v>
      </c>
      <c r="I122" s="125">
        <v>10092.5</v>
      </c>
      <c r="J122" s="125">
        <v>0</v>
      </c>
      <c r="K122" s="125"/>
      <c r="L122" s="125"/>
      <c r="M122" s="125"/>
      <c r="N122" s="125"/>
      <c r="O122" s="125">
        <v>3826</v>
      </c>
      <c r="P122" s="125">
        <v>21685</v>
      </c>
    </row>
    <row r="123" spans="1:16" s="128" customFormat="1" ht="12" x14ac:dyDescent="0.2">
      <c r="A123" s="175">
        <v>110</v>
      </c>
      <c r="B123" s="124" t="s">
        <v>30</v>
      </c>
      <c r="C123" s="125">
        <f t="shared" si="1"/>
        <v>124313</v>
      </c>
      <c r="D123" s="125"/>
      <c r="E123" s="125">
        <v>8199</v>
      </c>
      <c r="F123" s="125">
        <v>1795</v>
      </c>
      <c r="G123" s="125">
        <v>180</v>
      </c>
      <c r="H123" s="125">
        <v>2115</v>
      </c>
      <c r="I123" s="125">
        <v>23193</v>
      </c>
      <c r="J123" s="125">
        <v>0</v>
      </c>
      <c r="K123" s="125"/>
      <c r="L123" s="125"/>
      <c r="M123" s="125"/>
      <c r="N123" s="125"/>
      <c r="O123" s="125">
        <v>15173</v>
      </c>
      <c r="P123" s="125">
        <v>73658</v>
      </c>
    </row>
    <row r="124" spans="1:16" s="128" customFormat="1" ht="12" x14ac:dyDescent="0.2">
      <c r="A124" s="175">
        <v>111</v>
      </c>
      <c r="B124" s="127" t="s">
        <v>136</v>
      </c>
      <c r="C124" s="125">
        <f t="shared" si="1"/>
        <v>58154</v>
      </c>
      <c r="D124" s="125"/>
      <c r="E124" s="125">
        <v>4583</v>
      </c>
      <c r="F124" s="125">
        <v>911</v>
      </c>
      <c r="G124" s="125">
        <v>42</v>
      </c>
      <c r="H124" s="125">
        <v>5122</v>
      </c>
      <c r="I124" s="125">
        <v>11485</v>
      </c>
      <c r="J124" s="125">
        <v>0</v>
      </c>
      <c r="K124" s="125"/>
      <c r="L124" s="125"/>
      <c r="M124" s="125"/>
      <c r="N124" s="125"/>
      <c r="O124" s="125">
        <v>7365</v>
      </c>
      <c r="P124" s="125">
        <v>28646</v>
      </c>
    </row>
    <row r="125" spans="1:16" s="128" customFormat="1" ht="12" x14ac:dyDescent="0.2">
      <c r="A125" s="175">
        <v>112</v>
      </c>
      <c r="B125" s="127" t="s">
        <v>137</v>
      </c>
      <c r="C125" s="125">
        <f t="shared" si="1"/>
        <v>75523</v>
      </c>
      <c r="D125" s="125"/>
      <c r="E125" s="125">
        <v>5985</v>
      </c>
      <c r="F125" s="125">
        <v>1574</v>
      </c>
      <c r="G125" s="125">
        <v>79</v>
      </c>
      <c r="H125" s="125">
        <v>6136</v>
      </c>
      <c r="I125" s="125">
        <v>11641</v>
      </c>
      <c r="J125" s="125">
        <v>322</v>
      </c>
      <c r="K125" s="125">
        <v>225</v>
      </c>
      <c r="L125" s="125">
        <v>97</v>
      </c>
      <c r="M125" s="125"/>
      <c r="N125" s="125"/>
      <c r="O125" s="125">
        <f>13792+800</f>
        <v>14592</v>
      </c>
      <c r="P125" s="125">
        <v>35194</v>
      </c>
    </row>
    <row r="126" spans="1:16" s="128" customFormat="1" ht="12" x14ac:dyDescent="0.2">
      <c r="A126" s="175">
        <v>113</v>
      </c>
      <c r="B126" s="124" t="s">
        <v>138</v>
      </c>
      <c r="C126" s="125">
        <f t="shared" si="1"/>
        <v>134968</v>
      </c>
      <c r="D126" s="125"/>
      <c r="E126" s="125">
        <v>9474</v>
      </c>
      <c r="F126" s="125">
        <v>2502</v>
      </c>
      <c r="G126" s="125">
        <f>265-30</f>
        <v>235</v>
      </c>
      <c r="H126" s="125">
        <v>6935</v>
      </c>
      <c r="I126" s="125">
        <v>26126</v>
      </c>
      <c r="J126" s="125">
        <v>0</v>
      </c>
      <c r="K126" s="125"/>
      <c r="L126" s="125"/>
      <c r="M126" s="125"/>
      <c r="N126" s="125"/>
      <c r="O126" s="125">
        <f>10700+1000</f>
        <v>11700</v>
      </c>
      <c r="P126" s="125">
        <v>77996</v>
      </c>
    </row>
    <row r="127" spans="1:16" s="128" customFormat="1" ht="12" x14ac:dyDescent="0.2">
      <c r="A127" s="175">
        <v>114</v>
      </c>
      <c r="B127" s="124" t="s">
        <v>139</v>
      </c>
      <c r="C127" s="125">
        <f t="shared" si="1"/>
        <v>121557</v>
      </c>
      <c r="D127" s="125"/>
      <c r="E127" s="125">
        <v>8337</v>
      </c>
      <c r="F127" s="125">
        <v>2153</v>
      </c>
      <c r="G127" s="125">
        <v>112</v>
      </c>
      <c r="H127" s="125">
        <v>6336</v>
      </c>
      <c r="I127" s="125">
        <v>14818</v>
      </c>
      <c r="J127" s="125">
        <v>0</v>
      </c>
      <c r="K127" s="125"/>
      <c r="L127" s="125"/>
      <c r="M127" s="125"/>
      <c r="N127" s="125"/>
      <c r="O127" s="125">
        <v>29227</v>
      </c>
      <c r="P127" s="125">
        <v>60574</v>
      </c>
    </row>
    <row r="128" spans="1:16" s="128" customFormat="1" ht="12" x14ac:dyDescent="0.2">
      <c r="A128" s="175">
        <v>115</v>
      </c>
      <c r="B128" s="127" t="s">
        <v>140</v>
      </c>
      <c r="C128" s="125">
        <f t="shared" si="1"/>
        <v>41147</v>
      </c>
      <c r="D128" s="125"/>
      <c r="E128" s="125">
        <v>3505</v>
      </c>
      <c r="F128" s="125">
        <v>918</v>
      </c>
      <c r="G128" s="125">
        <v>45</v>
      </c>
      <c r="H128" s="125">
        <v>2340</v>
      </c>
      <c r="I128" s="125">
        <v>8184</v>
      </c>
      <c r="J128" s="125">
        <v>0</v>
      </c>
      <c r="K128" s="125"/>
      <c r="L128" s="125"/>
      <c r="M128" s="125"/>
      <c r="N128" s="125"/>
      <c r="O128" s="125">
        <v>10114</v>
      </c>
      <c r="P128" s="125">
        <v>16041</v>
      </c>
    </row>
    <row r="129" spans="1:16" s="128" customFormat="1" ht="12" x14ac:dyDescent="0.2">
      <c r="A129" s="175">
        <v>116</v>
      </c>
      <c r="B129" s="124" t="s">
        <v>141</v>
      </c>
      <c r="C129" s="125">
        <f t="shared" si="1"/>
        <v>67158.5</v>
      </c>
      <c r="D129" s="125"/>
      <c r="E129" s="125">
        <v>5731</v>
      </c>
      <c r="F129" s="125">
        <v>1481</v>
      </c>
      <c r="G129" s="125">
        <v>72</v>
      </c>
      <c r="H129" s="125">
        <v>5879</v>
      </c>
      <c r="I129" s="125">
        <v>10774.5</v>
      </c>
      <c r="J129" s="125">
        <v>0</v>
      </c>
      <c r="K129" s="125"/>
      <c r="L129" s="125"/>
      <c r="M129" s="125"/>
      <c r="N129" s="125"/>
      <c r="O129" s="125">
        <v>8916</v>
      </c>
      <c r="P129" s="125">
        <v>34305</v>
      </c>
    </row>
    <row r="130" spans="1:16" s="128" customFormat="1" ht="12" x14ac:dyDescent="0.2">
      <c r="A130" s="175">
        <v>117</v>
      </c>
      <c r="B130" s="127" t="s">
        <v>142</v>
      </c>
      <c r="C130" s="125">
        <f t="shared" si="1"/>
        <v>62516</v>
      </c>
      <c r="D130" s="125"/>
      <c r="E130" s="125">
        <v>5189</v>
      </c>
      <c r="F130" s="125">
        <v>1396</v>
      </c>
      <c r="G130" s="125">
        <v>90</v>
      </c>
      <c r="H130" s="125">
        <v>4323</v>
      </c>
      <c r="I130" s="125">
        <v>11357</v>
      </c>
      <c r="J130" s="125">
        <v>0</v>
      </c>
      <c r="K130" s="125"/>
      <c r="L130" s="125"/>
      <c r="M130" s="125">
        <v>670</v>
      </c>
      <c r="N130" s="125"/>
      <c r="O130" s="125">
        <v>12372</v>
      </c>
      <c r="P130" s="125">
        <v>27119</v>
      </c>
    </row>
    <row r="131" spans="1:16" s="128" customFormat="1" ht="12" x14ac:dyDescent="0.2">
      <c r="A131" s="175">
        <v>118</v>
      </c>
      <c r="B131" s="127" t="s">
        <v>15</v>
      </c>
      <c r="C131" s="125">
        <f t="shared" si="1"/>
        <v>99610</v>
      </c>
      <c r="D131" s="125">
        <v>21837</v>
      </c>
      <c r="E131" s="125">
        <v>5248</v>
      </c>
      <c r="F131" s="125">
        <v>1339</v>
      </c>
      <c r="G131" s="125">
        <f>61+9</f>
        <v>70</v>
      </c>
      <c r="H131" s="125">
        <v>4050</v>
      </c>
      <c r="I131" s="125">
        <v>13170</v>
      </c>
      <c r="J131" s="125">
        <v>1464</v>
      </c>
      <c r="K131" s="125">
        <v>1025</v>
      </c>
      <c r="L131" s="125">
        <v>439</v>
      </c>
      <c r="M131" s="125"/>
      <c r="N131" s="125"/>
      <c r="O131" s="125">
        <f>9040+4000-1400</f>
        <v>11640</v>
      </c>
      <c r="P131" s="125">
        <v>40792</v>
      </c>
    </row>
    <row r="132" spans="1:16" s="128" customFormat="1" ht="12" x14ac:dyDescent="0.2">
      <c r="A132" s="175">
        <v>119</v>
      </c>
      <c r="B132" s="124" t="s">
        <v>143</v>
      </c>
      <c r="C132" s="125">
        <f t="shared" si="1"/>
        <v>48043</v>
      </c>
      <c r="D132" s="125"/>
      <c r="E132" s="125">
        <v>4161</v>
      </c>
      <c r="F132" s="125">
        <v>1201</v>
      </c>
      <c r="G132" s="125">
        <v>113</v>
      </c>
      <c r="H132" s="125">
        <v>1744</v>
      </c>
      <c r="I132" s="125">
        <v>10011</v>
      </c>
      <c r="J132" s="125">
        <v>0</v>
      </c>
      <c r="K132" s="125"/>
      <c r="L132" s="125"/>
      <c r="M132" s="125"/>
      <c r="N132" s="125"/>
      <c r="O132" s="125">
        <v>11432</v>
      </c>
      <c r="P132" s="125">
        <v>19381</v>
      </c>
    </row>
    <row r="133" spans="1:16" s="128" customFormat="1" ht="12" x14ac:dyDescent="0.2">
      <c r="A133" s="175">
        <v>120</v>
      </c>
      <c r="B133" s="127" t="s">
        <v>144</v>
      </c>
      <c r="C133" s="125">
        <f t="shared" si="1"/>
        <v>74142</v>
      </c>
      <c r="D133" s="125"/>
      <c r="E133" s="125">
        <v>6228</v>
      </c>
      <c r="F133" s="125">
        <v>1685</v>
      </c>
      <c r="G133" s="125">
        <v>76</v>
      </c>
      <c r="H133" s="125">
        <v>5439</v>
      </c>
      <c r="I133" s="125">
        <v>13156</v>
      </c>
      <c r="J133" s="125">
        <v>0</v>
      </c>
      <c r="K133" s="125"/>
      <c r="L133" s="125"/>
      <c r="M133" s="125"/>
      <c r="N133" s="125"/>
      <c r="O133" s="125">
        <v>10947</v>
      </c>
      <c r="P133" s="125">
        <v>36611</v>
      </c>
    </row>
    <row r="134" spans="1:16" s="128" customFormat="1" ht="12" x14ac:dyDescent="0.2">
      <c r="A134" s="175">
        <v>121</v>
      </c>
      <c r="B134" s="127" t="s">
        <v>145</v>
      </c>
      <c r="C134" s="125">
        <f t="shared" si="1"/>
        <v>121256</v>
      </c>
      <c r="D134" s="125">
        <v>20</v>
      </c>
      <c r="E134" s="125">
        <v>9969</v>
      </c>
      <c r="F134" s="125">
        <v>2463</v>
      </c>
      <c r="G134" s="125">
        <v>75</v>
      </c>
      <c r="H134" s="125">
        <v>14529</v>
      </c>
      <c r="I134" s="125">
        <v>21378</v>
      </c>
      <c r="J134" s="125">
        <v>0</v>
      </c>
      <c r="K134" s="125"/>
      <c r="L134" s="125"/>
      <c r="M134" s="125"/>
      <c r="N134" s="125"/>
      <c r="O134" s="125">
        <v>19852</v>
      </c>
      <c r="P134" s="125">
        <v>52970</v>
      </c>
    </row>
    <row r="135" spans="1:16" s="128" customFormat="1" ht="12" x14ac:dyDescent="0.2">
      <c r="A135" s="175">
        <v>122</v>
      </c>
      <c r="B135" s="127" t="s">
        <v>146</v>
      </c>
      <c r="C135" s="125">
        <f t="shared" si="1"/>
        <v>53355</v>
      </c>
      <c r="D135" s="125"/>
      <c r="E135" s="125">
        <v>4793</v>
      </c>
      <c r="F135" s="125">
        <v>1199</v>
      </c>
      <c r="G135" s="125">
        <v>112</v>
      </c>
      <c r="H135" s="125">
        <v>1588</v>
      </c>
      <c r="I135" s="125">
        <v>10280</v>
      </c>
      <c r="J135" s="125">
        <v>0</v>
      </c>
      <c r="K135" s="125"/>
      <c r="L135" s="125"/>
      <c r="M135" s="125"/>
      <c r="N135" s="125"/>
      <c r="O135" s="125">
        <v>7145</v>
      </c>
      <c r="P135" s="125">
        <v>28238</v>
      </c>
    </row>
    <row r="136" spans="1:16" s="128" customFormat="1" ht="12" customHeight="1" x14ac:dyDescent="0.2">
      <c r="A136" s="175">
        <v>123</v>
      </c>
      <c r="B136" s="136" t="s">
        <v>215</v>
      </c>
      <c r="C136" s="125">
        <f t="shared" si="1"/>
        <v>50570</v>
      </c>
      <c r="D136" s="125"/>
      <c r="E136" s="125">
        <v>3994</v>
      </c>
      <c r="F136" s="125">
        <v>989</v>
      </c>
      <c r="G136" s="125">
        <v>0</v>
      </c>
      <c r="H136" s="125">
        <v>3782</v>
      </c>
      <c r="I136" s="125">
        <v>0</v>
      </c>
      <c r="J136" s="125">
        <v>3080</v>
      </c>
      <c r="K136" s="125">
        <v>2156</v>
      </c>
      <c r="L136" s="125">
        <v>924</v>
      </c>
      <c r="M136" s="125"/>
      <c r="N136" s="125"/>
      <c r="O136" s="125">
        <f>4577+700</f>
        <v>5277</v>
      </c>
      <c r="P136" s="125">
        <v>33448</v>
      </c>
    </row>
    <row r="137" spans="1:16" s="128" customFormat="1" ht="12" x14ac:dyDescent="0.2">
      <c r="A137" s="175">
        <v>124</v>
      </c>
      <c r="B137" s="134" t="s">
        <v>400</v>
      </c>
      <c r="C137" s="125">
        <f t="shared" ref="C137:C173" si="2">D137+E137+F137+G137+H137+I137+J137+M137+N137+O137+P137</f>
        <v>0</v>
      </c>
      <c r="D137" s="125"/>
      <c r="E137" s="125">
        <v>0</v>
      </c>
      <c r="F137" s="125">
        <v>0</v>
      </c>
      <c r="G137" s="125">
        <v>0</v>
      </c>
      <c r="H137" s="125">
        <v>0</v>
      </c>
      <c r="I137" s="125">
        <v>0</v>
      </c>
      <c r="J137" s="125">
        <v>0</v>
      </c>
      <c r="K137" s="125"/>
      <c r="L137" s="125"/>
      <c r="M137" s="125"/>
      <c r="N137" s="125">
        <v>0</v>
      </c>
      <c r="O137" s="125"/>
      <c r="P137" s="125">
        <v>0</v>
      </c>
    </row>
    <row r="138" spans="1:16" s="128" customFormat="1" ht="12" x14ac:dyDescent="0.2">
      <c r="A138" s="175">
        <v>125</v>
      </c>
      <c r="B138" s="134" t="s">
        <v>401</v>
      </c>
      <c r="C138" s="125">
        <f t="shared" si="2"/>
        <v>25</v>
      </c>
      <c r="D138" s="125"/>
      <c r="E138" s="125">
        <v>0</v>
      </c>
      <c r="F138" s="125">
        <v>0</v>
      </c>
      <c r="G138" s="125">
        <v>0</v>
      </c>
      <c r="H138" s="125">
        <v>0</v>
      </c>
      <c r="I138" s="125">
        <v>0</v>
      </c>
      <c r="J138" s="125">
        <v>0</v>
      </c>
      <c r="K138" s="125"/>
      <c r="L138" s="125"/>
      <c r="M138" s="125"/>
      <c r="N138" s="125">
        <v>25</v>
      </c>
      <c r="O138" s="125"/>
      <c r="P138" s="125">
        <v>0</v>
      </c>
    </row>
    <row r="139" spans="1:16" s="132" customFormat="1" ht="12.75" customHeight="1" x14ac:dyDescent="0.2">
      <c r="A139" s="175">
        <v>126</v>
      </c>
      <c r="B139" s="127" t="s">
        <v>449</v>
      </c>
      <c r="C139" s="125">
        <f t="shared" si="2"/>
        <v>0</v>
      </c>
      <c r="D139" s="125"/>
      <c r="E139" s="125">
        <v>0</v>
      </c>
      <c r="F139" s="125">
        <v>0</v>
      </c>
      <c r="G139" s="125">
        <v>0</v>
      </c>
      <c r="H139" s="125">
        <v>0</v>
      </c>
      <c r="I139" s="125">
        <v>0</v>
      </c>
      <c r="J139" s="125">
        <v>0</v>
      </c>
      <c r="K139" s="125"/>
      <c r="L139" s="125"/>
      <c r="M139" s="125"/>
      <c r="N139" s="125"/>
      <c r="O139" s="125"/>
      <c r="P139" s="125">
        <v>0</v>
      </c>
    </row>
    <row r="140" spans="1:16" s="128" customFormat="1" ht="12" x14ac:dyDescent="0.2">
      <c r="A140" s="175">
        <v>127</v>
      </c>
      <c r="B140" s="127" t="s">
        <v>402</v>
      </c>
      <c r="C140" s="125">
        <f t="shared" si="2"/>
        <v>1</v>
      </c>
      <c r="D140" s="125"/>
      <c r="E140" s="125">
        <v>0</v>
      </c>
      <c r="F140" s="125">
        <v>0</v>
      </c>
      <c r="G140" s="125">
        <v>0</v>
      </c>
      <c r="H140" s="125">
        <v>0</v>
      </c>
      <c r="I140" s="125">
        <v>0</v>
      </c>
      <c r="J140" s="125">
        <v>0</v>
      </c>
      <c r="K140" s="125"/>
      <c r="L140" s="125"/>
      <c r="M140" s="125"/>
      <c r="N140" s="125">
        <v>1</v>
      </c>
      <c r="O140" s="125"/>
      <c r="P140" s="125">
        <v>0</v>
      </c>
    </row>
    <row r="141" spans="1:16" s="128" customFormat="1" ht="12" x14ac:dyDescent="0.2">
      <c r="A141" s="175">
        <v>128</v>
      </c>
      <c r="B141" s="127" t="s">
        <v>403</v>
      </c>
      <c r="C141" s="125">
        <f t="shared" si="2"/>
        <v>0</v>
      </c>
      <c r="D141" s="125"/>
      <c r="E141" s="125">
        <v>0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/>
      <c r="L141" s="125"/>
      <c r="M141" s="125"/>
      <c r="N141" s="125">
        <v>0</v>
      </c>
      <c r="O141" s="125"/>
      <c r="P141" s="125">
        <v>0</v>
      </c>
    </row>
    <row r="142" spans="1:16" s="137" customFormat="1" ht="12" x14ac:dyDescent="0.2">
      <c r="A142" s="175">
        <v>129</v>
      </c>
      <c r="B142" s="124" t="s">
        <v>404</v>
      </c>
      <c r="C142" s="125">
        <f t="shared" si="2"/>
        <v>100</v>
      </c>
      <c r="D142" s="125"/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/>
      <c r="L142" s="125"/>
      <c r="M142" s="125"/>
      <c r="N142" s="125">
        <v>100</v>
      </c>
      <c r="O142" s="125"/>
      <c r="P142" s="125">
        <v>0</v>
      </c>
    </row>
    <row r="143" spans="1:16" x14ac:dyDescent="0.25">
      <c r="A143" s="175">
        <v>130</v>
      </c>
      <c r="B143" s="127" t="s">
        <v>406</v>
      </c>
      <c r="C143" s="125">
        <f t="shared" si="2"/>
        <v>0</v>
      </c>
      <c r="D143" s="125"/>
      <c r="E143" s="125">
        <v>0</v>
      </c>
      <c r="F143" s="125">
        <v>0</v>
      </c>
      <c r="G143" s="125">
        <v>0</v>
      </c>
      <c r="H143" s="125">
        <v>0</v>
      </c>
      <c r="I143" s="125">
        <v>0</v>
      </c>
      <c r="J143" s="125">
        <v>0</v>
      </c>
      <c r="K143" s="125"/>
      <c r="L143" s="125"/>
      <c r="M143" s="125"/>
      <c r="N143" s="125">
        <v>0</v>
      </c>
      <c r="O143" s="125"/>
      <c r="P143" s="125">
        <v>0</v>
      </c>
    </row>
    <row r="144" spans="1:16" x14ac:dyDescent="0.25">
      <c r="A144" s="175">
        <v>131</v>
      </c>
      <c r="B144" s="127" t="s">
        <v>407</v>
      </c>
      <c r="C144" s="125">
        <f t="shared" si="2"/>
        <v>50</v>
      </c>
      <c r="D144" s="125"/>
      <c r="E144" s="125">
        <v>0</v>
      </c>
      <c r="F144" s="125">
        <v>0</v>
      </c>
      <c r="G144" s="125">
        <v>0</v>
      </c>
      <c r="H144" s="125">
        <v>0</v>
      </c>
      <c r="I144" s="125">
        <v>0</v>
      </c>
      <c r="J144" s="125">
        <v>0</v>
      </c>
      <c r="K144" s="125"/>
      <c r="L144" s="125"/>
      <c r="M144" s="125"/>
      <c r="N144" s="125">
        <v>50</v>
      </c>
      <c r="O144" s="125"/>
      <c r="P144" s="125">
        <v>0</v>
      </c>
    </row>
    <row r="145" spans="1:16" x14ac:dyDescent="0.25">
      <c r="A145" s="175">
        <v>132</v>
      </c>
      <c r="B145" s="127" t="s">
        <v>450</v>
      </c>
      <c r="C145" s="125">
        <f t="shared" si="2"/>
        <v>40</v>
      </c>
      <c r="D145" s="125"/>
      <c r="E145" s="125">
        <v>0</v>
      </c>
      <c r="F145" s="125">
        <v>0</v>
      </c>
      <c r="G145" s="125">
        <v>0</v>
      </c>
      <c r="H145" s="125">
        <v>0</v>
      </c>
      <c r="I145" s="125">
        <v>0</v>
      </c>
      <c r="J145" s="125">
        <v>0</v>
      </c>
      <c r="K145" s="125"/>
      <c r="L145" s="125"/>
      <c r="M145" s="125"/>
      <c r="N145" s="125">
        <v>40</v>
      </c>
      <c r="O145" s="125"/>
      <c r="P145" s="125">
        <v>0</v>
      </c>
    </row>
    <row r="146" spans="1:16" x14ac:dyDescent="0.25">
      <c r="A146" s="175">
        <v>133</v>
      </c>
      <c r="B146" s="127" t="s">
        <v>410</v>
      </c>
      <c r="C146" s="125">
        <f t="shared" si="2"/>
        <v>32</v>
      </c>
      <c r="D146" s="125"/>
      <c r="E146" s="125">
        <v>0</v>
      </c>
      <c r="F146" s="125">
        <v>0</v>
      </c>
      <c r="G146" s="125">
        <v>0</v>
      </c>
      <c r="H146" s="125">
        <v>0</v>
      </c>
      <c r="I146" s="125">
        <v>0</v>
      </c>
      <c r="J146" s="125">
        <v>0</v>
      </c>
      <c r="K146" s="125"/>
      <c r="L146" s="125"/>
      <c r="M146" s="125"/>
      <c r="N146" s="125">
        <v>32</v>
      </c>
      <c r="O146" s="125"/>
      <c r="P146" s="125">
        <v>0</v>
      </c>
    </row>
    <row r="147" spans="1:16" x14ac:dyDescent="0.25">
      <c r="A147" s="175">
        <v>134</v>
      </c>
      <c r="B147" s="127" t="s">
        <v>411</v>
      </c>
      <c r="C147" s="125">
        <f t="shared" si="2"/>
        <v>0</v>
      </c>
      <c r="D147" s="125"/>
      <c r="E147" s="125">
        <v>0</v>
      </c>
      <c r="F147" s="125">
        <v>0</v>
      </c>
      <c r="G147" s="125">
        <v>0</v>
      </c>
      <c r="H147" s="125">
        <v>0</v>
      </c>
      <c r="I147" s="125">
        <v>0</v>
      </c>
      <c r="J147" s="125">
        <v>0</v>
      </c>
      <c r="K147" s="125"/>
      <c r="L147" s="125"/>
      <c r="M147" s="125"/>
      <c r="N147" s="125">
        <v>0</v>
      </c>
      <c r="O147" s="125"/>
      <c r="P147" s="125">
        <v>0</v>
      </c>
    </row>
    <row r="148" spans="1:16" x14ac:dyDescent="0.25">
      <c r="A148" s="175">
        <v>135</v>
      </c>
      <c r="B148" s="127" t="s">
        <v>412</v>
      </c>
      <c r="C148" s="125">
        <f t="shared" si="2"/>
        <v>25</v>
      </c>
      <c r="D148" s="125"/>
      <c r="E148" s="125">
        <v>0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/>
      <c r="L148" s="125"/>
      <c r="M148" s="125"/>
      <c r="N148" s="125">
        <v>25</v>
      </c>
      <c r="O148" s="125"/>
      <c r="P148" s="125">
        <v>0</v>
      </c>
    </row>
    <row r="149" spans="1:16" x14ac:dyDescent="0.25">
      <c r="A149" s="175">
        <v>136</v>
      </c>
      <c r="B149" s="127" t="s">
        <v>149</v>
      </c>
      <c r="C149" s="125">
        <f t="shared" si="2"/>
        <v>382</v>
      </c>
      <c r="D149" s="125"/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/>
      <c r="L149" s="125"/>
      <c r="M149" s="125"/>
      <c r="N149" s="125">
        <v>382</v>
      </c>
      <c r="O149" s="125"/>
      <c r="P149" s="125">
        <v>0</v>
      </c>
    </row>
    <row r="150" spans="1:16" x14ac:dyDescent="0.25">
      <c r="A150" s="175">
        <v>137</v>
      </c>
      <c r="B150" s="127" t="s">
        <v>414</v>
      </c>
      <c r="C150" s="125">
        <f t="shared" si="2"/>
        <v>46</v>
      </c>
      <c r="D150" s="125"/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  <c r="J150" s="125">
        <v>0</v>
      </c>
      <c r="K150" s="125"/>
      <c r="L150" s="125"/>
      <c r="M150" s="125"/>
      <c r="N150" s="125">
        <f>90-44</f>
        <v>46</v>
      </c>
      <c r="O150" s="125"/>
      <c r="P150" s="125">
        <v>0</v>
      </c>
    </row>
    <row r="151" spans="1:16" x14ac:dyDescent="0.25">
      <c r="A151" s="175">
        <v>138</v>
      </c>
      <c r="B151" s="127" t="s">
        <v>415</v>
      </c>
      <c r="C151" s="125">
        <f t="shared" si="2"/>
        <v>82</v>
      </c>
      <c r="D151" s="125"/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/>
      <c r="L151" s="125"/>
      <c r="M151" s="125"/>
      <c r="N151" s="125">
        <v>82</v>
      </c>
      <c r="O151" s="125"/>
      <c r="P151" s="125">
        <v>0</v>
      </c>
    </row>
    <row r="152" spans="1:16" x14ac:dyDescent="0.25">
      <c r="A152" s="175">
        <v>139</v>
      </c>
      <c r="B152" s="127" t="s">
        <v>416</v>
      </c>
      <c r="C152" s="125">
        <f t="shared" si="2"/>
        <v>32</v>
      </c>
      <c r="D152" s="125"/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/>
      <c r="L152" s="125"/>
      <c r="M152" s="125"/>
      <c r="N152" s="125">
        <v>32</v>
      </c>
      <c r="O152" s="125"/>
      <c r="P152" s="125">
        <v>0</v>
      </c>
    </row>
    <row r="153" spans="1:16" x14ac:dyDescent="0.25">
      <c r="A153" s="175">
        <v>140</v>
      </c>
      <c r="B153" s="127" t="s">
        <v>418</v>
      </c>
      <c r="C153" s="125">
        <f t="shared" si="2"/>
        <v>25</v>
      </c>
      <c r="D153" s="125"/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/>
      <c r="L153" s="125"/>
      <c r="M153" s="125"/>
      <c r="N153" s="125">
        <v>25</v>
      </c>
      <c r="O153" s="125"/>
      <c r="P153" s="125">
        <v>0</v>
      </c>
    </row>
    <row r="154" spans="1:16" x14ac:dyDescent="0.25">
      <c r="A154" s="175">
        <v>141</v>
      </c>
      <c r="B154" s="127" t="s">
        <v>421</v>
      </c>
      <c r="C154" s="125">
        <f t="shared" si="2"/>
        <v>32</v>
      </c>
      <c r="D154" s="125"/>
      <c r="E154" s="125">
        <v>0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/>
      <c r="L154" s="125"/>
      <c r="M154" s="125"/>
      <c r="N154" s="125">
        <v>32</v>
      </c>
      <c r="O154" s="125"/>
      <c r="P154" s="125">
        <v>0</v>
      </c>
    </row>
    <row r="155" spans="1:16" ht="16.5" customHeight="1" x14ac:dyDescent="0.25">
      <c r="A155" s="175">
        <v>142</v>
      </c>
      <c r="B155" s="127" t="s">
        <v>422</v>
      </c>
      <c r="C155" s="125">
        <f t="shared" si="2"/>
        <v>32</v>
      </c>
      <c r="D155" s="125"/>
      <c r="E155" s="125">
        <v>0</v>
      </c>
      <c r="F155" s="125">
        <v>0</v>
      </c>
      <c r="G155" s="125">
        <v>0</v>
      </c>
      <c r="H155" s="125">
        <v>0</v>
      </c>
      <c r="I155" s="125">
        <v>0</v>
      </c>
      <c r="J155" s="125">
        <v>0</v>
      </c>
      <c r="K155" s="125"/>
      <c r="L155" s="125"/>
      <c r="M155" s="125"/>
      <c r="N155" s="125">
        <v>32</v>
      </c>
      <c r="O155" s="125"/>
      <c r="P155" s="125">
        <v>0</v>
      </c>
    </row>
    <row r="156" spans="1:16" x14ac:dyDescent="0.25">
      <c r="A156" s="175">
        <v>143</v>
      </c>
      <c r="B156" s="127" t="s">
        <v>423</v>
      </c>
      <c r="C156" s="125">
        <f t="shared" si="2"/>
        <v>17</v>
      </c>
      <c r="D156" s="125"/>
      <c r="E156" s="125">
        <v>0</v>
      </c>
      <c r="F156" s="125">
        <v>0</v>
      </c>
      <c r="G156" s="125">
        <v>0</v>
      </c>
      <c r="H156" s="125">
        <v>0</v>
      </c>
      <c r="I156" s="125">
        <v>0</v>
      </c>
      <c r="J156" s="125">
        <v>0</v>
      </c>
      <c r="K156" s="125"/>
      <c r="L156" s="125"/>
      <c r="M156" s="125"/>
      <c r="N156" s="125">
        <f>32-15</f>
        <v>17</v>
      </c>
      <c r="O156" s="125"/>
      <c r="P156" s="125">
        <v>0</v>
      </c>
    </row>
    <row r="157" spans="1:16" x14ac:dyDescent="0.25">
      <c r="A157" s="175">
        <v>144</v>
      </c>
      <c r="B157" s="127" t="s">
        <v>451</v>
      </c>
      <c r="C157" s="125">
        <f t="shared" si="2"/>
        <v>0</v>
      </c>
      <c r="D157" s="125"/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/>
      <c r="L157" s="125"/>
      <c r="M157" s="125"/>
      <c r="N157" s="125">
        <v>0</v>
      </c>
      <c r="O157" s="125"/>
      <c r="P157" s="125">
        <v>0</v>
      </c>
    </row>
    <row r="158" spans="1:16" x14ac:dyDescent="0.25">
      <c r="A158" s="175">
        <v>145</v>
      </c>
      <c r="B158" s="127" t="s">
        <v>426</v>
      </c>
      <c r="C158" s="125">
        <f t="shared" si="2"/>
        <v>0</v>
      </c>
      <c r="D158" s="125"/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/>
      <c r="L158" s="125"/>
      <c r="M158" s="125"/>
      <c r="N158" s="125">
        <v>0</v>
      </c>
      <c r="O158" s="125"/>
      <c r="P158" s="125">
        <v>0</v>
      </c>
    </row>
    <row r="159" spans="1:16" x14ac:dyDescent="0.25">
      <c r="A159" s="175">
        <v>146</v>
      </c>
      <c r="B159" s="127" t="s">
        <v>49</v>
      </c>
      <c r="C159" s="125">
        <f t="shared" si="2"/>
        <v>219358</v>
      </c>
      <c r="D159" s="125"/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  <c r="J159" s="125">
        <v>0</v>
      </c>
      <c r="K159" s="125"/>
      <c r="L159" s="125"/>
      <c r="M159" s="125">
        <f>229358-10000</f>
        <v>219358</v>
      </c>
      <c r="N159" s="125"/>
      <c r="O159" s="125"/>
      <c r="P159" s="125">
        <v>0</v>
      </c>
    </row>
    <row r="160" spans="1:16" x14ac:dyDescent="0.25">
      <c r="A160" s="175">
        <v>147</v>
      </c>
      <c r="B160" s="127" t="s">
        <v>217</v>
      </c>
      <c r="C160" s="125">
        <f t="shared" si="2"/>
        <v>142000</v>
      </c>
      <c r="D160" s="125"/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  <c r="J160" s="125">
        <v>0</v>
      </c>
      <c r="K160" s="125"/>
      <c r="L160" s="125"/>
      <c r="M160" s="125">
        <f>124000+10000+8000</f>
        <v>142000</v>
      </c>
      <c r="N160" s="125"/>
      <c r="O160" s="125"/>
      <c r="P160" s="125">
        <v>0</v>
      </c>
    </row>
    <row r="161" spans="1:16" x14ac:dyDescent="0.25">
      <c r="A161" s="175">
        <v>148</v>
      </c>
      <c r="B161" s="127" t="s">
        <v>24</v>
      </c>
      <c r="C161" s="125">
        <f t="shared" si="2"/>
        <v>85000</v>
      </c>
      <c r="D161" s="125"/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  <c r="J161" s="125">
        <v>0</v>
      </c>
      <c r="K161" s="125"/>
      <c r="L161" s="125"/>
      <c r="M161" s="125">
        <f>81000+4000</f>
        <v>85000</v>
      </c>
      <c r="N161" s="125"/>
      <c r="O161" s="125"/>
      <c r="P161" s="125">
        <v>0</v>
      </c>
    </row>
    <row r="162" spans="1:16" x14ac:dyDescent="0.25">
      <c r="A162" s="175">
        <v>149</v>
      </c>
      <c r="B162" s="127" t="s">
        <v>25</v>
      </c>
      <c r="C162" s="125">
        <f t="shared" si="2"/>
        <v>114500</v>
      </c>
      <c r="D162" s="125"/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  <c r="J162" s="125">
        <v>0</v>
      </c>
      <c r="K162" s="125"/>
      <c r="L162" s="125"/>
      <c r="M162" s="125">
        <f>113000+1500</f>
        <v>114500</v>
      </c>
      <c r="N162" s="125"/>
      <c r="O162" s="125"/>
      <c r="P162" s="125">
        <v>0</v>
      </c>
    </row>
    <row r="163" spans="1:16" x14ac:dyDescent="0.25">
      <c r="A163" s="175">
        <v>150</v>
      </c>
      <c r="B163" s="127" t="s">
        <v>154</v>
      </c>
      <c r="C163" s="125">
        <f t="shared" si="2"/>
        <v>7873</v>
      </c>
      <c r="D163" s="125"/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/>
      <c r="L163" s="125"/>
      <c r="M163" s="125">
        <v>7873</v>
      </c>
      <c r="N163" s="125">
        <v>0</v>
      </c>
      <c r="O163" s="125"/>
      <c r="P163" s="125">
        <v>0</v>
      </c>
    </row>
    <row r="164" spans="1:16" x14ac:dyDescent="0.25">
      <c r="A164" s="175">
        <v>151</v>
      </c>
      <c r="B164" s="127" t="s">
        <v>250</v>
      </c>
      <c r="C164" s="125">
        <f t="shared" si="2"/>
        <v>65356</v>
      </c>
      <c r="D164" s="125"/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/>
      <c r="L164" s="125"/>
      <c r="M164" s="125">
        <v>65356</v>
      </c>
      <c r="N164" s="125"/>
      <c r="O164" s="125"/>
      <c r="P164" s="125">
        <v>0</v>
      </c>
    </row>
    <row r="165" spans="1:16" x14ac:dyDescent="0.25">
      <c r="A165" s="175">
        <v>152</v>
      </c>
      <c r="B165" s="127" t="s">
        <v>249</v>
      </c>
      <c r="C165" s="125">
        <f t="shared" si="2"/>
        <v>46711</v>
      </c>
      <c r="D165" s="125"/>
      <c r="E165" s="125">
        <v>0</v>
      </c>
      <c r="F165" s="125">
        <v>0</v>
      </c>
      <c r="G165" s="125">
        <v>0</v>
      </c>
      <c r="H165" s="125">
        <v>0</v>
      </c>
      <c r="I165" s="125">
        <v>0</v>
      </c>
      <c r="J165" s="125">
        <v>0</v>
      </c>
      <c r="K165" s="125"/>
      <c r="L165" s="125"/>
      <c r="M165" s="125">
        <f>4000-3000</f>
        <v>1000</v>
      </c>
      <c r="N165" s="125">
        <f>50704-993-4000</f>
        <v>45711</v>
      </c>
      <c r="O165" s="125"/>
      <c r="P165" s="125">
        <v>0</v>
      </c>
    </row>
    <row r="166" spans="1:16" x14ac:dyDescent="0.25">
      <c r="A166" s="175">
        <v>153</v>
      </c>
      <c r="B166" s="127" t="s">
        <v>218</v>
      </c>
      <c r="C166" s="125">
        <f t="shared" si="2"/>
        <v>68000</v>
      </c>
      <c r="D166" s="125"/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/>
      <c r="L166" s="125"/>
      <c r="M166" s="125">
        <v>68000</v>
      </c>
      <c r="N166" s="125"/>
      <c r="O166" s="125"/>
      <c r="P166" s="125">
        <v>0</v>
      </c>
    </row>
    <row r="167" spans="1:16" x14ac:dyDescent="0.25">
      <c r="A167" s="175">
        <v>154</v>
      </c>
      <c r="B167" s="127" t="s">
        <v>157</v>
      </c>
      <c r="C167" s="125">
        <f t="shared" si="2"/>
        <v>18736</v>
      </c>
      <c r="D167" s="125">
        <f>17748+688+300</f>
        <v>18736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0</v>
      </c>
      <c r="K167" s="125"/>
      <c r="L167" s="125"/>
      <c r="M167" s="125"/>
      <c r="N167" s="125"/>
      <c r="O167" s="125"/>
      <c r="P167" s="125">
        <v>0</v>
      </c>
    </row>
    <row r="168" spans="1:16" x14ac:dyDescent="0.25">
      <c r="A168" s="175">
        <v>155</v>
      </c>
      <c r="B168" s="127" t="s">
        <v>27</v>
      </c>
      <c r="C168" s="125">
        <f t="shared" si="2"/>
        <v>57822</v>
      </c>
      <c r="D168" s="125"/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f>K168+L168</f>
        <v>4822</v>
      </c>
      <c r="K168" s="125">
        <f>3074+100+50</f>
        <v>3224</v>
      </c>
      <c r="L168" s="125">
        <f>1318+80+200</f>
        <v>1598</v>
      </c>
      <c r="M168" s="125">
        <v>53000</v>
      </c>
      <c r="N168" s="125"/>
      <c r="O168" s="125"/>
      <c r="P168" s="125">
        <v>0</v>
      </c>
    </row>
    <row r="169" spans="1:16" x14ac:dyDescent="0.25">
      <c r="A169" s="175">
        <v>156</v>
      </c>
      <c r="B169" s="127" t="s">
        <v>28</v>
      </c>
      <c r="C169" s="125">
        <f t="shared" si="2"/>
        <v>800</v>
      </c>
      <c r="D169" s="125"/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  <c r="K169" s="125"/>
      <c r="L169" s="125"/>
      <c r="M169" s="125">
        <v>800</v>
      </c>
      <c r="N169" s="125"/>
      <c r="O169" s="125"/>
      <c r="P169" s="125">
        <v>0</v>
      </c>
    </row>
    <row r="170" spans="1:16" x14ac:dyDescent="0.25">
      <c r="A170" s="411">
        <v>157</v>
      </c>
      <c r="B170" s="127" t="s">
        <v>219</v>
      </c>
      <c r="C170" s="125">
        <f t="shared" si="2"/>
        <v>102500</v>
      </c>
      <c r="D170" s="125"/>
      <c r="E170" s="125">
        <v>7870</v>
      </c>
      <c r="F170" s="125">
        <v>2117</v>
      </c>
      <c r="G170" s="125">
        <v>0</v>
      </c>
      <c r="H170" s="125">
        <v>6935</v>
      </c>
      <c r="I170" s="125">
        <v>0</v>
      </c>
      <c r="J170" s="125">
        <v>0</v>
      </c>
      <c r="K170" s="125"/>
      <c r="L170" s="125"/>
      <c r="M170" s="125">
        <f>2686+1500</f>
        <v>4186</v>
      </c>
      <c r="N170" s="125"/>
      <c r="O170" s="125">
        <v>35950</v>
      </c>
      <c r="P170" s="125">
        <v>45442</v>
      </c>
    </row>
    <row r="171" spans="1:16" ht="28.5" customHeight="1" x14ac:dyDescent="0.25">
      <c r="A171" s="412"/>
      <c r="B171" s="138" t="s">
        <v>158</v>
      </c>
      <c r="C171" s="125">
        <f t="shared" si="2"/>
        <v>175911</v>
      </c>
      <c r="D171" s="125"/>
      <c r="E171" s="125">
        <v>12440</v>
      </c>
      <c r="F171" s="125">
        <v>3394</v>
      </c>
      <c r="G171" s="125">
        <f>165+38</f>
        <v>203</v>
      </c>
      <c r="H171" s="125">
        <v>13563</v>
      </c>
      <c r="I171" s="125">
        <v>39458</v>
      </c>
      <c r="J171" s="125">
        <v>0</v>
      </c>
      <c r="K171" s="125"/>
      <c r="L171" s="125"/>
      <c r="M171" s="125"/>
      <c r="N171" s="125"/>
      <c r="O171" s="125">
        <v>20230</v>
      </c>
      <c r="P171" s="125">
        <v>86623</v>
      </c>
    </row>
    <row r="172" spans="1:16" x14ac:dyDescent="0.25">
      <c r="A172" s="175">
        <v>158</v>
      </c>
      <c r="B172" s="127" t="s">
        <v>427</v>
      </c>
      <c r="C172" s="125">
        <f t="shared" si="2"/>
        <v>3000</v>
      </c>
      <c r="D172" s="125"/>
      <c r="E172" s="125">
        <v>0</v>
      </c>
      <c r="F172" s="125">
        <v>0</v>
      </c>
      <c r="G172" s="125">
        <v>0</v>
      </c>
      <c r="H172" s="125">
        <v>0</v>
      </c>
      <c r="I172" s="125">
        <v>0</v>
      </c>
      <c r="J172" s="125">
        <v>0</v>
      </c>
      <c r="K172" s="125"/>
      <c r="L172" s="125"/>
      <c r="M172" s="125">
        <v>3000</v>
      </c>
      <c r="N172" s="125"/>
      <c r="O172" s="125"/>
      <c r="P172" s="125">
        <v>0</v>
      </c>
    </row>
    <row r="173" spans="1:16" x14ac:dyDescent="0.25">
      <c r="A173" s="175">
        <v>159</v>
      </c>
      <c r="B173" s="127" t="s">
        <v>428</v>
      </c>
      <c r="C173" s="125">
        <f t="shared" si="2"/>
        <v>9430</v>
      </c>
      <c r="D173" s="125"/>
      <c r="E173" s="125">
        <v>0</v>
      </c>
      <c r="F173" s="125">
        <v>0</v>
      </c>
      <c r="G173" s="125">
        <v>0</v>
      </c>
      <c r="H173" s="125">
        <v>0</v>
      </c>
      <c r="I173" s="125">
        <v>0</v>
      </c>
      <c r="J173" s="125">
        <v>0</v>
      </c>
      <c r="K173" s="125"/>
      <c r="L173" s="125"/>
      <c r="M173" s="125">
        <v>9430</v>
      </c>
      <c r="N173" s="125"/>
      <c r="O173" s="125"/>
      <c r="P173" s="125">
        <v>0</v>
      </c>
    </row>
    <row r="174" spans="1:16" x14ac:dyDescent="0.25">
      <c r="A174" s="139"/>
      <c r="B174" s="127" t="s">
        <v>32</v>
      </c>
      <c r="C174" s="125">
        <f>315480-137-900-11207-78290-225-180-42295</f>
        <v>182246</v>
      </c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>
        <v>0</v>
      </c>
    </row>
    <row r="175" spans="1:16" x14ac:dyDescent="0.25">
      <c r="A175" s="140"/>
      <c r="B175" s="140" t="s">
        <v>166</v>
      </c>
      <c r="C175" s="141">
        <f>SUM(C8:C174)</f>
        <v>11685415.800000001</v>
      </c>
      <c r="D175" s="141">
        <f t="shared" ref="D175:P175" si="3">SUM(D8:D174)</f>
        <v>406732</v>
      </c>
      <c r="E175" s="141">
        <f>SUM(E8:E174)</f>
        <v>764740</v>
      </c>
      <c r="F175" s="141">
        <f t="shared" ref="F175:I175" si="4">SUM(F8:F174)</f>
        <v>202326</v>
      </c>
      <c r="G175" s="141">
        <f t="shared" si="4"/>
        <v>11952</v>
      </c>
      <c r="H175" s="141">
        <f t="shared" si="4"/>
        <v>668214</v>
      </c>
      <c r="I175" s="182">
        <f t="shared" si="4"/>
        <v>1760468</v>
      </c>
      <c r="J175" s="141">
        <f t="shared" si="3"/>
        <v>51894.8</v>
      </c>
      <c r="K175" s="141">
        <f t="shared" si="3"/>
        <v>36273.800000000003</v>
      </c>
      <c r="L175" s="141">
        <f t="shared" si="3"/>
        <v>15621</v>
      </c>
      <c r="M175" s="141">
        <f t="shared" si="3"/>
        <v>804113</v>
      </c>
      <c r="N175" s="141">
        <f t="shared" si="3"/>
        <v>292366</v>
      </c>
      <c r="O175" s="141">
        <f t="shared" si="3"/>
        <v>1435670</v>
      </c>
      <c r="P175" s="141">
        <f t="shared" si="3"/>
        <v>5104694</v>
      </c>
    </row>
    <row r="176" spans="1:16" x14ac:dyDescent="0.25"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</row>
    <row r="177" spans="2:16" x14ac:dyDescent="0.25">
      <c r="B177" s="143"/>
      <c r="C177" s="142"/>
      <c r="D177" s="142"/>
      <c r="E177" s="142"/>
      <c r="F177" s="142"/>
      <c r="G177" s="144"/>
      <c r="H177" s="142"/>
      <c r="I177" s="142"/>
      <c r="J177" s="142"/>
      <c r="K177" s="142"/>
      <c r="L177" s="142"/>
      <c r="M177" s="142"/>
      <c r="N177" s="142"/>
      <c r="O177" s="142"/>
      <c r="P177" s="142"/>
    </row>
    <row r="178" spans="2:16" x14ac:dyDescent="0.25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2:16" x14ac:dyDescent="0.25">
      <c r="C179" s="147"/>
      <c r="D179" s="147"/>
      <c r="J179" s="120"/>
      <c r="M179" s="147"/>
    </row>
    <row r="180" spans="2:16" x14ac:dyDescent="0.25">
      <c r="C180" s="126"/>
      <c r="H180" s="183"/>
    </row>
  </sheetData>
  <mergeCells count="26">
    <mergeCell ref="M4:M6"/>
    <mergeCell ref="N4:N6"/>
    <mergeCell ref="O4:P5"/>
    <mergeCell ref="A1:P1"/>
    <mergeCell ref="O2:P2"/>
    <mergeCell ref="A3:A6"/>
    <mergeCell ref="B3:B6"/>
    <mergeCell ref="C3:C6"/>
    <mergeCell ref="D3:P3"/>
    <mergeCell ref="D4:D6"/>
    <mergeCell ref="E4:F4"/>
    <mergeCell ref="G4:G6"/>
    <mergeCell ref="H4:H6"/>
    <mergeCell ref="A170:A171"/>
    <mergeCell ref="E5:E6"/>
    <mergeCell ref="F5:F6"/>
    <mergeCell ref="K5:K6"/>
    <mergeCell ref="L5:L6"/>
    <mergeCell ref="I4:I6"/>
    <mergeCell ref="J4:J6"/>
    <mergeCell ref="K4:L4"/>
    <mergeCell ref="A12:A13"/>
    <mergeCell ref="A42:A43"/>
    <mergeCell ref="A48:A50"/>
    <mergeCell ref="A53:A54"/>
    <mergeCell ref="A117:A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КС</vt:lpstr>
      <vt:lpstr>ВМП</vt:lpstr>
      <vt:lpstr>ДС Пр. 107</vt:lpstr>
      <vt:lpstr>ДС по кв. Пр. 107</vt:lpstr>
      <vt:lpstr>Гемодиализ Пр. 107</vt:lpstr>
      <vt:lpstr>Гемодиализ по кв. Пр. 107</vt:lpstr>
      <vt:lpstr>ЛДУ Пр. 107</vt:lpstr>
      <vt:lpstr> Неотложка и обращения Пр.107</vt:lpstr>
      <vt:lpstr>АПУ проф.посещения Пр.107</vt:lpstr>
      <vt:lpstr>ЦЗ пр.107</vt:lpstr>
      <vt:lpstr>Проф.посещ.по меропр. Пр.107</vt:lpstr>
      <vt:lpstr>Частн. МО неот. Пр.107</vt:lpstr>
      <vt:lpstr>Проф.частные МО по спец. Пр.107</vt:lpstr>
      <vt:lpstr>ДВН исслед. Пр.107</vt:lpstr>
      <vt:lpstr>' Неотложка и обращения Пр.107'!Заголовки_для_печати</vt:lpstr>
      <vt:lpstr>'ДС по кв. Пр. 107'!Заголовки_для_печати</vt:lpstr>
      <vt:lpstr>КС!Заголовки_для_печати</vt:lpstr>
      <vt:lpstr>'Частн. МО неот. Пр.107'!Заголовки_для_печати</vt:lpstr>
      <vt:lpstr>'Частн. МО неот. Пр.107'!Область_печати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Светлана Н. Кутузова</cp:lastModifiedBy>
  <cp:lastPrinted>2019-12-30T09:31:58Z</cp:lastPrinted>
  <dcterms:created xsi:type="dcterms:W3CDTF">2018-12-06T04:36:54Z</dcterms:created>
  <dcterms:modified xsi:type="dcterms:W3CDTF">2020-01-15T10:00:21Z</dcterms:modified>
</cp:coreProperties>
</file>