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IO\Aйдар\изменение на сайт\"/>
    </mc:Choice>
  </mc:AlternateContent>
  <bookViews>
    <workbookView xWindow="0" yWindow="0" windowWidth="19200" windowHeight="10935" tabRatio="805" activeTab="1"/>
  </bookViews>
  <sheets>
    <sheet name="ВМП Пр. 103" sheetId="105" r:id="rId1"/>
    <sheet name="КС Пр. 103 " sheetId="104" r:id="rId2"/>
    <sheet name="ДС Пр. 103" sheetId="88" r:id="rId3"/>
    <sheet name="Гемодиализ Пр. 103" sheetId="90" r:id="rId4"/>
    <sheet name="Гемодиализ АПУ по кв. Пр. 103" sheetId="95" r:id="rId5"/>
    <sheet name="Гемодиализ ДС по кв. Пр. 103 " sheetId="96" r:id="rId6"/>
    <sheet name="ЛДУ Пр. 103" sheetId="89" r:id="rId7"/>
    <sheet name="СБП Пр. 103" sheetId="94" r:id="rId8"/>
    <sheet name="АПУ проф.посещ.Пр.103" sheetId="97" r:id="rId9"/>
    <sheet name="АПУ проф.пос.по направ. Пр.103" sheetId="98" r:id="rId10"/>
    <sheet name="АПУ проф.мед.осмотры Прот.103" sheetId="99" r:id="rId11"/>
    <sheet name="ЦЗ Прот.103" sheetId="100" r:id="rId12"/>
    <sheet name="Частные МО Проф.посещ.Пр.103" sheetId="101" r:id="rId13"/>
    <sheet name="АПУ обращ., неот.пом. Прот.103" sheetId="102" r:id="rId14"/>
    <sheet name="Частные МО обращения Прот.103" sheetId="103" r:id="rId15"/>
  </sheets>
  <externalReferences>
    <externalReference r:id="rId16"/>
    <externalReference r:id="rId17"/>
  </externalReferences>
  <definedNames>
    <definedName name="res2_range" localSheetId="0">#REF!</definedName>
    <definedName name="res2_range" localSheetId="1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Д">[2]Данные!$B$1:$EF$178</definedName>
    <definedName name="_xlnm.Print_Titles" localSheetId="1">'КС Пр. 103 '!$3:$5</definedName>
    <definedName name="ЗД">[2]Данные!$BY$3:$DB$3</definedName>
    <definedName name="ФЗ">[2]Данные!$DC$3:$EF$3</definedName>
    <definedName name="Шт">[2]Данные!$AU$3:$BX$3</definedName>
  </definedNames>
  <calcPr calcId="152511"/>
</workbook>
</file>

<file path=xl/calcChain.xml><?xml version="1.0" encoding="utf-8"?>
<calcChain xmlns="http://schemas.openxmlformats.org/spreadsheetml/2006/main">
  <c r="I95" i="104" l="1"/>
  <c r="I94" i="104"/>
  <c r="BC78" i="105" l="1"/>
  <c r="AY78" i="105"/>
  <c r="AX78" i="105"/>
  <c r="AV78" i="105"/>
  <c r="AT78" i="105"/>
  <c r="AR78" i="105"/>
  <c r="AP78" i="105"/>
  <c r="AN78" i="105"/>
  <c r="AL78" i="105"/>
  <c r="AJ78" i="105"/>
  <c r="AH78" i="105"/>
  <c r="AF78" i="105"/>
  <c r="AD78" i="105"/>
  <c r="AB78" i="105"/>
  <c r="Z78" i="105"/>
  <c r="X78" i="105"/>
  <c r="V78" i="105"/>
  <c r="T78" i="105"/>
  <c r="R78" i="105"/>
  <c r="AZ78" i="105" s="1"/>
  <c r="BD78" i="105" s="1"/>
  <c r="P78" i="105"/>
  <c r="N78" i="105"/>
  <c r="L78" i="105"/>
  <c r="J78" i="105"/>
  <c r="H78" i="105"/>
  <c r="F78" i="105"/>
  <c r="D78" i="105"/>
  <c r="AX77" i="105"/>
  <c r="AV77" i="105"/>
  <c r="AT77" i="105"/>
  <c r="AR77" i="105"/>
  <c r="AP77" i="105"/>
  <c r="AN77" i="105"/>
  <c r="AL77" i="105"/>
  <c r="AJ77" i="105"/>
  <c r="AH77" i="105"/>
  <c r="AF77" i="105"/>
  <c r="AD77" i="105"/>
  <c r="AB77" i="105"/>
  <c r="Z77" i="105"/>
  <c r="X77" i="105"/>
  <c r="V77" i="105"/>
  <c r="T77" i="105"/>
  <c r="R77" i="105"/>
  <c r="P77" i="105"/>
  <c r="N77" i="105"/>
  <c r="L77" i="105"/>
  <c r="I77" i="105"/>
  <c r="H77" i="105"/>
  <c r="F77" i="105"/>
  <c r="F76" i="105" s="1"/>
  <c r="D77" i="105"/>
  <c r="BB76" i="105"/>
  <c r="BA76" i="105"/>
  <c r="AX76" i="105"/>
  <c r="AW76" i="105"/>
  <c r="AV76" i="105"/>
  <c r="AU76" i="105"/>
  <c r="AT76" i="105"/>
  <c r="AS76" i="105"/>
  <c r="AR76" i="105"/>
  <c r="AQ76" i="105"/>
  <c r="AP76" i="105"/>
  <c r="AO76" i="105"/>
  <c r="AN76" i="105"/>
  <c r="AM76" i="105"/>
  <c r="AL76" i="105"/>
  <c r="AK76" i="105"/>
  <c r="AJ76" i="105"/>
  <c r="AI76" i="105"/>
  <c r="AH76" i="105"/>
  <c r="AG76" i="105"/>
  <c r="AF76" i="105"/>
  <c r="AE76" i="105"/>
  <c r="AD76" i="105"/>
  <c r="AC76" i="105"/>
  <c r="AB76" i="105"/>
  <c r="AA76" i="105"/>
  <c r="Z76" i="105"/>
  <c r="Y76" i="105"/>
  <c r="X76" i="105"/>
  <c r="W76" i="105"/>
  <c r="V76" i="105"/>
  <c r="U76" i="105"/>
  <c r="T76" i="105"/>
  <c r="S76" i="105"/>
  <c r="R76" i="105"/>
  <c r="Q76" i="105"/>
  <c r="P76" i="105"/>
  <c r="O76" i="105"/>
  <c r="N76" i="105"/>
  <c r="M76" i="105"/>
  <c r="L76" i="105"/>
  <c r="K76" i="105"/>
  <c r="H76" i="105"/>
  <c r="G76" i="105"/>
  <c r="E76" i="105"/>
  <c r="D76" i="105"/>
  <c r="C76" i="105"/>
  <c r="AZ75" i="105"/>
  <c r="AX75" i="105"/>
  <c r="AX74" i="105" s="1"/>
  <c r="AV75" i="105"/>
  <c r="AT75" i="105"/>
  <c r="AT74" i="105" s="1"/>
  <c r="AR75" i="105"/>
  <c r="AP75" i="105"/>
  <c r="AP74" i="105" s="1"/>
  <c r="AN75" i="105"/>
  <c r="AL75" i="105"/>
  <c r="AL74" i="105" s="1"/>
  <c r="AJ75" i="105"/>
  <c r="AH75" i="105"/>
  <c r="AH74" i="105" s="1"/>
  <c r="AF75" i="105"/>
  <c r="AD75" i="105"/>
  <c r="AD74" i="105" s="1"/>
  <c r="AB75" i="105"/>
  <c r="Z75" i="105"/>
  <c r="Z74" i="105" s="1"/>
  <c r="X75" i="105"/>
  <c r="V75" i="105"/>
  <c r="V74" i="105" s="1"/>
  <c r="T75" i="105"/>
  <c r="R75" i="105"/>
  <c r="R74" i="105" s="1"/>
  <c r="P75" i="105"/>
  <c r="N75" i="105"/>
  <c r="N74" i="105" s="1"/>
  <c r="L75" i="105"/>
  <c r="J75" i="105"/>
  <c r="J74" i="105" s="1"/>
  <c r="I75" i="105"/>
  <c r="AY75" i="105" s="1"/>
  <c r="H75" i="105"/>
  <c r="H74" i="105" s="1"/>
  <c r="F75" i="105"/>
  <c r="D75" i="105"/>
  <c r="D74" i="105" s="1"/>
  <c r="BB74" i="105"/>
  <c r="BA74" i="105"/>
  <c r="AW74" i="105"/>
  <c r="AV74" i="105"/>
  <c r="AU74" i="105"/>
  <c r="AS74" i="105"/>
  <c r="AR74" i="105"/>
  <c r="AQ74" i="105"/>
  <c r="AO74" i="105"/>
  <c r="AN74" i="105"/>
  <c r="AM74" i="105"/>
  <c r="AK74" i="105"/>
  <c r="AJ74" i="105"/>
  <c r="AI74" i="105"/>
  <c r="AG74" i="105"/>
  <c r="AF74" i="105"/>
  <c r="AE74" i="105"/>
  <c r="AC74" i="105"/>
  <c r="AB74" i="105"/>
  <c r="AA74" i="105"/>
  <c r="Y74" i="105"/>
  <c r="X74" i="105"/>
  <c r="W74" i="105"/>
  <c r="U74" i="105"/>
  <c r="T74" i="105"/>
  <c r="S74" i="105"/>
  <c r="Q74" i="105"/>
  <c r="P74" i="105"/>
  <c r="O74" i="105"/>
  <c r="M74" i="105"/>
  <c r="L74" i="105"/>
  <c r="K74" i="105"/>
  <c r="I74" i="105"/>
  <c r="G74" i="105"/>
  <c r="F74" i="105"/>
  <c r="E74" i="105"/>
  <c r="C74" i="105"/>
  <c r="AY73" i="105"/>
  <c r="BC73" i="105" s="1"/>
  <c r="AX73" i="105"/>
  <c r="AV73" i="105"/>
  <c r="AT73" i="105"/>
  <c r="AR73" i="105"/>
  <c r="AP73" i="105"/>
  <c r="AN73" i="105"/>
  <c r="AL73" i="105"/>
  <c r="AJ73" i="105"/>
  <c r="AH73" i="105"/>
  <c r="AF73" i="105"/>
  <c r="AD73" i="105"/>
  <c r="AB73" i="105"/>
  <c r="Z73" i="105"/>
  <c r="X73" i="105"/>
  <c r="V73" i="105"/>
  <c r="T73" i="105"/>
  <c r="R73" i="105"/>
  <c r="P73" i="105"/>
  <c r="N73" i="105"/>
  <c r="L73" i="105"/>
  <c r="J73" i="105"/>
  <c r="H73" i="105"/>
  <c r="F73" i="105"/>
  <c r="D73" i="105"/>
  <c r="AY72" i="105"/>
  <c r="BC72" i="105" s="1"/>
  <c r="AX72" i="105"/>
  <c r="AV72" i="105"/>
  <c r="AT72" i="105"/>
  <c r="AR72" i="105"/>
  <c r="AP72" i="105"/>
  <c r="AN72" i="105"/>
  <c r="AL72" i="105"/>
  <c r="AJ72" i="105"/>
  <c r="AH72" i="105"/>
  <c r="AF72" i="105"/>
  <c r="AD72" i="105"/>
  <c r="AB72" i="105"/>
  <c r="Z72" i="105"/>
  <c r="X72" i="105"/>
  <c r="V72" i="105"/>
  <c r="T72" i="105"/>
  <c r="R72" i="105"/>
  <c r="P72" i="105"/>
  <c r="N72" i="105"/>
  <c r="L72" i="105"/>
  <c r="J72" i="105"/>
  <c r="H72" i="105"/>
  <c r="F72" i="105"/>
  <c r="D72" i="105"/>
  <c r="BB71" i="105"/>
  <c r="BA71" i="105"/>
  <c r="AY71" i="105"/>
  <c r="AX71" i="105"/>
  <c r="AW71" i="105"/>
  <c r="AU71" i="105"/>
  <c r="AT71" i="105"/>
  <c r="AS71" i="105"/>
  <c r="AQ71" i="105"/>
  <c r="AP71" i="105"/>
  <c r="AO71" i="105"/>
  <c r="AM71" i="105"/>
  <c r="AL71" i="105"/>
  <c r="AK71" i="105"/>
  <c r="AI71" i="105"/>
  <c r="AH71" i="105"/>
  <c r="AG71" i="105"/>
  <c r="AE71" i="105"/>
  <c r="AD71" i="105"/>
  <c r="AC71" i="105"/>
  <c r="AA71" i="105"/>
  <c r="Z71" i="105"/>
  <c r="Y71" i="105"/>
  <c r="W71" i="105"/>
  <c r="V71" i="105"/>
  <c r="U71" i="105"/>
  <c r="S71" i="105"/>
  <c r="R71" i="105"/>
  <c r="Q71" i="105"/>
  <c r="O71" i="105"/>
  <c r="N71" i="105"/>
  <c r="M71" i="105"/>
  <c r="K71" i="105"/>
  <c r="J71" i="105"/>
  <c r="I71" i="105"/>
  <c r="G71" i="105"/>
  <c r="F71" i="105"/>
  <c r="E71" i="105"/>
  <c r="C71" i="105"/>
  <c r="AY70" i="105"/>
  <c r="BC70" i="105" s="1"/>
  <c r="AX70" i="105"/>
  <c r="AV70" i="105"/>
  <c r="AT70" i="105"/>
  <c r="AR70" i="105"/>
  <c r="AP70" i="105"/>
  <c r="AN70" i="105"/>
  <c r="AL70" i="105"/>
  <c r="AJ70" i="105"/>
  <c r="AH70" i="105"/>
  <c r="AF70" i="105"/>
  <c r="AC70" i="105"/>
  <c r="AD70" i="105" s="1"/>
  <c r="AB70" i="105"/>
  <c r="Z70" i="105"/>
  <c r="X70" i="105"/>
  <c r="V70" i="105"/>
  <c r="T70" i="105"/>
  <c r="R70" i="105"/>
  <c r="P70" i="105"/>
  <c r="N70" i="105"/>
  <c r="L70" i="105"/>
  <c r="J70" i="105"/>
  <c r="H70" i="105"/>
  <c r="F70" i="105"/>
  <c r="D70" i="105"/>
  <c r="AX69" i="105"/>
  <c r="AV69" i="105"/>
  <c r="AT69" i="105"/>
  <c r="AR69" i="105"/>
  <c r="AP69" i="105"/>
  <c r="AN69" i="105"/>
  <c r="AL69" i="105"/>
  <c r="AJ69" i="105"/>
  <c r="AH69" i="105"/>
  <c r="AF69" i="105"/>
  <c r="AD69" i="105"/>
  <c r="AB69" i="105"/>
  <c r="Z69" i="105"/>
  <c r="X69" i="105"/>
  <c r="V69" i="105"/>
  <c r="T69" i="105"/>
  <c r="R69" i="105"/>
  <c r="Q69" i="105"/>
  <c r="P69" i="105"/>
  <c r="O69" i="105"/>
  <c r="N69" i="105"/>
  <c r="L69" i="105"/>
  <c r="J69" i="105"/>
  <c r="H69" i="105"/>
  <c r="F69" i="105"/>
  <c r="C69" i="105"/>
  <c r="AX68" i="105"/>
  <c r="AV68" i="105"/>
  <c r="AS68" i="105"/>
  <c r="AT68" i="105" s="1"/>
  <c r="AR68" i="105"/>
  <c r="AP68" i="105"/>
  <c r="AN68" i="105"/>
  <c r="AL68" i="105"/>
  <c r="AI68" i="105"/>
  <c r="AJ68" i="105" s="1"/>
  <c r="AH68" i="105"/>
  <c r="AF68" i="105"/>
  <c r="AD68" i="105"/>
  <c r="AB68" i="105"/>
  <c r="Z68" i="105"/>
  <c r="X68" i="105"/>
  <c r="V68" i="105"/>
  <c r="T68" i="105"/>
  <c r="Q68" i="105"/>
  <c r="R68" i="105" s="1"/>
  <c r="O68" i="105"/>
  <c r="N68" i="105"/>
  <c r="L68" i="105"/>
  <c r="J68" i="105"/>
  <c r="H68" i="105"/>
  <c r="F68" i="105"/>
  <c r="D68" i="105"/>
  <c r="C68" i="105"/>
  <c r="AX67" i="105"/>
  <c r="AV67" i="105"/>
  <c r="AT67" i="105"/>
  <c r="AS67" i="105"/>
  <c r="AY67" i="105" s="1"/>
  <c r="BC67" i="105" s="1"/>
  <c r="AR67" i="105"/>
  <c r="AP67" i="105"/>
  <c r="AN67" i="105"/>
  <c r="AL67" i="105"/>
  <c r="AJ67" i="105"/>
  <c r="AH67" i="105"/>
  <c r="AF67" i="105"/>
  <c r="AF64" i="105" s="1"/>
  <c r="AD67" i="105"/>
  <c r="AB67" i="105"/>
  <c r="Z67" i="105"/>
  <c r="X67" i="105"/>
  <c r="X64" i="105" s="1"/>
  <c r="V67" i="105"/>
  <c r="T67" i="105"/>
  <c r="T64" i="105" s="1"/>
  <c r="R67" i="105"/>
  <c r="P67" i="105"/>
  <c r="N67" i="105"/>
  <c r="L67" i="105"/>
  <c r="L64" i="105" s="1"/>
  <c r="J67" i="105"/>
  <c r="H67" i="105"/>
  <c r="F67" i="105"/>
  <c r="D67" i="105"/>
  <c r="AX66" i="105"/>
  <c r="AV66" i="105"/>
  <c r="AT66" i="105"/>
  <c r="AR66" i="105"/>
  <c r="AP66" i="105"/>
  <c r="AO66" i="105"/>
  <c r="AY66" i="105" s="1"/>
  <c r="BC66" i="105" s="1"/>
  <c r="AN66" i="105"/>
  <c r="AL66" i="105"/>
  <c r="AJ66" i="105"/>
  <c r="AI66" i="105"/>
  <c r="AH66" i="105"/>
  <c r="AH64" i="105" s="1"/>
  <c r="AF66" i="105"/>
  <c r="AD66" i="105"/>
  <c r="AD64" i="105" s="1"/>
  <c r="AB66" i="105"/>
  <c r="Z66" i="105"/>
  <c r="Z64" i="105" s="1"/>
  <c r="X66" i="105"/>
  <c r="V66" i="105"/>
  <c r="V64" i="105" s="1"/>
  <c r="T66" i="105"/>
  <c r="R66" i="105"/>
  <c r="AZ66" i="105" s="1"/>
  <c r="BD66" i="105" s="1"/>
  <c r="P66" i="105"/>
  <c r="N66" i="105"/>
  <c r="L66" i="105"/>
  <c r="J66" i="105"/>
  <c r="H66" i="105"/>
  <c r="F66" i="105"/>
  <c r="D66" i="105"/>
  <c r="AX65" i="105"/>
  <c r="AV65" i="105"/>
  <c r="AT65" i="105"/>
  <c r="AR65" i="105"/>
  <c r="AP65" i="105"/>
  <c r="AN65" i="105"/>
  <c r="AL65" i="105"/>
  <c r="AI65" i="105"/>
  <c r="AH65" i="105"/>
  <c r="AF65" i="105"/>
  <c r="AD65" i="105"/>
  <c r="AB65" i="105"/>
  <c r="Z65" i="105"/>
  <c r="X65" i="105"/>
  <c r="V65" i="105"/>
  <c r="T65" i="105"/>
  <c r="Q65" i="105"/>
  <c r="P65" i="105"/>
  <c r="N65" i="105"/>
  <c r="N64" i="105" s="1"/>
  <c r="L65" i="105"/>
  <c r="J65" i="105"/>
  <c r="J64" i="105" s="1"/>
  <c r="H65" i="105"/>
  <c r="F65" i="105"/>
  <c r="F64" i="105" s="1"/>
  <c r="D65" i="105"/>
  <c r="BB64" i="105"/>
  <c r="BA64" i="105"/>
  <c r="AX64" i="105"/>
  <c r="AW64" i="105"/>
  <c r="AV64" i="105"/>
  <c r="AU64" i="105"/>
  <c r="AT64" i="105"/>
  <c r="AS64" i="105"/>
  <c r="AR64" i="105"/>
  <c r="AQ64" i="105"/>
  <c r="AP64" i="105"/>
  <c r="AO64" i="105"/>
  <c r="AN64" i="105"/>
  <c r="AM64" i="105"/>
  <c r="AL64" i="105"/>
  <c r="AK64" i="105"/>
  <c r="AG64" i="105"/>
  <c r="AE64" i="105"/>
  <c r="AC64" i="105"/>
  <c r="AA64" i="105"/>
  <c r="Y64" i="105"/>
  <c r="W64" i="105"/>
  <c r="U64" i="105"/>
  <c r="S64" i="105"/>
  <c r="M64" i="105"/>
  <c r="K64" i="105"/>
  <c r="I64" i="105"/>
  <c r="H64" i="105"/>
  <c r="G64" i="105"/>
  <c r="E64" i="105"/>
  <c r="AY63" i="105"/>
  <c r="BC63" i="105" s="1"/>
  <c r="AX63" i="105"/>
  <c r="AV63" i="105"/>
  <c r="AT63" i="105"/>
  <c r="AR63" i="105"/>
  <c r="AP63" i="105"/>
  <c r="AN63" i="105"/>
  <c r="AL63" i="105"/>
  <c r="AJ63" i="105"/>
  <c r="AH63" i="105"/>
  <c r="AF63" i="105"/>
  <c r="AD63" i="105"/>
  <c r="AB63" i="105"/>
  <c r="Z63" i="105"/>
  <c r="X63" i="105"/>
  <c r="V63" i="105"/>
  <c r="T63" i="105"/>
  <c r="R63" i="105"/>
  <c r="AZ63" i="105" s="1"/>
  <c r="BD63" i="105" s="1"/>
  <c r="P63" i="105"/>
  <c r="N63" i="105"/>
  <c r="L63" i="105"/>
  <c r="J63" i="105"/>
  <c r="H63" i="105"/>
  <c r="F63" i="105"/>
  <c r="D63" i="105"/>
  <c r="AY62" i="105"/>
  <c r="BC62" i="105" s="1"/>
  <c r="AX62" i="105"/>
  <c r="AX61" i="105" s="1"/>
  <c r="AV62" i="105"/>
  <c r="AT62" i="105"/>
  <c r="AT61" i="105" s="1"/>
  <c r="AR62" i="105"/>
  <c r="AP62" i="105"/>
  <c r="AP61" i="105" s="1"/>
  <c r="AN62" i="105"/>
  <c r="AL62" i="105"/>
  <c r="AL61" i="105" s="1"/>
  <c r="AJ62" i="105"/>
  <c r="AH62" i="105"/>
  <c r="AH61" i="105" s="1"/>
  <c r="AF62" i="105"/>
  <c r="AD62" i="105"/>
  <c r="AD61" i="105" s="1"/>
  <c r="AB62" i="105"/>
  <c r="Z62" i="105"/>
  <c r="Z61" i="105" s="1"/>
  <c r="X62" i="105"/>
  <c r="V62" i="105"/>
  <c r="V61" i="105" s="1"/>
  <c r="T62" i="105"/>
  <c r="R62" i="105"/>
  <c r="R61" i="105" s="1"/>
  <c r="P62" i="105"/>
  <c r="N62" i="105"/>
  <c r="N61" i="105" s="1"/>
  <c r="L62" i="105"/>
  <c r="J62" i="105"/>
  <c r="J61" i="105" s="1"/>
  <c r="H62" i="105"/>
  <c r="F62" i="105"/>
  <c r="F61" i="105" s="1"/>
  <c r="D62" i="105"/>
  <c r="BB61" i="105"/>
  <c r="BA61" i="105"/>
  <c r="AY61" i="105"/>
  <c r="AW61" i="105"/>
  <c r="AV61" i="105"/>
  <c r="AU61" i="105"/>
  <c r="AS61" i="105"/>
  <c r="AR61" i="105"/>
  <c r="AQ61" i="105"/>
  <c r="AO61" i="105"/>
  <c r="AN61" i="105"/>
  <c r="AM61" i="105"/>
  <c r="AK61" i="105"/>
  <c r="AJ61" i="105"/>
  <c r="AI61" i="105"/>
  <c r="AG61" i="105"/>
  <c r="AF61" i="105"/>
  <c r="AE61" i="105"/>
  <c r="AC61" i="105"/>
  <c r="AB61" i="105"/>
  <c r="AA61" i="105"/>
  <c r="Y61" i="105"/>
  <c r="X61" i="105"/>
  <c r="W61" i="105"/>
  <c r="U61" i="105"/>
  <c r="T61" i="105"/>
  <c r="S61" i="105"/>
  <c r="Q61" i="105"/>
  <c r="P61" i="105"/>
  <c r="O61" i="105"/>
  <c r="M61" i="105"/>
  <c r="L61" i="105"/>
  <c r="K61" i="105"/>
  <c r="I61" i="105"/>
  <c r="H61" i="105"/>
  <c r="G61" i="105"/>
  <c r="E61" i="105"/>
  <c r="D61" i="105"/>
  <c r="C61" i="105"/>
  <c r="AZ60" i="105"/>
  <c r="BD60" i="105" s="1"/>
  <c r="AX60" i="105"/>
  <c r="AW60" i="105"/>
  <c r="AY60" i="105" s="1"/>
  <c r="BC60" i="105" s="1"/>
  <c r="AV60" i="105"/>
  <c r="AT60" i="105"/>
  <c r="AR60" i="105"/>
  <c r="AP60" i="105"/>
  <c r="AN60" i="105"/>
  <c r="AL60" i="105"/>
  <c r="AJ60" i="105"/>
  <c r="AH60" i="105"/>
  <c r="AF60" i="105"/>
  <c r="AD60" i="105"/>
  <c r="AB60" i="105"/>
  <c r="Z60" i="105"/>
  <c r="X60" i="105"/>
  <c r="V60" i="105"/>
  <c r="T60" i="105"/>
  <c r="R60" i="105"/>
  <c r="P60" i="105"/>
  <c r="N60" i="105"/>
  <c r="L60" i="105"/>
  <c r="J60" i="105"/>
  <c r="H60" i="105"/>
  <c r="F60" i="105"/>
  <c r="D60" i="105"/>
  <c r="BC59" i="105"/>
  <c r="AY59" i="105"/>
  <c r="AX59" i="105"/>
  <c r="AV59" i="105"/>
  <c r="AT59" i="105"/>
  <c r="AR59" i="105"/>
  <c r="AP59" i="105"/>
  <c r="AN59" i="105"/>
  <c r="AL59" i="105"/>
  <c r="AJ59" i="105"/>
  <c r="AH59" i="105"/>
  <c r="AF59" i="105"/>
  <c r="AE59" i="105"/>
  <c r="AD59" i="105"/>
  <c r="AB59" i="105"/>
  <c r="Z59" i="105"/>
  <c r="X59" i="105"/>
  <c r="V59" i="105"/>
  <c r="T59" i="105"/>
  <c r="R59" i="105"/>
  <c r="P59" i="105"/>
  <c r="N59" i="105"/>
  <c r="L59" i="105"/>
  <c r="J59" i="105"/>
  <c r="H59" i="105"/>
  <c r="F59" i="105"/>
  <c r="D59" i="105"/>
  <c r="AY58" i="105"/>
  <c r="BC58" i="105" s="1"/>
  <c r="AX58" i="105"/>
  <c r="AV58" i="105"/>
  <c r="AT58" i="105"/>
  <c r="AR58" i="105"/>
  <c r="AP58" i="105"/>
  <c r="AN58" i="105"/>
  <c r="AL58" i="105"/>
  <c r="AJ58" i="105"/>
  <c r="AH58" i="105"/>
  <c r="AF58" i="105"/>
  <c r="AD58" i="105"/>
  <c r="AB58" i="105"/>
  <c r="Z58" i="105"/>
  <c r="X58" i="105"/>
  <c r="V58" i="105"/>
  <c r="T58" i="105"/>
  <c r="R58" i="105"/>
  <c r="AZ58" i="105" s="1"/>
  <c r="BD58" i="105" s="1"/>
  <c r="P58" i="105"/>
  <c r="N58" i="105"/>
  <c r="L58" i="105"/>
  <c r="J58" i="105"/>
  <c r="H58" i="105"/>
  <c r="F58" i="105"/>
  <c r="D58" i="105"/>
  <c r="AX57" i="105"/>
  <c r="AV57" i="105"/>
  <c r="AT57" i="105"/>
  <c r="AR57" i="105"/>
  <c r="AP57" i="105"/>
  <c r="AN57" i="105"/>
  <c r="AL57" i="105"/>
  <c r="AJ57" i="105"/>
  <c r="AH57" i="105"/>
  <c r="AE57" i="105"/>
  <c r="AD57" i="105"/>
  <c r="AB57" i="105"/>
  <c r="Z57" i="105"/>
  <c r="X57" i="105"/>
  <c r="V57" i="105"/>
  <c r="T57" i="105"/>
  <c r="R57" i="105"/>
  <c r="P57" i="105"/>
  <c r="N57" i="105"/>
  <c r="L57" i="105"/>
  <c r="J57" i="105"/>
  <c r="H57" i="105"/>
  <c r="F57" i="105"/>
  <c r="D57" i="105"/>
  <c r="AX56" i="105"/>
  <c r="AV56" i="105"/>
  <c r="AT56" i="105"/>
  <c r="AR56" i="105"/>
  <c r="AP56" i="105"/>
  <c r="AN56" i="105"/>
  <c r="AL56" i="105"/>
  <c r="AJ56" i="105"/>
  <c r="AH56" i="105"/>
  <c r="AF56" i="105"/>
  <c r="AD56" i="105"/>
  <c r="AB56" i="105"/>
  <c r="Z56" i="105"/>
  <c r="X56" i="105"/>
  <c r="V56" i="105"/>
  <c r="T56" i="105"/>
  <c r="Q56" i="105"/>
  <c r="R56" i="105" s="1"/>
  <c r="P56" i="105"/>
  <c r="N56" i="105"/>
  <c r="L56" i="105"/>
  <c r="J56" i="105"/>
  <c r="G56" i="105"/>
  <c r="H56" i="105" s="1"/>
  <c r="F56" i="105"/>
  <c r="D56" i="105"/>
  <c r="BA55" i="105"/>
  <c r="BB55" i="105" s="1"/>
  <c r="AW55" i="105"/>
  <c r="AX55" i="105" s="1"/>
  <c r="AV55" i="105"/>
  <c r="AT55" i="105"/>
  <c r="AS55" i="105"/>
  <c r="AR55" i="105"/>
  <c r="AP55" i="105"/>
  <c r="AN55" i="105"/>
  <c r="AK55" i="105"/>
  <c r="AL55" i="105" s="1"/>
  <c r="AJ55" i="105"/>
  <c r="AH55" i="105"/>
  <c r="AE55" i="105"/>
  <c r="AF55" i="105" s="1"/>
  <c r="AD55" i="105"/>
  <c r="AB55" i="105"/>
  <c r="Z55" i="105"/>
  <c r="X55" i="105"/>
  <c r="V55" i="105"/>
  <c r="T55" i="105"/>
  <c r="S55" i="105"/>
  <c r="R55" i="105"/>
  <c r="P55" i="105"/>
  <c r="N55" i="105"/>
  <c r="L55" i="105"/>
  <c r="J55" i="105"/>
  <c r="H55" i="105"/>
  <c r="F55" i="105"/>
  <c r="D55" i="105"/>
  <c r="BB54" i="105"/>
  <c r="BA54" i="105"/>
  <c r="AX54" i="105"/>
  <c r="AW54" i="105"/>
  <c r="AV54" i="105"/>
  <c r="AS54" i="105"/>
  <c r="AT54" i="105" s="1"/>
  <c r="AQ54" i="105"/>
  <c r="AR54" i="105" s="1"/>
  <c r="AP54" i="105"/>
  <c r="AN54" i="105"/>
  <c r="AK54" i="105"/>
  <c r="AL54" i="105" s="1"/>
  <c r="AJ54" i="105"/>
  <c r="AH54" i="105"/>
  <c r="AZ54" i="105" s="1"/>
  <c r="BD54" i="105" s="1"/>
  <c r="AE54" i="105"/>
  <c r="AF54" i="105" s="1"/>
  <c r="AD54" i="105"/>
  <c r="AB54" i="105"/>
  <c r="Z54" i="105"/>
  <c r="X54" i="105"/>
  <c r="V54" i="105"/>
  <c r="T54" i="105"/>
  <c r="S54" i="105"/>
  <c r="R54" i="105"/>
  <c r="Q54" i="105"/>
  <c r="AY54" i="105" s="1"/>
  <c r="BC54" i="105" s="1"/>
  <c r="P54" i="105"/>
  <c r="N54" i="105"/>
  <c r="L54" i="105"/>
  <c r="J54" i="105"/>
  <c r="H54" i="105"/>
  <c r="F54" i="105"/>
  <c r="D54" i="105"/>
  <c r="BA53" i="105"/>
  <c r="BB53" i="105" s="1"/>
  <c r="AX53" i="105"/>
  <c r="AV53" i="105"/>
  <c r="AS53" i="105"/>
  <c r="AT53" i="105" s="1"/>
  <c r="AQ53" i="105"/>
  <c r="AR53" i="105" s="1"/>
  <c r="AP53" i="105"/>
  <c r="AN53" i="105"/>
  <c r="AK53" i="105"/>
  <c r="AL53" i="105" s="1"/>
  <c r="AJ53" i="105"/>
  <c r="AH53" i="105"/>
  <c r="AE53" i="105"/>
  <c r="AF53" i="105" s="1"/>
  <c r="AD53" i="105"/>
  <c r="AB53" i="105"/>
  <c r="Z53" i="105"/>
  <c r="X53" i="105"/>
  <c r="V53" i="105"/>
  <c r="T53" i="105"/>
  <c r="S53" i="105"/>
  <c r="R53" i="105"/>
  <c r="Q53" i="105"/>
  <c r="P53" i="105"/>
  <c r="N53" i="105"/>
  <c r="L53" i="105"/>
  <c r="J53" i="105"/>
  <c r="H53" i="105"/>
  <c r="F53" i="105"/>
  <c r="D53" i="105"/>
  <c r="BA52" i="105"/>
  <c r="BB52" i="105" s="1"/>
  <c r="AW52" i="105"/>
  <c r="AX52" i="105" s="1"/>
  <c r="AV52" i="105"/>
  <c r="AT52" i="105"/>
  <c r="AS52" i="105"/>
  <c r="AR52" i="105"/>
  <c r="AQ52" i="105"/>
  <c r="AP52" i="105"/>
  <c r="AN52" i="105"/>
  <c r="AL52" i="105"/>
  <c r="AK52" i="105"/>
  <c r="AJ52" i="105"/>
  <c r="AH52" i="105"/>
  <c r="AF52" i="105"/>
  <c r="AE52" i="105"/>
  <c r="AD52" i="105"/>
  <c r="AD49" i="105" s="1"/>
  <c r="AB52" i="105"/>
  <c r="Z52" i="105"/>
  <c r="Z49" i="105" s="1"/>
  <c r="X52" i="105"/>
  <c r="V52" i="105"/>
  <c r="V49" i="105" s="1"/>
  <c r="S52" i="105"/>
  <c r="T52" i="105" s="1"/>
  <c r="Q52" i="105"/>
  <c r="R52" i="105" s="1"/>
  <c r="P52" i="105"/>
  <c r="N52" i="105"/>
  <c r="N49" i="105" s="1"/>
  <c r="L52" i="105"/>
  <c r="J52" i="105"/>
  <c r="J49" i="105" s="1"/>
  <c r="H52" i="105"/>
  <c r="F52" i="105"/>
  <c r="F49" i="105" s="1"/>
  <c r="D52" i="105"/>
  <c r="BB51" i="105"/>
  <c r="BA51" i="105"/>
  <c r="AX51" i="105"/>
  <c r="AW51" i="105"/>
  <c r="AV51" i="105"/>
  <c r="AV49" i="105" s="1"/>
  <c r="AS51" i="105"/>
  <c r="AT51" i="105" s="1"/>
  <c r="AQ51" i="105"/>
  <c r="AR51" i="105" s="1"/>
  <c r="AP51" i="105"/>
  <c r="AN51" i="105"/>
  <c r="AN49" i="105" s="1"/>
  <c r="AK51" i="105"/>
  <c r="AL51" i="105" s="1"/>
  <c r="AJ51" i="105"/>
  <c r="AH51" i="105"/>
  <c r="AE51" i="105"/>
  <c r="AF51" i="105" s="1"/>
  <c r="AD51" i="105"/>
  <c r="AB51" i="105"/>
  <c r="Z51" i="105"/>
  <c r="X51" i="105"/>
  <c r="V51" i="105"/>
  <c r="T51" i="105"/>
  <c r="S51" i="105"/>
  <c r="R51" i="105"/>
  <c r="AZ51" i="105" s="1"/>
  <c r="BD51" i="105" s="1"/>
  <c r="Q51" i="105"/>
  <c r="P51" i="105"/>
  <c r="N51" i="105"/>
  <c r="L51" i="105"/>
  <c r="J51" i="105"/>
  <c r="H51" i="105"/>
  <c r="F51" i="105"/>
  <c r="D51" i="105"/>
  <c r="BA50" i="105"/>
  <c r="BB50" i="105" s="1"/>
  <c r="BB49" i="105" s="1"/>
  <c r="AW50" i="105"/>
  <c r="AX50" i="105" s="1"/>
  <c r="AX49" i="105" s="1"/>
  <c r="AV50" i="105"/>
  <c r="AT50" i="105"/>
  <c r="AT49" i="105" s="1"/>
  <c r="AS50" i="105"/>
  <c r="AR50" i="105"/>
  <c r="AR49" i="105" s="1"/>
  <c r="AQ50" i="105"/>
  <c r="AP50" i="105"/>
  <c r="AP49" i="105" s="1"/>
  <c r="AN50" i="105"/>
  <c r="AL50" i="105"/>
  <c r="AL49" i="105" s="1"/>
  <c r="AK50" i="105"/>
  <c r="AJ50" i="105"/>
  <c r="AJ49" i="105" s="1"/>
  <c r="AI50" i="105"/>
  <c r="AH50" i="105"/>
  <c r="AH49" i="105" s="1"/>
  <c r="AE50" i="105"/>
  <c r="AF50" i="105" s="1"/>
  <c r="AD50" i="105"/>
  <c r="AB50" i="105"/>
  <c r="Z50" i="105"/>
  <c r="X50" i="105"/>
  <c r="V50" i="105"/>
  <c r="T50" i="105"/>
  <c r="S50" i="105"/>
  <c r="R50" i="105"/>
  <c r="Q50" i="105"/>
  <c r="P50" i="105"/>
  <c r="N50" i="105"/>
  <c r="L50" i="105"/>
  <c r="J50" i="105"/>
  <c r="H50" i="105"/>
  <c r="F50" i="105"/>
  <c r="D50" i="105"/>
  <c r="AU49" i="105"/>
  <c r="AS49" i="105"/>
  <c r="AQ49" i="105"/>
  <c r="AO49" i="105"/>
  <c r="AM49" i="105"/>
  <c r="AK49" i="105"/>
  <c r="AI49" i="105"/>
  <c r="AG49" i="105"/>
  <c r="AE49" i="105"/>
  <c r="AC49" i="105"/>
  <c r="AA49" i="105"/>
  <c r="Y49" i="105"/>
  <c r="W49" i="105"/>
  <c r="U49" i="105"/>
  <c r="S49" i="105"/>
  <c r="O49" i="105"/>
  <c r="M49" i="105"/>
  <c r="K49" i="105"/>
  <c r="I49" i="105"/>
  <c r="G49" i="105"/>
  <c r="E49" i="105"/>
  <c r="C49" i="105"/>
  <c r="AY48" i="105"/>
  <c r="BC48" i="105" s="1"/>
  <c r="BC47" i="105" s="1"/>
  <c r="AX48" i="105"/>
  <c r="AV48" i="105"/>
  <c r="AV47" i="105" s="1"/>
  <c r="AT48" i="105"/>
  <c r="AR48" i="105"/>
  <c r="AR47" i="105" s="1"/>
  <c r="AP48" i="105"/>
  <c r="AN48" i="105"/>
  <c r="AN47" i="105" s="1"/>
  <c r="AL48" i="105"/>
  <c r="AJ48" i="105"/>
  <c r="AJ47" i="105" s="1"/>
  <c r="AH48" i="105"/>
  <c r="AF48" i="105"/>
  <c r="AF47" i="105" s="1"/>
  <c r="AD48" i="105"/>
  <c r="AB48" i="105"/>
  <c r="AB47" i="105" s="1"/>
  <c r="Z48" i="105"/>
  <c r="X48" i="105"/>
  <c r="X47" i="105" s="1"/>
  <c r="V48" i="105"/>
  <c r="T48" i="105"/>
  <c r="T47" i="105" s="1"/>
  <c r="R48" i="105"/>
  <c r="P48" i="105"/>
  <c r="P47" i="105" s="1"/>
  <c r="N48" i="105"/>
  <c r="L48" i="105"/>
  <c r="L47" i="105" s="1"/>
  <c r="J48" i="105"/>
  <c r="H48" i="105"/>
  <c r="H47" i="105" s="1"/>
  <c r="F48" i="105"/>
  <c r="D48" i="105"/>
  <c r="D47" i="105" s="1"/>
  <c r="BB47" i="105"/>
  <c r="BA47" i="105"/>
  <c r="AY47" i="105"/>
  <c r="AX47" i="105"/>
  <c r="AW47" i="105"/>
  <c r="AU47" i="105"/>
  <c r="AT47" i="105"/>
  <c r="AS47" i="105"/>
  <c r="AQ47" i="105"/>
  <c r="AP47" i="105"/>
  <c r="AO47" i="105"/>
  <c r="AM47" i="105"/>
  <c r="AL47" i="105"/>
  <c r="AK47" i="105"/>
  <c r="AI47" i="105"/>
  <c r="AH47" i="105"/>
  <c r="AG47" i="105"/>
  <c r="AE47" i="105"/>
  <c r="AD47" i="105"/>
  <c r="AC47" i="105"/>
  <c r="AA47" i="105"/>
  <c r="Z47" i="105"/>
  <c r="Y47" i="105"/>
  <c r="W47" i="105"/>
  <c r="V47" i="105"/>
  <c r="U47" i="105"/>
  <c r="S47" i="105"/>
  <c r="R47" i="105"/>
  <c r="Q47" i="105"/>
  <c r="O47" i="105"/>
  <c r="N47" i="105"/>
  <c r="M47" i="105"/>
  <c r="K47" i="105"/>
  <c r="J47" i="105"/>
  <c r="I47" i="105"/>
  <c r="G47" i="105"/>
  <c r="F47" i="105"/>
  <c r="E47" i="105"/>
  <c r="C47" i="105"/>
  <c r="AY46" i="105"/>
  <c r="BC46" i="105" s="1"/>
  <c r="AX46" i="105"/>
  <c r="AV46" i="105"/>
  <c r="AT46" i="105"/>
  <c r="AR46" i="105"/>
  <c r="AP46" i="105"/>
  <c r="AN46" i="105"/>
  <c r="AL46" i="105"/>
  <c r="AJ46" i="105"/>
  <c r="AH46" i="105"/>
  <c r="AF46" i="105"/>
  <c r="AD46" i="105"/>
  <c r="AB46" i="105"/>
  <c r="Z46" i="105"/>
  <c r="X46" i="105"/>
  <c r="V46" i="105"/>
  <c r="T46" i="105"/>
  <c r="R46" i="105"/>
  <c r="P46" i="105"/>
  <c r="N46" i="105"/>
  <c r="L46" i="105"/>
  <c r="J46" i="105"/>
  <c r="H46" i="105"/>
  <c r="F46" i="105"/>
  <c r="D46" i="105"/>
  <c r="AY45" i="105"/>
  <c r="BC45" i="105" s="1"/>
  <c r="AX45" i="105"/>
  <c r="AV45" i="105"/>
  <c r="AT45" i="105"/>
  <c r="AR45" i="105"/>
  <c r="AP45" i="105"/>
  <c r="AN45" i="105"/>
  <c r="AL45" i="105"/>
  <c r="AJ45" i="105"/>
  <c r="AH45" i="105"/>
  <c r="AF45" i="105"/>
  <c r="AD45" i="105"/>
  <c r="AB45" i="105"/>
  <c r="Z45" i="105"/>
  <c r="X45" i="105"/>
  <c r="V45" i="105"/>
  <c r="T45" i="105"/>
  <c r="R45" i="105"/>
  <c r="P45" i="105"/>
  <c r="N45" i="105"/>
  <c r="L45" i="105"/>
  <c r="J45" i="105"/>
  <c r="H45" i="105"/>
  <c r="F45" i="105"/>
  <c r="D45" i="105"/>
  <c r="AY44" i="105"/>
  <c r="AY43" i="105" s="1"/>
  <c r="AX44" i="105"/>
  <c r="AV44" i="105"/>
  <c r="AV43" i="105" s="1"/>
  <c r="AT44" i="105"/>
  <c r="AR44" i="105"/>
  <c r="AR43" i="105" s="1"/>
  <c r="AP44" i="105"/>
  <c r="AN44" i="105"/>
  <c r="AN43" i="105" s="1"/>
  <c r="AL44" i="105"/>
  <c r="AJ44" i="105"/>
  <c r="AJ43" i="105" s="1"/>
  <c r="AH44" i="105"/>
  <c r="AF44" i="105"/>
  <c r="AF43" i="105" s="1"/>
  <c r="AD44" i="105"/>
  <c r="AB44" i="105"/>
  <c r="AB43" i="105" s="1"/>
  <c r="Z44" i="105"/>
  <c r="X44" i="105"/>
  <c r="X43" i="105" s="1"/>
  <c r="V44" i="105"/>
  <c r="T44" i="105"/>
  <c r="T43" i="105" s="1"/>
  <c r="R44" i="105"/>
  <c r="P44" i="105"/>
  <c r="P43" i="105" s="1"/>
  <c r="N44" i="105"/>
  <c r="L44" i="105"/>
  <c r="L43" i="105" s="1"/>
  <c r="I44" i="105"/>
  <c r="H44" i="105"/>
  <c r="F44" i="105"/>
  <c r="D44" i="105"/>
  <c r="BB43" i="105"/>
  <c r="BA43" i="105"/>
  <c r="AX43" i="105"/>
  <c r="AW43" i="105"/>
  <c r="AU43" i="105"/>
  <c r="AT43" i="105"/>
  <c r="AS43" i="105"/>
  <c r="AQ43" i="105"/>
  <c r="AP43" i="105"/>
  <c r="AO43" i="105"/>
  <c r="AM43" i="105"/>
  <c r="AL43" i="105"/>
  <c r="AK43" i="105"/>
  <c r="AI43" i="105"/>
  <c r="AH43" i="105"/>
  <c r="AG43" i="105"/>
  <c r="AE43" i="105"/>
  <c r="AD43" i="105"/>
  <c r="AC43" i="105"/>
  <c r="AA43" i="105"/>
  <c r="Z43" i="105"/>
  <c r="Y43" i="105"/>
  <c r="W43" i="105"/>
  <c r="V43" i="105"/>
  <c r="U43" i="105"/>
  <c r="S43" i="105"/>
  <c r="R43" i="105"/>
  <c r="Q43" i="105"/>
  <c r="O43" i="105"/>
  <c r="N43" i="105"/>
  <c r="M43" i="105"/>
  <c r="K43" i="105"/>
  <c r="H43" i="105"/>
  <c r="G43" i="105"/>
  <c r="F43" i="105"/>
  <c r="E43" i="105"/>
  <c r="D43" i="105"/>
  <c r="C43" i="105"/>
  <c r="AY42" i="105"/>
  <c r="BC42" i="105" s="1"/>
  <c r="AX42" i="105"/>
  <c r="AV42" i="105"/>
  <c r="AT42" i="105"/>
  <c r="AR42" i="105"/>
  <c r="AP42" i="105"/>
  <c r="AN42" i="105"/>
  <c r="AL42" i="105"/>
  <c r="AJ42" i="105"/>
  <c r="AH42" i="105"/>
  <c r="AF42" i="105"/>
  <c r="AD42" i="105"/>
  <c r="AB42" i="105"/>
  <c r="Z42" i="105"/>
  <c r="X42" i="105"/>
  <c r="V42" i="105"/>
  <c r="T42" i="105"/>
  <c r="R42" i="105"/>
  <c r="AZ42" i="105" s="1"/>
  <c r="BD42" i="105" s="1"/>
  <c r="P42" i="105"/>
  <c r="N42" i="105"/>
  <c r="L42" i="105"/>
  <c r="J42" i="105"/>
  <c r="H42" i="105"/>
  <c r="F42" i="105"/>
  <c r="D42" i="105"/>
  <c r="AY41" i="105"/>
  <c r="BC41" i="105" s="1"/>
  <c r="AX41" i="105"/>
  <c r="AX40" i="105" s="1"/>
  <c r="AV41" i="105"/>
  <c r="AT41" i="105"/>
  <c r="AT40" i="105" s="1"/>
  <c r="AR41" i="105"/>
  <c r="AP41" i="105"/>
  <c r="AP40" i="105" s="1"/>
  <c r="AN41" i="105"/>
  <c r="AL41" i="105"/>
  <c r="AL40" i="105" s="1"/>
  <c r="AJ41" i="105"/>
  <c r="AH41" i="105"/>
  <c r="AH40" i="105" s="1"/>
  <c r="AF41" i="105"/>
  <c r="AD41" i="105"/>
  <c r="AD40" i="105" s="1"/>
  <c r="AB41" i="105"/>
  <c r="Z41" i="105"/>
  <c r="Z40" i="105" s="1"/>
  <c r="X41" i="105"/>
  <c r="V41" i="105"/>
  <c r="V40" i="105" s="1"/>
  <c r="T41" i="105"/>
  <c r="R41" i="105"/>
  <c r="R40" i="105" s="1"/>
  <c r="P41" i="105"/>
  <c r="N41" i="105"/>
  <c r="N40" i="105" s="1"/>
  <c r="L41" i="105"/>
  <c r="J41" i="105"/>
  <c r="J40" i="105" s="1"/>
  <c r="H41" i="105"/>
  <c r="F41" i="105"/>
  <c r="F40" i="105" s="1"/>
  <c r="D41" i="105"/>
  <c r="BB40" i="105"/>
  <c r="BA40" i="105"/>
  <c r="AY40" i="105"/>
  <c r="AW40" i="105"/>
  <c r="AV40" i="105"/>
  <c r="AU40" i="105"/>
  <c r="AS40" i="105"/>
  <c r="AR40" i="105"/>
  <c r="AQ40" i="105"/>
  <c r="AO40" i="105"/>
  <c r="AN40" i="105"/>
  <c r="AM40" i="105"/>
  <c r="AK40" i="105"/>
  <c r="AJ40" i="105"/>
  <c r="AI40" i="105"/>
  <c r="AG40" i="105"/>
  <c r="AF40" i="105"/>
  <c r="AE40" i="105"/>
  <c r="AC40" i="105"/>
  <c r="AB40" i="105"/>
  <c r="AA40" i="105"/>
  <c r="Y40" i="105"/>
  <c r="X40" i="105"/>
  <c r="W40" i="105"/>
  <c r="U40" i="105"/>
  <c r="T40" i="105"/>
  <c r="S40" i="105"/>
  <c r="Q40" i="105"/>
  <c r="P40" i="105"/>
  <c r="O40" i="105"/>
  <c r="M40" i="105"/>
  <c r="L40" i="105"/>
  <c r="K40" i="105"/>
  <c r="I40" i="105"/>
  <c r="H40" i="105"/>
  <c r="G40" i="105"/>
  <c r="E40" i="105"/>
  <c r="D40" i="105"/>
  <c r="C40" i="105"/>
  <c r="AX39" i="105"/>
  <c r="AV39" i="105"/>
  <c r="AT39" i="105"/>
  <c r="AR39" i="105"/>
  <c r="AP39" i="105"/>
  <c r="AN39" i="105"/>
  <c r="AL39" i="105"/>
  <c r="AJ39" i="105"/>
  <c r="AH39" i="105"/>
  <c r="AF39" i="105"/>
  <c r="AD39" i="105"/>
  <c r="AB39" i="105"/>
  <c r="Z39" i="105"/>
  <c r="X39" i="105"/>
  <c r="V39" i="105"/>
  <c r="T39" i="105"/>
  <c r="R39" i="105"/>
  <c r="Q39" i="105"/>
  <c r="P39" i="105"/>
  <c r="P37" i="105" s="1"/>
  <c r="N39" i="105"/>
  <c r="L39" i="105"/>
  <c r="I39" i="105"/>
  <c r="J39" i="105" s="1"/>
  <c r="H39" i="105"/>
  <c r="F39" i="105"/>
  <c r="F37" i="105" s="1"/>
  <c r="D39" i="105"/>
  <c r="AX38" i="105"/>
  <c r="AX37" i="105" s="1"/>
  <c r="AV38" i="105"/>
  <c r="AT38" i="105"/>
  <c r="AT37" i="105" s="1"/>
  <c r="AR38" i="105"/>
  <c r="AP38" i="105"/>
  <c r="AP37" i="105" s="1"/>
  <c r="AN38" i="105"/>
  <c r="AL38" i="105"/>
  <c r="AL37" i="105" s="1"/>
  <c r="AJ38" i="105"/>
  <c r="AH38" i="105"/>
  <c r="AH37" i="105" s="1"/>
  <c r="AF38" i="105"/>
  <c r="AD38" i="105"/>
  <c r="AD37" i="105" s="1"/>
  <c r="AB38" i="105"/>
  <c r="Z38" i="105"/>
  <c r="Z37" i="105" s="1"/>
  <c r="X38" i="105"/>
  <c r="V38" i="105"/>
  <c r="V37" i="105" s="1"/>
  <c r="S38" i="105"/>
  <c r="T38" i="105" s="1"/>
  <c r="T37" i="105" s="1"/>
  <c r="Q38" i="105"/>
  <c r="P38" i="105"/>
  <c r="N38" i="105"/>
  <c r="N37" i="105" s="1"/>
  <c r="L38" i="105"/>
  <c r="J38" i="105"/>
  <c r="J37" i="105" s="1"/>
  <c r="I38" i="105"/>
  <c r="H38" i="105"/>
  <c r="H37" i="105" s="1"/>
  <c r="F38" i="105"/>
  <c r="D38" i="105"/>
  <c r="D37" i="105" s="1"/>
  <c r="BB37" i="105"/>
  <c r="BA37" i="105"/>
  <c r="AW37" i="105"/>
  <c r="AV37" i="105"/>
  <c r="AU37" i="105"/>
  <c r="AS37" i="105"/>
  <c r="AR37" i="105"/>
  <c r="AQ37" i="105"/>
  <c r="AO37" i="105"/>
  <c r="AN37" i="105"/>
  <c r="AM37" i="105"/>
  <c r="AK37" i="105"/>
  <c r="AJ37" i="105"/>
  <c r="AI37" i="105"/>
  <c r="AG37" i="105"/>
  <c r="AF37" i="105"/>
  <c r="AE37" i="105"/>
  <c r="AC37" i="105"/>
  <c r="AB37" i="105"/>
  <c r="AA37" i="105"/>
  <c r="Y37" i="105"/>
  <c r="X37" i="105"/>
  <c r="W37" i="105"/>
  <c r="U37" i="105"/>
  <c r="S37" i="105"/>
  <c r="Q37" i="105"/>
  <c r="O37" i="105"/>
  <c r="M37" i="105"/>
  <c r="L37" i="105"/>
  <c r="K37" i="105"/>
  <c r="I37" i="105"/>
  <c r="G37" i="105"/>
  <c r="E37" i="105"/>
  <c r="C37" i="105"/>
  <c r="AY36" i="105"/>
  <c r="BC36" i="105" s="1"/>
  <c r="AX36" i="105"/>
  <c r="AV36" i="105"/>
  <c r="AV33" i="105" s="1"/>
  <c r="AT36" i="105"/>
  <c r="AR36" i="105"/>
  <c r="AR33" i="105" s="1"/>
  <c r="AP36" i="105"/>
  <c r="AN36" i="105"/>
  <c r="AN33" i="105" s="1"/>
  <c r="AL36" i="105"/>
  <c r="AJ36" i="105"/>
  <c r="AJ33" i="105" s="1"/>
  <c r="AH36" i="105"/>
  <c r="AF36" i="105"/>
  <c r="AF33" i="105" s="1"/>
  <c r="AD36" i="105"/>
  <c r="AB36" i="105"/>
  <c r="AB33" i="105" s="1"/>
  <c r="Z36" i="105"/>
  <c r="X36" i="105"/>
  <c r="X33" i="105" s="1"/>
  <c r="V36" i="105"/>
  <c r="T36" i="105"/>
  <c r="T33" i="105" s="1"/>
  <c r="R36" i="105"/>
  <c r="AZ36" i="105" s="1"/>
  <c r="BD36" i="105" s="1"/>
  <c r="P36" i="105"/>
  <c r="P33" i="105" s="1"/>
  <c r="N36" i="105"/>
  <c r="L36" i="105"/>
  <c r="L33" i="105" s="1"/>
  <c r="J36" i="105"/>
  <c r="H36" i="105"/>
  <c r="F36" i="105"/>
  <c r="D36" i="105"/>
  <c r="C36" i="105"/>
  <c r="AY35" i="105"/>
  <c r="BC35" i="105" s="1"/>
  <c r="AX35" i="105"/>
  <c r="AV35" i="105"/>
  <c r="AT35" i="105"/>
  <c r="AR35" i="105"/>
  <c r="AP35" i="105"/>
  <c r="AN35" i="105"/>
  <c r="AL35" i="105"/>
  <c r="AJ35" i="105"/>
  <c r="AH35" i="105"/>
  <c r="AF35" i="105"/>
  <c r="AD35" i="105"/>
  <c r="AB35" i="105"/>
  <c r="Z35" i="105"/>
  <c r="X35" i="105"/>
  <c r="V35" i="105"/>
  <c r="T35" i="105"/>
  <c r="R35" i="105"/>
  <c r="AZ35" i="105" s="1"/>
  <c r="BD35" i="105" s="1"/>
  <c r="P35" i="105"/>
  <c r="N35" i="105"/>
  <c r="L35" i="105"/>
  <c r="J35" i="105"/>
  <c r="H35" i="105"/>
  <c r="F35" i="105"/>
  <c r="F33" i="105" s="1"/>
  <c r="D35" i="105"/>
  <c r="AX34" i="105"/>
  <c r="AX33" i="105" s="1"/>
  <c r="AV34" i="105"/>
  <c r="AT34" i="105"/>
  <c r="AT33" i="105" s="1"/>
  <c r="AR34" i="105"/>
  <c r="AP34" i="105"/>
  <c r="AP33" i="105" s="1"/>
  <c r="AN34" i="105"/>
  <c r="AL34" i="105"/>
  <c r="AL33" i="105" s="1"/>
  <c r="AJ34" i="105"/>
  <c r="AH34" i="105"/>
  <c r="AH33" i="105" s="1"/>
  <c r="AF34" i="105"/>
  <c r="AD34" i="105"/>
  <c r="AD33" i="105" s="1"/>
  <c r="AB34" i="105"/>
  <c r="Z34" i="105"/>
  <c r="Z33" i="105" s="1"/>
  <c r="X34" i="105"/>
  <c r="V34" i="105"/>
  <c r="V33" i="105" s="1"/>
  <c r="T34" i="105"/>
  <c r="R34" i="105"/>
  <c r="R33" i="105" s="1"/>
  <c r="P34" i="105"/>
  <c r="N34" i="105"/>
  <c r="N33" i="105" s="1"/>
  <c r="L34" i="105"/>
  <c r="J34" i="105"/>
  <c r="J33" i="105" s="1"/>
  <c r="I34" i="105"/>
  <c r="AY34" i="105" s="1"/>
  <c r="H34" i="105"/>
  <c r="H33" i="105" s="1"/>
  <c r="F34" i="105"/>
  <c r="D34" i="105"/>
  <c r="D33" i="105" s="1"/>
  <c r="BB33" i="105"/>
  <c r="BA33" i="105"/>
  <c r="AW33" i="105"/>
  <c r="AU33" i="105"/>
  <c r="AS33" i="105"/>
  <c r="AQ33" i="105"/>
  <c r="AO33" i="105"/>
  <c r="AM33" i="105"/>
  <c r="AK33" i="105"/>
  <c r="AI33" i="105"/>
  <c r="AG33" i="105"/>
  <c r="AE33" i="105"/>
  <c r="AC33" i="105"/>
  <c r="AA33" i="105"/>
  <c r="Y33" i="105"/>
  <c r="W33" i="105"/>
  <c r="U33" i="105"/>
  <c r="S33" i="105"/>
  <c r="Q33" i="105"/>
  <c r="O33" i="105"/>
  <c r="M33" i="105"/>
  <c r="K33" i="105"/>
  <c r="I33" i="105"/>
  <c r="G33" i="105"/>
  <c r="E33" i="105"/>
  <c r="C33" i="105"/>
  <c r="AW32" i="105"/>
  <c r="AX32" i="105" s="1"/>
  <c r="AV32" i="105"/>
  <c r="AT32" i="105"/>
  <c r="AR32" i="105"/>
  <c r="AP32" i="105"/>
  <c r="AN32" i="105"/>
  <c r="AL32" i="105"/>
  <c r="AJ32" i="105"/>
  <c r="AH32" i="105"/>
  <c r="AF32" i="105"/>
  <c r="AD32" i="105"/>
  <c r="AC32" i="105"/>
  <c r="AB32" i="105"/>
  <c r="AB30" i="105" s="1"/>
  <c r="Z32" i="105"/>
  <c r="X32" i="105"/>
  <c r="X30" i="105" s="1"/>
  <c r="V32" i="105"/>
  <c r="T32" i="105"/>
  <c r="T30" i="105" s="1"/>
  <c r="R32" i="105"/>
  <c r="P32" i="105"/>
  <c r="P30" i="105" s="1"/>
  <c r="N32" i="105"/>
  <c r="L32" i="105"/>
  <c r="I32" i="105"/>
  <c r="J32" i="105" s="1"/>
  <c r="H32" i="105"/>
  <c r="F32" i="105"/>
  <c r="C32" i="105"/>
  <c r="D32" i="105" s="1"/>
  <c r="AW31" i="105"/>
  <c r="AX31" i="105" s="1"/>
  <c r="AV31" i="105"/>
  <c r="AT31" i="105"/>
  <c r="AT30" i="105" s="1"/>
  <c r="AR31" i="105"/>
  <c r="AP31" i="105"/>
  <c r="AP30" i="105" s="1"/>
  <c r="AN31" i="105"/>
  <c r="AL31" i="105"/>
  <c r="AL30" i="105" s="1"/>
  <c r="AJ31" i="105"/>
  <c r="AH31" i="105"/>
  <c r="AH30" i="105" s="1"/>
  <c r="AF31" i="105"/>
  <c r="AD31" i="105"/>
  <c r="AD30" i="105" s="1"/>
  <c r="AB31" i="105"/>
  <c r="Z31" i="105"/>
  <c r="Z30" i="105" s="1"/>
  <c r="X31" i="105"/>
  <c r="V31" i="105"/>
  <c r="V30" i="105" s="1"/>
  <c r="T31" i="105"/>
  <c r="R31" i="105"/>
  <c r="P31" i="105"/>
  <c r="N31" i="105"/>
  <c r="N30" i="105" s="1"/>
  <c r="K31" i="105"/>
  <c r="L31" i="105" s="1"/>
  <c r="L30" i="105" s="1"/>
  <c r="I31" i="105"/>
  <c r="J31" i="105" s="1"/>
  <c r="J30" i="105" s="1"/>
  <c r="H31" i="105"/>
  <c r="F31" i="105"/>
  <c r="F30" i="105" s="1"/>
  <c r="C31" i="105"/>
  <c r="D31" i="105" s="1"/>
  <c r="D30" i="105" s="1"/>
  <c r="BB30" i="105"/>
  <c r="BA30" i="105"/>
  <c r="AW30" i="105"/>
  <c r="AV30" i="105"/>
  <c r="AU30" i="105"/>
  <c r="AS30" i="105"/>
  <c r="AR30" i="105"/>
  <c r="AQ30" i="105"/>
  <c r="AO30" i="105"/>
  <c r="AN30" i="105"/>
  <c r="AM30" i="105"/>
  <c r="AK30" i="105"/>
  <c r="AJ30" i="105"/>
  <c r="AI30" i="105"/>
  <c r="AG30" i="105"/>
  <c r="AF30" i="105"/>
  <c r="AE30" i="105"/>
  <c r="AC30" i="105"/>
  <c r="AA30" i="105"/>
  <c r="Y30" i="105"/>
  <c r="W30" i="105"/>
  <c r="U30" i="105"/>
  <c r="S30" i="105"/>
  <c r="Q30" i="105"/>
  <c r="O30" i="105"/>
  <c r="M30" i="105"/>
  <c r="K30" i="105"/>
  <c r="I30" i="105"/>
  <c r="H30" i="105"/>
  <c r="G30" i="105"/>
  <c r="E30" i="105"/>
  <c r="C30" i="105"/>
  <c r="AY29" i="105"/>
  <c r="BC29" i="105" s="1"/>
  <c r="AX29" i="105"/>
  <c r="AV29" i="105"/>
  <c r="AT29" i="105"/>
  <c r="AR29" i="105"/>
  <c r="AP29" i="105"/>
  <c r="AN29" i="105"/>
  <c r="AL29" i="105"/>
  <c r="AJ29" i="105"/>
  <c r="AH29" i="105"/>
  <c r="AF29" i="105"/>
  <c r="AF23" i="105" s="1"/>
  <c r="AD29" i="105"/>
  <c r="AB29" i="105"/>
  <c r="Z29" i="105"/>
  <c r="X29" i="105"/>
  <c r="V29" i="105"/>
  <c r="T29" i="105"/>
  <c r="S29" i="105"/>
  <c r="R29" i="105"/>
  <c r="AZ29" i="105" s="1"/>
  <c r="BD29" i="105" s="1"/>
  <c r="P29" i="105"/>
  <c r="N29" i="105"/>
  <c r="L29" i="105"/>
  <c r="J29" i="105"/>
  <c r="H29" i="105"/>
  <c r="F29" i="105"/>
  <c r="D29" i="105"/>
  <c r="AY28" i="105"/>
  <c r="BC28" i="105" s="1"/>
  <c r="AX28" i="105"/>
  <c r="AV28" i="105"/>
  <c r="AT28" i="105"/>
  <c r="AR28" i="105"/>
  <c r="AP28" i="105"/>
  <c r="AN28" i="105"/>
  <c r="AL28" i="105"/>
  <c r="AJ28" i="105"/>
  <c r="AH28" i="105"/>
  <c r="AF28" i="105"/>
  <c r="AD28" i="105"/>
  <c r="AB28" i="105"/>
  <c r="Z28" i="105"/>
  <c r="X28" i="105"/>
  <c r="V28" i="105"/>
  <c r="T28" i="105"/>
  <c r="R28" i="105"/>
  <c r="AZ28" i="105" s="1"/>
  <c r="BD28" i="105" s="1"/>
  <c r="P28" i="105"/>
  <c r="N28" i="105"/>
  <c r="L28" i="105"/>
  <c r="J28" i="105"/>
  <c r="H28" i="105"/>
  <c r="F28" i="105"/>
  <c r="D28" i="105"/>
  <c r="AX27" i="105"/>
  <c r="AV27" i="105"/>
  <c r="AT27" i="105"/>
  <c r="AR27" i="105"/>
  <c r="AP27" i="105"/>
  <c r="AZ27" i="105" s="1"/>
  <c r="BD27" i="105" s="1"/>
  <c r="AN27" i="105"/>
  <c r="AL27" i="105"/>
  <c r="AJ27" i="105"/>
  <c r="AH27" i="105"/>
  <c r="AF27" i="105"/>
  <c r="AD27" i="105"/>
  <c r="AC27" i="105"/>
  <c r="AY27" i="105" s="1"/>
  <c r="BC27" i="105" s="1"/>
  <c r="AB27" i="105"/>
  <c r="Z27" i="105"/>
  <c r="X27" i="105"/>
  <c r="V27" i="105"/>
  <c r="T27" i="105"/>
  <c r="R27" i="105"/>
  <c r="P27" i="105"/>
  <c r="N27" i="105"/>
  <c r="L27" i="105"/>
  <c r="I27" i="105"/>
  <c r="J27" i="105" s="1"/>
  <c r="H27" i="105"/>
  <c r="F27" i="105"/>
  <c r="D27" i="105"/>
  <c r="AX26" i="105"/>
  <c r="AV26" i="105"/>
  <c r="AT26" i="105"/>
  <c r="AR26" i="105"/>
  <c r="AP26" i="105"/>
  <c r="AZ26" i="105" s="1"/>
  <c r="BD26" i="105" s="1"/>
  <c r="AN26" i="105"/>
  <c r="AL26" i="105"/>
  <c r="AJ26" i="105"/>
  <c r="AH26" i="105"/>
  <c r="AF26" i="105"/>
  <c r="AD26" i="105"/>
  <c r="AC26" i="105"/>
  <c r="AY26" i="105" s="1"/>
  <c r="BC26" i="105" s="1"/>
  <c r="AB26" i="105"/>
  <c r="Z26" i="105"/>
  <c r="X26" i="105"/>
  <c r="V26" i="105"/>
  <c r="T26" i="105"/>
  <c r="R26" i="105"/>
  <c r="P26" i="105"/>
  <c r="N26" i="105"/>
  <c r="L26" i="105"/>
  <c r="J26" i="105"/>
  <c r="H26" i="105"/>
  <c r="H23" i="105" s="1"/>
  <c r="F26" i="105"/>
  <c r="D26" i="105"/>
  <c r="AY25" i="105"/>
  <c r="BC25" i="105" s="1"/>
  <c r="AX25" i="105"/>
  <c r="AV25" i="105"/>
  <c r="AV23" i="105" s="1"/>
  <c r="AT25" i="105"/>
  <c r="AR25" i="105"/>
  <c r="AR23" i="105" s="1"/>
  <c r="AP25" i="105"/>
  <c r="AN25" i="105"/>
  <c r="AN23" i="105" s="1"/>
  <c r="AL25" i="105"/>
  <c r="AJ25" i="105"/>
  <c r="AJ23" i="105" s="1"/>
  <c r="AI25" i="105"/>
  <c r="AH25" i="105"/>
  <c r="AF25" i="105"/>
  <c r="AD25" i="105"/>
  <c r="AB25" i="105"/>
  <c r="Z25" i="105"/>
  <c r="Z23" i="105" s="1"/>
  <c r="X25" i="105"/>
  <c r="V25" i="105"/>
  <c r="V23" i="105" s="1"/>
  <c r="T25" i="105"/>
  <c r="R25" i="105"/>
  <c r="AZ25" i="105" s="1"/>
  <c r="BD25" i="105" s="1"/>
  <c r="P25" i="105"/>
  <c r="N25" i="105"/>
  <c r="N23" i="105" s="1"/>
  <c r="L25" i="105"/>
  <c r="J25" i="105"/>
  <c r="H25" i="105"/>
  <c r="F25" i="105"/>
  <c r="D25" i="105"/>
  <c r="AX24" i="105"/>
  <c r="AX23" i="105" s="1"/>
  <c r="AV24" i="105"/>
  <c r="AT24" i="105"/>
  <c r="AT23" i="105" s="1"/>
  <c r="AR24" i="105"/>
  <c r="AP24" i="105"/>
  <c r="AP23" i="105" s="1"/>
  <c r="AN24" i="105"/>
  <c r="AL24" i="105"/>
  <c r="AL23" i="105" s="1"/>
  <c r="AJ24" i="105"/>
  <c r="AH24" i="105"/>
  <c r="AH23" i="105" s="1"/>
  <c r="AF24" i="105"/>
  <c r="AD24" i="105"/>
  <c r="AD23" i="105" s="1"/>
  <c r="AC24" i="105"/>
  <c r="AB24" i="105"/>
  <c r="AB23" i="105" s="1"/>
  <c r="Z24" i="105"/>
  <c r="X24" i="105"/>
  <c r="X23" i="105" s="1"/>
  <c r="V24" i="105"/>
  <c r="T24" i="105"/>
  <c r="T23" i="105" s="1"/>
  <c r="S24" i="105"/>
  <c r="R24" i="105"/>
  <c r="R23" i="105" s="1"/>
  <c r="Q24" i="105"/>
  <c r="AY24" i="105" s="1"/>
  <c r="P24" i="105"/>
  <c r="P23" i="105" s="1"/>
  <c r="N24" i="105"/>
  <c r="L24" i="105"/>
  <c r="L23" i="105" s="1"/>
  <c r="I24" i="105"/>
  <c r="J24" i="105" s="1"/>
  <c r="J23" i="105" s="1"/>
  <c r="H24" i="105"/>
  <c r="F24" i="105"/>
  <c r="F23" i="105" s="1"/>
  <c r="C24" i="105"/>
  <c r="D24" i="105" s="1"/>
  <c r="D23" i="105" s="1"/>
  <c r="BB23" i="105"/>
  <c r="BA23" i="105"/>
  <c r="AW23" i="105"/>
  <c r="AU23" i="105"/>
  <c r="AS23" i="105"/>
  <c r="AQ23" i="105"/>
  <c r="AO23" i="105"/>
  <c r="AM23" i="105"/>
  <c r="AK23" i="105"/>
  <c r="AI23" i="105"/>
  <c r="AG23" i="105"/>
  <c r="AE23" i="105"/>
  <c r="AC23" i="105"/>
  <c r="AA23" i="105"/>
  <c r="Y23" i="105"/>
  <c r="W23" i="105"/>
  <c r="U23" i="105"/>
  <c r="S23" i="105"/>
  <c r="Q23" i="105"/>
  <c r="O23" i="105"/>
  <c r="M23" i="105"/>
  <c r="K23" i="105"/>
  <c r="I23" i="105"/>
  <c r="G23" i="105"/>
  <c r="E23" i="105"/>
  <c r="C23" i="105"/>
  <c r="AY22" i="105"/>
  <c r="BC22" i="105" s="1"/>
  <c r="AX22" i="105"/>
  <c r="AV22" i="105"/>
  <c r="AT22" i="105"/>
  <c r="AR22" i="105"/>
  <c r="AP22" i="105"/>
  <c r="AN22" i="105"/>
  <c r="AL22" i="105"/>
  <c r="AJ22" i="105"/>
  <c r="AH22" i="105"/>
  <c r="AF22" i="105"/>
  <c r="AD22" i="105"/>
  <c r="AB22" i="105"/>
  <c r="Z22" i="105"/>
  <c r="X22" i="105"/>
  <c r="V22" i="105"/>
  <c r="T22" i="105"/>
  <c r="R22" i="105"/>
  <c r="AZ22" i="105" s="1"/>
  <c r="BD22" i="105" s="1"/>
  <c r="P22" i="105"/>
  <c r="N22" i="105"/>
  <c r="L22" i="105"/>
  <c r="J22" i="105"/>
  <c r="H22" i="105"/>
  <c r="F22" i="105"/>
  <c r="D22" i="105"/>
  <c r="AY21" i="105"/>
  <c r="AY20" i="105" s="1"/>
  <c r="AX21" i="105"/>
  <c r="AV21" i="105"/>
  <c r="AT21" i="105"/>
  <c r="AR21" i="105"/>
  <c r="AP21" i="105"/>
  <c r="AN21" i="105"/>
  <c r="AL21" i="105"/>
  <c r="AJ21" i="105"/>
  <c r="AH21" i="105"/>
  <c r="AF21" i="105"/>
  <c r="AE21" i="105"/>
  <c r="AD21" i="105"/>
  <c r="AB21" i="105"/>
  <c r="Z21" i="105"/>
  <c r="X21" i="105"/>
  <c r="V21" i="105"/>
  <c r="T21" i="105"/>
  <c r="R21" i="105"/>
  <c r="AZ21" i="105" s="1"/>
  <c r="P21" i="105"/>
  <c r="N21" i="105"/>
  <c r="L21" i="105"/>
  <c r="J21" i="105"/>
  <c r="H21" i="105"/>
  <c r="F21" i="105"/>
  <c r="D21" i="105"/>
  <c r="BB20" i="105"/>
  <c r="BA20" i="105"/>
  <c r="AX20" i="105"/>
  <c r="AW20" i="105"/>
  <c r="AV20" i="105"/>
  <c r="AU20" i="105"/>
  <c r="AT20" i="105"/>
  <c r="AS20" i="105"/>
  <c r="AR20" i="105"/>
  <c r="AQ20" i="105"/>
  <c r="AP20" i="105"/>
  <c r="AO20" i="105"/>
  <c r="AN20" i="105"/>
  <c r="AM20" i="105"/>
  <c r="AL20" i="105"/>
  <c r="AK20" i="105"/>
  <c r="AJ20" i="105"/>
  <c r="AI20" i="105"/>
  <c r="AH20" i="105"/>
  <c r="AG20" i="105"/>
  <c r="AF20" i="105"/>
  <c r="AE20" i="105"/>
  <c r="AD20" i="105"/>
  <c r="AC20" i="105"/>
  <c r="AB20" i="105"/>
  <c r="AA20" i="105"/>
  <c r="Z20" i="105"/>
  <c r="Y20" i="105"/>
  <c r="X20" i="105"/>
  <c r="W20" i="105"/>
  <c r="V20" i="105"/>
  <c r="U20" i="105"/>
  <c r="T20" i="105"/>
  <c r="S20" i="105"/>
  <c r="R20" i="105"/>
  <c r="Q20" i="105"/>
  <c r="P20" i="105"/>
  <c r="O20" i="105"/>
  <c r="N20" i="105"/>
  <c r="M20" i="105"/>
  <c r="L20" i="105"/>
  <c r="K20" i="105"/>
  <c r="J20" i="105"/>
  <c r="I20" i="105"/>
  <c r="H20" i="105"/>
  <c r="G20" i="105"/>
  <c r="F20" i="105"/>
  <c r="E20" i="105"/>
  <c r="D20" i="105"/>
  <c r="C20" i="105"/>
  <c r="AY19" i="105"/>
  <c r="BC19" i="105" s="1"/>
  <c r="BC18" i="105" s="1"/>
  <c r="AX19" i="105"/>
  <c r="AV19" i="105"/>
  <c r="AT19" i="105"/>
  <c r="AR19" i="105"/>
  <c r="AP19" i="105"/>
  <c r="AN19" i="105"/>
  <c r="AL19" i="105"/>
  <c r="AJ19" i="105"/>
  <c r="AH19" i="105"/>
  <c r="AF19" i="105"/>
  <c r="AD19" i="105"/>
  <c r="AB19" i="105"/>
  <c r="Z19" i="105"/>
  <c r="X19" i="105"/>
  <c r="V19" i="105"/>
  <c r="T19" i="105"/>
  <c r="R19" i="105"/>
  <c r="AZ19" i="105" s="1"/>
  <c r="P19" i="105"/>
  <c r="N19" i="105"/>
  <c r="L19" i="105"/>
  <c r="J19" i="105"/>
  <c r="H19" i="105"/>
  <c r="F19" i="105"/>
  <c r="D19" i="105"/>
  <c r="BB18" i="105"/>
  <c r="BA18" i="105"/>
  <c r="AY18" i="105"/>
  <c r="AX18" i="105"/>
  <c r="AW18" i="105"/>
  <c r="AV18" i="105"/>
  <c r="AU18" i="105"/>
  <c r="AT18" i="105"/>
  <c r="AS18" i="105"/>
  <c r="AR18" i="105"/>
  <c r="AQ18" i="105"/>
  <c r="AP18" i="105"/>
  <c r="AO18" i="105"/>
  <c r="AN18" i="105"/>
  <c r="AM18" i="105"/>
  <c r="AL18" i="105"/>
  <c r="AK18" i="105"/>
  <c r="AJ18" i="105"/>
  <c r="AI18" i="105"/>
  <c r="AH18" i="105"/>
  <c r="AG18" i="105"/>
  <c r="AF18" i="105"/>
  <c r="AE18" i="105"/>
  <c r="AD18" i="105"/>
  <c r="AC18" i="105"/>
  <c r="AB18" i="105"/>
  <c r="AA18" i="105"/>
  <c r="Z18" i="105"/>
  <c r="Y18" i="105"/>
  <c r="X18" i="105"/>
  <c r="W18" i="105"/>
  <c r="V18" i="105"/>
  <c r="U18" i="105"/>
  <c r="T18" i="105"/>
  <c r="S18" i="105"/>
  <c r="R18" i="105"/>
  <c r="Q18" i="105"/>
  <c r="P18" i="105"/>
  <c r="O18" i="105"/>
  <c r="N18" i="105"/>
  <c r="M18" i="105"/>
  <c r="L18" i="105"/>
  <c r="K18" i="105"/>
  <c r="J18" i="105"/>
  <c r="I18" i="105"/>
  <c r="H18" i="105"/>
  <c r="G18" i="105"/>
  <c r="F18" i="105"/>
  <c r="E18" i="105"/>
  <c r="D18" i="105"/>
  <c r="C18" i="105"/>
  <c r="AY17" i="105"/>
  <c r="BC17" i="105" s="1"/>
  <c r="BC16" i="105" s="1"/>
  <c r="AX17" i="105"/>
  <c r="AV17" i="105"/>
  <c r="AT17" i="105"/>
  <c r="AR17" i="105"/>
  <c r="AP17" i="105"/>
  <c r="AN17" i="105"/>
  <c r="AL17" i="105"/>
  <c r="AJ17" i="105"/>
  <c r="AH17" i="105"/>
  <c r="AF17" i="105"/>
  <c r="AD17" i="105"/>
  <c r="AB17" i="105"/>
  <c r="Z17" i="105"/>
  <c r="X17" i="105"/>
  <c r="V17" i="105"/>
  <c r="T17" i="105"/>
  <c r="R17" i="105"/>
  <c r="AZ17" i="105" s="1"/>
  <c r="P17" i="105"/>
  <c r="N17" i="105"/>
  <c r="L17" i="105"/>
  <c r="J17" i="105"/>
  <c r="H17" i="105"/>
  <c r="F17" i="105"/>
  <c r="D17" i="105"/>
  <c r="BB16" i="105"/>
  <c r="BA16" i="105"/>
  <c r="AY16" i="105"/>
  <c r="AX16" i="105"/>
  <c r="AW16" i="105"/>
  <c r="AV16" i="105"/>
  <c r="AU16" i="105"/>
  <c r="AT16" i="105"/>
  <c r="AS16" i="105"/>
  <c r="AR16" i="105"/>
  <c r="AQ16" i="105"/>
  <c r="AP16" i="105"/>
  <c r="AO16" i="105"/>
  <c r="AN16" i="105"/>
  <c r="AM16" i="105"/>
  <c r="AL16" i="105"/>
  <c r="AK16" i="105"/>
  <c r="AJ16" i="105"/>
  <c r="AI16" i="105"/>
  <c r="AH16" i="105"/>
  <c r="AG16" i="105"/>
  <c r="AF16" i="105"/>
  <c r="AE16" i="105"/>
  <c r="AD16" i="105"/>
  <c r="AC16" i="105"/>
  <c r="AB16" i="105"/>
  <c r="AA16" i="105"/>
  <c r="Z16" i="105"/>
  <c r="Y16" i="105"/>
  <c r="X16" i="105"/>
  <c r="W16" i="105"/>
  <c r="V16" i="105"/>
  <c r="U16" i="105"/>
  <c r="T16" i="105"/>
  <c r="S16" i="105"/>
  <c r="R16" i="105"/>
  <c r="Q16" i="105"/>
  <c r="P16" i="105"/>
  <c r="O16" i="105"/>
  <c r="N16" i="105"/>
  <c r="M16" i="105"/>
  <c r="L16" i="105"/>
  <c r="K16" i="105"/>
  <c r="J16" i="105"/>
  <c r="I16" i="105"/>
  <c r="H16" i="105"/>
  <c r="G16" i="105"/>
  <c r="F16" i="105"/>
  <c r="E16" i="105"/>
  <c r="D16" i="105"/>
  <c r="C16" i="105"/>
  <c r="AY15" i="105"/>
  <c r="BC15" i="105" s="1"/>
  <c r="AX15" i="105"/>
  <c r="AV15" i="105"/>
  <c r="AT15" i="105"/>
  <c r="AR15" i="105"/>
  <c r="AP15" i="105"/>
  <c r="AN15" i="105"/>
  <c r="AL15" i="105"/>
  <c r="AJ15" i="105"/>
  <c r="AH15" i="105"/>
  <c r="AF15" i="105"/>
  <c r="AD15" i="105"/>
  <c r="AB15" i="105"/>
  <c r="Z15" i="105"/>
  <c r="X15" i="105"/>
  <c r="V15" i="105"/>
  <c r="T15" i="105"/>
  <c r="R15" i="105"/>
  <c r="AZ15" i="105" s="1"/>
  <c r="BD15" i="105" s="1"/>
  <c r="P15" i="105"/>
  <c r="N15" i="105"/>
  <c r="L15" i="105"/>
  <c r="J15" i="105"/>
  <c r="H15" i="105"/>
  <c r="F15" i="105"/>
  <c r="D15" i="105"/>
  <c r="AX14" i="105"/>
  <c r="AV14" i="105"/>
  <c r="AT14" i="105"/>
  <c r="AR14" i="105"/>
  <c r="AP14" i="105"/>
  <c r="AN14" i="105"/>
  <c r="AL14" i="105"/>
  <c r="AJ14" i="105"/>
  <c r="AH14" i="105"/>
  <c r="AF14" i="105"/>
  <c r="AD14" i="105"/>
  <c r="AB14" i="105"/>
  <c r="Z14" i="105"/>
  <c r="X14" i="105"/>
  <c r="V14" i="105"/>
  <c r="T14" i="105"/>
  <c r="R14" i="105"/>
  <c r="AZ14" i="105" s="1"/>
  <c r="BD14" i="105" s="1"/>
  <c r="BD13" i="105" s="1"/>
  <c r="P14" i="105"/>
  <c r="N14" i="105"/>
  <c r="L14" i="105"/>
  <c r="J14" i="105"/>
  <c r="I14" i="105"/>
  <c r="H14" i="105"/>
  <c r="F14" i="105"/>
  <c r="D14" i="105"/>
  <c r="C14" i="105"/>
  <c r="AY14" i="105" s="1"/>
  <c r="BB13" i="105"/>
  <c r="BA13" i="105"/>
  <c r="AZ13" i="105"/>
  <c r="AX13" i="105"/>
  <c r="AW13" i="105"/>
  <c r="AV13" i="105"/>
  <c r="AU13" i="105"/>
  <c r="AT13" i="105"/>
  <c r="AS13" i="105"/>
  <c r="AR13" i="105"/>
  <c r="AQ13" i="105"/>
  <c r="AP13" i="105"/>
  <c r="AO13" i="105"/>
  <c r="AN13" i="105"/>
  <c r="AM13" i="105"/>
  <c r="AL13" i="105"/>
  <c r="AK13" i="105"/>
  <c r="AJ13" i="105"/>
  <c r="AI13" i="105"/>
  <c r="AH13" i="105"/>
  <c r="AG13" i="105"/>
  <c r="AF13" i="105"/>
  <c r="AE13" i="105"/>
  <c r="AD13" i="105"/>
  <c r="AC13" i="105"/>
  <c r="AB13" i="105"/>
  <c r="AA13" i="105"/>
  <c r="Z13" i="105"/>
  <c r="Y13" i="105"/>
  <c r="X13" i="105"/>
  <c r="W13" i="105"/>
  <c r="V13" i="105"/>
  <c r="U13" i="105"/>
  <c r="T13" i="105"/>
  <c r="S13" i="105"/>
  <c r="R13" i="105"/>
  <c r="Q13" i="105"/>
  <c r="P13" i="105"/>
  <c r="O13" i="105"/>
  <c r="N13" i="105"/>
  <c r="M13" i="105"/>
  <c r="L13" i="105"/>
  <c r="K13" i="105"/>
  <c r="J13" i="105"/>
  <c r="I13" i="105"/>
  <c r="H13" i="105"/>
  <c r="G13" i="105"/>
  <c r="F13" i="105"/>
  <c r="E13" i="105"/>
  <c r="D13" i="105"/>
  <c r="C13" i="105"/>
  <c r="AX12" i="105"/>
  <c r="AX11" i="105" s="1"/>
  <c r="AV12" i="105"/>
  <c r="AT12" i="105"/>
  <c r="AT11" i="105" s="1"/>
  <c r="AR12" i="105"/>
  <c r="AP12" i="105"/>
  <c r="AP11" i="105" s="1"/>
  <c r="AN12" i="105"/>
  <c r="AL12" i="105"/>
  <c r="AL11" i="105" s="1"/>
  <c r="AJ12" i="105"/>
  <c r="AH12" i="105"/>
  <c r="AH11" i="105" s="1"/>
  <c r="AF12" i="105"/>
  <c r="AD12" i="105"/>
  <c r="AD11" i="105" s="1"/>
  <c r="AB12" i="105"/>
  <c r="Z12" i="105"/>
  <c r="Z11" i="105" s="1"/>
  <c r="X12" i="105"/>
  <c r="V12" i="105"/>
  <c r="V11" i="105" s="1"/>
  <c r="T12" i="105"/>
  <c r="R12" i="105"/>
  <c r="R11" i="105" s="1"/>
  <c r="P12" i="105"/>
  <c r="N12" i="105"/>
  <c r="N11" i="105" s="1"/>
  <c r="L12" i="105"/>
  <c r="J12" i="105"/>
  <c r="J11" i="105" s="1"/>
  <c r="I12" i="105"/>
  <c r="AY12" i="105" s="1"/>
  <c r="BC12" i="105" s="1"/>
  <c r="H12" i="105"/>
  <c r="H11" i="105" s="1"/>
  <c r="F12" i="105"/>
  <c r="D12" i="105"/>
  <c r="D11" i="105" s="1"/>
  <c r="BC11" i="105"/>
  <c r="BB11" i="105"/>
  <c r="BA11" i="105"/>
  <c r="AY11" i="105"/>
  <c r="AW11" i="105"/>
  <c r="AV11" i="105"/>
  <c r="AU11" i="105"/>
  <c r="AS11" i="105"/>
  <c r="AR11" i="105"/>
  <c r="AQ11" i="105"/>
  <c r="AO11" i="105"/>
  <c r="AN11" i="105"/>
  <c r="AM11" i="105"/>
  <c r="AK11" i="105"/>
  <c r="AJ11" i="105"/>
  <c r="AI11" i="105"/>
  <c r="AG11" i="105"/>
  <c r="AF11" i="105"/>
  <c r="AE11" i="105"/>
  <c r="AC11" i="105"/>
  <c r="AB11" i="105"/>
  <c r="AA11" i="105"/>
  <c r="Y11" i="105"/>
  <c r="X11" i="105"/>
  <c r="W11" i="105"/>
  <c r="U11" i="105"/>
  <c r="T11" i="105"/>
  <c r="S11" i="105"/>
  <c r="Q11" i="105"/>
  <c r="P11" i="105"/>
  <c r="O11" i="105"/>
  <c r="M11" i="105"/>
  <c r="L11" i="105"/>
  <c r="K11" i="105"/>
  <c r="I11" i="105"/>
  <c r="G11" i="105"/>
  <c r="F11" i="105"/>
  <c r="E11" i="105"/>
  <c r="C11" i="105"/>
  <c r="AX10" i="105"/>
  <c r="AV10" i="105"/>
  <c r="AT10" i="105"/>
  <c r="AR10" i="105"/>
  <c r="AP10" i="105"/>
  <c r="AN10" i="105"/>
  <c r="AL10" i="105"/>
  <c r="AJ10" i="105"/>
  <c r="AH10" i="105"/>
  <c r="AF10" i="105"/>
  <c r="AD10" i="105"/>
  <c r="AB10" i="105"/>
  <c r="Z10" i="105"/>
  <c r="X10" i="105"/>
  <c r="V10" i="105"/>
  <c r="T10" i="105"/>
  <c r="S10" i="105"/>
  <c r="R10" i="105"/>
  <c r="P10" i="105"/>
  <c r="N10" i="105"/>
  <c r="K10" i="105"/>
  <c r="I10" i="105"/>
  <c r="H10" i="105"/>
  <c r="F10" i="105"/>
  <c r="D10" i="105"/>
  <c r="AX9" i="105"/>
  <c r="AV9" i="105"/>
  <c r="AT9" i="105"/>
  <c r="AR9" i="105"/>
  <c r="AP9" i="105"/>
  <c r="AN9" i="105"/>
  <c r="AL9" i="105"/>
  <c r="AJ9" i="105"/>
  <c r="AH9" i="105"/>
  <c r="AF9" i="105"/>
  <c r="AD9" i="105"/>
  <c r="AB9" i="105"/>
  <c r="Z9" i="105"/>
  <c r="X9" i="105"/>
  <c r="V9" i="105"/>
  <c r="S9" i="105"/>
  <c r="R9" i="105"/>
  <c r="P9" i="105"/>
  <c r="P8" i="105" s="1"/>
  <c r="N9" i="105"/>
  <c r="L9" i="105"/>
  <c r="K9" i="105"/>
  <c r="J9" i="105"/>
  <c r="H9" i="105"/>
  <c r="F9" i="105"/>
  <c r="F8" i="105" s="1"/>
  <c r="D9" i="105"/>
  <c r="BB8" i="105"/>
  <c r="BA8" i="105"/>
  <c r="AX8" i="105"/>
  <c r="AW8" i="105"/>
  <c r="AV8" i="105"/>
  <c r="AU8" i="105"/>
  <c r="AT8" i="105"/>
  <c r="AS8" i="105"/>
  <c r="AR8" i="105"/>
  <c r="AQ8" i="105"/>
  <c r="AP8" i="105"/>
  <c r="AO8" i="105"/>
  <c r="AN8" i="105"/>
  <c r="AM8" i="105"/>
  <c r="AL8" i="105"/>
  <c r="AK8" i="105"/>
  <c r="AJ8" i="105"/>
  <c r="AI8" i="105"/>
  <c r="AH8" i="105"/>
  <c r="AG8" i="105"/>
  <c r="AF8" i="105"/>
  <c r="AE8" i="105"/>
  <c r="AD8" i="105"/>
  <c r="AC8" i="105"/>
  <c r="AB8" i="105"/>
  <c r="AA8" i="105"/>
  <c r="Z8" i="105"/>
  <c r="Y8" i="105"/>
  <c r="X8" i="105"/>
  <c r="W8" i="105"/>
  <c r="V8" i="105"/>
  <c r="U8" i="105"/>
  <c r="R8" i="105"/>
  <c r="Q8" i="105"/>
  <c r="O8" i="105"/>
  <c r="N8" i="105"/>
  <c r="M8" i="105"/>
  <c r="H8" i="105"/>
  <c r="G8" i="105"/>
  <c r="E8" i="105"/>
  <c r="D8" i="105"/>
  <c r="C8" i="105"/>
  <c r="AX7" i="105"/>
  <c r="AV7" i="105"/>
  <c r="AT7" i="105"/>
  <c r="AR7" i="105"/>
  <c r="AP7" i="105"/>
  <c r="AN7" i="105"/>
  <c r="AL7" i="105"/>
  <c r="AJ7" i="105"/>
  <c r="AH7" i="105"/>
  <c r="AF7" i="105"/>
  <c r="AD7" i="105"/>
  <c r="AB7" i="105"/>
  <c r="Z7" i="105"/>
  <c r="X7" i="105"/>
  <c r="V7" i="105"/>
  <c r="T7" i="105"/>
  <c r="R7" i="105"/>
  <c r="P7" i="105"/>
  <c r="N7" i="105"/>
  <c r="L7" i="105"/>
  <c r="J7" i="105"/>
  <c r="H7" i="105"/>
  <c r="F7" i="105"/>
  <c r="C7" i="105"/>
  <c r="AX6" i="105"/>
  <c r="AV6" i="105"/>
  <c r="AV5" i="105" s="1"/>
  <c r="AT6" i="105"/>
  <c r="AR6" i="105"/>
  <c r="AR5" i="105" s="1"/>
  <c r="AP6" i="105"/>
  <c r="AN6" i="105"/>
  <c r="AN5" i="105" s="1"/>
  <c r="AL6" i="105"/>
  <c r="AJ6" i="105"/>
  <c r="AH6" i="105"/>
  <c r="AF6" i="105"/>
  <c r="AD6" i="105"/>
  <c r="AB6" i="105"/>
  <c r="Z6" i="105"/>
  <c r="X6" i="105"/>
  <c r="V6" i="105"/>
  <c r="T6" i="105"/>
  <c r="S6" i="105"/>
  <c r="R6" i="105"/>
  <c r="P6" i="105"/>
  <c r="N6" i="105"/>
  <c r="L6" i="105"/>
  <c r="J6" i="105"/>
  <c r="H6" i="105"/>
  <c r="F6" i="105"/>
  <c r="C6" i="105"/>
  <c r="D6" i="105" s="1"/>
  <c r="BB5" i="105"/>
  <c r="BB79" i="105" s="1"/>
  <c r="BA5" i="105"/>
  <c r="AX5" i="105"/>
  <c r="AW5" i="105"/>
  <c r="AU5" i="105"/>
  <c r="AU79" i="105" s="1"/>
  <c r="AT5" i="105"/>
  <c r="AT79" i="105" s="1"/>
  <c r="AS5" i="105"/>
  <c r="AS79" i="105" s="1"/>
  <c r="AQ5" i="105"/>
  <c r="AQ79" i="105" s="1"/>
  <c r="AP5" i="105"/>
  <c r="AP79" i="105" s="1"/>
  <c r="AO5" i="105"/>
  <c r="AO79" i="105" s="1"/>
  <c r="AM5" i="105"/>
  <c r="AM79" i="105" s="1"/>
  <c r="AL5" i="105"/>
  <c r="AL79" i="105" s="1"/>
  <c r="AK5" i="105"/>
  <c r="AK79" i="105" s="1"/>
  <c r="AJ5" i="105"/>
  <c r="AI5" i="105"/>
  <c r="AH5" i="105"/>
  <c r="AH79" i="105" s="1"/>
  <c r="AG5" i="105"/>
  <c r="AG79" i="105" s="1"/>
  <c r="AF5" i="105"/>
  <c r="AE5" i="105"/>
  <c r="AE79" i="105" s="1"/>
  <c r="AD5" i="105"/>
  <c r="AD79" i="105" s="1"/>
  <c r="AC5" i="105"/>
  <c r="AC79" i="105" s="1"/>
  <c r="AB5" i="105"/>
  <c r="AA5" i="105"/>
  <c r="AA79" i="105" s="1"/>
  <c r="Z5" i="105"/>
  <c r="Z79" i="105" s="1"/>
  <c r="Y5" i="105"/>
  <c r="Y79" i="105" s="1"/>
  <c r="X5" i="105"/>
  <c r="W5" i="105"/>
  <c r="W79" i="105" s="1"/>
  <c r="V5" i="105"/>
  <c r="V79" i="105" s="1"/>
  <c r="U5" i="105"/>
  <c r="U79" i="105" s="1"/>
  <c r="T5" i="105"/>
  <c r="S5" i="105"/>
  <c r="R5" i="105"/>
  <c r="Q5" i="105"/>
  <c r="P5" i="105"/>
  <c r="O5" i="105"/>
  <c r="N5" i="105"/>
  <c r="N79" i="105" s="1"/>
  <c r="M5" i="105"/>
  <c r="M79" i="105" s="1"/>
  <c r="L5" i="105"/>
  <c r="K5" i="105"/>
  <c r="J5" i="105"/>
  <c r="I5" i="105"/>
  <c r="H5" i="105"/>
  <c r="G5" i="105"/>
  <c r="G79" i="105" s="1"/>
  <c r="F5" i="105"/>
  <c r="E5" i="105"/>
  <c r="E79" i="105" s="1"/>
  <c r="C5" i="105"/>
  <c r="AZ6" i="105" l="1"/>
  <c r="AY6" i="105"/>
  <c r="AY7" i="105"/>
  <c r="BC7" i="105" s="1"/>
  <c r="D7" i="105"/>
  <c r="AZ7" i="105" s="1"/>
  <c r="BD7" i="105" s="1"/>
  <c r="AY9" i="105"/>
  <c r="T9" i="105"/>
  <c r="S8" i="105"/>
  <c r="S79" i="105" s="1"/>
  <c r="L10" i="105"/>
  <c r="L8" i="105" s="1"/>
  <c r="L79" i="105" s="1"/>
  <c r="K8" i="105"/>
  <c r="K79" i="105" s="1"/>
  <c r="BC14" i="105"/>
  <c r="BC13" i="105" s="1"/>
  <c r="AY13" i="105"/>
  <c r="BD21" i="105"/>
  <c r="BD20" i="105" s="1"/>
  <c r="AZ20" i="105"/>
  <c r="BC34" i="105"/>
  <c r="BC33" i="105" s="1"/>
  <c r="AY33" i="105"/>
  <c r="F79" i="105"/>
  <c r="J10" i="105"/>
  <c r="J8" i="105" s="1"/>
  <c r="J79" i="105" s="1"/>
  <c r="I8" i="105"/>
  <c r="I79" i="105" s="1"/>
  <c r="AZ10" i="105"/>
  <c r="BD10" i="105" s="1"/>
  <c r="AY10" i="105"/>
  <c r="BC10" i="105" s="1"/>
  <c r="AZ12" i="105"/>
  <c r="BD17" i="105"/>
  <c r="BD16" i="105" s="1"/>
  <c r="AZ16" i="105"/>
  <c r="BD19" i="105"/>
  <c r="BD18" i="105" s="1"/>
  <c r="AZ18" i="105"/>
  <c r="BC24" i="105"/>
  <c r="BC23" i="105" s="1"/>
  <c r="AY23" i="105"/>
  <c r="AZ31" i="105"/>
  <c r="AX30" i="105"/>
  <c r="AX79" i="105" s="1"/>
  <c r="AZ32" i="105"/>
  <c r="BD32" i="105" s="1"/>
  <c r="BC21" i="105"/>
  <c r="BC20" i="105" s="1"/>
  <c r="AZ24" i="105"/>
  <c r="AY31" i="105"/>
  <c r="AY32" i="105"/>
  <c r="BC32" i="105" s="1"/>
  <c r="AZ34" i="105"/>
  <c r="AY38" i="105"/>
  <c r="R38" i="105"/>
  <c r="AY39" i="105"/>
  <c r="BC39" i="105" s="1"/>
  <c r="AZ39" i="105"/>
  <c r="BD39" i="105" s="1"/>
  <c r="AZ41" i="105"/>
  <c r="AZ52" i="105"/>
  <c r="BD52" i="105" s="1"/>
  <c r="AZ53" i="105"/>
  <c r="BD53" i="105" s="1"/>
  <c r="AY53" i="105"/>
  <c r="BC53" i="105" s="1"/>
  <c r="AY55" i="105"/>
  <c r="BC55" i="105" s="1"/>
  <c r="AZ56" i="105"/>
  <c r="BD56" i="105" s="1"/>
  <c r="AZ62" i="105"/>
  <c r="AY65" i="105"/>
  <c r="R65" i="105"/>
  <c r="Q64" i="105"/>
  <c r="AZ67" i="105"/>
  <c r="BD67" i="105" s="1"/>
  <c r="D69" i="105"/>
  <c r="C64" i="105"/>
  <c r="C79" i="105" s="1"/>
  <c r="AY69" i="105"/>
  <c r="BC69" i="105" s="1"/>
  <c r="BC75" i="105"/>
  <c r="BC74" i="105" s="1"/>
  <c r="AY74" i="105"/>
  <c r="AZ74" i="105"/>
  <c r="BD75" i="105"/>
  <c r="BD74" i="105" s="1"/>
  <c r="R30" i="105"/>
  <c r="BC40" i="105"/>
  <c r="J44" i="105"/>
  <c r="J43" i="105" s="1"/>
  <c r="I43" i="105"/>
  <c r="AZ44" i="105"/>
  <c r="BC44" i="105"/>
  <c r="BC43" i="105" s="1"/>
  <c r="AZ45" i="105"/>
  <c r="BD45" i="105" s="1"/>
  <c r="AZ46" i="105"/>
  <c r="BD46" i="105" s="1"/>
  <c r="AZ48" i="105"/>
  <c r="Q49" i="105"/>
  <c r="Q79" i="105" s="1"/>
  <c r="AW49" i="105"/>
  <c r="AW79" i="105" s="1"/>
  <c r="BA49" i="105"/>
  <c r="BA79" i="105" s="1"/>
  <c r="D49" i="105"/>
  <c r="H49" i="105"/>
  <c r="H79" i="105" s="1"/>
  <c r="L49" i="105"/>
  <c r="P49" i="105"/>
  <c r="P79" i="105" s="1"/>
  <c r="AZ50" i="105"/>
  <c r="R49" i="105"/>
  <c r="T49" i="105"/>
  <c r="X49" i="105"/>
  <c r="X79" i="105" s="1"/>
  <c r="AB49" i="105"/>
  <c r="AB79" i="105" s="1"/>
  <c r="AY50" i="105"/>
  <c r="AY51" i="105"/>
  <c r="BC51" i="105" s="1"/>
  <c r="AY52" i="105"/>
  <c r="BC52" i="105" s="1"/>
  <c r="AZ55" i="105"/>
  <c r="BD55" i="105" s="1"/>
  <c r="AY56" i="105"/>
  <c r="BC56" i="105" s="1"/>
  <c r="AY57" i="105"/>
  <c r="BC57" i="105" s="1"/>
  <c r="AF57" i="105"/>
  <c r="AF49" i="105" s="1"/>
  <c r="AF79" i="105" s="1"/>
  <c r="AZ59" i="105"/>
  <c r="BD59" i="105" s="1"/>
  <c r="BC61" i="105"/>
  <c r="AB64" i="105"/>
  <c r="AJ65" i="105"/>
  <c r="AJ64" i="105" s="1"/>
  <c r="AJ79" i="105" s="1"/>
  <c r="AI64" i="105"/>
  <c r="AI79" i="105" s="1"/>
  <c r="P68" i="105"/>
  <c r="P64" i="105" s="1"/>
  <c r="O64" i="105"/>
  <c r="O79" i="105" s="1"/>
  <c r="AY68" i="105"/>
  <c r="BC68" i="105" s="1"/>
  <c r="D71" i="105"/>
  <c r="H71" i="105"/>
  <c r="L71" i="105"/>
  <c r="P71" i="105"/>
  <c r="T71" i="105"/>
  <c r="X71" i="105"/>
  <c r="AB71" i="105"/>
  <c r="AF71" i="105"/>
  <c r="AJ71" i="105"/>
  <c r="AN71" i="105"/>
  <c r="AN79" i="105" s="1"/>
  <c r="AR71" i="105"/>
  <c r="AR79" i="105" s="1"/>
  <c r="AV71" i="105"/>
  <c r="AV79" i="105" s="1"/>
  <c r="BC71" i="105"/>
  <c r="J77" i="105"/>
  <c r="J76" i="105" s="1"/>
  <c r="I76" i="105"/>
  <c r="AY77" i="105"/>
  <c r="AZ68" i="105"/>
  <c r="BD68" i="105" s="1"/>
  <c r="AZ70" i="105"/>
  <c r="BD70" i="105" s="1"/>
  <c r="AZ72" i="105"/>
  <c r="AZ73" i="105"/>
  <c r="BD73" i="105" s="1"/>
  <c r="AY76" i="105" l="1"/>
  <c r="BC77" i="105"/>
  <c r="BC76" i="105" s="1"/>
  <c r="BC50" i="105"/>
  <c r="BC49" i="105" s="1"/>
  <c r="AY49" i="105"/>
  <c r="BD50" i="105"/>
  <c r="BD48" i="105"/>
  <c r="BD47" i="105" s="1"/>
  <c r="AZ47" i="105"/>
  <c r="BD44" i="105"/>
  <c r="BD43" i="105" s="1"/>
  <c r="AZ43" i="105"/>
  <c r="AZ65" i="105"/>
  <c r="R64" i="105"/>
  <c r="BD62" i="105"/>
  <c r="BD61" i="105" s="1"/>
  <c r="AZ61" i="105"/>
  <c r="BD41" i="105"/>
  <c r="BD40" i="105" s="1"/>
  <c r="AZ40" i="105"/>
  <c r="BC38" i="105"/>
  <c r="BC37" i="105" s="1"/>
  <c r="AY37" i="105"/>
  <c r="AZ23" i="105"/>
  <c r="BD24" i="105"/>
  <c r="BD23" i="105" s="1"/>
  <c r="BD31" i="105"/>
  <c r="BD30" i="105" s="1"/>
  <c r="AZ30" i="105"/>
  <c r="AZ57" i="105"/>
  <c r="BD57" i="105" s="1"/>
  <c r="AZ9" i="105"/>
  <c r="T8" i="105"/>
  <c r="T79" i="105" s="1"/>
  <c r="BC6" i="105"/>
  <c r="BC5" i="105" s="1"/>
  <c r="AY5" i="105"/>
  <c r="BD72" i="105"/>
  <c r="BD71" i="105" s="1"/>
  <c r="AZ71" i="105"/>
  <c r="AZ77" i="105"/>
  <c r="D64" i="105"/>
  <c r="AZ69" i="105"/>
  <c r="BD69" i="105" s="1"/>
  <c r="BC65" i="105"/>
  <c r="BC64" i="105" s="1"/>
  <c r="AY64" i="105"/>
  <c r="R37" i="105"/>
  <c r="R79" i="105" s="1"/>
  <c r="AZ38" i="105"/>
  <c r="AZ33" i="105"/>
  <c r="BD34" i="105"/>
  <c r="BD33" i="105" s="1"/>
  <c r="BC31" i="105"/>
  <c r="BC30" i="105" s="1"/>
  <c r="AY30" i="105"/>
  <c r="AZ11" i="105"/>
  <c r="BD12" i="105"/>
  <c r="BD11" i="105" s="1"/>
  <c r="BC9" i="105"/>
  <c r="BC8" i="105" s="1"/>
  <c r="AY8" i="105"/>
  <c r="BD6" i="105"/>
  <c r="BD5" i="105" s="1"/>
  <c r="AZ5" i="105"/>
  <c r="D5" i="105"/>
  <c r="D79" i="105" s="1"/>
  <c r="AY79" i="105" l="1"/>
  <c r="AZ64" i="105"/>
  <c r="BD65" i="105"/>
  <c r="BD64" i="105" s="1"/>
  <c r="BD49" i="105"/>
  <c r="AZ37" i="105"/>
  <c r="BD38" i="105"/>
  <c r="BD37" i="105" s="1"/>
  <c r="BD77" i="105"/>
  <c r="BD76" i="105" s="1"/>
  <c r="AZ76" i="105"/>
  <c r="BC79" i="105"/>
  <c r="BD9" i="105"/>
  <c r="BD8" i="105" s="1"/>
  <c r="BD79" i="105" s="1"/>
  <c r="AZ8" i="105"/>
  <c r="AZ79" i="105" s="1"/>
  <c r="AZ49" i="105"/>
  <c r="I112" i="104" l="1"/>
  <c r="H112" i="104"/>
  <c r="G112" i="104"/>
  <c r="E112" i="104"/>
  <c r="F111" i="104"/>
  <c r="D111" i="104"/>
  <c r="C111" i="104" s="1"/>
  <c r="F110" i="104"/>
  <c r="C110" i="104" s="1"/>
  <c r="C109" i="104"/>
  <c r="C108" i="104"/>
  <c r="C107" i="104"/>
  <c r="F106" i="104"/>
  <c r="D106" i="104"/>
  <c r="C106" i="104" s="1"/>
  <c r="F105" i="104"/>
  <c r="D105" i="104"/>
  <c r="C105" i="104" s="1"/>
  <c r="C104" i="104"/>
  <c r="F103" i="104"/>
  <c r="D103" i="104"/>
  <c r="C102" i="104"/>
  <c r="F101" i="104"/>
  <c r="C101" i="104"/>
  <c r="F100" i="104"/>
  <c r="C100" i="104" s="1"/>
  <c r="F99" i="104"/>
  <c r="D99" i="104"/>
  <c r="C98" i="104"/>
  <c r="F97" i="104"/>
  <c r="D97" i="104"/>
  <c r="C97" i="104" s="1"/>
  <c r="C96" i="104"/>
  <c r="C95" i="104"/>
  <c r="C94" i="104"/>
  <c r="C93" i="104"/>
  <c r="C92" i="104"/>
  <c r="F91" i="104"/>
  <c r="D91" i="104"/>
  <c r="C90" i="104"/>
  <c r="C89" i="104"/>
  <c r="C88" i="104"/>
  <c r="C87" i="104"/>
  <c r="C86" i="104"/>
  <c r="F85" i="104"/>
  <c r="D85" i="104"/>
  <c r="C85" i="104" s="1"/>
  <c r="C84" i="104"/>
  <c r="C83" i="104"/>
  <c r="C82" i="104"/>
  <c r="C81" i="104"/>
  <c r="C80" i="104"/>
  <c r="C79" i="104"/>
  <c r="C78" i="104"/>
  <c r="C77" i="104"/>
  <c r="C76" i="104"/>
  <c r="C75" i="104"/>
  <c r="C74" i="104"/>
  <c r="C73" i="104"/>
  <c r="C72" i="104"/>
  <c r="F71" i="104"/>
  <c r="D71" i="104"/>
  <c r="C70" i="104"/>
  <c r="F69" i="104"/>
  <c r="D69" i="104"/>
  <c r="C68" i="104"/>
  <c r="C67" i="104"/>
  <c r="C66" i="104"/>
  <c r="C65" i="104"/>
  <c r="C64" i="104"/>
  <c r="C63" i="104"/>
  <c r="C62" i="104"/>
  <c r="C61" i="104"/>
  <c r="C60" i="104"/>
  <c r="C59" i="104"/>
  <c r="C58" i="104"/>
  <c r="C57" i="104"/>
  <c r="C56" i="104"/>
  <c r="C55" i="104"/>
  <c r="F54" i="104"/>
  <c r="C54" i="104"/>
  <c r="F53" i="104"/>
  <c r="C53" i="104" s="1"/>
  <c r="F52" i="104"/>
  <c r="C52" i="104" s="1"/>
  <c r="F51" i="104"/>
  <c r="D51" i="104"/>
  <c r="C51" i="104"/>
  <c r="F50" i="104"/>
  <c r="C50" i="104" s="1"/>
  <c r="C49" i="104"/>
  <c r="F48" i="104"/>
  <c r="C48" i="104"/>
  <c r="C47" i="104"/>
  <c r="C46" i="104"/>
  <c r="C45" i="104"/>
  <c r="C44" i="104"/>
  <c r="F43" i="104"/>
  <c r="C43" i="104" s="1"/>
  <c r="C42" i="104"/>
  <c r="C41" i="104"/>
  <c r="F40" i="104"/>
  <c r="C40" i="104" s="1"/>
  <c r="C39" i="104"/>
  <c r="F38" i="104"/>
  <c r="C38" i="104" s="1"/>
  <c r="C37" i="104"/>
  <c r="F36" i="104"/>
  <c r="D36" i="104"/>
  <c r="C36" i="104" s="1"/>
  <c r="C35" i="104"/>
  <c r="C34" i="104"/>
  <c r="C33" i="104"/>
  <c r="C32" i="104"/>
  <c r="C31" i="104"/>
  <c r="F30" i="104"/>
  <c r="C30" i="104"/>
  <c r="C29" i="104"/>
  <c r="F28" i="104"/>
  <c r="D28" i="104"/>
  <c r="C28" i="104"/>
  <c r="C27" i="104"/>
  <c r="F26" i="104"/>
  <c r="C25" i="104"/>
  <c r="C24" i="104"/>
  <c r="C23" i="104"/>
  <c r="C22" i="104"/>
  <c r="C21" i="104"/>
  <c r="C20" i="104"/>
  <c r="F19" i="104"/>
  <c r="C19" i="104"/>
  <c r="C18" i="104"/>
  <c r="C17" i="104"/>
  <c r="C16" i="104"/>
  <c r="C15" i="104"/>
  <c r="C14" i="104"/>
  <c r="C13" i="104"/>
  <c r="C12" i="104"/>
  <c r="C11" i="104"/>
  <c r="C10" i="104"/>
  <c r="C9" i="104"/>
  <c r="F8" i="104"/>
  <c r="C8" i="104"/>
  <c r="C7" i="104"/>
  <c r="A7" i="104"/>
  <c r="A8" i="104" s="1"/>
  <c r="A10" i="104" s="1"/>
  <c r="A11" i="104" s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3" i="104" s="1"/>
  <c r="A34" i="104" s="1"/>
  <c r="A35" i="104" s="1"/>
  <c r="A36" i="104" s="1"/>
  <c r="A39" i="104" s="1"/>
  <c r="A40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A60" i="104" s="1"/>
  <c r="A61" i="104" s="1"/>
  <c r="A62" i="104" s="1"/>
  <c r="A63" i="104" s="1"/>
  <c r="A64" i="104" s="1"/>
  <c r="A65" i="104" s="1"/>
  <c r="A66" i="104" s="1"/>
  <c r="A67" i="104" s="1"/>
  <c r="A68" i="104" s="1"/>
  <c r="A69" i="104" s="1"/>
  <c r="A70" i="104" s="1"/>
  <c r="A71" i="104" s="1"/>
  <c r="A72" i="104" s="1"/>
  <c r="A73" i="104" s="1"/>
  <c r="A74" i="104" s="1"/>
  <c r="A75" i="104" s="1"/>
  <c r="A76" i="104" s="1"/>
  <c r="A77" i="104" s="1"/>
  <c r="A78" i="104" s="1"/>
  <c r="A79" i="104" s="1"/>
  <c r="A80" i="104" s="1"/>
  <c r="A81" i="104" s="1"/>
  <c r="A82" i="104" s="1"/>
  <c r="A83" i="104" s="1"/>
  <c r="A84" i="104" s="1"/>
  <c r="A85" i="104" s="1"/>
  <c r="A86" i="104" s="1"/>
  <c r="A87" i="104" s="1"/>
  <c r="A88" i="104" s="1"/>
  <c r="A89" i="104" s="1"/>
  <c r="A90" i="104" s="1"/>
  <c r="A91" i="104" s="1"/>
  <c r="A92" i="104" s="1"/>
  <c r="A93" i="104" s="1"/>
  <c r="A94" i="104" s="1"/>
  <c r="A95" i="104" s="1"/>
  <c r="A96" i="104" s="1"/>
  <c r="A97" i="104" s="1"/>
  <c r="A98" i="104" s="1"/>
  <c r="A99" i="104" s="1"/>
  <c r="A100" i="104" s="1"/>
  <c r="A101" i="104" s="1"/>
  <c r="A102" i="104" s="1"/>
  <c r="A103" i="104" s="1"/>
  <c r="A104" i="104" s="1"/>
  <c r="A105" i="104" s="1"/>
  <c r="A106" i="104" s="1"/>
  <c r="A108" i="104" s="1"/>
  <c r="C6" i="104"/>
  <c r="C71" i="104" l="1"/>
  <c r="C91" i="104"/>
  <c r="C99" i="104"/>
  <c r="C103" i="104"/>
  <c r="C69" i="104"/>
  <c r="D112" i="104"/>
  <c r="C26" i="104"/>
  <c r="C112" i="104" s="1"/>
  <c r="F112" i="104"/>
  <c r="H20" i="96"/>
  <c r="G20" i="96"/>
  <c r="E20" i="96"/>
  <c r="K13" i="96"/>
  <c r="I13" i="96"/>
  <c r="D13" i="96"/>
  <c r="C13" i="96"/>
  <c r="K12" i="96"/>
  <c r="I12" i="96"/>
  <c r="F12" i="96"/>
  <c r="D12" i="96"/>
  <c r="C12" i="96" s="1"/>
  <c r="K11" i="96"/>
  <c r="I11" i="96" s="1"/>
  <c r="F11" i="96"/>
  <c r="D11" i="96" s="1"/>
  <c r="K10" i="96"/>
  <c r="I10" i="96"/>
  <c r="F10" i="96"/>
  <c r="D10" i="96"/>
  <c r="C10" i="96" s="1"/>
  <c r="M9" i="96"/>
  <c r="M20" i="96" s="1"/>
  <c r="L9" i="96"/>
  <c r="L20" i="96" s="1"/>
  <c r="K9" i="96"/>
  <c r="J9" i="96"/>
  <c r="J20" i="96" s="1"/>
  <c r="I9" i="96"/>
  <c r="D9" i="96"/>
  <c r="C9" i="96"/>
  <c r="K8" i="96"/>
  <c r="K20" i="96" s="1"/>
  <c r="I8" i="96"/>
  <c r="I20" i="96" s="1"/>
  <c r="F8" i="96"/>
  <c r="F20" i="96" s="1"/>
  <c r="D8" i="96"/>
  <c r="D20" i="96" s="1"/>
  <c r="C11" i="96" l="1"/>
  <c r="C8" i="96"/>
  <c r="C20" i="96" s="1"/>
  <c r="Q37" i="101" l="1"/>
  <c r="P37" i="101"/>
  <c r="N37" i="101"/>
  <c r="M37" i="101"/>
  <c r="K37" i="101"/>
  <c r="J37" i="101"/>
  <c r="H37" i="101"/>
  <c r="C36" i="101"/>
  <c r="C35" i="101"/>
  <c r="C34" i="101"/>
  <c r="C33" i="101"/>
  <c r="C32" i="101"/>
  <c r="C31" i="101"/>
  <c r="C30" i="101"/>
  <c r="C29" i="101"/>
  <c r="C28" i="101"/>
  <c r="C27" i="101"/>
  <c r="C26" i="101"/>
  <c r="C25" i="101"/>
  <c r="C24" i="101"/>
  <c r="C23" i="101"/>
  <c r="D22" i="101"/>
  <c r="C22" i="101" s="1"/>
  <c r="C21" i="101"/>
  <c r="C20" i="101"/>
  <c r="C19" i="101"/>
  <c r="D18" i="101"/>
  <c r="C18" i="101"/>
  <c r="S17" i="101"/>
  <c r="S37" i="101" s="1"/>
  <c r="R17" i="101"/>
  <c r="R37" i="101" s="1"/>
  <c r="L17" i="101"/>
  <c r="L37" i="101" s="1"/>
  <c r="I17" i="101"/>
  <c r="F17" i="101"/>
  <c r="E17" i="101"/>
  <c r="E16" i="101"/>
  <c r="C16" i="101"/>
  <c r="C15" i="101"/>
  <c r="C14" i="101"/>
  <c r="C13" i="101"/>
  <c r="O12" i="101"/>
  <c r="O37" i="101" s="1"/>
  <c r="I12" i="101"/>
  <c r="I37" i="101" s="1"/>
  <c r="G12" i="101"/>
  <c r="G37" i="101" s="1"/>
  <c r="F12" i="101"/>
  <c r="F37" i="101" s="1"/>
  <c r="E12" i="101"/>
  <c r="C12" i="101" s="1"/>
  <c r="C11" i="101"/>
  <c r="C10" i="101"/>
  <c r="C9" i="101"/>
  <c r="D8" i="101"/>
  <c r="D37" i="101" s="1"/>
  <c r="C7" i="101"/>
  <c r="C6" i="101"/>
  <c r="Q55" i="103"/>
  <c r="P55" i="103"/>
  <c r="N55" i="103"/>
  <c r="M55" i="103"/>
  <c r="K55" i="103"/>
  <c r="J55" i="103"/>
  <c r="H55" i="103"/>
  <c r="C54" i="103"/>
  <c r="C53" i="103"/>
  <c r="C52" i="103"/>
  <c r="C51" i="103"/>
  <c r="C50" i="103"/>
  <c r="C49" i="103"/>
  <c r="D48" i="103"/>
  <c r="C48" i="103"/>
  <c r="C47" i="103"/>
  <c r="C46" i="103"/>
  <c r="C45" i="103"/>
  <c r="C44" i="103"/>
  <c r="C43" i="103"/>
  <c r="C42" i="103"/>
  <c r="C41" i="103"/>
  <c r="C40" i="103"/>
  <c r="C39" i="103"/>
  <c r="C38" i="103"/>
  <c r="D37" i="103"/>
  <c r="C37" i="103"/>
  <c r="C36" i="103"/>
  <c r="C35" i="103"/>
  <c r="C34" i="103"/>
  <c r="C33" i="103"/>
  <c r="D32" i="103"/>
  <c r="C32" i="103" s="1"/>
  <c r="C31" i="103"/>
  <c r="A31" i="103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44" i="103" s="1"/>
  <c r="A45" i="103" s="1"/>
  <c r="A46" i="103" s="1"/>
  <c r="A47" i="103" s="1"/>
  <c r="A48" i="103" s="1"/>
  <c r="A49" i="103" s="1"/>
  <c r="A50" i="103" s="1"/>
  <c r="A51" i="103" s="1"/>
  <c r="A52" i="103" s="1"/>
  <c r="A53" i="103" s="1"/>
  <c r="C30" i="103"/>
  <c r="S29" i="103"/>
  <c r="S55" i="103" s="1"/>
  <c r="R29" i="103"/>
  <c r="R55" i="103" s="1"/>
  <c r="L29" i="103"/>
  <c r="L55" i="103" s="1"/>
  <c r="I29" i="103"/>
  <c r="F29" i="103"/>
  <c r="E29" i="103"/>
  <c r="C29" i="103" s="1"/>
  <c r="E28" i="103"/>
  <c r="C28" i="103"/>
  <c r="C27" i="103"/>
  <c r="C26" i="103"/>
  <c r="C25" i="103"/>
  <c r="C24" i="103"/>
  <c r="C23" i="103"/>
  <c r="C22" i="103"/>
  <c r="C21" i="103"/>
  <c r="C20" i="103"/>
  <c r="C19" i="103"/>
  <c r="O18" i="103"/>
  <c r="O55" i="103" s="1"/>
  <c r="I18" i="103"/>
  <c r="I55" i="103" s="1"/>
  <c r="G18" i="103"/>
  <c r="G55" i="103" s="1"/>
  <c r="F18" i="103"/>
  <c r="F55" i="103" s="1"/>
  <c r="E18" i="103"/>
  <c r="E55" i="103" s="1"/>
  <c r="C17" i="103"/>
  <c r="C16" i="103"/>
  <c r="C15" i="103"/>
  <c r="C14" i="103"/>
  <c r="C13" i="103"/>
  <c r="D12" i="103"/>
  <c r="C12" i="103" s="1"/>
  <c r="C11" i="103"/>
  <c r="C10" i="103"/>
  <c r="C9" i="103"/>
  <c r="C8" i="103"/>
  <c r="C7" i="103"/>
  <c r="C6" i="103"/>
  <c r="C17" i="101" l="1"/>
  <c r="C37" i="101"/>
  <c r="C8" i="101"/>
  <c r="E37" i="101"/>
  <c r="C18" i="103"/>
  <c r="C55" i="103" s="1"/>
  <c r="D55" i="103"/>
  <c r="F190" i="102" l="1"/>
  <c r="N191" i="102" l="1"/>
  <c r="K191" i="102"/>
  <c r="H191" i="102"/>
  <c r="E191" i="102"/>
  <c r="L190" i="102"/>
  <c r="L189" i="102"/>
  <c r="F189" i="102" s="1"/>
  <c r="L188" i="102"/>
  <c r="F188" i="102" s="1"/>
  <c r="L187" i="102"/>
  <c r="F187" i="102" s="1"/>
  <c r="L186" i="102"/>
  <c r="F186" i="102" s="1"/>
  <c r="L185" i="102"/>
  <c r="F185" i="102" s="1"/>
  <c r="D185" i="102"/>
  <c r="C185" i="102"/>
  <c r="L184" i="102"/>
  <c r="F184" i="102" s="1"/>
  <c r="C184" i="102"/>
  <c r="L183" i="102"/>
  <c r="F183" i="102" s="1"/>
  <c r="L182" i="102"/>
  <c r="F182" i="102" s="1"/>
  <c r="L181" i="102"/>
  <c r="F181" i="102" s="1"/>
  <c r="L180" i="102"/>
  <c r="J180" i="102"/>
  <c r="D180" i="102"/>
  <c r="C180" i="102"/>
  <c r="L179" i="102"/>
  <c r="J179" i="102"/>
  <c r="L178" i="102"/>
  <c r="I178" i="102"/>
  <c r="C178" i="102"/>
  <c r="L177" i="102"/>
  <c r="I177" i="102"/>
  <c r="L176" i="102"/>
  <c r="I176" i="102"/>
  <c r="C176" i="102"/>
  <c r="L175" i="102"/>
  <c r="F175" i="102"/>
  <c r="L174" i="102"/>
  <c r="F174" i="102" s="1"/>
  <c r="L173" i="102"/>
  <c r="F173" i="102" s="1"/>
  <c r="L172" i="102"/>
  <c r="J172" i="102"/>
  <c r="L171" i="102"/>
  <c r="F171" i="102" s="1"/>
  <c r="L170" i="102"/>
  <c r="F170" i="102" s="1"/>
  <c r="L169" i="102"/>
  <c r="J169" i="102"/>
  <c r="F169" i="102" s="1"/>
  <c r="L168" i="102"/>
  <c r="F168" i="102"/>
  <c r="L167" i="102"/>
  <c r="F167" i="102" s="1"/>
  <c r="L166" i="102"/>
  <c r="F166" i="102" s="1"/>
  <c r="I166" i="102"/>
  <c r="L165" i="102"/>
  <c r="F165" i="102" s="1"/>
  <c r="L164" i="102"/>
  <c r="F164" i="102" s="1"/>
  <c r="L163" i="102"/>
  <c r="F163" i="102" s="1"/>
  <c r="L162" i="102"/>
  <c r="I162" i="102"/>
  <c r="F162" i="102" s="1"/>
  <c r="L161" i="102"/>
  <c r="I161" i="102"/>
  <c r="L160" i="102"/>
  <c r="F160" i="102" s="1"/>
  <c r="L159" i="102"/>
  <c r="J159" i="102"/>
  <c r="L158" i="102"/>
  <c r="F158" i="102" s="1"/>
  <c r="L157" i="102"/>
  <c r="F157" i="102" s="1"/>
  <c r="L156" i="102"/>
  <c r="I156" i="102"/>
  <c r="L155" i="102"/>
  <c r="F155" i="102" s="1"/>
  <c r="L154" i="102"/>
  <c r="F154" i="102" s="1"/>
  <c r="L153" i="102"/>
  <c r="I153" i="102"/>
  <c r="C153" i="102"/>
  <c r="L152" i="102"/>
  <c r="F152" i="102" s="1"/>
  <c r="I152" i="102"/>
  <c r="C152" i="102"/>
  <c r="L151" i="102"/>
  <c r="F151" i="102" s="1"/>
  <c r="L150" i="102"/>
  <c r="I150" i="102"/>
  <c r="L149" i="102"/>
  <c r="J149" i="102"/>
  <c r="L148" i="102"/>
  <c r="F148" i="102" s="1"/>
  <c r="L147" i="102"/>
  <c r="F147" i="102"/>
  <c r="L146" i="102"/>
  <c r="F146" i="102" s="1"/>
  <c r="L145" i="102"/>
  <c r="F145" i="102" s="1"/>
  <c r="L144" i="102"/>
  <c r="F144" i="102" s="1"/>
  <c r="L143" i="102"/>
  <c r="F143" i="102" s="1"/>
  <c r="L142" i="102"/>
  <c r="F142" i="102" s="1"/>
  <c r="L141" i="102"/>
  <c r="F141" i="102" s="1"/>
  <c r="L140" i="102"/>
  <c r="F140" i="102" s="1"/>
  <c r="L139" i="102"/>
  <c r="F139" i="102" s="1"/>
  <c r="L138" i="102"/>
  <c r="F138" i="102" s="1"/>
  <c r="L137" i="102"/>
  <c r="F137" i="102" s="1"/>
  <c r="L136" i="102"/>
  <c r="F136" i="102" s="1"/>
  <c r="L135" i="102"/>
  <c r="F135" i="102"/>
  <c r="L134" i="102"/>
  <c r="F134" i="102" s="1"/>
  <c r="M133" i="102"/>
  <c r="L133" i="102" s="1"/>
  <c r="F133" i="102" s="1"/>
  <c r="M132" i="102"/>
  <c r="L132" i="102" s="1"/>
  <c r="F132" i="102" s="1"/>
  <c r="L131" i="102"/>
  <c r="F131" i="102" s="1"/>
  <c r="L130" i="102"/>
  <c r="F130" i="102" s="1"/>
  <c r="L129" i="102"/>
  <c r="F129" i="102" s="1"/>
  <c r="L128" i="102"/>
  <c r="F128" i="102"/>
  <c r="L127" i="102"/>
  <c r="F127" i="102" s="1"/>
  <c r="L126" i="102"/>
  <c r="F126" i="102" s="1"/>
  <c r="L125" i="102"/>
  <c r="G125" i="102"/>
  <c r="C125" i="102"/>
  <c r="M124" i="102"/>
  <c r="L124" i="102" s="1"/>
  <c r="F124" i="102" s="1"/>
  <c r="L123" i="102"/>
  <c r="F123" i="102" s="1"/>
  <c r="L122" i="102"/>
  <c r="F122" i="102" s="1"/>
  <c r="L121" i="102"/>
  <c r="F121" i="102" s="1"/>
  <c r="L120" i="102"/>
  <c r="F120" i="102" s="1"/>
  <c r="D120" i="102"/>
  <c r="C120" i="102"/>
  <c r="M119" i="102"/>
  <c r="L119" i="102" s="1"/>
  <c r="F119" i="102" s="1"/>
  <c r="C119" i="102"/>
  <c r="L118" i="102"/>
  <c r="F118" i="102"/>
  <c r="L117" i="102"/>
  <c r="F117" i="102" s="1"/>
  <c r="L116" i="102"/>
  <c r="F116" i="102" s="1"/>
  <c r="L115" i="102"/>
  <c r="F115" i="102" s="1"/>
  <c r="L114" i="102"/>
  <c r="F114" i="102" s="1"/>
  <c r="L113" i="102"/>
  <c r="F113" i="102" s="1"/>
  <c r="L112" i="102"/>
  <c r="F112" i="102" s="1"/>
  <c r="M111" i="102"/>
  <c r="L111" i="102" s="1"/>
  <c r="F111" i="102" s="1"/>
  <c r="L110" i="102"/>
  <c r="F110" i="102" s="1"/>
  <c r="L109" i="102"/>
  <c r="F109" i="102" s="1"/>
  <c r="L108" i="102"/>
  <c r="F108" i="102" s="1"/>
  <c r="L107" i="102"/>
  <c r="F107" i="102" s="1"/>
  <c r="L106" i="102"/>
  <c r="F106" i="102"/>
  <c r="L105" i="102"/>
  <c r="F105" i="102" s="1"/>
  <c r="L104" i="102"/>
  <c r="F104" i="102" s="1"/>
  <c r="L103" i="102"/>
  <c r="F103" i="102" s="1"/>
  <c r="L102" i="102"/>
  <c r="F102" i="102" s="1"/>
  <c r="L101" i="102"/>
  <c r="F101" i="102" s="1"/>
  <c r="L100" i="102"/>
  <c r="F100" i="102" s="1"/>
  <c r="L99" i="102"/>
  <c r="F99" i="102" s="1"/>
  <c r="L98" i="102"/>
  <c r="F98" i="102" s="1"/>
  <c r="C98" i="102"/>
  <c r="L97" i="102"/>
  <c r="F97" i="102" s="1"/>
  <c r="C97" i="102"/>
  <c r="L96" i="102"/>
  <c r="F96" i="102" s="1"/>
  <c r="C96" i="102"/>
  <c r="L95" i="102"/>
  <c r="F95" i="102" s="1"/>
  <c r="C95" i="102"/>
  <c r="L94" i="102"/>
  <c r="F94" i="102"/>
  <c r="C94" i="102"/>
  <c r="L93" i="102"/>
  <c r="F93" i="102" s="1"/>
  <c r="L92" i="102"/>
  <c r="F92" i="102" s="1"/>
  <c r="L91" i="102"/>
  <c r="F91" i="102" s="1"/>
  <c r="L90" i="102"/>
  <c r="F90" i="102" s="1"/>
  <c r="L89" i="102"/>
  <c r="F89" i="102" s="1"/>
  <c r="L88" i="102"/>
  <c r="F88" i="102" s="1"/>
  <c r="L87" i="102"/>
  <c r="F87" i="102"/>
  <c r="L86" i="102"/>
  <c r="F86" i="102" s="1"/>
  <c r="L85" i="102"/>
  <c r="F85" i="102" s="1"/>
  <c r="L84" i="102"/>
  <c r="F84" i="102" s="1"/>
  <c r="M83" i="102"/>
  <c r="L83" i="102" s="1"/>
  <c r="F83" i="102" s="1"/>
  <c r="L82" i="102"/>
  <c r="F82" i="102" s="1"/>
  <c r="L81" i="102"/>
  <c r="F81" i="102" s="1"/>
  <c r="L80" i="102"/>
  <c r="F80" i="102" s="1"/>
  <c r="L79" i="102"/>
  <c r="F79" i="102" s="1"/>
  <c r="L78" i="102"/>
  <c r="G78" i="102"/>
  <c r="L77" i="102"/>
  <c r="F77" i="102" s="1"/>
  <c r="L76" i="102"/>
  <c r="F76" i="102" s="1"/>
  <c r="C76" i="102"/>
  <c r="L75" i="102"/>
  <c r="F75" i="102" s="1"/>
  <c r="L74" i="102"/>
  <c r="F74" i="102" s="1"/>
  <c r="M73" i="102"/>
  <c r="L73" i="102" s="1"/>
  <c r="F73" i="102" s="1"/>
  <c r="L72" i="102"/>
  <c r="I72" i="102"/>
  <c r="C72" i="102"/>
  <c r="L71" i="102"/>
  <c r="F71" i="102" s="1"/>
  <c r="L70" i="102"/>
  <c r="F70" i="102" s="1"/>
  <c r="L69" i="102"/>
  <c r="F69" i="102" s="1"/>
  <c r="L68" i="102"/>
  <c r="F68" i="102" s="1"/>
  <c r="L67" i="102"/>
  <c r="F67" i="102" s="1"/>
  <c r="L66" i="102"/>
  <c r="F66" i="102" s="1"/>
  <c r="L65" i="102"/>
  <c r="F65" i="102" s="1"/>
  <c r="L64" i="102"/>
  <c r="F64" i="102" s="1"/>
  <c r="L63" i="102"/>
  <c r="F63" i="102" s="1"/>
  <c r="L62" i="102"/>
  <c r="F62" i="102"/>
  <c r="L61" i="102"/>
  <c r="G61" i="102"/>
  <c r="F61" i="102" s="1"/>
  <c r="L60" i="102"/>
  <c r="F60" i="102"/>
  <c r="L59" i="102"/>
  <c r="F59" i="102" s="1"/>
  <c r="L58" i="102"/>
  <c r="F58" i="102" s="1"/>
  <c r="L57" i="102"/>
  <c r="F57" i="102" s="1"/>
  <c r="C57" i="102"/>
  <c r="M56" i="102"/>
  <c r="L56" i="102" s="1"/>
  <c r="G56" i="102"/>
  <c r="C56" i="102"/>
  <c r="L55" i="102"/>
  <c r="F55" i="102" s="1"/>
  <c r="L54" i="102"/>
  <c r="F54" i="102" s="1"/>
  <c r="L53" i="102"/>
  <c r="F53" i="102" s="1"/>
  <c r="L52" i="102"/>
  <c r="F52" i="102"/>
  <c r="L51" i="102"/>
  <c r="F51" i="102" s="1"/>
  <c r="M50" i="102"/>
  <c r="L50" i="102" s="1"/>
  <c r="F50" i="102" s="1"/>
  <c r="C50" i="102"/>
  <c r="L49" i="102"/>
  <c r="F49" i="102" s="1"/>
  <c r="L48" i="102"/>
  <c r="F48" i="102" s="1"/>
  <c r="L47" i="102"/>
  <c r="I47" i="102"/>
  <c r="L46" i="102"/>
  <c r="F46" i="102" s="1"/>
  <c r="L45" i="102"/>
  <c r="F45" i="102" s="1"/>
  <c r="L44" i="102"/>
  <c r="F44" i="102"/>
  <c r="M43" i="102"/>
  <c r="L43" i="102" s="1"/>
  <c r="F43" i="102" s="1"/>
  <c r="L42" i="102"/>
  <c r="F42" i="102" s="1"/>
  <c r="L41" i="102"/>
  <c r="F41" i="102" s="1"/>
  <c r="L40" i="102"/>
  <c r="F40" i="102" s="1"/>
  <c r="L39" i="102"/>
  <c r="F39" i="102" s="1"/>
  <c r="L38" i="102"/>
  <c r="F38" i="102" s="1"/>
  <c r="L37" i="102"/>
  <c r="F37" i="102" s="1"/>
  <c r="L36" i="102"/>
  <c r="F36" i="102"/>
  <c r="L35" i="102"/>
  <c r="F35" i="102" s="1"/>
  <c r="L34" i="102"/>
  <c r="F34" i="102" s="1"/>
  <c r="L33" i="102"/>
  <c r="F33" i="102" s="1"/>
  <c r="L32" i="102"/>
  <c r="F32" i="102" s="1"/>
  <c r="L31" i="102"/>
  <c r="I31" i="102"/>
  <c r="F31" i="102" s="1"/>
  <c r="L30" i="102"/>
  <c r="F30" i="102" s="1"/>
  <c r="L29" i="102"/>
  <c r="F29" i="102" s="1"/>
  <c r="F28" i="102"/>
  <c r="L27" i="102"/>
  <c r="F27" i="102" s="1"/>
  <c r="L26" i="102"/>
  <c r="F26" i="102" s="1"/>
  <c r="L25" i="102"/>
  <c r="F25" i="102" s="1"/>
  <c r="L24" i="102"/>
  <c r="F24" i="102" s="1"/>
  <c r="L23" i="102"/>
  <c r="F23" i="102" s="1"/>
  <c r="L22" i="102"/>
  <c r="I22" i="102"/>
  <c r="F22" i="102" s="1"/>
  <c r="L21" i="102"/>
  <c r="F21" i="102" s="1"/>
  <c r="L20" i="102"/>
  <c r="F20" i="102" s="1"/>
  <c r="L19" i="102"/>
  <c r="F19" i="102" s="1"/>
  <c r="L18" i="102"/>
  <c r="F18" i="102" s="1"/>
  <c r="L17" i="102"/>
  <c r="F17" i="102"/>
  <c r="L16" i="102"/>
  <c r="F16" i="102" s="1"/>
  <c r="M15" i="102"/>
  <c r="L15" i="102" s="1"/>
  <c r="F15" i="102" s="1"/>
  <c r="L14" i="102"/>
  <c r="F14" i="102" s="1"/>
  <c r="L13" i="102"/>
  <c r="F13" i="102" s="1"/>
  <c r="L12" i="102"/>
  <c r="F12" i="102" s="1"/>
  <c r="L11" i="102"/>
  <c r="G11" i="102"/>
  <c r="L10" i="102"/>
  <c r="F10" i="102" s="1"/>
  <c r="L9" i="102"/>
  <c r="F9" i="102" s="1"/>
  <c r="C9" i="102"/>
  <c r="L8" i="102"/>
  <c r="F8" i="102" s="1"/>
  <c r="L7" i="102"/>
  <c r="F72" i="102" l="1"/>
  <c r="F150" i="102"/>
  <c r="F153" i="102"/>
  <c r="F156" i="102"/>
  <c r="F159" i="102"/>
  <c r="F177" i="102"/>
  <c r="F78" i="102"/>
  <c r="F56" i="102"/>
  <c r="C191" i="102"/>
  <c r="F11" i="102"/>
  <c r="F125" i="102"/>
  <c r="F161" i="102"/>
  <c r="F176" i="102"/>
  <c r="J191" i="102"/>
  <c r="F172" i="102"/>
  <c r="F179" i="102"/>
  <c r="F180" i="102"/>
  <c r="L191" i="102"/>
  <c r="F47" i="102"/>
  <c r="D191" i="102"/>
  <c r="F149" i="102"/>
  <c r="F178" i="102"/>
  <c r="M191" i="102"/>
  <c r="F7" i="102"/>
  <c r="G191" i="102"/>
  <c r="I191" i="102"/>
  <c r="F191" i="102" l="1"/>
  <c r="M34" i="100" l="1"/>
  <c r="L34" i="100"/>
  <c r="K34" i="100"/>
  <c r="J34" i="100"/>
  <c r="I34" i="100"/>
  <c r="H34" i="100"/>
  <c r="G34" i="100"/>
  <c r="F33" i="100"/>
  <c r="E33" i="100"/>
  <c r="D33" i="100"/>
  <c r="C33" i="100"/>
  <c r="F32" i="100"/>
  <c r="E32" i="100"/>
  <c r="D32" i="100"/>
  <c r="C32" i="100"/>
  <c r="F31" i="100"/>
  <c r="E31" i="100"/>
  <c r="D31" i="100"/>
  <c r="C31" i="100"/>
  <c r="B31" i="100"/>
  <c r="F30" i="100"/>
  <c r="E30" i="100"/>
  <c r="D30" i="100"/>
  <c r="C30" i="100"/>
  <c r="B30" i="100" s="1"/>
  <c r="F29" i="100"/>
  <c r="E29" i="100"/>
  <c r="D29" i="100"/>
  <c r="C29" i="100"/>
  <c r="F28" i="100"/>
  <c r="E28" i="100"/>
  <c r="D28" i="100"/>
  <c r="C28" i="100"/>
  <c r="F27" i="100"/>
  <c r="E27" i="100"/>
  <c r="D27" i="100"/>
  <c r="C27" i="100"/>
  <c r="F26" i="100"/>
  <c r="E26" i="100"/>
  <c r="D26" i="100"/>
  <c r="C26" i="100"/>
  <c r="B26" i="100" s="1"/>
  <c r="F25" i="100"/>
  <c r="E25" i="100"/>
  <c r="D25" i="100"/>
  <c r="C25" i="100"/>
  <c r="F24" i="100"/>
  <c r="E24" i="100"/>
  <c r="D24" i="100"/>
  <c r="C24" i="100"/>
  <c r="F23" i="100"/>
  <c r="E23" i="100"/>
  <c r="D23" i="100"/>
  <c r="C23" i="100"/>
  <c r="B23" i="100" s="1"/>
  <c r="F22" i="100"/>
  <c r="E22" i="100"/>
  <c r="D22" i="100"/>
  <c r="C22" i="100"/>
  <c r="F21" i="100"/>
  <c r="E21" i="100"/>
  <c r="D21" i="100"/>
  <c r="B21" i="100" s="1"/>
  <c r="C21" i="100"/>
  <c r="F20" i="100"/>
  <c r="E20" i="100"/>
  <c r="D20" i="100"/>
  <c r="C20" i="100"/>
  <c r="F19" i="100"/>
  <c r="E19" i="100"/>
  <c r="D19" i="100"/>
  <c r="C19" i="100"/>
  <c r="B19" i="100"/>
  <c r="F18" i="100"/>
  <c r="E18" i="100"/>
  <c r="D18" i="100"/>
  <c r="C18" i="100"/>
  <c r="B18" i="100" s="1"/>
  <c r="F17" i="100"/>
  <c r="E17" i="100"/>
  <c r="D17" i="100"/>
  <c r="C17" i="100"/>
  <c r="F16" i="100"/>
  <c r="E16" i="100"/>
  <c r="D16" i="100"/>
  <c r="C16" i="100"/>
  <c r="F15" i="100"/>
  <c r="E15" i="100"/>
  <c r="D15" i="100"/>
  <c r="C15" i="100"/>
  <c r="B15" i="100" s="1"/>
  <c r="F14" i="100"/>
  <c r="E14" i="100"/>
  <c r="D14" i="100"/>
  <c r="C14" i="100"/>
  <c r="F13" i="100"/>
  <c r="E13" i="100"/>
  <c r="D13" i="100"/>
  <c r="B13" i="100" s="1"/>
  <c r="C13" i="100"/>
  <c r="F12" i="100"/>
  <c r="E12" i="100"/>
  <c r="D12" i="100"/>
  <c r="C12" i="100"/>
  <c r="F11" i="100"/>
  <c r="E11" i="100"/>
  <c r="D11" i="100"/>
  <c r="C11" i="100"/>
  <c r="B11" i="100"/>
  <c r="F10" i="100"/>
  <c r="E10" i="100"/>
  <c r="D10" i="100"/>
  <c r="C10" i="100"/>
  <c r="B10" i="100" s="1"/>
  <c r="F9" i="100"/>
  <c r="E9" i="100"/>
  <c r="D9" i="100"/>
  <c r="C9" i="100"/>
  <c r="F8" i="100"/>
  <c r="E8" i="100"/>
  <c r="D8" i="100"/>
  <c r="C8" i="100"/>
  <c r="F7" i="100"/>
  <c r="F34" i="100" s="1"/>
  <c r="E7" i="100"/>
  <c r="D7" i="100"/>
  <c r="C7" i="100"/>
  <c r="B7" i="100" s="1"/>
  <c r="E34" i="100" l="1"/>
  <c r="B16" i="100"/>
  <c r="B24" i="100"/>
  <c r="B28" i="100"/>
  <c r="B33" i="100"/>
  <c r="B9" i="100"/>
  <c r="B12" i="100"/>
  <c r="B14" i="100"/>
  <c r="B17" i="100"/>
  <c r="B20" i="100"/>
  <c r="B22" i="100"/>
  <c r="B25" i="100"/>
  <c r="B27" i="100"/>
  <c r="B29" i="100"/>
  <c r="B32" i="100"/>
  <c r="C34" i="100"/>
  <c r="B8" i="100"/>
  <c r="B34" i="100" s="1"/>
  <c r="D34" i="100"/>
  <c r="M166" i="98" l="1"/>
  <c r="L166" i="98"/>
  <c r="K166" i="98"/>
  <c r="I166" i="98"/>
  <c r="H166" i="98"/>
  <c r="G166" i="98"/>
  <c r="F166" i="98"/>
  <c r="E166" i="98"/>
  <c r="J165" i="98"/>
  <c r="D165" i="98"/>
  <c r="C165" i="98"/>
  <c r="J164" i="98"/>
  <c r="D164" i="98"/>
  <c r="C164" i="98" s="1"/>
  <c r="J163" i="98"/>
  <c r="D163" i="98"/>
  <c r="J162" i="98"/>
  <c r="D162" i="98"/>
  <c r="C162" i="98" s="1"/>
  <c r="J161" i="98"/>
  <c r="D161" i="98"/>
  <c r="C161" i="98" s="1"/>
  <c r="J160" i="98"/>
  <c r="D160" i="98"/>
  <c r="J159" i="98"/>
  <c r="C159" i="98" s="1"/>
  <c r="D159" i="98"/>
  <c r="J158" i="98"/>
  <c r="D158" i="98"/>
  <c r="J157" i="98"/>
  <c r="D157" i="98"/>
  <c r="C157" i="98"/>
  <c r="J156" i="98"/>
  <c r="D156" i="98"/>
  <c r="C156" i="98" s="1"/>
  <c r="J155" i="98"/>
  <c r="D155" i="98"/>
  <c r="J154" i="98"/>
  <c r="D154" i="98"/>
  <c r="C154" i="98" s="1"/>
  <c r="J153" i="98"/>
  <c r="D153" i="98"/>
  <c r="C153" i="98" s="1"/>
  <c r="J152" i="98"/>
  <c r="D152" i="98"/>
  <c r="J151" i="98"/>
  <c r="C151" i="98" s="1"/>
  <c r="D151" i="98"/>
  <c r="J150" i="98"/>
  <c r="D150" i="98"/>
  <c r="J149" i="98"/>
  <c r="D149" i="98"/>
  <c r="C149" i="98"/>
  <c r="J148" i="98"/>
  <c r="D148" i="98"/>
  <c r="C148" i="98" s="1"/>
  <c r="J147" i="98"/>
  <c r="D147" i="98"/>
  <c r="J146" i="98"/>
  <c r="D146" i="98"/>
  <c r="C146" i="98" s="1"/>
  <c r="J145" i="98"/>
  <c r="D145" i="98"/>
  <c r="C145" i="98" s="1"/>
  <c r="J144" i="98"/>
  <c r="D144" i="98"/>
  <c r="J143" i="98"/>
  <c r="C143" i="98" s="1"/>
  <c r="D143" i="98"/>
  <c r="J142" i="98"/>
  <c r="D142" i="98"/>
  <c r="J141" i="98"/>
  <c r="D141" i="98"/>
  <c r="C141" i="98"/>
  <c r="J140" i="98"/>
  <c r="D140" i="98"/>
  <c r="C140" i="98" s="1"/>
  <c r="J139" i="98"/>
  <c r="D139" i="98"/>
  <c r="J138" i="98"/>
  <c r="D138" i="98"/>
  <c r="C138" i="98" s="1"/>
  <c r="J137" i="98"/>
  <c r="D137" i="98"/>
  <c r="C137" i="98" s="1"/>
  <c r="J136" i="98"/>
  <c r="D136" i="98"/>
  <c r="J135" i="98"/>
  <c r="C135" i="98" s="1"/>
  <c r="D135" i="98"/>
  <c r="J134" i="98"/>
  <c r="D134" i="98"/>
  <c r="C134" i="98" s="1"/>
  <c r="J133" i="98"/>
  <c r="D133" i="98"/>
  <c r="C133" i="98" s="1"/>
  <c r="J132" i="98"/>
  <c r="D132" i="98"/>
  <c r="C132" i="98" s="1"/>
  <c r="J131" i="98"/>
  <c r="D131" i="98"/>
  <c r="J130" i="98"/>
  <c r="D130" i="98"/>
  <c r="C130" i="98" s="1"/>
  <c r="J129" i="98"/>
  <c r="D129" i="98"/>
  <c r="C129" i="98" s="1"/>
  <c r="J128" i="98"/>
  <c r="D128" i="98"/>
  <c r="J127" i="98"/>
  <c r="D127" i="98"/>
  <c r="J126" i="98"/>
  <c r="D126" i="98"/>
  <c r="C126" i="98" s="1"/>
  <c r="J125" i="98"/>
  <c r="D125" i="98"/>
  <c r="C125" i="98" s="1"/>
  <c r="J124" i="98"/>
  <c r="D124" i="98"/>
  <c r="J123" i="98"/>
  <c r="C123" i="98" s="1"/>
  <c r="D123" i="98"/>
  <c r="J122" i="98"/>
  <c r="D122" i="98"/>
  <c r="J121" i="98"/>
  <c r="D121" i="98"/>
  <c r="C121" i="98" s="1"/>
  <c r="J120" i="98"/>
  <c r="D120" i="98"/>
  <c r="C120" i="98" s="1"/>
  <c r="J119" i="98"/>
  <c r="D119" i="98"/>
  <c r="J118" i="98"/>
  <c r="D118" i="98"/>
  <c r="C118" i="98" s="1"/>
  <c r="J117" i="98"/>
  <c r="D117" i="98"/>
  <c r="C117" i="98" s="1"/>
  <c r="J116" i="98"/>
  <c r="D116" i="98"/>
  <c r="J115" i="98"/>
  <c r="C115" i="98" s="1"/>
  <c r="D115" i="98"/>
  <c r="J114" i="98"/>
  <c r="D114" i="98"/>
  <c r="J113" i="98"/>
  <c r="D113" i="98"/>
  <c r="C113" i="98"/>
  <c r="J112" i="98"/>
  <c r="D112" i="98"/>
  <c r="C112" i="98" s="1"/>
  <c r="J111" i="98"/>
  <c r="D111" i="98"/>
  <c r="J110" i="98"/>
  <c r="D110" i="98"/>
  <c r="C110" i="98" s="1"/>
  <c r="J109" i="98"/>
  <c r="D109" i="98"/>
  <c r="C109" i="98" s="1"/>
  <c r="J108" i="98"/>
  <c r="D108" i="98"/>
  <c r="J107" i="98"/>
  <c r="C107" i="98" s="1"/>
  <c r="D107" i="98"/>
  <c r="J106" i="98"/>
  <c r="D106" i="98"/>
  <c r="J105" i="98"/>
  <c r="D105" i="98"/>
  <c r="C105" i="98" s="1"/>
  <c r="J104" i="98"/>
  <c r="D104" i="98"/>
  <c r="C104" i="98" s="1"/>
  <c r="J103" i="98"/>
  <c r="D103" i="98"/>
  <c r="J102" i="98"/>
  <c r="D102" i="98"/>
  <c r="C102" i="98" s="1"/>
  <c r="J101" i="98"/>
  <c r="D101" i="98"/>
  <c r="C101" i="98" s="1"/>
  <c r="J100" i="98"/>
  <c r="D100" i="98"/>
  <c r="J99" i="98"/>
  <c r="C99" i="98" s="1"/>
  <c r="D99" i="98"/>
  <c r="J98" i="98"/>
  <c r="D98" i="98"/>
  <c r="J97" i="98"/>
  <c r="D97" i="98"/>
  <c r="C97" i="98"/>
  <c r="J96" i="98"/>
  <c r="D96" i="98"/>
  <c r="C96" i="98" s="1"/>
  <c r="J95" i="98"/>
  <c r="D95" i="98"/>
  <c r="J94" i="98"/>
  <c r="D94" i="98"/>
  <c r="C94" i="98" s="1"/>
  <c r="J93" i="98"/>
  <c r="D93" i="98"/>
  <c r="C93" i="98" s="1"/>
  <c r="J92" i="98"/>
  <c r="D92" i="98"/>
  <c r="J91" i="98"/>
  <c r="C91" i="98" s="1"/>
  <c r="D91" i="98"/>
  <c r="J90" i="98"/>
  <c r="D90" i="98"/>
  <c r="J89" i="98"/>
  <c r="D89" i="98"/>
  <c r="C89" i="98"/>
  <c r="J88" i="98"/>
  <c r="D88" i="98"/>
  <c r="C88" i="98" s="1"/>
  <c r="J87" i="98"/>
  <c r="D87" i="98"/>
  <c r="J86" i="98"/>
  <c r="D86" i="98"/>
  <c r="C86" i="98" s="1"/>
  <c r="J85" i="98"/>
  <c r="D85" i="98"/>
  <c r="C85" i="98" s="1"/>
  <c r="J84" i="98"/>
  <c r="D84" i="98"/>
  <c r="J83" i="98"/>
  <c r="C83" i="98" s="1"/>
  <c r="D83" i="98"/>
  <c r="J82" i="98"/>
  <c r="D82" i="98"/>
  <c r="J81" i="98"/>
  <c r="D81" i="98"/>
  <c r="C81" i="98"/>
  <c r="J80" i="98"/>
  <c r="D80" i="98"/>
  <c r="C80" i="98" s="1"/>
  <c r="J79" i="98"/>
  <c r="D79" i="98"/>
  <c r="J78" i="98"/>
  <c r="D78" i="98"/>
  <c r="C78" i="98" s="1"/>
  <c r="J77" i="98"/>
  <c r="D77" i="98"/>
  <c r="C77" i="98" s="1"/>
  <c r="J76" i="98"/>
  <c r="D76" i="98"/>
  <c r="J75" i="98"/>
  <c r="C75" i="98" s="1"/>
  <c r="D75" i="98"/>
  <c r="J74" i="98"/>
  <c r="D74" i="98"/>
  <c r="J73" i="98"/>
  <c r="D73" i="98"/>
  <c r="C73" i="98"/>
  <c r="J72" i="98"/>
  <c r="D72" i="98"/>
  <c r="C72" i="98" s="1"/>
  <c r="J71" i="98"/>
  <c r="D71" i="98"/>
  <c r="J70" i="98"/>
  <c r="D70" i="98"/>
  <c r="C70" i="98" s="1"/>
  <c r="J69" i="98"/>
  <c r="D69" i="98"/>
  <c r="C69" i="98" s="1"/>
  <c r="J68" i="98"/>
  <c r="D68" i="98"/>
  <c r="J67" i="98"/>
  <c r="C67" i="98" s="1"/>
  <c r="D67" i="98"/>
  <c r="J66" i="98"/>
  <c r="D66" i="98"/>
  <c r="J65" i="98"/>
  <c r="D65" i="98"/>
  <c r="C65" i="98"/>
  <c r="J64" i="98"/>
  <c r="D64" i="98"/>
  <c r="C64" i="98" s="1"/>
  <c r="J63" i="98"/>
  <c r="D63" i="98"/>
  <c r="J62" i="98"/>
  <c r="D62" i="98"/>
  <c r="C62" i="98" s="1"/>
  <c r="J61" i="98"/>
  <c r="D61" i="98"/>
  <c r="C61" i="98" s="1"/>
  <c r="J60" i="98"/>
  <c r="D60" i="98"/>
  <c r="J59" i="98"/>
  <c r="C59" i="98" s="1"/>
  <c r="D59" i="98"/>
  <c r="J58" i="98"/>
  <c r="D58" i="98"/>
  <c r="J57" i="98"/>
  <c r="D57" i="98"/>
  <c r="C57" i="98"/>
  <c r="J56" i="98"/>
  <c r="D56" i="98"/>
  <c r="C56" i="98" s="1"/>
  <c r="J55" i="98"/>
  <c r="D55" i="98"/>
  <c r="J54" i="98"/>
  <c r="D54" i="98"/>
  <c r="C54" i="98" s="1"/>
  <c r="J53" i="98"/>
  <c r="D53" i="98"/>
  <c r="C53" i="98" s="1"/>
  <c r="J52" i="98"/>
  <c r="D52" i="98"/>
  <c r="J51" i="98"/>
  <c r="C51" i="98" s="1"/>
  <c r="D51" i="98"/>
  <c r="J50" i="98"/>
  <c r="D50" i="98"/>
  <c r="J49" i="98"/>
  <c r="D49" i="98"/>
  <c r="C49" i="98"/>
  <c r="J48" i="98"/>
  <c r="D48" i="98"/>
  <c r="C48" i="98" s="1"/>
  <c r="J47" i="98"/>
  <c r="D47" i="98"/>
  <c r="J46" i="98"/>
  <c r="D46" i="98"/>
  <c r="C46" i="98" s="1"/>
  <c r="J45" i="98"/>
  <c r="D45" i="98"/>
  <c r="C45" i="98" s="1"/>
  <c r="J44" i="98"/>
  <c r="D44" i="98"/>
  <c r="J43" i="98"/>
  <c r="C43" i="98" s="1"/>
  <c r="D43" i="98"/>
  <c r="J42" i="98"/>
  <c r="D42" i="98"/>
  <c r="J41" i="98"/>
  <c r="D41" i="98"/>
  <c r="C41" i="98" s="1"/>
  <c r="J40" i="98"/>
  <c r="D40" i="98"/>
  <c r="C40" i="98" s="1"/>
  <c r="J39" i="98"/>
  <c r="D39" i="98"/>
  <c r="J38" i="98"/>
  <c r="D38" i="98"/>
  <c r="C38" i="98" s="1"/>
  <c r="J37" i="98"/>
  <c r="D37" i="98"/>
  <c r="C37" i="98" s="1"/>
  <c r="J36" i="98"/>
  <c r="D36" i="98"/>
  <c r="J35" i="98"/>
  <c r="C35" i="98" s="1"/>
  <c r="D35" i="98"/>
  <c r="J34" i="98"/>
  <c r="D34" i="98"/>
  <c r="J33" i="98"/>
  <c r="D33" i="98"/>
  <c r="C33" i="98"/>
  <c r="J32" i="98"/>
  <c r="D32" i="98"/>
  <c r="C32" i="98" s="1"/>
  <c r="J31" i="98"/>
  <c r="D31" i="98"/>
  <c r="J30" i="98"/>
  <c r="D30" i="98"/>
  <c r="C30" i="98" s="1"/>
  <c r="J29" i="98"/>
  <c r="D29" i="98"/>
  <c r="C29" i="98" s="1"/>
  <c r="J28" i="98"/>
  <c r="D28" i="98"/>
  <c r="J27" i="98"/>
  <c r="C27" i="98" s="1"/>
  <c r="D27" i="98"/>
  <c r="J26" i="98"/>
  <c r="D26" i="98"/>
  <c r="J25" i="98"/>
  <c r="D25" i="98"/>
  <c r="C25" i="98"/>
  <c r="J24" i="98"/>
  <c r="D24" i="98"/>
  <c r="C24" i="98" s="1"/>
  <c r="J23" i="98"/>
  <c r="D23" i="98"/>
  <c r="J22" i="98"/>
  <c r="D22" i="98"/>
  <c r="C22" i="98" s="1"/>
  <c r="J21" i="98"/>
  <c r="D21" i="98"/>
  <c r="C21" i="98" s="1"/>
  <c r="J20" i="98"/>
  <c r="D20" i="98"/>
  <c r="J19" i="98"/>
  <c r="C19" i="98" s="1"/>
  <c r="D19" i="98"/>
  <c r="J18" i="98"/>
  <c r="D18" i="98"/>
  <c r="J17" i="98"/>
  <c r="D17" i="98"/>
  <c r="C17" i="98"/>
  <c r="J16" i="98"/>
  <c r="D16" i="98"/>
  <c r="C16" i="98" s="1"/>
  <c r="J15" i="98"/>
  <c r="D15" i="98"/>
  <c r="J14" i="98"/>
  <c r="D14" i="98"/>
  <c r="C14" i="98" s="1"/>
  <c r="J13" i="98"/>
  <c r="D13" i="98"/>
  <c r="C13" i="98" s="1"/>
  <c r="J12" i="98"/>
  <c r="D12" i="98"/>
  <c r="J11" i="98"/>
  <c r="C11" i="98" s="1"/>
  <c r="D11" i="98"/>
  <c r="J10" i="98"/>
  <c r="D10" i="98"/>
  <c r="J9" i="98"/>
  <c r="D9" i="98"/>
  <c r="C9" i="98"/>
  <c r="J8" i="98"/>
  <c r="D8" i="98"/>
  <c r="C8" i="98" s="1"/>
  <c r="P175" i="97"/>
  <c r="L175" i="97"/>
  <c r="K175" i="97"/>
  <c r="J175" i="97"/>
  <c r="I175" i="97"/>
  <c r="H175" i="97"/>
  <c r="G175" i="97"/>
  <c r="F175" i="97"/>
  <c r="E175" i="97"/>
  <c r="C174" i="97"/>
  <c r="C173" i="97"/>
  <c r="C172" i="97"/>
  <c r="C171" i="97"/>
  <c r="M170" i="97"/>
  <c r="C170" i="97" s="1"/>
  <c r="C169" i="97"/>
  <c r="C168" i="97"/>
  <c r="D167" i="97"/>
  <c r="C167" i="97" s="1"/>
  <c r="C166" i="97"/>
  <c r="C165" i="97"/>
  <c r="C164" i="97"/>
  <c r="C163" i="97"/>
  <c r="C162" i="97"/>
  <c r="M161" i="97"/>
  <c r="C161" i="97" s="1"/>
  <c r="C160" i="97"/>
  <c r="C159" i="97"/>
  <c r="C158" i="97"/>
  <c r="C157" i="97"/>
  <c r="C156" i="97"/>
  <c r="C155" i="97"/>
  <c r="C154" i="97"/>
  <c r="C153" i="97"/>
  <c r="C152" i="97"/>
  <c r="C151" i="97"/>
  <c r="N150" i="97"/>
  <c r="C150" i="97" s="1"/>
  <c r="C149" i="97"/>
  <c r="C148" i="97"/>
  <c r="C147" i="97"/>
  <c r="C146" i="97"/>
  <c r="C145" i="97"/>
  <c r="C144" i="97"/>
  <c r="C143" i="97"/>
  <c r="C142" i="97"/>
  <c r="C141" i="97"/>
  <c r="C140" i="97"/>
  <c r="C139" i="97"/>
  <c r="C138" i="97"/>
  <c r="C137" i="97"/>
  <c r="C136" i="97"/>
  <c r="C135" i="97"/>
  <c r="C134" i="97"/>
  <c r="C133" i="97"/>
  <c r="C132" i="97"/>
  <c r="C131" i="97"/>
  <c r="C130" i="97"/>
  <c r="C129" i="97"/>
  <c r="C128" i="97"/>
  <c r="C127" i="97"/>
  <c r="C126" i="97"/>
  <c r="C125" i="97"/>
  <c r="C124" i="97"/>
  <c r="C123" i="97"/>
  <c r="C122" i="97"/>
  <c r="O121" i="97"/>
  <c r="C121" i="97" s="1"/>
  <c r="C120" i="97"/>
  <c r="C119" i="97"/>
  <c r="C118" i="97"/>
  <c r="C117" i="97"/>
  <c r="C116" i="97"/>
  <c r="M115" i="97"/>
  <c r="C115" i="97" s="1"/>
  <c r="C114" i="97"/>
  <c r="C113" i="97"/>
  <c r="C112" i="97"/>
  <c r="D111" i="97"/>
  <c r="C111" i="97" s="1"/>
  <c r="C110" i="97"/>
  <c r="C109" i="97"/>
  <c r="C108" i="97"/>
  <c r="C107" i="97"/>
  <c r="C106" i="97"/>
  <c r="C105" i="97"/>
  <c r="C104" i="97"/>
  <c r="C103" i="97"/>
  <c r="C102" i="97"/>
  <c r="C101" i="97"/>
  <c r="C100" i="97"/>
  <c r="O99" i="97"/>
  <c r="C99" i="97" s="1"/>
  <c r="C98" i="97"/>
  <c r="C97" i="97"/>
  <c r="C96" i="97"/>
  <c r="C95" i="97"/>
  <c r="C94" i="97"/>
  <c r="C93" i="97"/>
  <c r="C92" i="97"/>
  <c r="C91" i="97"/>
  <c r="C90" i="97"/>
  <c r="C89" i="97"/>
  <c r="C88" i="97"/>
  <c r="C87" i="97"/>
  <c r="C86" i="97"/>
  <c r="C85" i="97"/>
  <c r="C84" i="97"/>
  <c r="O83" i="97"/>
  <c r="C83" i="97" s="1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N64" i="97"/>
  <c r="C64" i="97" s="1"/>
  <c r="C63" i="97"/>
  <c r="C62" i="97"/>
  <c r="C61" i="97"/>
  <c r="C60" i="97"/>
  <c r="C59" i="97"/>
  <c r="C58" i="97"/>
  <c r="C57" i="97"/>
  <c r="C56" i="97"/>
  <c r="D55" i="97"/>
  <c r="C55" i="97" s="1"/>
  <c r="C54" i="97"/>
  <c r="C53" i="97"/>
  <c r="C52" i="97"/>
  <c r="C51" i="97"/>
  <c r="C50" i="97"/>
  <c r="C49" i="97"/>
  <c r="O48" i="97"/>
  <c r="C48" i="97" s="1"/>
  <c r="C47" i="97"/>
  <c r="N46" i="97"/>
  <c r="C46" i="97" s="1"/>
  <c r="C45" i="97"/>
  <c r="C44" i="97"/>
  <c r="C43" i="97"/>
  <c r="C42" i="97"/>
  <c r="C41" i="97"/>
  <c r="C40" i="97"/>
  <c r="O39" i="97"/>
  <c r="C39" i="97" s="1"/>
  <c r="C38" i="97"/>
  <c r="C37" i="97"/>
  <c r="C36" i="97"/>
  <c r="C35" i="97"/>
  <c r="C34" i="97"/>
  <c r="C33" i="97"/>
  <c r="C32" i="97"/>
  <c r="C31" i="97"/>
  <c r="C30" i="97"/>
  <c r="C29" i="97"/>
  <c r="D28" i="97"/>
  <c r="D175" i="97" s="1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J166" i="98" l="1"/>
  <c r="C128" i="98"/>
  <c r="C131" i="98"/>
  <c r="C136" i="98"/>
  <c r="C139" i="98"/>
  <c r="C142" i="98"/>
  <c r="C144" i="98"/>
  <c r="C147" i="98"/>
  <c r="C150" i="98"/>
  <c r="C152" i="98"/>
  <c r="C155" i="98"/>
  <c r="C158" i="98"/>
  <c r="C160" i="98"/>
  <c r="C163" i="98"/>
  <c r="D166" i="98"/>
  <c r="C12" i="98"/>
  <c r="C15" i="98"/>
  <c r="C18" i="98"/>
  <c r="C20" i="98"/>
  <c r="C23" i="98"/>
  <c r="C26" i="98"/>
  <c r="C28" i="98"/>
  <c r="C31" i="98"/>
  <c r="C34" i="98"/>
  <c r="C36" i="98"/>
  <c r="C39" i="98"/>
  <c r="C42" i="98"/>
  <c r="C44" i="98"/>
  <c r="C47" i="98"/>
  <c r="C50" i="98"/>
  <c r="C52" i="98"/>
  <c r="C55" i="98"/>
  <c r="C58" i="98"/>
  <c r="C60" i="98"/>
  <c r="C63" i="98"/>
  <c r="C66" i="98"/>
  <c r="C68" i="98"/>
  <c r="C71" i="98"/>
  <c r="C74" i="98"/>
  <c r="C76" i="98"/>
  <c r="C79" i="98"/>
  <c r="C82" i="98"/>
  <c r="C84" i="98"/>
  <c r="C87" i="98"/>
  <c r="C90" i="98"/>
  <c r="C92" i="98"/>
  <c r="C95" i="98"/>
  <c r="C98" i="98"/>
  <c r="C100" i="98"/>
  <c r="C103" i="98"/>
  <c r="C106" i="98"/>
  <c r="C108" i="98"/>
  <c r="C111" i="98"/>
  <c r="C114" i="98"/>
  <c r="C116" i="98"/>
  <c r="C119" i="98"/>
  <c r="C122" i="98"/>
  <c r="C124" i="98"/>
  <c r="C127" i="98"/>
  <c r="C10" i="98"/>
  <c r="M175" i="97"/>
  <c r="N175" i="97"/>
  <c r="O175" i="97"/>
  <c r="C28" i="97"/>
  <c r="C175" i="97" s="1"/>
  <c r="E18" i="94"/>
  <c r="C166" i="98" l="1"/>
  <c r="H21" i="95"/>
  <c r="G21" i="95"/>
  <c r="E21" i="95"/>
  <c r="K20" i="95"/>
  <c r="I20" i="95"/>
  <c r="D20" i="95"/>
  <c r="C20" i="95"/>
  <c r="I13" i="95"/>
  <c r="D13" i="95"/>
  <c r="C13" i="95" s="1"/>
  <c r="K12" i="95"/>
  <c r="I12" i="95" s="1"/>
  <c r="D12" i="95"/>
  <c r="I11" i="95"/>
  <c r="D11" i="95"/>
  <c r="C11" i="95" s="1"/>
  <c r="K10" i="95"/>
  <c r="I10" i="95" s="1"/>
  <c r="D10" i="95"/>
  <c r="C10" i="95" s="1"/>
  <c r="M9" i="95"/>
  <c r="M21" i="95" s="1"/>
  <c r="L9" i="95"/>
  <c r="L21" i="95" s="1"/>
  <c r="K9" i="95"/>
  <c r="J9" i="95"/>
  <c r="J21" i="95" s="1"/>
  <c r="D9" i="95"/>
  <c r="I8" i="95"/>
  <c r="F8" i="95"/>
  <c r="F21" i="95" s="1"/>
  <c r="D8" i="95"/>
  <c r="D21" i="95" s="1"/>
  <c r="C12" i="95" l="1"/>
  <c r="K21" i="95"/>
  <c r="C8" i="95"/>
  <c r="I9" i="95"/>
  <c r="I21" i="95" s="1"/>
  <c r="J20" i="90"/>
  <c r="M19" i="90"/>
  <c r="K19" i="90" s="1"/>
  <c r="I19" i="90"/>
  <c r="I20" i="90" s="1"/>
  <c r="P18" i="90"/>
  <c r="K18" i="90"/>
  <c r="P17" i="90"/>
  <c r="K17" i="90"/>
  <c r="H17" i="90" s="1"/>
  <c r="C17" i="90" s="1"/>
  <c r="P16" i="90"/>
  <c r="K16" i="90"/>
  <c r="H16" i="90" s="1"/>
  <c r="C16" i="90" s="1"/>
  <c r="P15" i="90"/>
  <c r="K15" i="90"/>
  <c r="H15" i="90" s="1"/>
  <c r="C15" i="90" s="1"/>
  <c r="P14" i="90"/>
  <c r="K14" i="90"/>
  <c r="H14" i="90" s="1"/>
  <c r="C14" i="90" s="1"/>
  <c r="P13" i="90"/>
  <c r="K13" i="90"/>
  <c r="H13" i="90" s="1"/>
  <c r="C13" i="90" s="1"/>
  <c r="R12" i="90"/>
  <c r="P12" i="90"/>
  <c r="N12" i="90"/>
  <c r="M12" i="90"/>
  <c r="K12" i="90" s="1"/>
  <c r="R11" i="90"/>
  <c r="P11" i="90"/>
  <c r="N11" i="90"/>
  <c r="M11" i="90"/>
  <c r="K11" i="90" s="1"/>
  <c r="R10" i="90"/>
  <c r="P10" i="90"/>
  <c r="N10" i="90"/>
  <c r="M10" i="90"/>
  <c r="K10" i="90" s="1"/>
  <c r="H10" i="90" s="1"/>
  <c r="L10" i="90"/>
  <c r="D10" i="90"/>
  <c r="R9" i="90"/>
  <c r="P9" i="90" s="1"/>
  <c r="N9" i="90"/>
  <c r="M9" i="90"/>
  <c r="D9" i="90"/>
  <c r="T8" i="90"/>
  <c r="T20" i="90" s="1"/>
  <c r="S8" i="90"/>
  <c r="S20" i="90" s="1"/>
  <c r="R8" i="90"/>
  <c r="Q8" i="90"/>
  <c r="Q20" i="90" s="1"/>
  <c r="O8" i="90"/>
  <c r="O20" i="90" s="1"/>
  <c r="N8" i="90"/>
  <c r="M8" i="90"/>
  <c r="L8" i="90"/>
  <c r="G8" i="90"/>
  <c r="G20" i="90" s="1"/>
  <c r="F8" i="90"/>
  <c r="R7" i="90"/>
  <c r="P7" i="90" s="1"/>
  <c r="M7" i="90"/>
  <c r="E7" i="90"/>
  <c r="C10" i="90" l="1"/>
  <c r="H18" i="90"/>
  <c r="C18" i="90" s="1"/>
  <c r="C9" i="95"/>
  <c r="C21" i="95"/>
  <c r="M20" i="90"/>
  <c r="K7" i="90"/>
  <c r="H7" i="90" s="1"/>
  <c r="K8" i="90"/>
  <c r="N20" i="90"/>
  <c r="P8" i="90"/>
  <c r="K9" i="90"/>
  <c r="K20" i="90" s="1"/>
  <c r="D20" i="90"/>
  <c r="H19" i="90"/>
  <c r="C19" i="90" s="1"/>
  <c r="P20" i="90"/>
  <c r="H11" i="90"/>
  <c r="C11" i="90" s="1"/>
  <c r="E20" i="90"/>
  <c r="H12" i="90"/>
  <c r="C12" i="90" s="1"/>
  <c r="F20" i="90"/>
  <c r="L20" i="90"/>
  <c r="R20" i="90"/>
  <c r="N54" i="89"/>
  <c r="L54" i="89"/>
  <c r="R53" i="89"/>
  <c r="M53" i="89"/>
  <c r="I53" i="89"/>
  <c r="G53" i="89"/>
  <c r="J53" i="89" s="1"/>
  <c r="E53" i="89"/>
  <c r="C53" i="89"/>
  <c r="F53" i="89" s="1"/>
  <c r="S53" i="89" s="1"/>
  <c r="Q52" i="89"/>
  <c r="P52" i="89"/>
  <c r="R52" i="89" s="1"/>
  <c r="J52" i="89"/>
  <c r="F52" i="89"/>
  <c r="S52" i="89" s="1"/>
  <c r="R51" i="89"/>
  <c r="G51" i="89"/>
  <c r="J51" i="89" s="1"/>
  <c r="F51" i="89"/>
  <c r="R50" i="89"/>
  <c r="J50" i="89"/>
  <c r="F50" i="89"/>
  <c r="Q49" i="89"/>
  <c r="P49" i="89"/>
  <c r="R49" i="89" s="1"/>
  <c r="J49" i="89"/>
  <c r="F49" i="89"/>
  <c r="R48" i="89"/>
  <c r="J48" i="89"/>
  <c r="S48" i="89" s="1"/>
  <c r="F48" i="89"/>
  <c r="R47" i="89"/>
  <c r="J47" i="89"/>
  <c r="F47" i="89"/>
  <c r="R46" i="89"/>
  <c r="O46" i="89"/>
  <c r="O54" i="89" s="1"/>
  <c r="J46" i="89"/>
  <c r="F46" i="89"/>
  <c r="S46" i="89" s="1"/>
  <c r="R45" i="89"/>
  <c r="K45" i="89"/>
  <c r="M45" i="89" s="1"/>
  <c r="J45" i="89"/>
  <c r="F45" i="89"/>
  <c r="S45" i="89" s="1"/>
  <c r="C45" i="89"/>
  <c r="R44" i="89"/>
  <c r="I44" i="89"/>
  <c r="H44" i="89"/>
  <c r="J44" i="89" s="1"/>
  <c r="G44" i="89"/>
  <c r="E44" i="89"/>
  <c r="D44" i="89"/>
  <c r="C44" i="89"/>
  <c r="R43" i="89"/>
  <c r="J43" i="89"/>
  <c r="D43" i="89"/>
  <c r="C43" i="89"/>
  <c r="Q42" i="89"/>
  <c r="P42" i="89"/>
  <c r="R42" i="89" s="1"/>
  <c r="I42" i="89"/>
  <c r="G42" i="89"/>
  <c r="J42" i="89" s="1"/>
  <c r="S42" i="89" s="1"/>
  <c r="F42" i="89"/>
  <c r="R41" i="89"/>
  <c r="J41" i="89"/>
  <c r="F41" i="89"/>
  <c r="R40" i="89"/>
  <c r="M40" i="89"/>
  <c r="J40" i="89"/>
  <c r="F40" i="89"/>
  <c r="S40" i="89" s="1"/>
  <c r="E40" i="89"/>
  <c r="R39" i="89"/>
  <c r="K39" i="89"/>
  <c r="M39" i="89" s="1"/>
  <c r="I39" i="89"/>
  <c r="G39" i="89"/>
  <c r="E39" i="89"/>
  <c r="C39" i="89"/>
  <c r="R38" i="89"/>
  <c r="K38" i="89"/>
  <c r="M38" i="89" s="1"/>
  <c r="I38" i="89"/>
  <c r="G38" i="89"/>
  <c r="E38" i="89"/>
  <c r="F38" i="89" s="1"/>
  <c r="R37" i="89"/>
  <c r="H37" i="89"/>
  <c r="H54" i="89" s="1"/>
  <c r="G37" i="89"/>
  <c r="F37" i="89"/>
  <c r="R36" i="89"/>
  <c r="J36" i="89"/>
  <c r="F36" i="89"/>
  <c r="R35" i="89"/>
  <c r="G35" i="89"/>
  <c r="J35" i="89" s="1"/>
  <c r="F35" i="89"/>
  <c r="R34" i="89"/>
  <c r="M34" i="89"/>
  <c r="J34" i="89"/>
  <c r="F34" i="89"/>
  <c r="Q33" i="89"/>
  <c r="P33" i="89"/>
  <c r="R33" i="89" s="1"/>
  <c r="J33" i="89"/>
  <c r="F33" i="89"/>
  <c r="R32" i="89"/>
  <c r="J32" i="89"/>
  <c r="D32" i="89"/>
  <c r="C32" i="89"/>
  <c r="F32" i="89" s="1"/>
  <c r="S32" i="89" s="1"/>
  <c r="R31" i="89"/>
  <c r="J31" i="89"/>
  <c r="F31" i="89"/>
  <c r="Q30" i="89"/>
  <c r="P30" i="89"/>
  <c r="J30" i="89"/>
  <c r="D30" i="89"/>
  <c r="C30" i="89"/>
  <c r="F30" i="89" s="1"/>
  <c r="R29" i="89"/>
  <c r="J29" i="89"/>
  <c r="F29" i="89"/>
  <c r="R28" i="89"/>
  <c r="J28" i="89"/>
  <c r="F28" i="89"/>
  <c r="S28" i="89" s="1"/>
  <c r="Q27" i="89"/>
  <c r="P27" i="89"/>
  <c r="R27" i="89" s="1"/>
  <c r="J27" i="89"/>
  <c r="F27" i="89"/>
  <c r="R26" i="89"/>
  <c r="J26" i="89"/>
  <c r="C26" i="89"/>
  <c r="F26" i="89" s="1"/>
  <c r="R25" i="89"/>
  <c r="J25" i="89"/>
  <c r="F25" i="89"/>
  <c r="Q24" i="89"/>
  <c r="P24" i="89"/>
  <c r="J24" i="89"/>
  <c r="C24" i="89"/>
  <c r="F24" i="89" s="1"/>
  <c r="Q23" i="89"/>
  <c r="P23" i="89"/>
  <c r="J23" i="89"/>
  <c r="C23" i="89"/>
  <c r="F23" i="89" s="1"/>
  <c r="Q22" i="89"/>
  <c r="P22" i="89"/>
  <c r="J22" i="89"/>
  <c r="F22" i="89"/>
  <c r="R21" i="89"/>
  <c r="J21" i="89"/>
  <c r="S21" i="89" s="1"/>
  <c r="F21" i="89"/>
  <c r="R20" i="89"/>
  <c r="J20" i="89"/>
  <c r="F20" i="89"/>
  <c r="Q19" i="89"/>
  <c r="P19" i="89"/>
  <c r="R19" i="89" s="1"/>
  <c r="J19" i="89"/>
  <c r="F19" i="89"/>
  <c r="R18" i="89"/>
  <c r="J18" i="89"/>
  <c r="S18" i="89" s="1"/>
  <c r="F18" i="89"/>
  <c r="Q17" i="89"/>
  <c r="P17" i="89"/>
  <c r="J17" i="89"/>
  <c r="F17" i="89"/>
  <c r="R16" i="89"/>
  <c r="J16" i="89"/>
  <c r="E16" i="89"/>
  <c r="D16" i="89"/>
  <c r="C16" i="89"/>
  <c r="F16" i="89" s="1"/>
  <c r="R15" i="89"/>
  <c r="J15" i="89"/>
  <c r="F15" i="89"/>
  <c r="R14" i="89"/>
  <c r="G14" i="89"/>
  <c r="F14" i="89"/>
  <c r="Q13" i="89"/>
  <c r="P13" i="89"/>
  <c r="R13" i="89" s="1"/>
  <c r="J13" i="89"/>
  <c r="F13" i="89"/>
  <c r="R12" i="89"/>
  <c r="J12" i="89"/>
  <c r="S12" i="89" s="1"/>
  <c r="F12" i="89"/>
  <c r="Q11" i="89"/>
  <c r="P11" i="89"/>
  <c r="J11" i="89"/>
  <c r="F11" i="89"/>
  <c r="R10" i="89"/>
  <c r="J10" i="89"/>
  <c r="E10" i="89"/>
  <c r="C10" i="89"/>
  <c r="R9" i="89"/>
  <c r="J9" i="89"/>
  <c r="F9" i="89"/>
  <c r="Q8" i="89"/>
  <c r="P8" i="89"/>
  <c r="J8" i="89"/>
  <c r="F8" i="89"/>
  <c r="R7" i="89"/>
  <c r="J7" i="89"/>
  <c r="S7" i="89" s="1"/>
  <c r="F7" i="89"/>
  <c r="Q6" i="89"/>
  <c r="P6" i="89"/>
  <c r="J6" i="89"/>
  <c r="F6" i="89"/>
  <c r="R5" i="89"/>
  <c r="J5" i="89"/>
  <c r="F5" i="89"/>
  <c r="H9" i="90" l="1"/>
  <c r="C9" i="90" s="1"/>
  <c r="S34" i="89"/>
  <c r="I54" i="89"/>
  <c r="J39" i="89"/>
  <c r="S25" i="89"/>
  <c r="S26" i="89"/>
  <c r="H8" i="90"/>
  <c r="C8" i="90" s="1"/>
  <c r="C7" i="90"/>
  <c r="S13" i="89"/>
  <c r="S19" i="89"/>
  <c r="M54" i="89"/>
  <c r="R6" i="89"/>
  <c r="S9" i="89"/>
  <c r="C54" i="89"/>
  <c r="S15" i="89"/>
  <c r="S16" i="89"/>
  <c r="S20" i="89"/>
  <c r="R24" i="89"/>
  <c r="S24" i="89" s="1"/>
  <c r="S29" i="89"/>
  <c r="R30" i="89"/>
  <c r="S31" i="89"/>
  <c r="S36" i="89"/>
  <c r="J37" i="89"/>
  <c r="S37" i="89" s="1"/>
  <c r="J38" i="89"/>
  <c r="S38" i="89" s="1"/>
  <c r="K54" i="89"/>
  <c r="S41" i="89"/>
  <c r="D54" i="89"/>
  <c r="F44" i="89"/>
  <c r="S47" i="89"/>
  <c r="S50" i="89"/>
  <c r="S30" i="89"/>
  <c r="S6" i="89"/>
  <c r="G54" i="89"/>
  <c r="J14" i="89"/>
  <c r="J54" i="89" s="1"/>
  <c r="S5" i="89"/>
  <c r="Q54" i="89"/>
  <c r="R8" i="89"/>
  <c r="S8" i="89" s="1"/>
  <c r="E54" i="89"/>
  <c r="R11" i="89"/>
  <c r="S11" i="89" s="1"/>
  <c r="R17" i="89"/>
  <c r="S17" i="89" s="1"/>
  <c r="R22" i="89"/>
  <c r="S22" i="89" s="1"/>
  <c r="P54" i="89"/>
  <c r="R23" i="89"/>
  <c r="S23" i="89" s="1"/>
  <c r="S27" i="89"/>
  <c r="S33" i="89"/>
  <c r="S35" i="89"/>
  <c r="F39" i="89"/>
  <c r="S39" i="89" s="1"/>
  <c r="F43" i="89"/>
  <c r="S43" i="89" s="1"/>
  <c r="S44" i="89"/>
  <c r="S49" i="89"/>
  <c r="S51" i="89"/>
  <c r="F10" i="89"/>
  <c r="C20" i="90" l="1"/>
  <c r="H20" i="90"/>
  <c r="S14" i="89"/>
  <c r="R54" i="89"/>
  <c r="F54" i="89"/>
  <c r="S10" i="89"/>
  <c r="S54" i="89" s="1"/>
  <c r="D146" i="88" l="1"/>
  <c r="C146" i="88"/>
  <c r="C145" i="88"/>
  <c r="D144" i="88"/>
  <c r="C144" i="88" s="1"/>
  <c r="C143" i="88"/>
  <c r="C142" i="88"/>
  <c r="C141" i="88"/>
  <c r="I140" i="88"/>
  <c r="I147" i="88" s="1"/>
  <c r="H140" i="88"/>
  <c r="G140" i="88"/>
  <c r="F140" i="88"/>
  <c r="E140" i="88"/>
  <c r="D139" i="88"/>
  <c r="C139" i="88" s="1"/>
  <c r="C138" i="88"/>
  <c r="C137" i="88"/>
  <c r="C136" i="88"/>
  <c r="C135" i="88"/>
  <c r="G134" i="88"/>
  <c r="D134" i="88"/>
  <c r="C134" i="88" s="1"/>
  <c r="D133" i="88"/>
  <c r="C133" i="88" s="1"/>
  <c r="C132" i="88"/>
  <c r="D131" i="88"/>
  <c r="C131" i="88" s="1"/>
  <c r="E130" i="88"/>
  <c r="D130" i="88"/>
  <c r="C130" i="88" s="1"/>
  <c r="E129" i="88"/>
  <c r="D129" i="88"/>
  <c r="C129" i="88" s="1"/>
  <c r="H128" i="88"/>
  <c r="F128" i="88"/>
  <c r="F147" i="88" s="1"/>
  <c r="C127" i="88"/>
  <c r="C126" i="88"/>
  <c r="C125" i="88"/>
  <c r="C124" i="88"/>
  <c r="D123" i="88"/>
  <c r="C123" i="88" s="1"/>
  <c r="D122" i="88"/>
  <c r="C122" i="88" s="1"/>
  <c r="G121" i="88"/>
  <c r="D121" i="88"/>
  <c r="C121" i="88" s="1"/>
  <c r="D120" i="88"/>
  <c r="C120" i="88" s="1"/>
  <c r="C119" i="88"/>
  <c r="G118" i="88"/>
  <c r="D118" i="88"/>
  <c r="C118" i="88" s="1"/>
  <c r="C117" i="88"/>
  <c r="D116" i="88"/>
  <c r="C116" i="88"/>
  <c r="D115" i="88"/>
  <c r="C115" i="88"/>
  <c r="C114" i="88"/>
  <c r="G113" i="88"/>
  <c r="G147" i="88" s="1"/>
  <c r="D113" i="88"/>
  <c r="C113" i="88"/>
  <c r="D112" i="88"/>
  <c r="C112" i="88"/>
  <c r="C111" i="88"/>
  <c r="C110" i="88"/>
  <c r="C109" i="88"/>
  <c r="C108" i="88"/>
  <c r="C107" i="88"/>
  <c r="C106" i="88"/>
  <c r="C105" i="88"/>
  <c r="C104" i="88"/>
  <c r="C103" i="88"/>
  <c r="C102" i="88"/>
  <c r="D101" i="88"/>
  <c r="C101" i="88"/>
  <c r="C100" i="88"/>
  <c r="C99" i="88"/>
  <c r="C98" i="88"/>
  <c r="C97" i="88"/>
  <c r="C96" i="88"/>
  <c r="C95" i="88"/>
  <c r="C94" i="88"/>
  <c r="C93" i="88"/>
  <c r="C92" i="88"/>
  <c r="C91" i="88"/>
  <c r="C90" i="88"/>
  <c r="C89" i="88"/>
  <c r="C88" i="88"/>
  <c r="C87" i="88"/>
  <c r="C86" i="88"/>
  <c r="C85" i="88"/>
  <c r="D84" i="88"/>
  <c r="C84" i="88"/>
  <c r="D83" i="88"/>
  <c r="C83" i="88"/>
  <c r="D82" i="88"/>
  <c r="C82" i="88"/>
  <c r="C81" i="88"/>
  <c r="C80" i="88"/>
  <c r="D79" i="88"/>
  <c r="C79" i="88"/>
  <c r="C78" i="88"/>
  <c r="C77" i="88"/>
  <c r="C76" i="88"/>
  <c r="C75" i="88"/>
  <c r="D74" i="88"/>
  <c r="C74" i="88"/>
  <c r="E73" i="88"/>
  <c r="D73" i="88"/>
  <c r="C73" i="88" s="1"/>
  <c r="E72" i="88"/>
  <c r="D72" i="88"/>
  <c r="C72" i="88" s="1"/>
  <c r="E71" i="88"/>
  <c r="D71" i="88"/>
  <c r="C71" i="88" s="1"/>
  <c r="E70" i="88"/>
  <c r="D70" i="88"/>
  <c r="C70" i="88" s="1"/>
  <c r="E69" i="88"/>
  <c r="D69" i="88"/>
  <c r="C69" i="88" s="1"/>
  <c r="E68" i="88"/>
  <c r="D68" i="88"/>
  <c r="C68" i="88" s="1"/>
  <c r="C67" i="88"/>
  <c r="C66" i="88"/>
  <c r="C65" i="88"/>
  <c r="C64" i="88"/>
  <c r="C63" i="88"/>
  <c r="C62" i="88"/>
  <c r="C61" i="88"/>
  <c r="C60" i="88"/>
  <c r="C59" i="88"/>
  <c r="C58" i="88"/>
  <c r="C57" i="88"/>
  <c r="C56" i="88"/>
  <c r="H55" i="88"/>
  <c r="H147" i="88" s="1"/>
  <c r="D55" i="88"/>
  <c r="C55" i="88" s="1"/>
  <c r="D54" i="88"/>
  <c r="C54" i="88" s="1"/>
  <c r="C53" i="88"/>
  <c r="C52" i="88"/>
  <c r="C51" i="88"/>
  <c r="D50" i="88"/>
  <c r="C50" i="88" s="1"/>
  <c r="C49" i="88"/>
  <c r="D48" i="88"/>
  <c r="C48" i="88" s="1"/>
  <c r="C47" i="88"/>
  <c r="C46" i="88"/>
  <c r="C45" i="88"/>
  <c r="C44" i="88"/>
  <c r="C43" i="88"/>
  <c r="C42" i="88"/>
  <c r="D41" i="88"/>
  <c r="C41" i="88" s="1"/>
  <c r="C40" i="88"/>
  <c r="D39" i="88"/>
  <c r="C39" i="88" s="1"/>
  <c r="C38" i="88"/>
  <c r="C37" i="88"/>
  <c r="C36" i="88"/>
  <c r="C35" i="88"/>
  <c r="C34" i="88"/>
  <c r="C33" i="88"/>
  <c r="C32" i="88"/>
  <c r="C31" i="88"/>
  <c r="C30" i="88"/>
  <c r="C29" i="88"/>
  <c r="D28" i="88"/>
  <c r="C28" i="88" s="1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D12" i="88"/>
  <c r="C12" i="88" s="1"/>
  <c r="C11" i="88"/>
  <c r="C10" i="88"/>
  <c r="C9" i="88"/>
  <c r="C8" i="88"/>
  <c r="D7" i="88"/>
  <c r="C7" i="88" s="1"/>
  <c r="D6" i="88"/>
  <c r="C6" i="88" s="1"/>
  <c r="E128" i="88" l="1"/>
  <c r="E147" i="88"/>
  <c r="D140" i="88"/>
  <c r="C140" i="88" s="1"/>
  <c r="D128" i="88"/>
  <c r="C128" i="88" s="1"/>
  <c r="C147" i="88" s="1"/>
  <c r="D147" i="88" l="1"/>
  <c r="D19" i="94" l="1"/>
  <c r="E17" i="94"/>
  <c r="E15" i="94"/>
  <c r="E14" i="94"/>
  <c r="E13" i="94"/>
  <c r="E19" i="94" s="1"/>
  <c r="C8" i="94"/>
  <c r="C7" i="94"/>
  <c r="C19" i="94" s="1"/>
  <c r="B6" i="94"/>
  <c r="B5" i="94"/>
  <c r="B19" i="94" s="1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19" authorId="0" shape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<sst xmlns="http://schemas.openxmlformats.org/spreadsheetml/2006/main" count="1452" uniqueCount="570">
  <si>
    <t>№ п/п</t>
  </si>
  <si>
    <t>ГБУЗ РБ Бирская ЦРБ</t>
  </si>
  <si>
    <t>ГБУЗ РБ Дюртюлинская ЦРБ</t>
  </si>
  <si>
    <t>ГБУЗ РБ ГБ г. Нефтекамск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</si>
  <si>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</si>
  <si>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</si>
  <si>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</si>
  <si>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</si>
  <si>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</si>
  <si>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</si>
  <si>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</si>
  <si>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Мишкинская ЦРБ</t>
  </si>
  <si>
    <t>ГБУЗ РБ Баймакская ЦГБ</t>
  </si>
  <si>
    <t>ГБУЗ РБ Белорецкая ЦРКБ</t>
  </si>
  <si>
    <t>ГАУЗ РБ Учалинская ЦГБ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</si>
  <si>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</si>
  <si>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</si>
  <si>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</si>
  <si>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</si>
  <si>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</si>
  <si>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</si>
  <si>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</si>
  <si>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</si>
  <si>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</si>
  <si>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</si>
  <si>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</si>
  <si>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</si>
  <si>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</si>
  <si>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Белебеевская ЦРБ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</si>
  <si>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</si>
  <si>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</si>
  <si>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</si>
  <si>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</si>
  <si>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</si>
  <si>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</si>
  <si>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</si>
  <si>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</si>
  <si>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</si>
  <si>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</si>
  <si>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</si>
  <si>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</si>
  <si>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</si>
  <si>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</si>
  <si>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</si>
  <si>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</si>
  <si>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</si>
  <si>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</si>
  <si>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</si>
  <si>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</si>
  <si>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</si>
  <si>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</si>
  <si>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</si>
  <si>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ИТОГО</t>
  </si>
  <si>
    <t>Наименование медицинской организации</t>
  </si>
  <si>
    <t>ГБУЗ РБ Краснокамская ЦРБ</t>
  </si>
  <si>
    <t>ООО "Белый Жемчуг" (г.Нефтекамск)</t>
  </si>
  <si>
    <t>ООО МЦ "СЕМЕЙНЫЙ ДОКТОР" (г.Бирск)</t>
  </si>
  <si>
    <t>АНО "Перинатальный центр" (г. Салават)</t>
  </si>
  <si>
    <t>ФГБОУ ВО БГМУ Минздрава России</t>
  </si>
  <si>
    <t>НУЗ "Дорожный центр восстановительной медицины и реабилитации ОАО "РЖД"</t>
  </si>
  <si>
    <t>ООО "МЦ МЕГИ" (г.Уфа)</t>
  </si>
  <si>
    <t>ГБУЗ РКЦ</t>
  </si>
  <si>
    <t>ГБУ "УфНИИ ГБ АН РБ"</t>
  </si>
  <si>
    <t>ГАУЗ РВФД</t>
  </si>
  <si>
    <t>ГБУЗ РКГВВ</t>
  </si>
  <si>
    <t>Обособленное структурное подразделение ГБУЗ РБ ГКБ № 21 г. Уфа ранее именуемое ГБУЗ РБ Уфимская ЦРП</t>
  </si>
  <si>
    <t>Медицинская помощь за пределами РБ</t>
  </si>
  <si>
    <t>Итого</t>
  </si>
  <si>
    <t>Всего</t>
  </si>
  <si>
    <t>ГБУЗ РДКБ</t>
  </si>
  <si>
    <t>ГБУЗ РБ БСМП г.Уфа</t>
  </si>
  <si>
    <t>ГАУЗ РБ ГКБ №18 г.Уфа</t>
  </si>
  <si>
    <t>ГБУЗ РБ ЦГБ г.Сибай</t>
  </si>
  <si>
    <t>ГБУЗ РБ ГБ г.Салават</t>
  </si>
  <si>
    <t>ГБУЗ РБ ГБ г.Кумертау</t>
  </si>
  <si>
    <t>ГБУЗ РБ Поликлиника №43 г.Уфа</t>
  </si>
  <si>
    <t>ГБУЗ РБ Поликлиника №46 г.Уфа</t>
  </si>
  <si>
    <t>ГБУЗ РБ ГКБ №8 г.Уфа</t>
  </si>
  <si>
    <t>ГБУЗ РБ ГКБ №13 г.Уфа</t>
  </si>
  <si>
    <t>ГБУЗ РБ РД №3 г.Уфа</t>
  </si>
  <si>
    <t>ГБУЗ РМГЦ</t>
  </si>
  <si>
    <t>ГБУЗ РКБ им. Г.Г. Куватова</t>
  </si>
  <si>
    <t>Всего в рамках программы ОМС</t>
  </si>
  <si>
    <t xml:space="preserve">В рамках базовой программы ОМС </t>
  </si>
  <si>
    <t>Обособленное структурное подразделение ГБУЗ РБ ГБ г. Нефтекамск, ранее именуемое ГБУЗ РБ Агидельская ГБ</t>
  </si>
  <si>
    <t>ГБУЗ РБ ЦГБ г. Сибай</t>
  </si>
  <si>
    <t>ФГБУЗ МСЧ № 142 ФМБА России</t>
  </si>
  <si>
    <t>ГБУЗ РБ КБ № 1 г. Стерлитамак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</si>
  <si>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</si>
  <si>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</si>
  <si>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</si>
  <si>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</si>
  <si>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ДБ г. Стерлитамак</t>
  </si>
  <si>
    <t xml:space="preserve">ГАУЗ РБ КВД г. Стерлитамак 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</si>
  <si>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</si>
  <si>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</si>
  <si>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ГАУЗ РБ КВД г. Салават</t>
  </si>
  <si>
    <t xml:space="preserve">ГБУЗ РБ ГБ г. Кумертау </t>
  </si>
  <si>
    <t>ООО "Медсервис" (г. Салават)</t>
  </si>
  <si>
    <t>ГБУЗ РБ ГБ № 1 г. Октябрьский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</si>
  <si>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</si>
  <si>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</si>
  <si>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</si>
  <si>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</si>
  <si>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</si>
  <si>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</si>
  <si>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</si>
  <si>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</si>
  <si>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ГАУЗ РБ ГКБ № 18 г. Уфа</t>
  </si>
  <si>
    <t xml:space="preserve">ГБУЗ РБ РД № 3 г. Уфа  </t>
  </si>
  <si>
    <t>ООО «Санаторий "Зеленая роща"» РБ</t>
  </si>
  <si>
    <t>ООО  санаторий "Юматово"</t>
  </si>
  <si>
    <t>ГБУЗ РКБ им. Г.Г.Куватова</t>
  </si>
  <si>
    <t>ГАУЗ РКВД № 1</t>
  </si>
  <si>
    <t>ГБУЗ "РКПЦ" МЗ РБ</t>
  </si>
  <si>
    <t xml:space="preserve">ГБУЗ РБ ГКБ № 21 г.Уфа </t>
  </si>
  <si>
    <t>ГАУЗ РКОД МЗ РБ</t>
  </si>
  <si>
    <t>Медицинская помощь, оказываемая в условиях дневных стационаров всех типов, на 2019 год.</t>
  </si>
  <si>
    <t>(случай лечения)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</si>
  <si>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</si>
  <si>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</si>
  <si>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</si>
  <si>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</si>
  <si>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</si>
  <si>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</si>
  <si>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ГБУЗ РБ Городская инфекционная больница г. Стерлитамак</t>
  </si>
  <si>
    <t>ГАУЗ РБ "Санаторий для детей НУР г. Стерлитамак"</t>
  </si>
  <si>
    <t>Обособленное структурное подразделение ГБУЗ РБ ГБ г. Кумертау  ранее именуемое ГБУЗ РБ Ермолаевская ЦРБ</t>
  </si>
  <si>
    <t>НУЗ "Узловая больница на ст. Стерлитамак ОАО "РЖД"</t>
  </si>
  <si>
    <t>ООО "Клиника доктора Симаковой" (г.Стерлитамак)</t>
  </si>
  <si>
    <t>ООО "Медсервис" г. Салават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</si>
  <si>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</si>
  <si>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</si>
  <si>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</si>
  <si>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</si>
  <si>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</si>
  <si>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</si>
  <si>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</si>
  <si>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</si>
  <si>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</si>
  <si>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</si>
  <si>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</si>
  <si>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</si>
  <si>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</si>
  <si>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</si>
  <si>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</si>
  <si>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</si>
  <si>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Поликлиника УНЦ РАН</t>
  </si>
  <si>
    <t>ООО "МЦ "Агидель"</t>
  </si>
  <si>
    <t>ООО "АНЭКО"*</t>
  </si>
  <si>
    <t>ООО "Клиника глазных болезней" (г.Уфа)</t>
  </si>
  <si>
    <t>ООО "Лаборатория гемодиализа"</t>
  </si>
  <si>
    <t>ООО "Лаборатория гемодиализа" (гемодиализ ds18.002)</t>
  </si>
  <si>
    <t>ООО "Лаборатория гемодиализа" (гемодиализ ds18.003)</t>
  </si>
  <si>
    <t>ООО "МД Проект 2010"*</t>
  </si>
  <si>
    <t>ООО "Сфера-Эстейт"</t>
  </si>
  <si>
    <t>ООО "ЦМТ"*</t>
  </si>
  <si>
    <t>ООО "Экома"</t>
  </si>
  <si>
    <t>ГБУЗ РКБ им.Г.Г. Куватова</t>
  </si>
  <si>
    <t>ГБУЗ РКБ им.Г.Г. Куватова (без гемодиализа)</t>
  </si>
  <si>
    <t>ГБУЗ РКБ им.Г.Г. Куватова (гемодиализ ds18.002)</t>
  </si>
  <si>
    <t xml:space="preserve">ГБУЗ "РДКБ" </t>
  </si>
  <si>
    <t>ГБУЗ "РДКБ" (без гемодиализа)</t>
  </si>
  <si>
    <t>ГБУЗ "РДКБ" (гемодиализ ds18.002)</t>
  </si>
  <si>
    <t>ГБУЗ РМГЦ*</t>
  </si>
  <si>
    <t xml:space="preserve">ГБУЗ РБ ГКБ № 21 г. Уфа </t>
  </si>
  <si>
    <t>ГБУЗ РБ ИКБ № 4 г. Уфа</t>
  </si>
  <si>
    <t>ООО "ПЭТ-Технолоджи",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</si>
  <si>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</si>
  <si>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</si>
  <si>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</si>
  <si>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-'КТ/ПЭТ исследования</t>
  </si>
  <si>
    <t>ООО "Клиника лазерной хирургии"</t>
  </si>
  <si>
    <t>(процедуры)</t>
  </si>
  <si>
    <t>Наименование МО</t>
  </si>
  <si>
    <t>Объемы (сеансы)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</si>
  <si>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</si>
  <si>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</si>
  <si>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МП, оказываемая в амбулаторных условиях</t>
  </si>
  <si>
    <t>Круглосуточный стационар</t>
  </si>
  <si>
    <t>Медицинская помощь, оказываемая в амбулаторных условиях</t>
  </si>
  <si>
    <t>Дневной стационар</t>
  </si>
  <si>
    <t>гемодиализ интермит-тирующий высокопоточный (А18.05.002.001)</t>
  </si>
  <si>
    <t xml:space="preserve">Услуги диализа, оказываемые в отделениях фильтрации </t>
  </si>
  <si>
    <t>Перитонеальный диализ при нарушении ультра-фильтрации (А18.30.001.003)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</si>
  <si>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</si>
  <si>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</si>
  <si>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</si>
  <si>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</si>
  <si>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</si>
  <si>
    <t xml:space="preserve">ГБУЗ РБ ГБ г. Нефтекамск </t>
  </si>
  <si>
    <t>ГБУЗ РБ КБ № 1 г.Стерлитамак</t>
  </si>
  <si>
    <t xml:space="preserve">ИТОГО 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</si>
  <si>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</si>
  <si>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(услуги)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</si>
  <si>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</si>
  <si>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</si>
  <si>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</si>
  <si>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</si>
  <si>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</si>
  <si>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</si>
  <si>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</si>
  <si>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</si>
  <si>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</si>
  <si>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</si>
  <si>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</si>
  <si>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</si>
  <si>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</si>
  <si>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</si>
  <si>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</si>
  <si>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</si>
  <si>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АНО "Перинатальный центр"</t>
  </si>
  <si>
    <t>ГБУЗ РБ ГБ № 1 г.Октябрьский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</si>
  <si>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</si>
  <si>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</si>
  <si>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</si>
  <si>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</si>
  <si>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</si>
  <si>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</si>
  <si>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</si>
  <si>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</si>
  <si>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НУЗ "Дорожный центр ВМ и Р ОАО "РЖД"</t>
  </si>
  <si>
    <t>ООО "Центр здоровья"</t>
  </si>
  <si>
    <t>Плановое количество сеансов заместительной почечной терапии методами гемодиализа и перитонеального диализа на 2019 год.</t>
  </si>
  <si>
    <t>Обособленное структурное подразделение Родильный дом ГБУЗ РБ ГБ г.Салават</t>
  </si>
  <si>
    <t>Объемы по сверх базовой части программы ОМС на 2019 год.</t>
  </si>
  <si>
    <t>СМП (психиатрические бригады)</t>
  </si>
  <si>
    <t>Медицинская реабилитация (долечивание)</t>
  </si>
  <si>
    <t>Лечебные мероприятия с использованием аппаратного комплекса типа "Кибер-нож"</t>
  </si>
  <si>
    <t>Обеспечение пациентов, страдающих ХПН и получающих МП методом заместительной почечной терапии АУ, лекарственными препаратами</t>
  </si>
  <si>
    <t>вызов по профилю</t>
  </si>
  <si>
    <t>кол-во ЗС</t>
  </si>
  <si>
    <t>ГБУЗ РБ Станция скорой медицинской помощи г.Стерлитамак</t>
  </si>
  <si>
    <t>ГБУЗ  РССМП и МК</t>
  </si>
  <si>
    <t>ООО "ПЭТ-Технолоджи", в том числе:</t>
  </si>
  <si>
    <t xml:space="preserve"> - операции без имплантации референсных маркеров</t>
  </si>
  <si>
    <t xml:space="preserve"> - операции с имплантацией референсных маркеров</t>
  </si>
  <si>
    <t>Обращения по ЛО гемодиализа всего, в т.ч.</t>
  </si>
  <si>
    <t>ГБУЗ РКБ им.Г.Г.Куватова</t>
  </si>
  <si>
    <t>Объемы сеансов (услуг) заместительной почечной терапии методами гемодиализа и перитонеального диализа в амбулаторных условиях на 2019 год.</t>
  </si>
  <si>
    <t>Медицинская помощь, оказываемая в амбулаторных условиях (для пациентов с хронической почечной недостаточностью (ХПН)</t>
  </si>
  <si>
    <t>Итого на 2019 г.</t>
  </si>
  <si>
    <t>в том числе</t>
  </si>
  <si>
    <t>1 квартал</t>
  </si>
  <si>
    <t>2-4 квартал</t>
  </si>
  <si>
    <t>Итого на
 1 квартал</t>
  </si>
  <si>
    <t>гемодиализ интермиттиру-ющий низкопоточный (А18.05.002,
А18.05.002.002)</t>
  </si>
  <si>
    <t>гемодиализ интермиттиру-ющий высокопоточный (А18.05.002.001)</t>
  </si>
  <si>
    <t>Перитонеальный диализ при нарушении ультрафильтра-ции (А18.30.001.003)</t>
  </si>
  <si>
    <t>Итого на
 2-4 квартал</t>
  </si>
  <si>
    <t>ГБУЗ РБ БСМП г. Уфа</t>
  </si>
  <si>
    <t>В рамках ПГГ</t>
  </si>
  <si>
    <t>Амбулаторно-поликлиническая помощь в части посещений с профилактической целью на 2019 год.</t>
  </si>
  <si>
    <t xml:space="preserve">посещения </t>
  </si>
  <si>
    <t>Наименование медицинских организаций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</si>
  <si>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</si>
  <si>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</si>
  <si>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</si>
  <si>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 (комплексные посещения)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</si>
  <si>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</si>
  <si>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</si>
  <si>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</si>
  <si>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</si>
  <si>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 (комплексные посещения)</t>
  </si>
  <si>
    <t>2 этап</t>
  </si>
  <si>
    <t>первичный прием</t>
  </si>
  <si>
    <t>повторная консуль-тация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</si>
  <si>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</si>
  <si>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</si>
  <si>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</si>
  <si>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</si>
  <si>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</si>
  <si>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"Авиценна (г.Нефтекамск)</t>
  </si>
  <si>
    <t>ООО "ВИП" (г.Некфтекамск)</t>
  </si>
  <si>
    <t>ООО "ВИТАЛ" (г.Нефтекамск)</t>
  </si>
  <si>
    <t>ООО "МедСервис" (г.Нефтекамск)</t>
  </si>
  <si>
    <t>ООО "СтомЭл" (г.Нефтекамск)</t>
  </si>
  <si>
    <t>ГАУЗ РБ Стоматологическая поликлиника г.Сибай</t>
  </si>
  <si>
    <t>ФГБУЗ МСЧ №142 ФМБА России</t>
  </si>
  <si>
    <t>ООО "Мой доктор" (с.Аскарово)</t>
  </si>
  <si>
    <t>ГБУЗ РБ КБ №1 г.Стерлитамак</t>
  </si>
  <si>
    <t>ГБУЗ РБ Городская больница №2 г.Стерлитамак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</si>
  <si>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</si>
  <si>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</si>
  <si>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</si>
  <si>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Городская инфекционная больница г.Стерлитамак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</si>
  <si>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</si>
  <si>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</si>
  <si>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</si>
  <si>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</si>
  <si>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Обособленное структурное подразделение Родильный дом ГБУЗ РБ ГБ города Салават</t>
  </si>
  <si>
    <t>ГБУЗ РБ Стоматологическая поликлиника г.Салават</t>
  </si>
  <si>
    <t>ГАУЗ РБ КВД г.Салават</t>
  </si>
  <si>
    <t>Обособленное структурное подразделение ГБУЗ РБ ЦГБ города Кумертау, ранее именуемое ГБУЗ РБ Ермолаевская ЦРБ</t>
  </si>
  <si>
    <t>НУЗ "Узловая больница на ст.Стерлитамак ОАО "РЖД"</t>
  </si>
  <si>
    <t>ООО "Медсервис" (г.Салават)</t>
  </si>
  <si>
    <t>ГБУЗ РБ ГБ №1 г. Октябрьский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</si>
  <si>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</si>
  <si>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</si>
  <si>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</si>
  <si>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"Радуга" (с.Киргиз-Мияки)</t>
  </si>
  <si>
    <t>ООО "Центр здоровья и красоты" (с.Киргиз-Мияки)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</si>
  <si>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</si>
  <si>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</si>
  <si>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</si>
  <si>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</si>
  <si>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</si>
  <si>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</si>
  <si>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</si>
  <si>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</si>
  <si>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</si>
  <si>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</si>
  <si>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</si>
  <si>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№44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</si>
  <si>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</si>
  <si>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</si>
  <si>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</si>
  <si>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</si>
  <si>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</si>
  <si>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</si>
  <si>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</si>
  <si>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</si>
  <si>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</si>
  <si>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</si>
  <si>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</si>
  <si>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</si>
  <si>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ГКБ №5 г.Уфа</t>
  </si>
  <si>
    <t>ГБУЗ РБ ГБ №9 г.Уфа</t>
  </si>
  <si>
    <t>ГБУЗ РБ ГКБ №10 г.Уфа</t>
  </si>
  <si>
    <t>ГБУЗ РБ ГБ №12 г.Уфа</t>
  </si>
  <si>
    <t>ГБУЗ РБ ГДКБ №17 г.Уфа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</si>
  <si>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</si>
  <si>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</si>
  <si>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</si>
  <si>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ООО "АЙМЕД" (г.Уфа)</t>
  </si>
  <si>
    <t>ООО "Академия здоровья" (г.Уфа)</t>
  </si>
  <si>
    <t>ООО "АНЭКО" (г.Уфа)</t>
  </si>
  <si>
    <t>ООО "Арт-Лион" (г.Уфа)</t>
  </si>
  <si>
    <t>ООО "Витадент Космо" (г.Уфа)</t>
  </si>
  <si>
    <t>ООО "Дантист" (г.Благовещенск)</t>
  </si>
  <si>
    <t>ООО "Евромед+" (г.Уфа)</t>
  </si>
  <si>
    <t>ООО "Евромед-Уфа" (г.Уфа)</t>
  </si>
  <si>
    <t>ООО "Клиника современной флебологии" (г.Уфа)</t>
  </si>
  <si>
    <t>ООО "МАСТЕР-ДЕНТ" (г.Уфа)</t>
  </si>
  <si>
    <t>ООО "Медик" (г.Уфа)</t>
  </si>
  <si>
    <t>ООО "Медицинский центр Семья"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</si>
  <si>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</si>
  <si>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</si>
  <si>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</si>
  <si>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"ЦДХ"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</si>
  <si>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</si>
  <si>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</si>
  <si>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</si>
  <si>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ул.Г.Амантая)</t>
  </si>
  <si>
    <t>ООО "ЮНИСТ" (г.Уфа)</t>
  </si>
  <si>
    <t>ГАУЗ РКОД  МЗ РБ</t>
  </si>
  <si>
    <t>ГАУЗ РКВД №1</t>
  </si>
  <si>
    <t>ГБУЗ РКПЦ МЗ РБ</t>
  </si>
  <si>
    <t xml:space="preserve">ГБУЗ РБ ГКБ №21 г.Уфа </t>
  </si>
  <si>
    <t>ГБУЗ РБ ИКБ №4 г.Уфа</t>
  </si>
  <si>
    <t>АУЗ РСП</t>
  </si>
  <si>
    <t>I. Посещения с профилактическими целями:</t>
  </si>
  <si>
    <t>II. Посещения с иными целями:</t>
  </si>
  <si>
    <t>в том числе:</t>
  </si>
  <si>
    <t>2. Посещения для проведения диспансеризации определенных групп населения
 (2-й этап)</t>
  </si>
  <si>
    <t>3. Посещения для проведения диспансерного наблюдения</t>
  </si>
  <si>
    <t>4. Посещения центров здоровья</t>
  </si>
  <si>
    <t>1. Разовые посещения в связи с заболеванием</t>
  </si>
  <si>
    <t>2. Посещения медицинских работников, имеющих среднее медицинское образование, ведущих самостоятельный прием</t>
  </si>
  <si>
    <t>3. Посещения с другими целями (патронаж, выдача справок и иных медицинских документов и др.)</t>
  </si>
  <si>
    <t>проведение профилактических медицинских осмотров, в том числе при первом посещении по поводу диспансерного наблюдения</t>
  </si>
  <si>
    <t>ООО "ВИП" (г.Нефтекамск)</t>
  </si>
  <si>
    <t>Уточненный план по профилактическому медосмотру  взрослых, в том числе при первом посещении по поводу диспансерного наблюдения и профилактическому медосмотру несовершеннолетних</t>
  </si>
  <si>
    <t>Профилактический медосмотр несовершеннолетних</t>
  </si>
  <si>
    <t xml:space="preserve"> (комплексные посещения)</t>
  </si>
  <si>
    <t>уточненный план</t>
  </si>
  <si>
    <t>план</t>
  </si>
  <si>
    <t>январь-июль 2019 г.</t>
  </si>
  <si>
    <t>август-декабрь 2019 г.</t>
  </si>
  <si>
    <t>ВСЕГО посещений</t>
  </si>
  <si>
    <t>Профилактический медосмотр взрослых, в том числе при первом посещении по поводу диспансерного наблюдения (комплексные посещения)</t>
  </si>
  <si>
    <t xml:space="preserve">1. Проведение профилактических медицинских осмотров,в том числе в рамках диспансеризации (комплексные посещения): </t>
  </si>
  <si>
    <t xml:space="preserve"> в рамках диспансеризации</t>
  </si>
  <si>
    <t>Медицинская помощь, оказываемая в центрах здоровья, на 2019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</si>
  <si>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</si>
  <si>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</si>
  <si>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</si>
  <si>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</si>
  <si>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</si>
  <si>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>комплексное посещение</t>
  </si>
  <si>
    <t>посещение гигиениста стоматоло-гического</t>
  </si>
  <si>
    <t>посещение офтальмоло-гического кабинета</t>
  </si>
  <si>
    <t>ГБУЗ РБ ГБ г.Нефтекамск</t>
  </si>
  <si>
    <t>ГБУЗ РБ ДБ г.Стерлитамак</t>
  </si>
  <si>
    <t>ГБУЗ РБ ГБ №1 г.Октябрьский</t>
  </si>
  <si>
    <t>ГБУЗ РБ ГКБ Демского района г.Уфа</t>
  </si>
  <si>
    <t>ГАУЗ Учалинская ЦРБ</t>
  </si>
  <si>
    <t>Амбулаторно-поликлиническая помощь в части обращений в связи с заболеваниями на 2019 г.
(для медицинских организаций частной формы собственности, не имеющих прикрепленного населения и финансируемых по реестрам)</t>
  </si>
  <si>
    <t>Всего обращений в связи с заболеваниями</t>
  </si>
  <si>
    <t>с том числе по специальностям:</t>
  </si>
  <si>
    <t>стоматология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</si>
  <si>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</si>
  <si>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</si>
  <si>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</si>
  <si>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</si>
  <si>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</si>
  <si>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инфекционные болезни</t>
  </si>
  <si>
    <t>сурдология-оториноларингология</t>
  </si>
  <si>
    <t>колопроктология</t>
  </si>
  <si>
    <t>нейрохирургия</t>
  </si>
  <si>
    <t>нефрология</t>
  </si>
  <si>
    <t>пульмонология</t>
  </si>
  <si>
    <t>ревматология</t>
  </si>
  <si>
    <t>сердечно-сосудистая хирургия</t>
  </si>
  <si>
    <t>травматология и ортопедия</t>
  </si>
  <si>
    <t>ангиохирургический прием</t>
  </si>
  <si>
    <t>ООО "Медсервис" с.Верхнеяркеево</t>
  </si>
  <si>
    <t xml:space="preserve">ООО "Медента", г.Баймак </t>
  </si>
  <si>
    <t xml:space="preserve">ИП Искужин Р.Г., 
с. Темясово Баймакского р-на </t>
  </si>
  <si>
    <t xml:space="preserve">ООО "Экодент", г.Белебей </t>
  </si>
  <si>
    <t>ООО "Академия здоровья", с.Киргиз-Мияки</t>
  </si>
  <si>
    <t xml:space="preserve">ООО "Дентал Стандарт", с.Бижбуляк </t>
  </si>
  <si>
    <t xml:space="preserve">ООО "ПАЛИТРАДЕНТ",
 с. Верхние Киги </t>
  </si>
  <si>
    <t xml:space="preserve">ООО "Радуга"
 с.Киргиз-Мияки </t>
  </si>
  <si>
    <t>ООО "Центр здоровья и красоты", с.Киргиз-Мияки</t>
  </si>
  <si>
    <t xml:space="preserve">ООО "Дантист", 
г. Благовещенск </t>
  </si>
  <si>
    <t>ООО СП "Березка", 
г. Стерлитамак</t>
  </si>
  <si>
    <t xml:space="preserve">ООО МЦ "СЕМЕЙНЫЙ ДОКТОР", г.Бирск 
</t>
  </si>
  <si>
    <t>ООО"Мой доктор", 
с. Аскарово</t>
  </si>
  <si>
    <t>ООО "Белый жемчуг"</t>
  </si>
  <si>
    <t>ООО "ВИТАЛ"</t>
  </si>
  <si>
    <t xml:space="preserve"> ООО "Корона+"</t>
  </si>
  <si>
    <t>ООО "Ваша стоматология"</t>
  </si>
  <si>
    <t>ООО "Дента"</t>
  </si>
  <si>
    <t>ООО "ВИП"</t>
  </si>
  <si>
    <t>ООО "ЭнжеДент"</t>
  </si>
  <si>
    <t>ООО "Городская стоматологическая клиника"</t>
  </si>
  <si>
    <t>ООО "СтомЭл"</t>
  </si>
  <si>
    <t>ООО "МедСервис" г.Нефтекамск</t>
  </si>
  <si>
    <t>ООО "Авиценна"</t>
  </si>
  <si>
    <t>ООО "ДЭНТА"</t>
  </si>
  <si>
    <t>ООО "Клиника Авиценна"</t>
  </si>
  <si>
    <t>ООО "Арт-Лион"</t>
  </si>
  <si>
    <t xml:space="preserve"> ООО "МАСТЕР-ДЕНТ"</t>
  </si>
  <si>
    <t>ООО "Медицинский центр Семья"</t>
  </si>
  <si>
    <t>ООО "Медхелп"</t>
  </si>
  <si>
    <t>ООО "ЮНИСТ"</t>
  </si>
  <si>
    <t>ООО "Эмидент" ул.Амантая</t>
  </si>
  <si>
    <t>ООО "МЦ МЕГИ"</t>
  </si>
  <si>
    <t>ООО "Евромед-Уфа"</t>
  </si>
  <si>
    <t>ООО "Евромед+"</t>
  </si>
  <si>
    <t>ООО "АЙМЕД"</t>
  </si>
  <si>
    <t>ООО "Медик"</t>
  </si>
  <si>
    <t>ООО "Эмидент Люкс" ул.Айская</t>
  </si>
  <si>
    <t>ООО "Эмидент Люкс" ул.Революционная</t>
  </si>
  <si>
    <t>ООО  "Профи-клиник"</t>
  </si>
  <si>
    <t>ООО  "Студия Стоматологии"</t>
  </si>
  <si>
    <t>ООО "ЦДХ"</t>
  </si>
  <si>
    <t>ООО "Эмидент" ул.Мира</t>
  </si>
  <si>
    <t>ООО "ЦМТ"</t>
  </si>
  <si>
    <t>ООО "Витадент Космо"</t>
  </si>
  <si>
    <t xml:space="preserve"> ООО"МД Проект 2010"</t>
  </si>
  <si>
    <t>ООО "Академия здоровья" г.Уфа</t>
  </si>
  <si>
    <t>ООО "Эмидент плюс"</t>
  </si>
  <si>
    <t>ООО "Дантист+"(г. Нефтекамск)</t>
  </si>
  <si>
    <t>Амбулаторно-поликлиническая помощь в части обращений в связи с заболеваниями  и неотложной медицинской помощи на 2019 год.</t>
  </si>
  <si>
    <t>Неотложная медицинская помощь (посещение по неотложной медицинской помощи)</t>
  </si>
  <si>
    <t xml:space="preserve">в том числе посещения в травматологические пункты                                      </t>
  </si>
  <si>
    <t xml:space="preserve">Обращения 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</si>
  <si>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</si>
  <si>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</si>
  <si>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</si>
  <si>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</si>
  <si>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</si>
  <si>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</si>
  <si>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по специальности "травматология и ортопедия"</t>
  </si>
  <si>
    <t>по специальности 
"офтальмология"</t>
  </si>
  <si>
    <t>ООО "Ваша стоматология" (г.Нефтекамск)</t>
  </si>
  <si>
    <t>ООО "Городская стоматологическая клиника" (г.Нефтекамск)</t>
  </si>
  <si>
    <t>ООО "Дента" (г.Нефтекамск)</t>
  </si>
  <si>
    <t>ООО "Корона+" (г.Нефтекамск)</t>
  </si>
  <si>
    <t>ООО "СтомЭл" (г.Нефтекамс)</t>
  </si>
  <si>
    <t>ООО "ЭнжеДент" (г.Нефтекамс)</t>
  </si>
  <si>
    <t>ИП Искужин Р.Г. (с.Темясово)</t>
  </si>
  <si>
    <t>ООО "Медента" (г.Баймак)</t>
  </si>
  <si>
    <t>ООО "ММОЦ" (г.Стерлитамак)</t>
  </si>
  <si>
    <t>ООО СП "Берёзка" (г.Стерлитамак)</t>
  </si>
  <si>
    <t>ООО "Медсервис" (с.Верхнеяркеево)</t>
  </si>
  <si>
    <t>ООО "Экодент" (г.Белебей)</t>
  </si>
  <si>
    <t>ООО "МЦ "Агидель""</t>
  </si>
  <si>
    <t>ООО "ДЭНТА" (г.Уфа)</t>
  </si>
  <si>
    <t>ООО "Клиника Авиценна" (с.Нагаево)</t>
  </si>
  <si>
    <t>ООО "Лаборатория гемодиализа" (г.Уфа)</t>
  </si>
  <si>
    <t>ООО "МД Проект 2010" (г.Уфа)</t>
  </si>
  <si>
    <t>ООО "Медхелп" (г.Уфа)</t>
  </si>
  <si>
    <t>ООО "Сфера-Эстейт" (г.Уфа)</t>
  </si>
  <si>
    <t>ООО "ЦМТ" (г.Уфа)</t>
  </si>
  <si>
    <t>ООО "Экома" (г.Уфа)</t>
  </si>
  <si>
    <t>ООО "Эмидент" (г.Уфа, ул. Г.Амантая)</t>
  </si>
  <si>
    <t>ООО "Эмидент" (г.Уфа, ул.Мира)</t>
  </si>
  <si>
    <t>ФГБУ "ВЦГПХ" Минздрава России</t>
  </si>
  <si>
    <t>Амбулаторно-поликлиническая помощь в части посещений с профилактическими и иными целями на 2019 г.
(для медицинских организаций частной формы собственности, не имеющих прикрепленного населения и финансируемых по реестрам)</t>
  </si>
  <si>
    <t>Всего посещений с профилактическими и иными целями</t>
  </si>
  <si>
    <t>Ангиохирургический прием</t>
  </si>
  <si>
    <t xml:space="preserve">ООО "ПАЛИТРАДЕНТ", с. Верхние Киги </t>
  </si>
  <si>
    <t xml:space="preserve">ООО "Радуга" с.Киргиз-Мияки </t>
  </si>
  <si>
    <t xml:space="preserve">ООО "Дантист", г. Благовещенск </t>
  </si>
  <si>
    <t>ООО"Мой доктор", с. Аскарово</t>
  </si>
  <si>
    <t>ООО "Клиника современной флебологии"</t>
  </si>
  <si>
    <t>Профилактический медосмотр несовершеннолетних (комплексные посещения)</t>
  </si>
  <si>
    <t>Объемы сеансов (услуг) заместительной почечной терапии методами гемодиализа и перитонеального диализа в условиях дневного стационара на 2019 год.</t>
  </si>
  <si>
    <t>Дневной стационар (для пациентов с хронической почечной недостаточностью (ХПН)</t>
  </si>
  <si>
    <t>Итого на       2019 г.</t>
  </si>
  <si>
    <t>Медицинская помощь, оказываемая в круглосуточных стационарах на 2019 год.</t>
  </si>
  <si>
    <t>(случаи госпитализации)</t>
  </si>
  <si>
    <t>ВМП</t>
  </si>
  <si>
    <t xml:space="preserve">в том числе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</si>
  <si>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</si>
  <si>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</si>
  <si>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</si>
  <si>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>ГБУЗ РБ Городская инфекционная больница                                                                            г. Стерлитамак</t>
  </si>
  <si>
    <t xml:space="preserve">Обособленное структурное подразделение Родильный дом ГБУЗ РБ ГБ г. Салават </t>
  </si>
  <si>
    <t>Обособленное структурное подразделение ГБУЗ РБ ГБ г. Кумертау ранее именуемое ГБУЗ РБ Ермолаевская ЦРБ</t>
  </si>
  <si>
    <t>ФКУЗ «МСЧ МВД России по РБ»</t>
  </si>
  <si>
    <t>ООО "МД Проект 2010"</t>
  </si>
  <si>
    <t>ГБУЗ " РДКБ"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</si>
  <si>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</si>
  <si>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</si>
  <si>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</si>
  <si>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</si>
  <si>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</si>
  <si>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>Объем, перечень видов ВМП, финансовое обеспечение которых осуществляется за счет средств ОМС, установленные Комиссией на 2019 год</t>
  </si>
  <si>
    <t>№ группы ВМП</t>
  </si>
  <si>
    <t>Норматив финансовых затрат на единицу объема ВМП (руб.)</t>
  </si>
  <si>
    <t>ГБУЗ РБ ГКБ №21 г. Уфа</t>
  </si>
  <si>
    <t>ГБУ  "УфНИИ ГБ АН РБ"</t>
  </si>
  <si>
    <t>ГБУЗ РБ ГКБ №10 г. Уфа</t>
  </si>
  <si>
    <t>ГБУЗ РБ ГКБ №13 г. Уфа</t>
  </si>
  <si>
    <t>ГБУЗ РБ ГДКБ № 17 г. Уфа</t>
  </si>
  <si>
    <t>ГАУЗ РБ ГКБ №18 г. Уфа</t>
  </si>
  <si>
    <t>ГБУЗ РБ РД №3 г. Уфа</t>
  </si>
  <si>
    <t>ГБУЗ РБ ГБ г.Нефтекакмск</t>
  </si>
  <si>
    <t>ГБУЗ РБ КБ №1 г. Стерлитамак</t>
  </si>
  <si>
    <t>ООО "Медсервис" г.Салават</t>
  </si>
  <si>
    <t>ООО"МД Проект 2010"</t>
  </si>
  <si>
    <t>ИТОГО без резерва</t>
  </si>
  <si>
    <t>Резерв</t>
  </si>
  <si>
    <t>ИТОГО с резервом</t>
  </si>
  <si>
    <t xml:space="preserve">Количество случаев  госпитализации </t>
  </si>
  <si>
    <t>Стоимость ВМП (руб.)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</si>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</sst>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\ _₽_-;\-* #,##0\ _₽_-;_-* &quot;-&quot;\ _₽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</numFmts>
  <fonts count="1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6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5925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1" applyNumberFormat="0" applyAlignment="0" applyProtection="0"/>
    <xf numFmtId="0" fontId="11" fillId="68" borderId="11"/>
    <xf numFmtId="0" fontId="12" fillId="69" borderId="12" applyNumberFormat="0" applyAlignment="0" applyProtection="0"/>
    <xf numFmtId="0" fontId="12" fillId="70" borderId="0"/>
    <xf numFmtId="165" fontId="13" fillId="0" borderId="0"/>
    <xf numFmtId="166" fontId="13" fillId="0" borderId="0" applyBorder="0" applyProtection="0"/>
    <xf numFmtId="165" fontId="13" fillId="0" borderId="0" applyBorder="0" applyProtection="0"/>
    <xf numFmtId="165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3" applyNumberFormat="0" applyFill="0" applyAlignment="0" applyProtection="0"/>
    <xf numFmtId="0" fontId="18" fillId="0" borderId="13"/>
    <xf numFmtId="0" fontId="19" fillId="0" borderId="14" applyNumberFormat="0" applyFill="0" applyAlignment="0" applyProtection="0"/>
    <xf numFmtId="0" fontId="19" fillId="0" borderId="14"/>
    <xf numFmtId="0" fontId="20" fillId="0" borderId="15" applyNumberFormat="0" applyFill="0" applyAlignment="0" applyProtection="0"/>
    <xf numFmtId="0" fontId="20" fillId="0" borderId="15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1" applyNumberFormat="0" applyAlignment="0" applyProtection="0"/>
    <xf numFmtId="0" fontId="21" fillId="39" borderId="11"/>
    <xf numFmtId="0" fontId="22" fillId="0" borderId="16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7" applyNumberFormat="0" applyFont="0" applyAlignment="0" applyProtection="0"/>
    <xf numFmtId="0" fontId="26" fillId="72" borderId="17"/>
    <xf numFmtId="0" fontId="27" fillId="50" borderId="18" applyNumberFormat="0" applyAlignment="0" applyProtection="0"/>
    <xf numFmtId="0" fontId="27" fillId="68" borderId="18"/>
    <xf numFmtId="0" fontId="28" fillId="0" borderId="0" applyNumberFormat="0" applyBorder="0" applyProtection="0"/>
    <xf numFmtId="167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9" applyNumberFormat="0" applyFill="0" applyAlignment="0" applyProtection="0"/>
    <xf numFmtId="0" fontId="30" fillId="0" borderId="20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2" applyNumberFormat="0" applyFill="0" applyAlignment="0" applyProtection="0"/>
    <xf numFmtId="0" fontId="20" fillId="0" borderId="15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3" applyNumberFormat="0" applyFill="0" applyAlignment="0" applyProtection="0"/>
    <xf numFmtId="0" fontId="30" fillId="0" borderId="2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2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2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7" applyNumberFormat="0" applyFont="0" applyAlignment="0" applyProtection="0"/>
    <xf numFmtId="0" fontId="49" fillId="41" borderId="17" applyNumberFormat="0" applyFont="0" applyAlignment="0" applyProtection="0"/>
    <xf numFmtId="0" fontId="43" fillId="41" borderId="17" applyNumberFormat="0" applyFont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6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6" fontId="5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6" fontId="51" fillId="0" borderId="0"/>
    <xf numFmtId="168" fontId="58" fillId="0" borderId="0"/>
    <xf numFmtId="43" fontId="8" fillId="0" borderId="0" applyFont="0" applyFill="0" applyBorder="0" applyAlignment="0" applyProtection="0"/>
    <xf numFmtId="166" fontId="51" fillId="0" borderId="0"/>
    <xf numFmtId="166" fontId="51" fillId="0" borderId="0" applyFill="0" applyBorder="0" applyAlignment="0" applyProtection="0"/>
    <xf numFmtId="166" fontId="51" fillId="0" borderId="0"/>
    <xf numFmtId="41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</cellStyleXfs>
  <cellXfs count="522">
    <xf numFmtId="0" fontId="0" fillId="0" borderId="0" xfId="0"/>
    <xf numFmtId="0" fontId="65" fillId="0" borderId="0" xfId="0" applyFont="1" applyFill="1"/>
    <xf numFmtId="3" fontId="65" fillId="0" borderId="0" xfId="0" applyNumberFormat="1" applyFont="1" applyFill="1" applyAlignment="1">
      <alignment vertical="center"/>
    </xf>
    <xf numFmtId="3" fontId="65" fillId="0" borderId="0" xfId="0" applyNumberFormat="1" applyFont="1" applyFill="1"/>
    <xf numFmtId="3" fontId="60" fillId="0" borderId="0" xfId="0" applyNumberFormat="1" applyFont="1" applyFill="1"/>
    <xf numFmtId="3" fontId="60" fillId="0" borderId="0" xfId="0" applyNumberFormat="1" applyFont="1" applyFill="1" applyAlignment="1">
      <alignment vertical="center"/>
    </xf>
    <xf numFmtId="3" fontId="65" fillId="0" borderId="10" xfId="0" applyNumberFormat="1" applyFont="1" applyFill="1" applyBorder="1" applyAlignment="1">
      <alignment horizontal="center"/>
    </xf>
    <xf numFmtId="3" fontId="65" fillId="0" borderId="10" xfId="0" applyNumberFormat="1" applyFont="1" applyFill="1" applyBorder="1" applyAlignment="1">
      <alignment vertical="center"/>
    </xf>
    <xf numFmtId="4" fontId="67" fillId="0" borderId="10" xfId="59250" applyNumberFormat="1" applyFont="1" applyFill="1" applyBorder="1" applyAlignment="1">
      <alignment horizontal="left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/>
    <xf numFmtId="4" fontId="65" fillId="0" borderId="10" xfId="59248" applyNumberFormat="1" applyFont="1" applyFill="1" applyBorder="1" applyAlignment="1">
      <alignment vertical="center" wrapText="1"/>
    </xf>
    <xf numFmtId="4" fontId="67" fillId="0" borderId="10" xfId="0" applyNumberFormat="1" applyFont="1" applyFill="1" applyBorder="1" applyAlignment="1">
      <alignment wrapText="1"/>
    </xf>
    <xf numFmtId="3" fontId="65" fillId="0" borderId="10" xfId="0" applyNumberFormat="1" applyFont="1" applyFill="1" applyBorder="1" applyAlignment="1">
      <alignment vertical="center" wrapText="1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/>
    <xf numFmtId="0" fontId="65" fillId="0" borderId="10" xfId="0" applyFont="1" applyFill="1" applyBorder="1" applyAlignment="1">
      <alignment horizontal="left" vertical="center" wrapText="1"/>
    </xf>
    <xf numFmtId="3" fontId="67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/>
    <xf numFmtId="49" fontId="65" fillId="0" borderId="10" xfId="0" applyNumberFormat="1" applyFont="1" applyFill="1" applyBorder="1" applyAlignment="1">
      <alignment vertical="center" wrapText="1"/>
    </xf>
    <xf numFmtId="3" fontId="68" fillId="0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left" vertical="center"/>
    </xf>
    <xf numFmtId="3" fontId="65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3" fontId="7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10" xfId="0" applyNumberFormat="1" applyFont="1" applyFill="1" applyBorder="1" applyAlignment="1" applyProtection="1">
      <alignment horizontal="center" vertical="center"/>
      <protection locked="0"/>
    </xf>
    <xf numFmtId="3" fontId="6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0" xfId="0" applyNumberFormat="1" applyFont="1" applyFill="1"/>
    <xf numFmtId="3" fontId="65" fillId="0" borderId="10" xfId="0" applyNumberFormat="1" applyFont="1" applyFill="1" applyBorder="1" applyAlignment="1" applyProtection="1">
      <alignment horizontal="left" vertical="center"/>
      <protection locked="0"/>
    </xf>
    <xf numFmtId="4" fontId="65" fillId="0" borderId="31" xfId="59248" applyNumberFormat="1" applyFont="1" applyFill="1" applyBorder="1" applyAlignment="1">
      <alignment vertical="center" wrapText="1"/>
    </xf>
    <xf numFmtId="164" fontId="60" fillId="0" borderId="10" xfId="0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>
      <alignment vertical="center"/>
    </xf>
    <xf numFmtId="3" fontId="65" fillId="0" borderId="10" xfId="0" applyNumberFormat="1" applyFont="1" applyFill="1" applyBorder="1" applyAlignment="1">
      <alignment horizontal="center" vertical="center" wrapText="1" shrinkToFit="1"/>
    </xf>
    <xf numFmtId="3" fontId="65" fillId="0" borderId="10" xfId="57742" applyNumberFormat="1" applyFont="1" applyFill="1" applyBorder="1" applyAlignment="1">
      <alignment horizontal="center" vertical="center" wrapText="1"/>
    </xf>
    <xf numFmtId="3" fontId="65" fillId="0" borderId="10" xfId="59251" applyNumberFormat="1" applyFont="1" applyFill="1" applyBorder="1" applyAlignment="1">
      <alignment horizontal="left" vertical="center" wrapText="1"/>
    </xf>
    <xf numFmtId="3" fontId="65" fillId="0" borderId="10" xfId="58106" applyNumberFormat="1" applyFont="1" applyFill="1" applyBorder="1" applyAlignment="1">
      <alignment horizontal="center" vertical="center" wrapText="1"/>
    </xf>
    <xf numFmtId="1" fontId="65" fillId="0" borderId="10" xfId="59251" applyNumberFormat="1" applyFont="1" applyFill="1" applyBorder="1" applyAlignment="1">
      <alignment horizontal="left" vertical="center" wrapText="1"/>
    </xf>
    <xf numFmtId="4" fontId="65" fillId="0" borderId="10" xfId="59250" applyNumberFormat="1" applyFont="1" applyFill="1" applyBorder="1" applyAlignment="1">
      <alignment horizontal="left" vertical="center" wrapText="1"/>
    </xf>
    <xf numFmtId="3" fontId="65" fillId="0" borderId="10" xfId="59249" applyNumberFormat="1" applyFont="1" applyFill="1" applyBorder="1" applyAlignment="1">
      <alignment horizontal="left" vertical="center" wrapText="1"/>
    </xf>
    <xf numFmtId="4" fontId="65" fillId="0" borderId="10" xfId="59251" applyNumberFormat="1" applyFont="1" applyFill="1" applyBorder="1" applyAlignment="1">
      <alignment horizontal="left" vertical="center" wrapText="1"/>
    </xf>
    <xf numFmtId="3" fontId="61" fillId="0" borderId="10" xfId="58106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vertical="center" wrapText="1"/>
    </xf>
    <xf numFmtId="0" fontId="68" fillId="0" borderId="10" xfId="0" applyFont="1" applyFill="1" applyBorder="1"/>
    <xf numFmtId="3" fontId="68" fillId="0" borderId="10" xfId="0" applyNumberFormat="1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 vertical="center"/>
    </xf>
    <xf numFmtId="3" fontId="68" fillId="0" borderId="25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wrapText="1"/>
    </xf>
    <xf numFmtId="4" fontId="61" fillId="0" borderId="10" xfId="0" applyNumberFormat="1" applyFont="1" applyFill="1" applyBorder="1" applyAlignment="1">
      <alignment wrapText="1"/>
    </xf>
    <xf numFmtId="4" fontId="61" fillId="0" borderId="10" xfId="0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left" wrapText="1"/>
    </xf>
    <xf numFmtId="3" fontId="62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7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8" fillId="0" borderId="0" xfId="0" applyNumberFormat="1" applyFont="1" applyFill="1" applyAlignment="1">
      <alignment horizontal="center"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3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left" vertical="center"/>
    </xf>
    <xf numFmtId="3" fontId="62" fillId="0" borderId="10" xfId="0" applyNumberFormat="1" applyFont="1" applyFill="1" applyBorder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4" fontId="62" fillId="0" borderId="10" xfId="0" applyNumberFormat="1" applyFont="1" applyFill="1" applyBorder="1" applyAlignment="1">
      <alignment wrapText="1"/>
    </xf>
    <xf numFmtId="4" fontId="62" fillId="0" borderId="10" xfId="0" applyNumberFormat="1" applyFont="1" applyFill="1" applyBorder="1" applyAlignment="1">
      <alignment horizontal="left" wrapText="1"/>
    </xf>
    <xf numFmtId="3" fontId="68" fillId="0" borderId="0" xfId="0" applyNumberFormat="1" applyFont="1" applyFill="1"/>
    <xf numFmtId="0" fontId="63" fillId="0" borderId="10" xfId="0" applyFont="1" applyFill="1" applyBorder="1" applyAlignment="1">
      <alignment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vertical="center"/>
    </xf>
    <xf numFmtId="4" fontId="65" fillId="0" borderId="31" xfId="59248" applyNumberFormat="1" applyFont="1" applyFill="1" applyBorder="1" applyAlignment="1">
      <alignment horizontal="left" vertical="center" wrapText="1"/>
    </xf>
    <xf numFmtId="3" fontId="6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1" fillId="74" borderId="10" xfId="0" applyNumberFormat="1" applyFont="1" applyFill="1" applyBorder="1" applyAlignment="1">
      <alignment horizontal="left" wrapText="1"/>
    </xf>
    <xf numFmtId="0" fontId="0" fillId="0" borderId="0" xfId="0" applyFill="1"/>
    <xf numFmtId="0" fontId="77" fillId="0" borderId="0" xfId="0" applyFont="1" applyFill="1" applyAlignment="1">
      <alignment horizontal="justify" vertical="center"/>
    </xf>
    <xf numFmtId="0" fontId="78" fillId="0" borderId="0" xfId="0" applyFont="1" applyFill="1"/>
    <xf numFmtId="0" fontId="0" fillId="0" borderId="0" xfId="0" applyFill="1" applyAlignment="1">
      <alignment horizontal="center"/>
    </xf>
    <xf numFmtId="0" fontId="1" fillId="0" borderId="0" xfId="57572" applyFill="1"/>
    <xf numFmtId="0" fontId="79" fillId="0" borderId="10" xfId="57572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left" vertical="center" wrapText="1"/>
    </xf>
    <xf numFmtId="3" fontId="79" fillId="0" borderId="10" xfId="57572" applyNumberFormat="1" applyFont="1" applyFill="1" applyBorder="1" applyAlignment="1">
      <alignment horizontal="center" vertical="center"/>
    </xf>
    <xf numFmtId="0" fontId="81" fillId="0" borderId="0" xfId="0" applyFont="1" applyFill="1"/>
    <xf numFmtId="4" fontId="80" fillId="0" borderId="10" xfId="0" applyNumberFormat="1" applyFont="1" applyFill="1" applyBorder="1" applyAlignment="1">
      <alignment vertical="center" wrapText="1"/>
    </xf>
    <xf numFmtId="3" fontId="81" fillId="0" borderId="0" xfId="0" applyNumberFormat="1" applyFont="1" applyFill="1"/>
    <xf numFmtId="4" fontId="80" fillId="0" borderId="10" xfId="59250" applyNumberFormat="1" applyFont="1" applyFill="1" applyBorder="1" applyAlignment="1">
      <alignment vertical="center" wrapText="1"/>
    </xf>
    <xf numFmtId="4" fontId="82" fillId="0" borderId="10" xfId="59250" applyNumberFormat="1" applyFont="1" applyFill="1" applyBorder="1" applyAlignment="1">
      <alignment horizontal="left" vertical="center" wrapText="1"/>
    </xf>
    <xf numFmtId="4" fontId="80" fillId="0" borderId="10" xfId="59250" applyNumberFormat="1" applyFont="1" applyFill="1" applyBorder="1" applyAlignment="1">
      <alignment horizontal="left" vertical="center" wrapText="1"/>
    </xf>
    <xf numFmtId="3" fontId="83" fillId="0" borderId="0" xfId="0" applyNumberFormat="1" applyFont="1" applyFill="1"/>
    <xf numFmtId="3" fontId="80" fillId="0" borderId="10" xfId="0" applyNumberFormat="1" applyFont="1" applyFill="1" applyBorder="1" applyAlignment="1">
      <alignment vertical="center" wrapText="1"/>
    </xf>
    <xf numFmtId="3" fontId="84" fillId="0" borderId="0" xfId="0" applyNumberFormat="1" applyFont="1" applyFill="1"/>
    <xf numFmtId="0" fontId="82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 horizontal="center" vertical="center"/>
    </xf>
    <xf numFmtId="3" fontId="85" fillId="0" borderId="10" xfId="0" applyNumberFormat="1" applyFont="1" applyFill="1" applyBorder="1" applyAlignment="1">
      <alignment horizontal="left" vertical="center"/>
    </xf>
    <xf numFmtId="3" fontId="86" fillId="0" borderId="10" xfId="0" applyNumberFormat="1" applyFont="1" applyFill="1" applyBorder="1" applyAlignment="1">
      <alignment horizontal="center"/>
    </xf>
    <xf numFmtId="3" fontId="87" fillId="0" borderId="0" xfId="0" applyNumberFormat="1" applyFont="1" applyFill="1"/>
    <xf numFmtId="4" fontId="61" fillId="0" borderId="0" xfId="0" applyNumberFormat="1" applyFont="1" applyFill="1" applyBorder="1" applyAlignment="1">
      <alignment vertical="center" wrapText="1"/>
    </xf>
    <xf numFmtId="3" fontId="79" fillId="0" borderId="0" xfId="57572" applyNumberFormat="1" applyFont="1" applyFill="1" applyBorder="1" applyAlignment="1">
      <alignment horizontal="center" vertical="center"/>
    </xf>
    <xf numFmtId="0" fontId="38" fillId="0" borderId="0" xfId="0" applyFont="1" applyFill="1"/>
    <xf numFmtId="3" fontId="38" fillId="0" borderId="0" xfId="0" applyNumberFormat="1" applyFont="1" applyFill="1"/>
    <xf numFmtId="3" fontId="0" fillId="0" borderId="0" xfId="0" applyNumberFormat="1" applyFill="1"/>
    <xf numFmtId="0" fontId="89" fillId="0" borderId="0" xfId="0" applyFont="1" applyFill="1"/>
    <xf numFmtId="0" fontId="78" fillId="0" borderId="0" xfId="0" applyFont="1" applyFill="1" applyAlignment="1">
      <alignment horizontal="justify" vertical="center"/>
    </xf>
    <xf numFmtId="0" fontId="89" fillId="0" borderId="0" xfId="57572" applyFont="1" applyFill="1"/>
    <xf numFmtId="0" fontId="89" fillId="0" borderId="0" xfId="57572" applyFont="1" applyFill="1" applyAlignment="1">
      <alignment vertical="top"/>
    </xf>
    <xf numFmtId="0" fontId="90" fillId="0" borderId="27" xfId="57572" applyFont="1" applyFill="1" applyBorder="1" applyAlignment="1">
      <alignment horizontal="center" vertical="top" wrapText="1"/>
    </xf>
    <xf numFmtId="0" fontId="90" fillId="0" borderId="10" xfId="57572" applyFont="1" applyFill="1" applyBorder="1" applyAlignment="1">
      <alignment horizontal="center" vertical="top" wrapText="1"/>
    </xf>
    <xf numFmtId="0" fontId="90" fillId="0" borderId="47" xfId="57572" applyFont="1" applyFill="1" applyBorder="1" applyAlignment="1">
      <alignment horizontal="center" vertical="center" wrapText="1"/>
    </xf>
    <xf numFmtId="0" fontId="90" fillId="0" borderId="25" xfId="57572" applyFont="1" applyFill="1" applyBorder="1" applyAlignment="1">
      <alignment horizontal="center" vertical="center" wrapText="1"/>
    </xf>
    <xf numFmtId="0" fontId="90" fillId="0" borderId="54" xfId="57572" applyFont="1" applyFill="1" applyBorder="1" applyAlignment="1">
      <alignment horizontal="center" vertical="center" wrapText="1"/>
    </xf>
    <xf numFmtId="0" fontId="90" fillId="0" borderId="28" xfId="57572" applyFont="1" applyFill="1" applyBorder="1" applyAlignment="1">
      <alignment horizontal="center" vertical="center" wrapText="1"/>
    </xf>
    <xf numFmtId="0" fontId="90" fillId="0" borderId="50" xfId="57572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/>
    </xf>
    <xf numFmtId="4" fontId="60" fillId="0" borderId="25" xfId="0" applyNumberFormat="1" applyFont="1" applyFill="1" applyBorder="1" applyAlignment="1">
      <alignment horizontal="left" vertical="center" wrapText="1"/>
    </xf>
    <xf numFmtId="3" fontId="90" fillId="0" borderId="54" xfId="57572" applyNumberFormat="1" applyFont="1" applyFill="1" applyBorder="1" applyAlignment="1">
      <alignment horizontal="center" vertical="center"/>
    </xf>
    <xf numFmtId="3" fontId="90" fillId="0" borderId="55" xfId="57572" applyNumberFormat="1" applyFont="1" applyFill="1" applyBorder="1" applyAlignment="1">
      <alignment horizontal="center" vertical="center"/>
    </xf>
    <xf numFmtId="3" fontId="90" fillId="75" borderId="10" xfId="0" applyNumberFormat="1" applyFont="1" applyFill="1" applyBorder="1" applyAlignment="1">
      <alignment horizontal="center" vertical="center" wrapText="1"/>
    </xf>
    <xf numFmtId="3" fontId="90" fillId="75" borderId="49" xfId="0" applyNumberFormat="1" applyFont="1" applyFill="1" applyBorder="1" applyAlignment="1">
      <alignment horizontal="center" vertical="center" wrapText="1"/>
    </xf>
    <xf numFmtId="3" fontId="90" fillId="75" borderId="10" xfId="0" applyNumberFormat="1" applyFont="1" applyFill="1" applyBorder="1" applyAlignment="1">
      <alignment horizontal="center" vertical="center"/>
    </xf>
    <xf numFmtId="3" fontId="90" fillId="75" borderId="49" xfId="0" applyNumberFormat="1" applyFont="1" applyFill="1" applyBorder="1" applyAlignment="1">
      <alignment horizontal="center" vertical="center"/>
    </xf>
    <xf numFmtId="3" fontId="89" fillId="0" borderId="0" xfId="0" applyNumberFormat="1" applyFont="1" applyFill="1"/>
    <xf numFmtId="0" fontId="90" fillId="75" borderId="10" xfId="0" applyFont="1" applyFill="1" applyBorder="1" applyAlignment="1">
      <alignment horizontal="center" vertical="center" wrapText="1"/>
    </xf>
    <xf numFmtId="0" fontId="90" fillId="75" borderId="49" xfId="0" applyFont="1" applyFill="1" applyBorder="1" applyAlignment="1">
      <alignment horizontal="center" vertical="center" wrapText="1"/>
    </xf>
    <xf numFmtId="0" fontId="90" fillId="75" borderId="49" xfId="0" applyFont="1" applyFill="1" applyBorder="1" applyAlignment="1">
      <alignment horizontal="center" vertical="center"/>
    </xf>
    <xf numFmtId="4" fontId="60" fillId="0" borderId="25" xfId="0" applyNumberFormat="1" applyFont="1" applyFill="1" applyBorder="1" applyAlignment="1">
      <alignment vertical="center" wrapText="1"/>
    </xf>
    <xf numFmtId="3" fontId="90" fillId="0" borderId="10" xfId="0" applyNumberFormat="1" applyFont="1" applyBorder="1" applyAlignment="1">
      <alignment horizontal="center" vertical="center" wrapText="1"/>
    </xf>
    <xf numFmtId="3" fontId="90" fillId="0" borderId="49" xfId="0" applyNumberFormat="1" applyFont="1" applyBorder="1" applyAlignment="1">
      <alignment horizontal="center" vertical="center" wrapText="1"/>
    </xf>
    <xf numFmtId="3" fontId="90" fillId="0" borderId="10" xfId="0" applyNumberFormat="1" applyFont="1" applyBorder="1" applyAlignment="1">
      <alignment horizontal="center" vertical="center"/>
    </xf>
    <xf numFmtId="3" fontId="90" fillId="0" borderId="49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4" fontId="60" fillId="0" borderId="25" xfId="59250" applyNumberFormat="1" applyFont="1" applyFill="1" applyBorder="1" applyAlignment="1">
      <alignment vertical="center" wrapText="1"/>
    </xf>
    <xf numFmtId="4" fontId="91" fillId="0" borderId="25" xfId="59250" applyNumberFormat="1" applyFont="1" applyFill="1" applyBorder="1" applyAlignment="1">
      <alignment horizontal="left" vertical="center" wrapText="1"/>
    </xf>
    <xf numFmtId="0" fontId="90" fillId="0" borderId="49" xfId="0" applyFont="1" applyBorder="1" applyAlignment="1">
      <alignment horizontal="center" vertical="center"/>
    </xf>
    <xf numFmtId="4" fontId="60" fillId="0" borderId="25" xfId="59250" applyNumberFormat="1" applyFont="1" applyFill="1" applyBorder="1" applyAlignment="1">
      <alignment horizontal="left" vertical="center" wrapText="1"/>
    </xf>
    <xf numFmtId="4" fontId="91" fillId="0" borderId="10" xfId="59250" applyNumberFormat="1" applyFont="1" applyFill="1" applyBorder="1" applyAlignment="1">
      <alignment horizontal="left" vertical="center" wrapText="1"/>
    </xf>
    <xf numFmtId="3" fontId="60" fillId="0" borderId="25" xfId="0" applyNumberFormat="1" applyFont="1" applyFill="1" applyBorder="1" applyAlignment="1">
      <alignment vertical="center" wrapText="1"/>
    </xf>
    <xf numFmtId="3" fontId="92" fillId="0" borderId="0" xfId="0" applyNumberFormat="1" applyFont="1" applyFill="1"/>
    <xf numFmtId="0" fontId="91" fillId="0" borderId="25" xfId="0" applyFont="1" applyFill="1" applyBorder="1" applyAlignment="1">
      <alignment wrapText="1"/>
    </xf>
    <xf numFmtId="0" fontId="69" fillId="0" borderId="47" xfId="0" applyFont="1" applyFill="1" applyBorder="1" applyAlignment="1">
      <alignment horizontal="center" vertical="center"/>
    </xf>
    <xf numFmtId="3" fontId="69" fillId="0" borderId="58" xfId="0" applyNumberFormat="1" applyFont="1" applyFill="1" applyBorder="1" applyAlignment="1">
      <alignment horizontal="left" vertical="center"/>
    </xf>
    <xf numFmtId="3" fontId="69" fillId="0" borderId="59" xfId="0" applyNumberFormat="1" applyFont="1" applyFill="1" applyBorder="1" applyAlignment="1">
      <alignment horizontal="left" vertical="center"/>
    </xf>
    <xf numFmtId="3" fontId="93" fillId="0" borderId="60" xfId="0" applyNumberFormat="1" applyFont="1" applyFill="1" applyBorder="1" applyAlignment="1">
      <alignment horizontal="center"/>
    </xf>
    <xf numFmtId="3" fontId="93" fillId="0" borderId="61" xfId="0" applyNumberFormat="1" applyFont="1" applyFill="1" applyBorder="1" applyAlignment="1">
      <alignment horizontal="center"/>
    </xf>
    <xf numFmtId="3" fontId="93" fillId="0" borderId="62" xfId="0" applyNumberFormat="1" applyFont="1" applyFill="1" applyBorder="1" applyAlignment="1">
      <alignment horizontal="center"/>
    </xf>
    <xf numFmtId="3" fontId="93" fillId="0" borderId="63" xfId="0" applyNumberFormat="1" applyFont="1" applyFill="1" applyBorder="1" applyAlignment="1">
      <alignment horizontal="center"/>
    </xf>
    <xf numFmtId="3" fontId="93" fillId="0" borderId="64" xfId="0" applyNumberFormat="1" applyFont="1" applyFill="1" applyBorder="1" applyAlignment="1">
      <alignment horizontal="center"/>
    </xf>
    <xf numFmtId="3" fontId="93" fillId="0" borderId="65" xfId="0" applyNumberFormat="1" applyFont="1" applyFill="1" applyBorder="1" applyAlignment="1">
      <alignment horizontal="center"/>
    </xf>
    <xf numFmtId="3" fontId="78" fillId="0" borderId="0" xfId="0" applyNumberFormat="1" applyFont="1" applyFill="1"/>
    <xf numFmtId="4" fontId="60" fillId="0" borderId="0" xfId="0" applyNumberFormat="1" applyFont="1" applyFill="1" applyBorder="1" applyAlignment="1">
      <alignment vertical="center" wrapText="1"/>
    </xf>
    <xf numFmtId="3" fontId="89" fillId="0" borderId="0" xfId="0" applyNumberFormat="1" applyFont="1" applyFill="1" applyBorder="1"/>
    <xf numFmtId="0" fontId="89" fillId="0" borderId="0" xfId="0" applyFont="1" applyFill="1" applyBorder="1"/>
    <xf numFmtId="0" fontId="94" fillId="0" borderId="0" xfId="0" applyFont="1"/>
    <xf numFmtId="0" fontId="95" fillId="0" borderId="0" xfId="0" applyFont="1" applyAlignment="1">
      <alignment vertical="center" wrapText="1"/>
    </xf>
    <xf numFmtId="0" fontId="90" fillId="0" borderId="71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0" fillId="0" borderId="73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8" fillId="0" borderId="65" xfId="0" applyFont="1" applyBorder="1" applyAlignment="1">
      <alignment vertical="center" wrapText="1"/>
    </xf>
    <xf numFmtId="3" fontId="90" fillId="0" borderId="65" xfId="0" applyNumberFormat="1" applyFont="1" applyBorder="1" applyAlignment="1">
      <alignment horizontal="center" vertical="center"/>
    </xf>
    <xf numFmtId="3" fontId="90" fillId="75" borderId="65" xfId="0" applyNumberFormat="1" applyFont="1" applyFill="1" applyBorder="1" applyAlignment="1">
      <alignment horizontal="center" vertical="center"/>
    </xf>
    <xf numFmtId="3" fontId="95" fillId="0" borderId="0" xfId="0" applyNumberFormat="1" applyFont="1" applyAlignment="1">
      <alignment vertical="center" wrapText="1"/>
    </xf>
    <xf numFmtId="3" fontId="94" fillId="0" borderId="0" xfId="0" applyNumberFormat="1" applyFont="1"/>
    <xf numFmtId="0" fontId="96" fillId="0" borderId="65" xfId="0" applyFont="1" applyBorder="1" applyAlignment="1">
      <alignment vertical="center" wrapText="1"/>
    </xf>
    <xf numFmtId="0" fontId="90" fillId="75" borderId="65" xfId="0" applyFont="1" applyFill="1" applyBorder="1" applyAlignment="1">
      <alignment horizontal="center" vertical="center"/>
    </xf>
    <xf numFmtId="0" fontId="78" fillId="0" borderId="73" xfId="0" applyFont="1" applyBorder="1" applyAlignment="1">
      <alignment vertical="center"/>
    </xf>
    <xf numFmtId="0" fontId="95" fillId="0" borderId="73" xfId="0" applyFont="1" applyBorder="1" applyAlignment="1">
      <alignment vertical="center"/>
    </xf>
    <xf numFmtId="0" fontId="93" fillId="0" borderId="65" xfId="0" applyFont="1" applyBorder="1" applyAlignment="1">
      <alignment vertical="center" wrapText="1"/>
    </xf>
    <xf numFmtId="3" fontId="88" fillId="0" borderId="65" xfId="0" applyNumberFormat="1" applyFont="1" applyBorder="1" applyAlignment="1">
      <alignment horizontal="center" vertical="center"/>
    </xf>
    <xf numFmtId="0" fontId="98" fillId="0" borderId="0" xfId="0" applyFont="1"/>
    <xf numFmtId="0" fontId="99" fillId="0" borderId="0" xfId="0" applyFont="1" applyFill="1" applyAlignment="1">
      <alignment horizontal="center" vertical="center"/>
    </xf>
    <xf numFmtId="0" fontId="98" fillId="0" borderId="0" xfId="0" applyFont="1" applyFill="1"/>
    <xf numFmtId="0" fontId="78" fillId="0" borderId="0" xfId="0" applyFont="1" applyFill="1" applyAlignment="1">
      <alignment horizontal="right"/>
    </xf>
    <xf numFmtId="0" fontId="78" fillId="0" borderId="0" xfId="0" applyFont="1"/>
    <xf numFmtId="0" fontId="98" fillId="0" borderId="10" xfId="0" applyFont="1" applyFill="1" applyBorder="1" applyAlignment="1">
      <alignment vertical="center"/>
    </xf>
    <xf numFmtId="3" fontId="98" fillId="0" borderId="10" xfId="0" applyNumberFormat="1" applyFont="1" applyFill="1" applyBorder="1" applyAlignment="1">
      <alignment horizontal="center" vertical="center"/>
    </xf>
    <xf numFmtId="3" fontId="100" fillId="0" borderId="10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98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vertical="center"/>
    </xf>
    <xf numFmtId="3" fontId="101" fillId="0" borderId="10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3" fontId="98" fillId="0" borderId="0" xfId="0" applyNumberFormat="1" applyFont="1"/>
    <xf numFmtId="3" fontId="98" fillId="0" borderId="0" xfId="0" applyNumberFormat="1" applyFont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wrapText="1"/>
    </xf>
    <xf numFmtId="0" fontId="77" fillId="0" borderId="0" xfId="0" applyFont="1" applyFill="1"/>
    <xf numFmtId="0" fontId="94" fillId="0" borderId="0" xfId="0" applyFont="1" applyFill="1" applyAlignment="1">
      <alignment wrapText="1"/>
    </xf>
    <xf numFmtId="0" fontId="94" fillId="0" borderId="0" xfId="0" applyFont="1" applyFill="1"/>
    <xf numFmtId="0" fontId="98" fillId="0" borderId="10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 wrapText="1"/>
    </xf>
    <xf numFmtId="0" fontId="94" fillId="0" borderId="0" xfId="0" applyFont="1" applyFill="1" applyAlignment="1">
      <alignment horizontal="center"/>
    </xf>
    <xf numFmtId="0" fontId="98" fillId="0" borderId="10" xfId="0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wrapText="1"/>
    </xf>
    <xf numFmtId="0" fontId="98" fillId="0" borderId="25" xfId="0" applyFont="1" applyFill="1" applyBorder="1" applyAlignment="1">
      <alignment horizontal="center" vertical="center"/>
    </xf>
    <xf numFmtId="3" fontId="98" fillId="0" borderId="25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vertical="center" wrapText="1"/>
    </xf>
    <xf numFmtId="0" fontId="94" fillId="0" borderId="0" xfId="0" applyFont="1" applyFill="1" applyAlignment="1">
      <alignment horizontal="center" vertical="center"/>
    </xf>
    <xf numFmtId="3" fontId="94" fillId="0" borderId="0" xfId="0" applyNumberFormat="1" applyFont="1" applyFill="1"/>
    <xf numFmtId="0" fontId="95" fillId="0" borderId="0" xfId="0" applyFont="1" applyFill="1"/>
    <xf numFmtId="0" fontId="97" fillId="0" borderId="24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wrapText="1"/>
    </xf>
    <xf numFmtId="3" fontId="60" fillId="0" borderId="10" xfId="57896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" fontId="61" fillId="0" borderId="27" xfId="0" applyNumberFormat="1" applyFont="1" applyFill="1" applyBorder="1" applyAlignment="1">
      <alignment horizontal="left" vertical="center" wrapText="1"/>
    </xf>
    <xf numFmtId="3" fontId="103" fillId="0" borderId="10" xfId="0" applyNumberFormat="1" applyFont="1" applyFill="1" applyBorder="1" applyAlignment="1">
      <alignment horizontal="center" vertical="center" wrapText="1"/>
    </xf>
    <xf numFmtId="3" fontId="95" fillId="0" borderId="0" xfId="0" applyNumberFormat="1" applyFont="1" applyFill="1"/>
    <xf numFmtId="4" fontId="61" fillId="0" borderId="27" xfId="0" applyNumberFormat="1" applyFont="1" applyFill="1" applyBorder="1" applyAlignment="1">
      <alignment vertical="center" wrapText="1"/>
    </xf>
    <xf numFmtId="4" fontId="61" fillId="0" borderId="27" xfId="59250" applyNumberFormat="1" applyFont="1" applyFill="1" applyBorder="1" applyAlignment="1">
      <alignment vertical="center" wrapText="1"/>
    </xf>
    <xf numFmtId="4" fontId="63" fillId="0" borderId="10" xfId="59250" applyNumberFormat="1" applyFont="1" applyFill="1" applyBorder="1" applyAlignment="1">
      <alignment horizontal="left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/>
    </xf>
    <xf numFmtId="0" fontId="63" fillId="0" borderId="0" xfId="0" applyFont="1" applyFill="1"/>
    <xf numFmtId="4" fontId="61" fillId="0" borderId="27" xfId="59250" applyNumberFormat="1" applyFont="1" applyFill="1" applyBorder="1" applyAlignment="1">
      <alignment horizontal="left" vertical="center" wrapText="1"/>
    </xf>
    <xf numFmtId="4" fontId="63" fillId="0" borderId="27" xfId="59250" applyNumberFormat="1" applyFont="1" applyFill="1" applyBorder="1" applyAlignment="1">
      <alignment horizontal="left" vertical="center" wrapText="1"/>
    </xf>
    <xf numFmtId="4" fontId="61" fillId="0" borderId="27" xfId="57749" applyNumberFormat="1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63" fillId="0" borderId="27" xfId="0" applyNumberFormat="1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center" vertical="center" wrapText="1"/>
    </xf>
    <xf numFmtId="4" fontId="61" fillId="0" borderId="31" xfId="0" applyNumberFormat="1" applyFont="1" applyFill="1" applyBorder="1" applyAlignment="1">
      <alignment vertical="center" wrapText="1"/>
    </xf>
    <xf numFmtId="0" fontId="106" fillId="0" borderId="0" xfId="0" applyFont="1" applyFill="1" applyAlignment="1">
      <alignment horizontal="center"/>
    </xf>
    <xf numFmtId="0" fontId="95" fillId="0" borderId="0" xfId="0" applyFont="1" applyFill="1" applyAlignment="1">
      <alignment vertical="center"/>
    </xf>
    <xf numFmtId="3" fontId="63" fillId="0" borderId="0" xfId="0" applyNumberFormat="1" applyFont="1" applyFill="1" applyAlignment="1">
      <alignment vertical="center" wrapText="1"/>
    </xf>
    <xf numFmtId="3" fontId="104" fillId="0" borderId="0" xfId="0" applyNumberFormat="1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3" fontId="106" fillId="0" borderId="10" xfId="0" applyNumberFormat="1" applyFont="1" applyFill="1" applyBorder="1" applyAlignment="1">
      <alignment horizontal="center"/>
    </xf>
    <xf numFmtId="3" fontId="95" fillId="0" borderId="0" xfId="0" applyNumberFormat="1" applyFont="1" applyFill="1" applyAlignment="1">
      <alignment horizontal="center"/>
    </xf>
    <xf numFmtId="1" fontId="95" fillId="0" borderId="0" xfId="0" applyNumberFormat="1" applyFont="1" applyFill="1"/>
    <xf numFmtId="0" fontId="60" fillId="0" borderId="10" xfId="0" applyFont="1" applyFill="1" applyBorder="1" applyAlignment="1">
      <alignment horizontal="left" vertical="center" wrapText="1"/>
    </xf>
    <xf numFmtId="3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wrapText="1"/>
    </xf>
    <xf numFmtId="3" fontId="78" fillId="0" borderId="25" xfId="0" applyNumberFormat="1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 wrapText="1"/>
    </xf>
    <xf numFmtId="3" fontId="93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/>
    <xf numFmtId="3" fontId="98" fillId="0" borderId="0" xfId="0" applyNumberFormat="1" applyFont="1" applyFill="1" applyAlignment="1">
      <alignment horizontal="right"/>
    </xf>
    <xf numFmtId="3" fontId="98" fillId="0" borderId="10" xfId="0" applyNumberFormat="1" applyFont="1" applyFill="1" applyBorder="1" applyAlignment="1" applyProtection="1">
      <alignment horizontal="center" vertical="center"/>
      <protection locked="0"/>
    </xf>
    <xf numFmtId="3" fontId="9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8" fillId="0" borderId="10" xfId="0" applyNumberFormat="1" applyFont="1" applyFill="1" applyBorder="1" applyAlignment="1" applyProtection="1">
      <alignment horizontal="left" vertical="center"/>
      <protection locked="0"/>
    </xf>
    <xf numFmtId="4" fontId="98" fillId="0" borderId="31" xfId="59248" applyNumberFormat="1" applyFont="1" applyFill="1" applyBorder="1" applyAlignment="1">
      <alignment horizontal="left" vertical="center" wrapText="1"/>
    </xf>
    <xf numFmtId="3" fontId="10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74" borderId="0" xfId="0" applyFont="1" applyFill="1"/>
    <xf numFmtId="0" fontId="62" fillId="74" borderId="0" xfId="0" applyFont="1" applyFill="1" applyAlignment="1">
      <alignment horizontal="center" vertical="center"/>
    </xf>
    <xf numFmtId="3" fontId="61" fillId="74" borderId="0" xfId="0" applyNumberFormat="1" applyFont="1" applyFill="1"/>
    <xf numFmtId="3" fontId="61" fillId="74" borderId="28" xfId="0" applyNumberFormat="1" applyFont="1" applyFill="1" applyBorder="1" applyAlignment="1">
      <alignment horizontal="center" vertical="center" wrapText="1"/>
    </xf>
    <xf numFmtId="3" fontId="61" fillId="74" borderId="10" xfId="0" applyNumberFormat="1" applyFont="1" applyFill="1" applyBorder="1" applyAlignment="1">
      <alignment horizontal="center" vertical="center" wrapText="1"/>
    </xf>
    <xf numFmtId="0" fontId="61" fillId="74" borderId="0" xfId="0" applyFont="1" applyFill="1" applyAlignment="1">
      <alignment horizontal="center" vertical="center"/>
    </xf>
    <xf numFmtId="0" fontId="61" fillId="74" borderId="10" xfId="0" applyFont="1" applyFill="1" applyBorder="1" applyAlignment="1">
      <alignment horizontal="center" vertical="center" wrapText="1"/>
    </xf>
    <xf numFmtId="0" fontId="61" fillId="74" borderId="10" xfId="0" applyFont="1" applyFill="1" applyBorder="1" applyAlignment="1">
      <alignment horizontal="center" vertical="center"/>
    </xf>
    <xf numFmtId="3" fontId="61" fillId="74" borderId="10" xfId="0" applyNumberFormat="1" applyFont="1" applyFill="1" applyBorder="1" applyAlignment="1">
      <alignment vertical="center"/>
    </xf>
    <xf numFmtId="3" fontId="61" fillId="74" borderId="10" xfId="0" applyNumberFormat="1" applyFont="1" applyFill="1" applyBorder="1" applyAlignment="1">
      <alignment horizontal="center" vertical="center"/>
    </xf>
    <xf numFmtId="4" fontId="63" fillId="74" borderId="10" xfId="59250" applyNumberFormat="1" applyFont="1" applyFill="1" applyBorder="1" applyAlignment="1">
      <alignment horizontal="left" vertical="center" wrapText="1"/>
    </xf>
    <xf numFmtId="3" fontId="63" fillId="74" borderId="10" xfId="0" applyNumberFormat="1" applyFont="1" applyFill="1" applyBorder="1" applyAlignment="1">
      <alignment horizontal="center" vertical="center"/>
    </xf>
    <xf numFmtId="4" fontId="63" fillId="74" borderId="10" xfId="0" applyNumberFormat="1" applyFont="1" applyFill="1" applyBorder="1" applyAlignment="1">
      <alignment wrapText="1"/>
    </xf>
    <xf numFmtId="0" fontId="63" fillId="74" borderId="0" xfId="0" applyFont="1" applyFill="1"/>
    <xf numFmtId="3" fontId="61" fillId="74" borderId="10" xfId="0" applyNumberFormat="1" applyFont="1" applyFill="1" applyBorder="1" applyAlignment="1">
      <alignment vertical="center" wrapText="1"/>
    </xf>
    <xf numFmtId="4" fontId="61" fillId="74" borderId="27" xfId="59248" applyNumberFormat="1" applyFont="1" applyFill="1" applyBorder="1" applyAlignment="1">
      <alignment horizontal="left" vertical="center" wrapText="1"/>
    </xf>
    <xf numFmtId="3" fontId="61" fillId="74" borderId="10" xfId="0" applyNumberFormat="1" applyFont="1" applyFill="1" applyBorder="1" applyAlignment="1">
      <alignment wrapText="1"/>
    </xf>
    <xf numFmtId="4" fontId="61" fillId="74" borderId="26" xfId="59248" applyNumberFormat="1" applyFont="1" applyFill="1" applyBorder="1" applyAlignment="1">
      <alignment horizontal="left" vertical="center" wrapText="1"/>
    </xf>
    <xf numFmtId="4" fontId="61" fillId="74" borderId="10" xfId="0" applyNumberFormat="1" applyFont="1" applyFill="1" applyBorder="1" applyAlignment="1">
      <alignment wrapText="1"/>
    </xf>
    <xf numFmtId="4" fontId="61" fillId="74" borderId="10" xfId="0" applyNumberFormat="1" applyFont="1" applyFill="1" applyBorder="1" applyAlignment="1">
      <alignment horizontal="left" vertical="center" wrapText="1"/>
    </xf>
    <xf numFmtId="4" fontId="61" fillId="74" borderId="10" xfId="59252" applyNumberFormat="1" applyFont="1" applyFill="1" applyBorder="1" applyAlignment="1">
      <alignment wrapText="1"/>
    </xf>
    <xf numFmtId="3" fontId="95" fillId="74" borderId="10" xfId="0" applyNumberFormat="1" applyFont="1" applyFill="1" applyBorder="1" applyAlignment="1">
      <alignment vertical="center"/>
    </xf>
    <xf numFmtId="3" fontId="61" fillId="74" borderId="10" xfId="0" applyNumberFormat="1" applyFont="1" applyFill="1" applyBorder="1" applyAlignment="1">
      <alignment horizontal="center"/>
    </xf>
    <xf numFmtId="0" fontId="62" fillId="74" borderId="10" xfId="0" applyFont="1" applyFill="1" applyBorder="1" applyAlignment="1">
      <alignment horizontal="center" vertical="center"/>
    </xf>
    <xf numFmtId="0" fontId="62" fillId="74" borderId="10" xfId="0" applyFont="1" applyFill="1" applyBorder="1" applyAlignment="1">
      <alignment vertical="center"/>
    </xf>
    <xf numFmtId="3" fontId="62" fillId="74" borderId="10" xfId="0" applyNumberFormat="1" applyFont="1" applyFill="1" applyBorder="1" applyAlignment="1">
      <alignment horizontal="center" vertical="center"/>
    </xf>
    <xf numFmtId="0" fontId="61" fillId="74" borderId="0" xfId="0" applyFont="1" applyFill="1" applyAlignment="1">
      <alignment vertical="center"/>
    </xf>
    <xf numFmtId="4" fontId="63" fillId="74" borderId="10" xfId="0" applyNumberFormat="1" applyFont="1" applyFill="1" applyBorder="1" applyAlignment="1">
      <alignment vertical="center" wrapText="1"/>
    </xf>
    <xf numFmtId="0" fontId="98" fillId="74" borderId="0" xfId="57847" applyFont="1" applyFill="1" applyProtection="1">
      <protection locked="0"/>
    </xf>
    <xf numFmtId="0" fontId="99" fillId="74" borderId="10" xfId="57847" applyFont="1" applyFill="1" applyBorder="1" applyAlignment="1" applyProtection="1">
      <alignment horizontal="center" vertical="center" textRotation="90" wrapText="1"/>
      <protection locked="0"/>
    </xf>
    <xf numFmtId="0" fontId="100" fillId="74" borderId="10" xfId="57847" applyFont="1" applyFill="1" applyBorder="1" applyAlignment="1" applyProtection="1">
      <alignment horizontal="center" vertical="center" wrapText="1"/>
      <protection locked="0"/>
    </xf>
    <xf numFmtId="0" fontId="110" fillId="74" borderId="28" xfId="57847" applyFont="1" applyFill="1" applyBorder="1" applyAlignment="1" applyProtection="1">
      <alignment vertical="center" wrapText="1"/>
      <protection locked="0"/>
    </xf>
    <xf numFmtId="3" fontId="98" fillId="74" borderId="28" xfId="57847" applyNumberFormat="1" applyFont="1" applyFill="1" applyBorder="1" applyAlignment="1" applyProtection="1">
      <alignment horizontal="center" vertical="center"/>
      <protection locked="0"/>
    </xf>
    <xf numFmtId="3" fontId="111" fillId="74" borderId="28" xfId="57847" applyNumberFormat="1" applyFont="1" applyFill="1" applyBorder="1" applyAlignment="1" applyProtection="1">
      <alignment horizontal="center" vertical="center"/>
      <protection locked="0"/>
    </xf>
    <xf numFmtId="0" fontId="110" fillId="74" borderId="10" xfId="57847" applyFont="1" applyFill="1" applyBorder="1" applyAlignment="1" applyProtection="1">
      <alignment vertical="center" wrapText="1"/>
      <protection locked="0"/>
    </xf>
    <xf numFmtId="3" fontId="98" fillId="74" borderId="10" xfId="57847" applyNumberFormat="1" applyFont="1" applyFill="1" applyBorder="1" applyAlignment="1" applyProtection="1">
      <alignment horizontal="center" vertical="center"/>
      <protection locked="0"/>
    </xf>
    <xf numFmtId="3" fontId="111" fillId="74" borderId="10" xfId="57847" applyNumberFormat="1" applyFont="1" applyFill="1" applyBorder="1" applyAlignment="1" applyProtection="1">
      <alignment horizontal="center" vertical="center"/>
      <protection locked="0"/>
    </xf>
    <xf numFmtId="3" fontId="98" fillId="74" borderId="10" xfId="57847" applyNumberFormat="1" applyFont="1" applyFill="1" applyBorder="1" applyAlignment="1" applyProtection="1">
      <alignment vertical="center"/>
      <protection locked="0"/>
    </xf>
    <xf numFmtId="3" fontId="111" fillId="74" borderId="10" xfId="57847" applyNumberFormat="1" applyFont="1" applyFill="1" applyBorder="1" applyAlignment="1" applyProtection="1">
      <alignment vertical="center"/>
      <protection locked="0"/>
    </xf>
    <xf numFmtId="3" fontId="98" fillId="74" borderId="32" xfId="57847" applyNumberFormat="1" applyFont="1" applyFill="1" applyBorder="1" applyAlignment="1" applyProtection="1">
      <alignment horizontal="center" vertical="center"/>
      <protection locked="0"/>
    </xf>
    <xf numFmtId="3" fontId="111" fillId="74" borderId="32" xfId="57847" applyNumberFormat="1" applyFont="1" applyFill="1" applyBorder="1" applyAlignment="1" applyProtection="1">
      <alignment horizontal="center" vertical="center"/>
      <protection locked="0"/>
    </xf>
    <xf numFmtId="3" fontId="98" fillId="74" borderId="32" xfId="57847" applyNumberFormat="1" applyFont="1" applyFill="1" applyBorder="1" applyAlignment="1" applyProtection="1">
      <alignment vertical="center"/>
      <protection locked="0"/>
    </xf>
    <xf numFmtId="3" fontId="111" fillId="74" borderId="32" xfId="57847" applyNumberFormat="1" applyFont="1" applyFill="1" applyBorder="1" applyAlignment="1" applyProtection="1">
      <alignment vertical="center"/>
      <protection locked="0"/>
    </xf>
    <xf numFmtId="3" fontId="98" fillId="74" borderId="28" xfId="57847" applyNumberFormat="1" applyFont="1" applyFill="1" applyBorder="1" applyAlignment="1" applyProtection="1">
      <alignment vertical="center"/>
      <protection locked="0"/>
    </xf>
    <xf numFmtId="0" fontId="110" fillId="74" borderId="30" xfId="57847" applyFont="1" applyFill="1" applyBorder="1" applyAlignment="1" applyProtection="1">
      <alignment vertical="center" wrapText="1"/>
      <protection locked="0"/>
    </xf>
    <xf numFmtId="3" fontId="98" fillId="74" borderId="30" xfId="57847" applyNumberFormat="1" applyFont="1" applyFill="1" applyBorder="1" applyAlignment="1" applyProtection="1">
      <alignment horizontal="center" vertical="center"/>
      <protection locked="0"/>
    </xf>
    <xf numFmtId="3" fontId="98" fillId="74" borderId="30" xfId="57847" applyNumberFormat="1" applyFont="1" applyFill="1" applyBorder="1" applyAlignment="1" applyProtection="1">
      <alignment vertical="center"/>
      <protection locked="0"/>
    </xf>
    <xf numFmtId="0" fontId="98" fillId="74" borderId="10" xfId="57847" applyFont="1" applyFill="1" applyBorder="1" applyAlignment="1" applyProtection="1">
      <alignment horizontal="center"/>
      <protection locked="0"/>
    </xf>
    <xf numFmtId="0" fontId="98" fillId="74" borderId="10" xfId="57847" applyFont="1" applyFill="1" applyBorder="1" applyProtection="1">
      <protection locked="0"/>
    </xf>
    <xf numFmtId="0" fontId="106" fillId="74" borderId="0" xfId="57847" applyFont="1" applyFill="1"/>
    <xf numFmtId="0" fontId="95" fillId="74" borderId="0" xfId="57847" applyFont="1" applyFill="1" applyAlignment="1">
      <alignment horizontal="center"/>
    </xf>
    <xf numFmtId="0" fontId="95" fillId="74" borderId="0" xfId="57847" applyFont="1" applyFill="1"/>
    <xf numFmtId="0" fontId="106" fillId="74" borderId="24" xfId="57847" applyFont="1" applyFill="1" applyBorder="1" applyAlignment="1">
      <alignment horizontal="center" vertical="center" wrapText="1"/>
    </xf>
    <xf numFmtId="0" fontId="106" fillId="74" borderId="24" xfId="57847" applyFont="1" applyFill="1" applyBorder="1" applyAlignment="1">
      <alignment vertical="center"/>
    </xf>
    <xf numFmtId="0" fontId="100" fillId="74" borderId="30" xfId="57847" applyFont="1" applyFill="1" applyBorder="1" applyAlignment="1" applyProtection="1">
      <alignment horizontal="center" vertical="center" wrapText="1"/>
      <protection locked="0"/>
    </xf>
    <xf numFmtId="3" fontId="101" fillId="74" borderId="10" xfId="57847" applyNumberFormat="1" applyFont="1" applyFill="1" applyBorder="1" applyAlignment="1" applyProtection="1">
      <alignment horizontal="center" vertical="center"/>
      <protection locked="0"/>
    </xf>
    <xf numFmtId="0" fontId="101" fillId="74" borderId="0" xfId="57847" applyFont="1" applyFill="1" applyProtection="1">
      <protection locked="0"/>
    </xf>
    <xf numFmtId="3" fontId="110" fillId="74" borderId="28" xfId="57847" applyNumberFormat="1" applyFont="1" applyFill="1" applyBorder="1" applyAlignment="1" applyProtection="1">
      <alignment vertical="center" wrapText="1"/>
      <protection locked="0"/>
    </xf>
    <xf numFmtId="3" fontId="98" fillId="74" borderId="10" xfId="57847" applyNumberFormat="1" applyFont="1" applyFill="1" applyBorder="1" applyAlignment="1" applyProtection="1">
      <alignment horizontal="center"/>
      <protection locked="0"/>
    </xf>
    <xf numFmtId="3" fontId="110" fillId="74" borderId="10" xfId="57847" applyNumberFormat="1" applyFont="1" applyFill="1" applyBorder="1" applyAlignment="1" applyProtection="1">
      <alignment vertical="center" wrapText="1"/>
      <protection locked="0"/>
    </xf>
    <xf numFmtId="3" fontId="110" fillId="74" borderId="30" xfId="57847" applyNumberFormat="1" applyFont="1" applyFill="1" applyBorder="1" applyAlignment="1" applyProtection="1">
      <alignment vertical="center" wrapText="1"/>
      <protection locked="0"/>
    </xf>
    <xf numFmtId="0" fontId="106" fillId="74" borderId="24" xfId="57847" applyFont="1" applyFill="1" applyBorder="1" applyAlignment="1">
      <alignment horizontal="center" vertical="center" wrapText="1"/>
    </xf>
    <xf numFmtId="0" fontId="99" fillId="74" borderId="28" xfId="57847" applyFont="1" applyFill="1" applyBorder="1" applyAlignment="1" applyProtection="1">
      <alignment horizontal="center" vertical="center" wrapText="1"/>
      <protection locked="0"/>
    </xf>
    <xf numFmtId="0" fontId="99" fillId="74" borderId="30" xfId="57847" applyFont="1" applyFill="1" applyBorder="1" applyAlignment="1" applyProtection="1">
      <alignment horizontal="center" vertical="center" wrapText="1"/>
      <protection locked="0"/>
    </xf>
    <xf numFmtId="0" fontId="101" fillId="74" borderId="25" xfId="57847" applyFont="1" applyFill="1" applyBorder="1" applyAlignment="1" applyProtection="1">
      <alignment horizontal="center" vertical="center" wrapText="1"/>
      <protection locked="0"/>
    </xf>
    <xf numFmtId="0" fontId="101" fillId="74" borderId="27" xfId="57847" applyFont="1" applyFill="1" applyBorder="1" applyAlignment="1" applyProtection="1">
      <alignment horizontal="center" vertical="center" wrapText="1"/>
      <protection locked="0"/>
    </xf>
    <xf numFmtId="0" fontId="101" fillId="74" borderId="10" xfId="57847" applyFont="1" applyFill="1" applyBorder="1" applyAlignment="1" applyProtection="1">
      <alignment horizontal="center" vertical="center"/>
      <protection locked="0"/>
    </xf>
    <xf numFmtId="0" fontId="109" fillId="74" borderId="25" xfId="57847" applyFont="1" applyFill="1" applyBorder="1" applyAlignment="1" applyProtection="1">
      <alignment horizontal="center" vertical="center" wrapText="1"/>
      <protection locked="0"/>
    </xf>
    <xf numFmtId="0" fontId="109" fillId="74" borderId="27" xfId="57847" applyFont="1" applyFill="1" applyBorder="1" applyAlignment="1" applyProtection="1">
      <alignment horizontal="center" vertical="center" wrapText="1"/>
      <protection locked="0"/>
    </xf>
    <xf numFmtId="0" fontId="101" fillId="74" borderId="25" xfId="57847" applyFont="1" applyFill="1" applyBorder="1" applyAlignment="1" applyProtection="1">
      <alignment horizontal="center" vertical="center"/>
      <protection locked="0"/>
    </xf>
    <xf numFmtId="0" fontId="101" fillId="74" borderId="27" xfId="57847" applyFont="1" applyFill="1" applyBorder="1" applyAlignment="1" applyProtection="1">
      <alignment horizontal="center" vertical="center"/>
      <protection locked="0"/>
    </xf>
    <xf numFmtId="0" fontId="61" fillId="74" borderId="28" xfId="0" applyFont="1" applyFill="1" applyBorder="1" applyAlignment="1">
      <alignment horizontal="center" vertical="center"/>
    </xf>
    <xf numFmtId="0" fontId="61" fillId="74" borderId="30" xfId="0" applyFont="1" applyFill="1" applyBorder="1" applyAlignment="1">
      <alignment horizontal="center" vertical="center"/>
    </xf>
    <xf numFmtId="0" fontId="61" fillId="74" borderId="10" xfId="0" applyFont="1" applyFill="1" applyBorder="1" applyAlignment="1">
      <alignment horizontal="center" vertical="center" wrapText="1"/>
    </xf>
    <xf numFmtId="0" fontId="61" fillId="74" borderId="28" xfId="0" applyFont="1" applyFill="1" applyBorder="1" applyAlignment="1">
      <alignment horizontal="center" vertical="center" wrapText="1"/>
    </xf>
    <xf numFmtId="0" fontId="95" fillId="74" borderId="32" xfId="0" applyFont="1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 wrapText="1"/>
    </xf>
    <xf numFmtId="0" fontId="95" fillId="74" borderId="30" xfId="0" applyFont="1" applyFill="1" applyBorder="1" applyAlignment="1">
      <alignment horizontal="center" vertical="center" wrapText="1"/>
    </xf>
    <xf numFmtId="0" fontId="38" fillId="74" borderId="30" xfId="0" applyFont="1" applyFill="1" applyBorder="1" applyAlignment="1">
      <alignment horizontal="center" vertical="center"/>
    </xf>
    <xf numFmtId="2" fontId="64" fillId="74" borderId="0" xfId="0" applyNumberFormat="1" applyFont="1" applyFill="1" applyAlignment="1">
      <alignment horizontal="center" vertical="center" wrapText="1"/>
    </xf>
    <xf numFmtId="0" fontId="108" fillId="74" borderId="0" xfId="0" applyFont="1" applyFill="1" applyAlignment="1">
      <alignment horizontal="center" vertical="center" wrapText="1"/>
    </xf>
    <xf numFmtId="3" fontId="61" fillId="74" borderId="0" xfId="0" applyNumberFormat="1" applyFont="1" applyFill="1" applyBorder="1" applyAlignment="1">
      <alignment horizontal="right" vertical="center"/>
    </xf>
    <xf numFmtId="3" fontId="61" fillId="74" borderId="28" xfId="0" applyNumberFormat="1" applyFont="1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/>
    </xf>
    <xf numFmtId="3" fontId="65" fillId="74" borderId="10" xfId="0" applyNumberFormat="1" applyFont="1" applyFill="1" applyBorder="1" applyAlignment="1">
      <alignment horizontal="center" vertical="center" wrapText="1"/>
    </xf>
    <xf numFmtId="0" fontId="0" fillId="74" borderId="10" xfId="0" applyFill="1" applyBorder="1" applyAlignment="1">
      <alignment horizontal="center" vertical="center" wrapText="1"/>
    </xf>
    <xf numFmtId="3" fontId="61" fillId="74" borderId="25" xfId="0" applyNumberFormat="1" applyFont="1" applyFill="1" applyBorder="1" applyAlignment="1">
      <alignment horizontal="center" vertical="center" wrapText="1"/>
    </xf>
    <xf numFmtId="0" fontId="0" fillId="74" borderId="27" xfId="0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3" fontId="65" fillId="0" borderId="24" xfId="0" applyNumberFormat="1" applyFont="1" applyFill="1" applyBorder="1" applyAlignment="1">
      <alignment horizontal="right"/>
    </xf>
    <xf numFmtId="3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65" fillId="0" borderId="25" xfId="0" applyNumberFormat="1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/>
    <xf numFmtId="3" fontId="65" fillId="0" borderId="28" xfId="0" applyNumberFormat="1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/>
    </xf>
    <xf numFmtId="3" fontId="71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10" xfId="0" applyNumberFormat="1" applyFont="1" applyFill="1" applyBorder="1" applyAlignment="1">
      <alignment horizontal="center" vertical="center" wrapText="1"/>
    </xf>
    <xf numFmtId="3" fontId="7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28" xfId="0" applyNumberFormat="1" applyFont="1" applyFill="1" applyBorder="1" applyAlignment="1" applyProtection="1">
      <alignment horizontal="center" vertical="center"/>
      <protection locked="0"/>
    </xf>
    <xf numFmtId="3" fontId="65" fillId="0" borderId="32" xfId="0" applyNumberFormat="1" applyFont="1" applyFill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3" fontId="65" fillId="0" borderId="24" xfId="0" applyNumberFormat="1" applyFont="1" applyFill="1" applyBorder="1" applyAlignment="1">
      <alignment horizontal="right" wrapText="1"/>
    </xf>
    <xf numFmtId="0" fontId="65" fillId="0" borderId="24" xfId="0" applyFont="1" applyFill="1" applyBorder="1" applyAlignment="1">
      <alignment horizontal="right" wrapText="1"/>
    </xf>
    <xf numFmtId="3" fontId="7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25" xfId="0" applyNumberFormat="1" applyFont="1" applyFill="1" applyBorder="1" applyAlignment="1">
      <alignment horizontal="center" vertical="center"/>
    </xf>
    <xf numFmtId="3" fontId="70" fillId="0" borderId="26" xfId="0" applyNumberFormat="1" applyFont="1" applyFill="1" applyBorder="1" applyAlignment="1">
      <alignment horizontal="center" vertical="center"/>
    </xf>
    <xf numFmtId="3" fontId="70" fillId="0" borderId="27" xfId="0" applyNumberFormat="1" applyFont="1" applyFill="1" applyBorder="1" applyAlignment="1">
      <alignment horizontal="center" vertical="center"/>
    </xf>
    <xf numFmtId="3" fontId="71" fillId="0" borderId="25" xfId="0" applyNumberFormat="1" applyFont="1" applyFill="1" applyBorder="1" applyAlignment="1" applyProtection="1">
      <alignment horizontal="center" vertical="center"/>
      <protection locked="0"/>
    </xf>
    <xf numFmtId="3" fontId="71" fillId="0" borderId="26" xfId="0" applyNumberFormat="1" applyFont="1" applyFill="1" applyBorder="1" applyAlignment="1" applyProtection="1">
      <alignment horizontal="center" vertical="center"/>
      <protection locked="0"/>
    </xf>
    <xf numFmtId="3" fontId="71" fillId="0" borderId="28" xfId="0" applyNumberFormat="1" applyFont="1" applyFill="1" applyBorder="1" applyAlignment="1">
      <alignment horizontal="center" vertical="center"/>
    </xf>
    <xf numFmtId="3" fontId="71" fillId="0" borderId="32" xfId="0" applyNumberFormat="1" applyFont="1" applyFill="1" applyBorder="1" applyAlignment="1">
      <alignment horizontal="center" vertical="center"/>
    </xf>
    <xf numFmtId="3" fontId="71" fillId="0" borderId="30" xfId="0" applyNumberFormat="1" applyFont="1" applyFill="1" applyBorder="1" applyAlignment="1">
      <alignment horizontal="center" vertical="center"/>
    </xf>
    <xf numFmtId="3" fontId="71" fillId="0" borderId="25" xfId="0" applyNumberFormat="1" applyFont="1" applyFill="1" applyBorder="1" applyAlignment="1">
      <alignment horizontal="center" vertical="center" wrapText="1"/>
    </xf>
    <xf numFmtId="3" fontId="71" fillId="0" borderId="27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60" fillId="0" borderId="25" xfId="0" applyNumberFormat="1" applyFont="1" applyFill="1" applyBorder="1" applyAlignment="1">
      <alignment horizontal="center" vertical="center" wrapText="1"/>
    </xf>
    <xf numFmtId="3" fontId="60" fillId="0" borderId="26" xfId="0" applyNumberFormat="1" applyFont="1" applyFill="1" applyBorder="1" applyAlignment="1">
      <alignment horizontal="center" vertical="center" wrapText="1"/>
    </xf>
    <xf numFmtId="3" fontId="60" fillId="0" borderId="27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 applyAlignment="1">
      <alignment horizontal="center" vertical="center" wrapText="1"/>
    </xf>
    <xf numFmtId="3" fontId="9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8" fillId="0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28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3" fontId="65" fillId="0" borderId="26" xfId="0" applyNumberFormat="1" applyFont="1" applyFill="1" applyBorder="1" applyAlignment="1">
      <alignment horizontal="center" vertical="center" wrapText="1"/>
    </xf>
    <xf numFmtId="3" fontId="65" fillId="0" borderId="27" xfId="0" applyNumberFormat="1" applyFont="1" applyFill="1" applyBorder="1" applyAlignment="1">
      <alignment horizontal="center" vertical="center" wrapText="1"/>
    </xf>
    <xf numFmtId="3" fontId="65" fillId="0" borderId="30" xfId="0" applyNumberFormat="1" applyFont="1" applyFill="1" applyBorder="1" applyAlignment="1">
      <alignment horizontal="center" vertical="center"/>
    </xf>
    <xf numFmtId="0" fontId="65" fillId="0" borderId="29" xfId="57742" applyFont="1" applyFill="1" applyBorder="1" applyAlignment="1">
      <alignment horizontal="center" vertical="center" wrapText="1"/>
    </xf>
    <xf numFmtId="0" fontId="65" fillId="0" borderId="34" xfId="57742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80" fillId="0" borderId="10" xfId="0" applyFont="1" applyFill="1" applyBorder="1" applyAlignment="1">
      <alignment horizontal="center" vertical="center"/>
    </xf>
    <xf numFmtId="0" fontId="79" fillId="0" borderId="28" xfId="57572" applyFont="1" applyFill="1" applyBorder="1" applyAlignment="1">
      <alignment horizontal="center" vertical="center" wrapText="1"/>
    </xf>
    <xf numFmtId="0" fontId="79" fillId="0" borderId="30" xfId="57572" applyFont="1" applyFill="1" applyBorder="1" applyAlignment="1">
      <alignment horizontal="center" vertical="center" wrapText="1"/>
    </xf>
    <xf numFmtId="0" fontId="79" fillId="0" borderId="10" xfId="57572" applyFont="1" applyFill="1" applyBorder="1" applyAlignment="1">
      <alignment horizontal="center" vertical="center" wrapText="1"/>
    </xf>
    <xf numFmtId="0" fontId="79" fillId="0" borderId="32" xfId="57572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80" fillId="0" borderId="3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8" fillId="0" borderId="24" xfId="0" applyFont="1" applyFill="1" applyBorder="1" applyAlignment="1">
      <alignment horizontal="center"/>
    </xf>
    <xf numFmtId="0" fontId="79" fillId="0" borderId="25" xfId="57572" applyFont="1" applyFill="1" applyBorder="1" applyAlignment="1">
      <alignment horizontal="center" vertical="center" wrapText="1"/>
    </xf>
    <xf numFmtId="0" fontId="79" fillId="0" borderId="26" xfId="57572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/>
    </xf>
    <xf numFmtId="0" fontId="90" fillId="0" borderId="49" xfId="57572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90" fillId="0" borderId="27" xfId="57572" applyFont="1" applyFill="1" applyBorder="1" applyAlignment="1">
      <alignment horizontal="center" vertical="top" wrapText="1"/>
    </xf>
    <xf numFmtId="0" fontId="90" fillId="0" borderId="10" xfId="57572" applyFont="1" applyFill="1" applyBorder="1" applyAlignment="1">
      <alignment horizontal="center" vertical="top" wrapText="1"/>
    </xf>
    <xf numFmtId="0" fontId="90" fillId="0" borderId="50" xfId="57572" applyFont="1" applyFill="1" applyBorder="1" applyAlignment="1">
      <alignment horizontal="center" vertical="top" wrapText="1"/>
    </xf>
    <xf numFmtId="0" fontId="90" fillId="0" borderId="53" xfId="57572" applyFont="1" applyFill="1" applyBorder="1" applyAlignment="1">
      <alignment horizontal="center" vertical="top" wrapText="1"/>
    </xf>
    <xf numFmtId="0" fontId="88" fillId="0" borderId="0" xfId="0" applyFont="1" applyFill="1" applyAlignment="1">
      <alignment horizontal="center" vertical="center"/>
    </xf>
    <xf numFmtId="0" fontId="90" fillId="0" borderId="35" xfId="57572" applyFont="1" applyFill="1" applyBorder="1" applyAlignment="1">
      <alignment horizontal="center" vertical="center" wrapText="1"/>
    </xf>
    <xf numFmtId="0" fontId="90" fillId="0" borderId="44" xfId="57572" applyFont="1" applyFill="1" applyBorder="1" applyAlignment="1">
      <alignment horizontal="center" vertical="center" wrapText="1"/>
    </xf>
    <xf numFmtId="0" fontId="90" fillId="0" borderId="51" xfId="57572" applyFont="1" applyFill="1" applyBorder="1" applyAlignment="1">
      <alignment horizontal="center" vertical="center" wrapText="1"/>
    </xf>
    <xf numFmtId="0" fontId="90" fillId="0" borderId="36" xfId="57572" applyFont="1" applyFill="1" applyBorder="1" applyAlignment="1">
      <alignment horizontal="center" vertical="center" wrapText="1"/>
    </xf>
    <xf numFmtId="0" fontId="90" fillId="0" borderId="45" xfId="57572" applyFont="1" applyFill="1" applyBorder="1" applyAlignment="1">
      <alignment horizontal="center" vertical="center" wrapText="1"/>
    </xf>
    <xf numFmtId="0" fontId="90" fillId="0" borderId="33" xfId="57572" applyFont="1" applyFill="1" applyBorder="1" applyAlignment="1">
      <alignment horizontal="center" vertical="center" wrapText="1"/>
    </xf>
    <xf numFmtId="0" fontId="90" fillId="0" borderId="37" xfId="57572" applyFont="1" applyFill="1" applyBorder="1" applyAlignment="1">
      <alignment horizontal="center" vertical="center" wrapText="1"/>
    </xf>
    <xf numFmtId="0" fontId="90" fillId="0" borderId="46" xfId="57572" applyFont="1" applyFill="1" applyBorder="1" applyAlignment="1">
      <alignment horizontal="center" vertical="center" wrapText="1"/>
    </xf>
    <xf numFmtId="0" fontId="90" fillId="0" borderId="52" xfId="57572" applyFont="1" applyFill="1" applyBorder="1" applyAlignment="1">
      <alignment horizontal="center" vertical="center" wrapText="1"/>
    </xf>
    <xf numFmtId="0" fontId="90" fillId="0" borderId="38" xfId="57572" applyFont="1" applyFill="1" applyBorder="1" applyAlignment="1">
      <alignment horizontal="center" vertical="center" wrapText="1"/>
    </xf>
    <xf numFmtId="0" fontId="90" fillId="0" borderId="39" xfId="57572" applyFont="1" applyFill="1" applyBorder="1" applyAlignment="1">
      <alignment horizontal="center" vertical="center" wrapText="1"/>
    </xf>
    <xf numFmtId="0" fontId="90" fillId="0" borderId="40" xfId="57572" applyFont="1" applyFill="1" applyBorder="1" applyAlignment="1">
      <alignment horizontal="center" vertical="center" wrapText="1"/>
    </xf>
    <xf numFmtId="0" fontId="90" fillId="0" borderId="41" xfId="57572" applyFont="1" applyFill="1" applyBorder="1" applyAlignment="1">
      <alignment horizontal="center" vertical="center" wrapText="1"/>
    </xf>
    <xf numFmtId="0" fontId="90" fillId="0" borderId="42" xfId="57572" applyFont="1" applyFill="1" applyBorder="1" applyAlignment="1">
      <alignment horizontal="center" vertical="center" wrapText="1"/>
    </xf>
    <xf numFmtId="0" fontId="90" fillId="0" borderId="43" xfId="57572" applyFont="1" applyFill="1" applyBorder="1" applyAlignment="1">
      <alignment horizontal="center" vertical="center" wrapText="1"/>
    </xf>
    <xf numFmtId="0" fontId="90" fillId="0" borderId="47" xfId="57572" applyFont="1" applyFill="1" applyBorder="1" applyAlignment="1">
      <alignment horizontal="center" vertical="center" wrapText="1"/>
    </xf>
    <xf numFmtId="0" fontId="90" fillId="0" borderId="26" xfId="57572" applyFont="1" applyFill="1" applyBorder="1" applyAlignment="1">
      <alignment horizontal="center" vertical="center" wrapText="1"/>
    </xf>
    <xf numFmtId="0" fontId="90" fillId="0" borderId="48" xfId="57572" applyFont="1" applyFill="1" applyBorder="1" applyAlignment="1">
      <alignment horizontal="center" vertical="center" wrapText="1"/>
    </xf>
    <xf numFmtId="0" fontId="90" fillId="0" borderId="10" xfId="57572" applyFont="1" applyFill="1" applyBorder="1" applyAlignment="1">
      <alignment horizontal="center" vertical="center" wrapText="1"/>
    </xf>
    <xf numFmtId="0" fontId="90" fillId="0" borderId="49" xfId="57572" applyFont="1" applyFill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/>
    </xf>
    <xf numFmtId="0" fontId="78" fillId="0" borderId="73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72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67" xfId="0" applyFont="1" applyBorder="1" applyAlignment="1">
      <alignment horizontal="center" vertical="center" wrapText="1"/>
    </xf>
    <xf numFmtId="0" fontId="90" fillId="0" borderId="68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0" fillId="0" borderId="69" xfId="0" applyFont="1" applyBorder="1" applyAlignment="1">
      <alignment horizontal="center" vertical="center" wrapText="1"/>
    </xf>
    <xf numFmtId="0" fontId="90" fillId="0" borderId="70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/>
    </xf>
    <xf numFmtId="0" fontId="95" fillId="0" borderId="66" xfId="0" applyFont="1" applyBorder="1" applyAlignment="1">
      <alignment vertical="center" wrapText="1"/>
    </xf>
    <xf numFmtId="0" fontId="90" fillId="0" borderId="73" xfId="0" applyFont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78" fillId="0" borderId="32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/>
    </xf>
    <xf numFmtId="0" fontId="78" fillId="0" borderId="26" xfId="0" applyFont="1" applyFill="1" applyBorder="1" applyAlignment="1">
      <alignment horizontal="center"/>
    </xf>
    <xf numFmtId="0" fontId="78" fillId="0" borderId="27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25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3" fontId="60" fillId="0" borderId="28" xfId="57896" applyNumberFormat="1" applyFont="1" applyFill="1" applyBorder="1" applyAlignment="1">
      <alignment horizontal="center" vertical="center" wrapText="1"/>
    </xf>
    <xf numFmtId="3" fontId="60" fillId="0" borderId="32" xfId="57896" applyNumberFormat="1" applyFont="1" applyFill="1" applyBorder="1" applyAlignment="1">
      <alignment horizontal="center" vertical="center" wrapText="1"/>
    </xf>
    <xf numFmtId="3" fontId="60" fillId="0" borderId="30" xfId="57896" applyNumberFormat="1" applyFont="1" applyFill="1" applyBorder="1" applyAlignment="1">
      <alignment horizontal="center" vertical="center" wrapText="1"/>
    </xf>
    <xf numFmtId="3" fontId="60" fillId="0" borderId="10" xfId="57896" applyNumberFormat="1" applyFont="1" applyFill="1" applyBorder="1" applyAlignment="1">
      <alignment horizontal="center" vertical="center" wrapText="1"/>
    </xf>
    <xf numFmtId="3" fontId="102" fillId="0" borderId="28" xfId="0" applyNumberFormat="1" applyFont="1" applyFill="1" applyBorder="1" applyAlignment="1">
      <alignment horizontal="center" vertical="center" wrapText="1"/>
    </xf>
    <xf numFmtId="3" fontId="78" fillId="0" borderId="30" xfId="0" applyNumberFormat="1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0" fillId="0" borderId="28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3" fontId="78" fillId="0" borderId="32" xfId="0" applyNumberFormat="1" applyFont="1" applyFill="1" applyBorder="1" applyAlignment="1">
      <alignment horizontal="center" vertical="center" wrapText="1"/>
    </xf>
    <xf numFmtId="3" fontId="102" fillId="0" borderId="29" xfId="0" applyNumberFormat="1" applyFont="1" applyFill="1" applyBorder="1" applyAlignment="1">
      <alignment horizontal="center" vertical="center" wrapText="1"/>
    </xf>
    <xf numFmtId="3" fontId="78" fillId="0" borderId="31" xfId="0" applyNumberFormat="1" applyFont="1" applyFill="1" applyBorder="1" applyAlignment="1">
      <alignment horizontal="center" vertical="center" wrapText="1"/>
    </xf>
    <xf numFmtId="3" fontId="78" fillId="0" borderId="33" xfId="0" applyNumberFormat="1" applyFont="1" applyFill="1" applyBorder="1" applyAlignment="1">
      <alignment horizontal="center" vertical="center" wrapText="1"/>
    </xf>
    <xf numFmtId="3" fontId="78" fillId="0" borderId="57" xfId="0" applyNumberFormat="1" applyFont="1" applyFill="1" applyBorder="1" applyAlignment="1">
      <alignment horizontal="center" vertical="center" wrapText="1"/>
    </xf>
    <xf numFmtId="3" fontId="60" fillId="0" borderId="25" xfId="57896" applyNumberFormat="1" applyFont="1" applyFill="1" applyBorder="1" applyAlignment="1">
      <alignment horizontal="center" vertical="center" wrapText="1"/>
    </xf>
    <xf numFmtId="3" fontId="60" fillId="0" borderId="26" xfId="57896" applyNumberFormat="1" applyFont="1" applyFill="1" applyBorder="1" applyAlignment="1">
      <alignment horizontal="center" vertical="center" wrapText="1"/>
    </xf>
    <xf numFmtId="3" fontId="60" fillId="0" borderId="27" xfId="57896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8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49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1"/>
    <cellStyle name="Обычный_Ежемесячный отчет 2004 г." xfId="59250"/>
    <cellStyle name="Обычный_Лист1" xfId="59252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zoomScaleSheetLayoutView="70" workbookViewId="0">
      <pane xSplit="2" ySplit="3" topLeftCell="AM69" activePane="bottomRight" state="frozen"/>
      <selection pane="topRight" activeCell="E1" sqref="E1"/>
      <selection pane="bottomLeft" activeCell="A4" sqref="A4"/>
      <selection pane="bottomRight" activeCell="AR90" sqref="AR90"/>
    </sheetView>
  </sheetViews>
  <sheetFormatPr defaultRowHeight="12.75" x14ac:dyDescent="0.2"/>
  <cols>
    <col min="1" max="1" width="7.28515625" style="314" customWidth="1"/>
    <col min="2" max="2" width="12.85546875" style="316" customWidth="1"/>
    <col min="3" max="3" width="6.5703125" style="315" customWidth="1"/>
    <col min="4" max="4" width="11.5703125" style="316" customWidth="1"/>
    <col min="5" max="5" width="6.140625" style="315" customWidth="1"/>
    <col min="6" max="6" width="11.140625" style="316" customWidth="1"/>
    <col min="7" max="7" width="5.42578125" style="315" customWidth="1"/>
    <col min="8" max="8" width="11.42578125" style="316" customWidth="1"/>
    <col min="9" max="9" width="6.28515625" style="315" customWidth="1"/>
    <col min="10" max="10" width="11.28515625" style="316" customWidth="1"/>
    <col min="11" max="11" width="5" style="315" customWidth="1"/>
    <col min="12" max="12" width="10.85546875" style="316" customWidth="1"/>
    <col min="13" max="13" width="5.85546875" style="316" customWidth="1"/>
    <col min="14" max="14" width="9.42578125" style="316" customWidth="1"/>
    <col min="15" max="15" width="5.5703125" style="315" customWidth="1"/>
    <col min="16" max="16" width="10.140625" style="316" customWidth="1"/>
    <col min="17" max="17" width="5.85546875" style="315" customWidth="1"/>
    <col min="18" max="18" width="11" style="316" customWidth="1"/>
    <col min="19" max="19" width="6.140625" style="315" customWidth="1"/>
    <col min="20" max="20" width="11.28515625" style="316" customWidth="1"/>
    <col min="21" max="21" width="5.28515625" style="316" customWidth="1"/>
    <col min="22" max="22" width="10.28515625" style="316" customWidth="1"/>
    <col min="23" max="23" width="6.28515625" style="316" customWidth="1"/>
    <col min="24" max="24" width="11.7109375" style="316" customWidth="1"/>
    <col min="25" max="25" width="5" style="316" customWidth="1"/>
    <col min="26" max="26" width="10" style="316" customWidth="1"/>
    <col min="27" max="27" width="5.5703125" style="316" customWidth="1"/>
    <col min="28" max="28" width="9.5703125" style="316" customWidth="1"/>
    <col min="29" max="29" width="7.28515625" style="315" customWidth="1"/>
    <col min="30" max="30" width="11.7109375" style="316" customWidth="1"/>
    <col min="31" max="31" width="5.7109375" style="315" customWidth="1"/>
    <col min="32" max="32" width="10.5703125" style="316" customWidth="1"/>
    <col min="33" max="33" width="5" style="316" customWidth="1"/>
    <col min="34" max="34" width="9.5703125" style="316" customWidth="1"/>
    <col min="35" max="35" width="6" style="315" customWidth="1"/>
    <col min="36" max="38" width="10.140625" style="316" customWidth="1"/>
    <col min="39" max="39" width="5.7109375" style="316" customWidth="1"/>
    <col min="40" max="40" width="9.140625" style="316" customWidth="1"/>
    <col min="41" max="41" width="5.5703125" style="316" customWidth="1"/>
    <col min="42" max="42" width="9" style="316" customWidth="1"/>
    <col min="43" max="43" width="5.140625" style="315" customWidth="1"/>
    <col min="44" max="44" width="10.5703125" style="316" customWidth="1"/>
    <col min="45" max="45" width="6" style="315" customWidth="1"/>
    <col min="46" max="46" width="11" style="316" customWidth="1"/>
    <col min="47" max="47" width="5.85546875" style="315" customWidth="1"/>
    <col min="48" max="48" width="10.5703125" style="316" customWidth="1"/>
    <col min="49" max="49" width="6.7109375" style="315" customWidth="1"/>
    <col min="50" max="50" width="11" style="316" customWidth="1"/>
    <col min="51" max="51" width="7" style="316" customWidth="1"/>
    <col min="52" max="52" width="12" style="316" customWidth="1"/>
    <col min="53" max="54" width="9.140625" style="316"/>
    <col min="55" max="55" width="9.140625" style="315"/>
    <col min="56" max="56" width="12.28515625" style="315" customWidth="1"/>
    <col min="57" max="16384" width="9.140625" style="316"/>
  </cols>
  <sheetData>
    <row r="1" spans="1:56" ht="17.25" customHeight="1" x14ac:dyDescent="0.2">
      <c r="A1" s="326" t="s">
        <v>531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17"/>
      <c r="AB1" s="317"/>
      <c r="AC1" s="317"/>
      <c r="AD1" s="317"/>
      <c r="AE1" s="317"/>
      <c r="AF1" s="317"/>
      <c r="AG1" s="317"/>
      <c r="AH1" s="317"/>
      <c r="AI1" s="318"/>
      <c r="AJ1" s="318"/>
      <c r="AK1" s="318"/>
      <c r="AL1" s="318"/>
      <c r="AM1" s="318"/>
      <c r="AN1" s="318"/>
      <c r="AO1" s="317"/>
      <c r="AP1" s="317"/>
      <c r="AQ1" s="317"/>
      <c r="AR1" s="317"/>
      <c r="AS1" s="318"/>
      <c r="AT1" s="318"/>
      <c r="AU1" s="318"/>
      <c r="AV1" s="318"/>
      <c r="AW1" s="318"/>
      <c r="AX1" s="318"/>
      <c r="AY1" s="318"/>
      <c r="AZ1" s="318"/>
    </row>
    <row r="2" spans="1:56" s="293" customFormat="1" ht="39.75" customHeight="1" x14ac:dyDescent="0.2">
      <c r="A2" s="327" t="s">
        <v>532</v>
      </c>
      <c r="B2" s="327" t="s">
        <v>533</v>
      </c>
      <c r="C2" s="329" t="s">
        <v>112</v>
      </c>
      <c r="D2" s="330"/>
      <c r="E2" s="329" t="s">
        <v>116</v>
      </c>
      <c r="F2" s="330"/>
      <c r="G2" s="329" t="s">
        <v>61</v>
      </c>
      <c r="H2" s="330"/>
      <c r="I2" s="329" t="s">
        <v>69</v>
      </c>
      <c r="J2" s="330"/>
      <c r="K2" s="329" t="s">
        <v>357</v>
      </c>
      <c r="L2" s="330"/>
      <c r="M2" s="331" t="s">
        <v>356</v>
      </c>
      <c r="N2" s="331"/>
      <c r="O2" s="331" t="s">
        <v>64</v>
      </c>
      <c r="P2" s="331"/>
      <c r="Q2" s="329" t="s">
        <v>70</v>
      </c>
      <c r="R2" s="330"/>
      <c r="S2" s="329" t="s">
        <v>534</v>
      </c>
      <c r="T2" s="330"/>
      <c r="U2" s="329" t="s">
        <v>500</v>
      </c>
      <c r="V2" s="330"/>
      <c r="W2" s="329" t="s">
        <v>535</v>
      </c>
      <c r="X2" s="330"/>
      <c r="Y2" s="329" t="s">
        <v>536</v>
      </c>
      <c r="Z2" s="330"/>
      <c r="AA2" s="329" t="s">
        <v>537</v>
      </c>
      <c r="AB2" s="330"/>
      <c r="AC2" s="329" t="s">
        <v>538</v>
      </c>
      <c r="AD2" s="330"/>
      <c r="AE2" s="329" t="s">
        <v>539</v>
      </c>
      <c r="AF2" s="330"/>
      <c r="AG2" s="329" t="s">
        <v>540</v>
      </c>
      <c r="AH2" s="330"/>
      <c r="AI2" s="329" t="s">
        <v>47</v>
      </c>
      <c r="AJ2" s="330"/>
      <c r="AK2" s="329" t="s">
        <v>541</v>
      </c>
      <c r="AL2" s="330"/>
      <c r="AM2" s="329" t="s">
        <v>74</v>
      </c>
      <c r="AN2" s="330"/>
      <c r="AO2" s="329" t="s">
        <v>73</v>
      </c>
      <c r="AP2" s="330"/>
      <c r="AQ2" s="329" t="s">
        <v>542</v>
      </c>
      <c r="AR2" s="330"/>
      <c r="AS2" s="329" t="s">
        <v>543</v>
      </c>
      <c r="AT2" s="330"/>
      <c r="AU2" s="329" t="s">
        <v>544</v>
      </c>
      <c r="AV2" s="330"/>
      <c r="AW2" s="329" t="s">
        <v>58</v>
      </c>
      <c r="AX2" s="330"/>
      <c r="AY2" s="334" t="s">
        <v>545</v>
      </c>
      <c r="AZ2" s="335"/>
      <c r="BA2" s="334" t="s">
        <v>546</v>
      </c>
      <c r="BB2" s="335"/>
      <c r="BC2" s="334" t="s">
        <v>547</v>
      </c>
      <c r="BD2" s="335"/>
    </row>
    <row r="3" spans="1:56" s="293" customFormat="1" ht="100.5" customHeight="1" x14ac:dyDescent="0.2">
      <c r="A3" s="328"/>
      <c r="B3" s="328"/>
      <c r="C3" s="294" t="s">
        <v>548</v>
      </c>
      <c r="D3" s="294" t="s">
        <v>549</v>
      </c>
      <c r="E3" s="294" t="s">
        <v>548</v>
      </c>
      <c r="F3" s="294" t="s">
        <v>549</v>
      </c>
      <c r="G3" s="294" t="s">
        <v>548</v>
      </c>
      <c r="H3" s="294" t="s">
        <v>549</v>
      </c>
      <c r="I3" s="294" t="s">
        <v>548</v>
      </c>
      <c r="J3" s="294" t="s">
        <v>549</v>
      </c>
      <c r="K3" s="294" t="s">
        <v>548</v>
      </c>
      <c r="L3" s="294" t="s">
        <v>549</v>
      </c>
      <c r="M3" s="294" t="s">
        <v>548</v>
      </c>
      <c r="N3" s="294" t="s">
        <v>549</v>
      </c>
      <c r="O3" s="294" t="s">
        <v>548</v>
      </c>
      <c r="P3" s="294" t="s">
        <v>549</v>
      </c>
      <c r="Q3" s="294" t="s">
        <v>548</v>
      </c>
      <c r="R3" s="294" t="s">
        <v>549</v>
      </c>
      <c r="S3" s="294" t="s">
        <v>548</v>
      </c>
      <c r="T3" s="294" t="s">
        <v>549</v>
      </c>
      <c r="U3" s="294" t="s">
        <v>548</v>
      </c>
      <c r="V3" s="294" t="s">
        <v>549</v>
      </c>
      <c r="W3" s="294" t="s">
        <v>548</v>
      </c>
      <c r="X3" s="294" t="s">
        <v>549</v>
      </c>
      <c r="Y3" s="294" t="s">
        <v>548</v>
      </c>
      <c r="Z3" s="294" t="s">
        <v>549</v>
      </c>
      <c r="AA3" s="294" t="s">
        <v>548</v>
      </c>
      <c r="AB3" s="294" t="s">
        <v>549</v>
      </c>
      <c r="AC3" s="294" t="s">
        <v>548</v>
      </c>
      <c r="AD3" s="294" t="s">
        <v>549</v>
      </c>
      <c r="AE3" s="294" t="s">
        <v>548</v>
      </c>
      <c r="AF3" s="294" t="s">
        <v>549</v>
      </c>
      <c r="AG3" s="294" t="s">
        <v>548</v>
      </c>
      <c r="AH3" s="294" t="s">
        <v>549</v>
      </c>
      <c r="AI3" s="294" t="s">
        <v>548</v>
      </c>
      <c r="AJ3" s="294" t="s">
        <v>549</v>
      </c>
      <c r="AK3" s="294" t="s">
        <v>548</v>
      </c>
      <c r="AL3" s="294" t="s">
        <v>549</v>
      </c>
      <c r="AM3" s="294" t="s">
        <v>548</v>
      </c>
      <c r="AN3" s="294" t="s">
        <v>549</v>
      </c>
      <c r="AO3" s="294" t="s">
        <v>548</v>
      </c>
      <c r="AP3" s="294" t="s">
        <v>549</v>
      </c>
      <c r="AQ3" s="294" t="s">
        <v>548</v>
      </c>
      <c r="AR3" s="294" t="s">
        <v>549</v>
      </c>
      <c r="AS3" s="294" t="s">
        <v>548</v>
      </c>
      <c r="AT3" s="294" t="s">
        <v>549</v>
      </c>
      <c r="AU3" s="294" t="s">
        <v>548</v>
      </c>
      <c r="AV3" s="294" t="s">
        <v>549</v>
      </c>
      <c r="AW3" s="294" t="s">
        <v>548</v>
      </c>
      <c r="AX3" s="294" t="s">
        <v>549</v>
      </c>
      <c r="AY3" s="294" t="s">
        <v>548</v>
      </c>
      <c r="AZ3" s="294" t="s">
        <v>549</v>
      </c>
      <c r="BA3" s="294" t="s">
        <v>548</v>
      </c>
      <c r="BB3" s="294" t="s">
        <v>549</v>
      </c>
      <c r="BC3" s="294" t="s">
        <v>548</v>
      </c>
      <c r="BD3" s="294" t="s">
        <v>549</v>
      </c>
    </row>
    <row r="4" spans="1:56" s="293" customFormat="1" ht="11.25" customHeight="1" x14ac:dyDescent="0.2">
      <c r="A4" s="295">
        <v>1</v>
      </c>
      <c r="B4" s="319">
        <v>2</v>
      </c>
      <c r="C4" s="295">
        <v>3</v>
      </c>
      <c r="D4" s="319">
        <v>4</v>
      </c>
      <c r="E4" s="295">
        <v>5</v>
      </c>
      <c r="F4" s="319">
        <v>6</v>
      </c>
      <c r="G4" s="295">
        <v>7</v>
      </c>
      <c r="H4" s="319">
        <v>8</v>
      </c>
      <c r="I4" s="295">
        <v>9</v>
      </c>
      <c r="J4" s="319">
        <v>10</v>
      </c>
      <c r="K4" s="295">
        <v>11</v>
      </c>
      <c r="L4" s="319">
        <v>12</v>
      </c>
      <c r="M4" s="295">
        <v>13</v>
      </c>
      <c r="N4" s="319">
        <v>14</v>
      </c>
      <c r="O4" s="295">
        <v>15</v>
      </c>
      <c r="P4" s="319">
        <v>16</v>
      </c>
      <c r="Q4" s="295">
        <v>17</v>
      </c>
      <c r="R4" s="319">
        <v>18</v>
      </c>
      <c r="S4" s="295">
        <v>19</v>
      </c>
      <c r="T4" s="319">
        <v>20</v>
      </c>
      <c r="U4" s="295">
        <v>21</v>
      </c>
      <c r="V4" s="319">
        <v>22</v>
      </c>
      <c r="W4" s="295">
        <v>23</v>
      </c>
      <c r="X4" s="319">
        <v>24</v>
      </c>
      <c r="Y4" s="295">
        <v>25</v>
      </c>
      <c r="Z4" s="319">
        <v>26</v>
      </c>
      <c r="AA4" s="295">
        <v>27</v>
      </c>
      <c r="AB4" s="319">
        <v>28</v>
      </c>
      <c r="AC4" s="295">
        <v>29</v>
      </c>
      <c r="AD4" s="319">
        <v>30</v>
      </c>
      <c r="AE4" s="295">
        <v>31</v>
      </c>
      <c r="AF4" s="319">
        <v>32</v>
      </c>
      <c r="AG4" s="295">
        <v>33</v>
      </c>
      <c r="AH4" s="319">
        <v>34</v>
      </c>
      <c r="AI4" s="295">
        <v>35</v>
      </c>
      <c r="AJ4" s="319">
        <v>36</v>
      </c>
      <c r="AK4" s="319"/>
      <c r="AL4" s="319"/>
      <c r="AM4" s="295">
        <v>37</v>
      </c>
      <c r="AN4" s="319">
        <v>38</v>
      </c>
      <c r="AO4" s="295">
        <v>39</v>
      </c>
      <c r="AP4" s="319">
        <v>40</v>
      </c>
      <c r="AQ4" s="295">
        <v>41</v>
      </c>
      <c r="AR4" s="319">
        <v>42</v>
      </c>
      <c r="AS4" s="295">
        <v>43</v>
      </c>
      <c r="AT4" s="319">
        <v>44</v>
      </c>
      <c r="AU4" s="295">
        <v>45</v>
      </c>
      <c r="AV4" s="319">
        <v>46</v>
      </c>
      <c r="AW4" s="295">
        <v>47</v>
      </c>
      <c r="AX4" s="319">
        <v>48</v>
      </c>
      <c r="AY4" s="295">
        <v>49</v>
      </c>
      <c r="AZ4" s="319">
        <v>50</v>
      </c>
      <c r="BA4" s="295">
        <v>51</v>
      </c>
      <c r="BB4" s="319">
        <v>52</v>
      </c>
      <c r="BC4" s="295">
        <v>53</v>
      </c>
      <c r="BD4" s="319">
        <v>54</v>
      </c>
    </row>
    <row r="5" spans="1:56" s="321" customFormat="1" ht="20.25" customHeight="1" x14ac:dyDescent="0.2">
      <c r="A5" s="332" t="s">
        <v>550</v>
      </c>
      <c r="B5" s="333"/>
      <c r="C5" s="320">
        <f t="shared" ref="C5:BD5" si="0">C6+C7</f>
        <v>132</v>
      </c>
      <c r="D5" s="320">
        <f t="shared" si="0"/>
        <v>21820735</v>
      </c>
      <c r="E5" s="320">
        <f t="shared" si="0"/>
        <v>0</v>
      </c>
      <c r="F5" s="320">
        <f t="shared" si="0"/>
        <v>0</v>
      </c>
      <c r="G5" s="320">
        <f t="shared" si="0"/>
        <v>0</v>
      </c>
      <c r="H5" s="320">
        <f t="shared" si="0"/>
        <v>0</v>
      </c>
      <c r="I5" s="320">
        <f t="shared" si="0"/>
        <v>0</v>
      </c>
      <c r="J5" s="320">
        <f t="shared" si="0"/>
        <v>0</v>
      </c>
      <c r="K5" s="320">
        <f t="shared" si="0"/>
        <v>0</v>
      </c>
      <c r="L5" s="320">
        <f t="shared" si="0"/>
        <v>0</v>
      </c>
      <c r="M5" s="320">
        <f t="shared" si="0"/>
        <v>0</v>
      </c>
      <c r="N5" s="320">
        <f t="shared" si="0"/>
        <v>0</v>
      </c>
      <c r="O5" s="320">
        <f t="shared" si="0"/>
        <v>0</v>
      </c>
      <c r="P5" s="320">
        <f t="shared" si="0"/>
        <v>0</v>
      </c>
      <c r="Q5" s="320">
        <f t="shared" si="0"/>
        <v>0</v>
      </c>
      <c r="R5" s="320">
        <f t="shared" si="0"/>
        <v>0</v>
      </c>
      <c r="S5" s="320">
        <f t="shared" si="0"/>
        <v>56</v>
      </c>
      <c r="T5" s="320">
        <f t="shared" si="0"/>
        <v>9226280</v>
      </c>
      <c r="U5" s="320">
        <f t="shared" si="0"/>
        <v>0</v>
      </c>
      <c r="V5" s="320">
        <f t="shared" si="0"/>
        <v>0</v>
      </c>
      <c r="W5" s="320">
        <f t="shared" si="0"/>
        <v>0</v>
      </c>
      <c r="X5" s="320">
        <f t="shared" si="0"/>
        <v>0</v>
      </c>
      <c r="Y5" s="320">
        <f t="shared" si="0"/>
        <v>0</v>
      </c>
      <c r="Z5" s="320">
        <f t="shared" si="0"/>
        <v>0</v>
      </c>
      <c r="AA5" s="320">
        <f t="shared" si="0"/>
        <v>0</v>
      </c>
      <c r="AB5" s="320">
        <f t="shared" si="0"/>
        <v>0</v>
      </c>
      <c r="AC5" s="320">
        <f t="shared" si="0"/>
        <v>0</v>
      </c>
      <c r="AD5" s="320">
        <f t="shared" si="0"/>
        <v>0</v>
      </c>
      <c r="AE5" s="320">
        <f t="shared" si="0"/>
        <v>0</v>
      </c>
      <c r="AF5" s="320">
        <f t="shared" si="0"/>
        <v>0</v>
      </c>
      <c r="AG5" s="320">
        <f t="shared" si="0"/>
        <v>0</v>
      </c>
      <c r="AH5" s="320">
        <f t="shared" si="0"/>
        <v>0</v>
      </c>
      <c r="AI5" s="320">
        <f t="shared" si="0"/>
        <v>0</v>
      </c>
      <c r="AJ5" s="320">
        <f t="shared" si="0"/>
        <v>0</v>
      </c>
      <c r="AK5" s="320">
        <f t="shared" si="0"/>
        <v>0</v>
      </c>
      <c r="AL5" s="320">
        <f t="shared" si="0"/>
        <v>0</v>
      </c>
      <c r="AM5" s="320">
        <f t="shared" si="0"/>
        <v>0</v>
      </c>
      <c r="AN5" s="320">
        <f t="shared" si="0"/>
        <v>0</v>
      </c>
      <c r="AO5" s="320">
        <f t="shared" si="0"/>
        <v>0</v>
      </c>
      <c r="AP5" s="320">
        <f t="shared" si="0"/>
        <v>0</v>
      </c>
      <c r="AQ5" s="320">
        <f t="shared" si="0"/>
        <v>0</v>
      </c>
      <c r="AR5" s="320">
        <f t="shared" si="0"/>
        <v>0</v>
      </c>
      <c r="AS5" s="320">
        <f t="shared" si="0"/>
        <v>0</v>
      </c>
      <c r="AT5" s="320">
        <f t="shared" si="0"/>
        <v>0</v>
      </c>
      <c r="AU5" s="320">
        <f t="shared" si="0"/>
        <v>20</v>
      </c>
      <c r="AV5" s="320">
        <f t="shared" si="0"/>
        <v>3368175</v>
      </c>
      <c r="AW5" s="320">
        <f t="shared" si="0"/>
        <v>40</v>
      </c>
      <c r="AX5" s="320">
        <f t="shared" si="0"/>
        <v>6736350</v>
      </c>
      <c r="AY5" s="320">
        <f t="shared" si="0"/>
        <v>248</v>
      </c>
      <c r="AZ5" s="320">
        <f t="shared" si="0"/>
        <v>41151540</v>
      </c>
      <c r="BA5" s="320">
        <f t="shared" si="0"/>
        <v>0</v>
      </c>
      <c r="BB5" s="320">
        <f t="shared" si="0"/>
        <v>0</v>
      </c>
      <c r="BC5" s="320">
        <f t="shared" si="0"/>
        <v>248</v>
      </c>
      <c r="BD5" s="320">
        <f t="shared" si="0"/>
        <v>41151540</v>
      </c>
    </row>
    <row r="6" spans="1:56" s="293" customFormat="1" ht="13.5" customHeight="1" x14ac:dyDescent="0.2">
      <c r="A6" s="296">
        <v>1</v>
      </c>
      <c r="B6" s="322">
        <v>164755</v>
      </c>
      <c r="C6" s="297">
        <f>120-5+12</f>
        <v>127</v>
      </c>
      <c r="D6" s="297">
        <f>C6*B6</f>
        <v>20923885</v>
      </c>
      <c r="E6" s="297"/>
      <c r="F6" s="297">
        <f>E6*B6</f>
        <v>0</v>
      </c>
      <c r="G6" s="297"/>
      <c r="H6" s="297">
        <f>G6*B6</f>
        <v>0</v>
      </c>
      <c r="I6" s="297"/>
      <c r="J6" s="297">
        <f>I6*B6</f>
        <v>0</v>
      </c>
      <c r="K6" s="298"/>
      <c r="L6" s="298">
        <f>K6*B6</f>
        <v>0</v>
      </c>
      <c r="M6" s="297"/>
      <c r="N6" s="297">
        <f>M6*B6</f>
        <v>0</v>
      </c>
      <c r="O6" s="297"/>
      <c r="P6" s="297">
        <f>O6*B6</f>
        <v>0</v>
      </c>
      <c r="Q6" s="297"/>
      <c r="R6" s="297">
        <f>Q6*B6</f>
        <v>0</v>
      </c>
      <c r="S6" s="297">
        <f>60-4</f>
        <v>56</v>
      </c>
      <c r="T6" s="297">
        <f>S6*B6</f>
        <v>9226280</v>
      </c>
      <c r="U6" s="297"/>
      <c r="V6" s="297">
        <f>U6*B6</f>
        <v>0</v>
      </c>
      <c r="W6" s="297"/>
      <c r="X6" s="297">
        <f>W6*B6</f>
        <v>0</v>
      </c>
      <c r="Y6" s="297"/>
      <c r="Z6" s="297">
        <f>Y6*B6</f>
        <v>0</v>
      </c>
      <c r="AA6" s="297"/>
      <c r="AB6" s="297">
        <f>AA6*B6</f>
        <v>0</v>
      </c>
      <c r="AC6" s="297"/>
      <c r="AD6" s="297">
        <f>AC6*B6</f>
        <v>0</v>
      </c>
      <c r="AE6" s="297"/>
      <c r="AF6" s="297">
        <f>AE6*B6</f>
        <v>0</v>
      </c>
      <c r="AG6" s="297"/>
      <c r="AH6" s="297">
        <f>AG6*B6</f>
        <v>0</v>
      </c>
      <c r="AI6" s="297"/>
      <c r="AJ6" s="297">
        <f>AI6*B6</f>
        <v>0</v>
      </c>
      <c r="AK6" s="297"/>
      <c r="AL6" s="297">
        <f t="shared" ref="AL6:AL7" si="1">AK6*B6</f>
        <v>0</v>
      </c>
      <c r="AM6" s="297"/>
      <c r="AN6" s="297">
        <f>AM6*B6</f>
        <v>0</v>
      </c>
      <c r="AO6" s="298"/>
      <c r="AP6" s="298">
        <f>AO6*B6</f>
        <v>0</v>
      </c>
      <c r="AQ6" s="297"/>
      <c r="AR6" s="297">
        <f>AQ6*B6</f>
        <v>0</v>
      </c>
      <c r="AS6" s="297"/>
      <c r="AT6" s="297">
        <f>AS6*B6</f>
        <v>0</v>
      </c>
      <c r="AU6" s="297">
        <v>15</v>
      </c>
      <c r="AV6" s="297">
        <f>AU6*B6</f>
        <v>2471325</v>
      </c>
      <c r="AW6" s="297">
        <v>30</v>
      </c>
      <c r="AX6" s="297">
        <f>AW6*B6</f>
        <v>4942650</v>
      </c>
      <c r="AY6" s="297">
        <f>Q6+U6+AO6+AG6+Y6+AA6+AC6+AE6+S6+AQ6+AI6+AM6+AS6+W6+AU6+M6+C6+O6+E6+G6+K6+I6+AW6+AK6</f>
        <v>228</v>
      </c>
      <c r="AZ6" s="297">
        <f>R6+V6+AP6+AH6+Z6+AB6+AD6+AF6+T6+AR6+AJ6+AN6+AT6+X6+AV6+N6+D6+P6+F6+H6+L6+J6+AX6+AL6</f>
        <v>37564140</v>
      </c>
      <c r="BA6" s="313"/>
      <c r="BB6" s="313"/>
      <c r="BC6" s="323">
        <f>AY6+BA6</f>
        <v>228</v>
      </c>
      <c r="BD6" s="323">
        <f>AZ6+BB6</f>
        <v>37564140</v>
      </c>
    </row>
    <row r="7" spans="1:56" s="293" customFormat="1" ht="13.5" customHeight="1" x14ac:dyDescent="0.2">
      <c r="A7" s="299">
        <v>2</v>
      </c>
      <c r="B7" s="324">
        <v>179370</v>
      </c>
      <c r="C7" s="300">
        <f>0+5</f>
        <v>5</v>
      </c>
      <c r="D7" s="297">
        <f>C7*B7</f>
        <v>896850</v>
      </c>
      <c r="E7" s="300"/>
      <c r="F7" s="297">
        <f>E7*B7</f>
        <v>0</v>
      </c>
      <c r="G7" s="300"/>
      <c r="H7" s="297">
        <f>G7*B7</f>
        <v>0</v>
      </c>
      <c r="I7" s="300"/>
      <c r="J7" s="297">
        <f>I7*B7</f>
        <v>0</v>
      </c>
      <c r="K7" s="301"/>
      <c r="L7" s="298">
        <f>K7*B7</f>
        <v>0</v>
      </c>
      <c r="M7" s="300"/>
      <c r="N7" s="297">
        <f>M7*B7</f>
        <v>0</v>
      </c>
      <c r="O7" s="300"/>
      <c r="P7" s="297">
        <f>O7*B7</f>
        <v>0</v>
      </c>
      <c r="Q7" s="300"/>
      <c r="R7" s="297">
        <f>Q7*B7</f>
        <v>0</v>
      </c>
      <c r="S7" s="300"/>
      <c r="T7" s="297">
        <f>S7*B7</f>
        <v>0</v>
      </c>
      <c r="U7" s="300"/>
      <c r="V7" s="297">
        <f>U7*B7</f>
        <v>0</v>
      </c>
      <c r="W7" s="300"/>
      <c r="X7" s="297">
        <f>W7*B7</f>
        <v>0</v>
      </c>
      <c r="Y7" s="300"/>
      <c r="Z7" s="297">
        <f>Y7*B7</f>
        <v>0</v>
      </c>
      <c r="AA7" s="300"/>
      <c r="AB7" s="297">
        <f>AA7*B7</f>
        <v>0</v>
      </c>
      <c r="AC7" s="300"/>
      <c r="AD7" s="297">
        <f>AC7*B7</f>
        <v>0</v>
      </c>
      <c r="AE7" s="300"/>
      <c r="AF7" s="297">
        <f>AE7*B7</f>
        <v>0</v>
      </c>
      <c r="AG7" s="300"/>
      <c r="AH7" s="297">
        <f>AG7*B7</f>
        <v>0</v>
      </c>
      <c r="AI7" s="300"/>
      <c r="AJ7" s="297">
        <f>AI7*B7</f>
        <v>0</v>
      </c>
      <c r="AK7" s="297"/>
      <c r="AL7" s="297">
        <f t="shared" si="1"/>
        <v>0</v>
      </c>
      <c r="AM7" s="297"/>
      <c r="AN7" s="297">
        <f>AM7*B7</f>
        <v>0</v>
      </c>
      <c r="AO7" s="298"/>
      <c r="AP7" s="298">
        <f>AO7*B7</f>
        <v>0</v>
      </c>
      <c r="AQ7" s="300"/>
      <c r="AR7" s="297">
        <f>AQ7*B7</f>
        <v>0</v>
      </c>
      <c r="AS7" s="300"/>
      <c r="AT7" s="297">
        <f>AS7*B7</f>
        <v>0</v>
      </c>
      <c r="AU7" s="300">
        <v>5</v>
      </c>
      <c r="AV7" s="297">
        <f>AU7*B7</f>
        <v>896850</v>
      </c>
      <c r="AW7" s="300">
        <v>10</v>
      </c>
      <c r="AX7" s="297">
        <f>AW7*B7</f>
        <v>1793700</v>
      </c>
      <c r="AY7" s="297">
        <f>Q7+U7+AO7+AG7+Y7+AA7+AC7+AE7+S7+AQ7+AI7+AM7+AS7+W7+AU7+M7+C7+O7+E7+G7+K7+I7+AW7+AK7</f>
        <v>20</v>
      </c>
      <c r="AZ7" s="297">
        <f>R7+V7+AP7+AH7+Z7+AB7+AD7+AF7+T7+AR7+AJ7+AN7+AT7+X7+AV7+N7+D7+P7+F7+H7+L7+J7+AX7+AL7</f>
        <v>3587400</v>
      </c>
      <c r="BA7" s="313"/>
      <c r="BB7" s="313"/>
      <c r="BC7" s="323">
        <f>AY7+BA7</f>
        <v>20</v>
      </c>
      <c r="BD7" s="323">
        <f>AZ7+BB7</f>
        <v>3587400</v>
      </c>
    </row>
    <row r="8" spans="1:56" s="321" customFormat="1" ht="24" customHeight="1" x14ac:dyDescent="0.2">
      <c r="A8" s="332" t="s">
        <v>551</v>
      </c>
      <c r="B8" s="333"/>
      <c r="C8" s="320">
        <f t="shared" ref="C8:BD8" si="2">C9+C10</f>
        <v>400</v>
      </c>
      <c r="D8" s="320">
        <f t="shared" si="2"/>
        <v>58697680</v>
      </c>
      <c r="E8" s="320">
        <f t="shared" si="2"/>
        <v>0</v>
      </c>
      <c r="F8" s="320">
        <f t="shared" si="2"/>
        <v>0</v>
      </c>
      <c r="G8" s="320">
        <f t="shared" si="2"/>
        <v>0</v>
      </c>
      <c r="H8" s="320">
        <f t="shared" si="2"/>
        <v>0</v>
      </c>
      <c r="I8" s="320">
        <f t="shared" si="2"/>
        <v>12</v>
      </c>
      <c r="J8" s="320">
        <f t="shared" si="2"/>
        <v>2306460</v>
      </c>
      <c r="K8" s="320">
        <f t="shared" si="2"/>
        <v>267</v>
      </c>
      <c r="L8" s="320">
        <f t="shared" si="2"/>
        <v>39758703</v>
      </c>
      <c r="M8" s="320">
        <f t="shared" si="2"/>
        <v>0</v>
      </c>
      <c r="N8" s="320">
        <f t="shared" si="2"/>
        <v>0</v>
      </c>
      <c r="O8" s="320">
        <f t="shared" si="2"/>
        <v>0</v>
      </c>
      <c r="P8" s="320">
        <f t="shared" si="2"/>
        <v>0</v>
      </c>
      <c r="Q8" s="320">
        <f t="shared" si="2"/>
        <v>0</v>
      </c>
      <c r="R8" s="320">
        <f t="shared" si="2"/>
        <v>0</v>
      </c>
      <c r="S8" s="320">
        <f t="shared" si="2"/>
        <v>46</v>
      </c>
      <c r="T8" s="320">
        <f t="shared" si="2"/>
        <v>7347718</v>
      </c>
      <c r="U8" s="320">
        <f t="shared" si="2"/>
        <v>0</v>
      </c>
      <c r="V8" s="320">
        <f t="shared" si="2"/>
        <v>0</v>
      </c>
      <c r="W8" s="320">
        <f t="shared" si="2"/>
        <v>0</v>
      </c>
      <c r="X8" s="320">
        <f t="shared" si="2"/>
        <v>0</v>
      </c>
      <c r="Y8" s="320">
        <f t="shared" si="2"/>
        <v>0</v>
      </c>
      <c r="Z8" s="320">
        <f t="shared" si="2"/>
        <v>0</v>
      </c>
      <c r="AA8" s="320">
        <f t="shared" si="2"/>
        <v>0</v>
      </c>
      <c r="AB8" s="320">
        <f t="shared" si="2"/>
        <v>0</v>
      </c>
      <c r="AC8" s="320">
        <f t="shared" si="2"/>
        <v>0</v>
      </c>
      <c r="AD8" s="320">
        <f t="shared" si="2"/>
        <v>0</v>
      </c>
      <c r="AE8" s="320">
        <f t="shared" si="2"/>
        <v>180</v>
      </c>
      <c r="AF8" s="320">
        <f t="shared" si="2"/>
        <v>27777780</v>
      </c>
      <c r="AG8" s="320">
        <f t="shared" si="2"/>
        <v>20</v>
      </c>
      <c r="AH8" s="320">
        <f t="shared" si="2"/>
        <v>2545220</v>
      </c>
      <c r="AI8" s="320">
        <f t="shared" si="2"/>
        <v>0</v>
      </c>
      <c r="AJ8" s="320">
        <f t="shared" si="2"/>
        <v>0</v>
      </c>
      <c r="AK8" s="320">
        <f t="shared" si="2"/>
        <v>0</v>
      </c>
      <c r="AL8" s="320">
        <f t="shared" si="2"/>
        <v>0</v>
      </c>
      <c r="AM8" s="320">
        <f t="shared" si="2"/>
        <v>0</v>
      </c>
      <c r="AN8" s="320">
        <f t="shared" si="2"/>
        <v>0</v>
      </c>
      <c r="AO8" s="320">
        <f t="shared" si="2"/>
        <v>0</v>
      </c>
      <c r="AP8" s="320">
        <f t="shared" si="2"/>
        <v>0</v>
      </c>
      <c r="AQ8" s="320">
        <f t="shared" si="2"/>
        <v>0</v>
      </c>
      <c r="AR8" s="320">
        <f t="shared" si="2"/>
        <v>0</v>
      </c>
      <c r="AS8" s="320">
        <f t="shared" si="2"/>
        <v>0</v>
      </c>
      <c r="AT8" s="320">
        <f t="shared" si="2"/>
        <v>0</v>
      </c>
      <c r="AU8" s="320">
        <f t="shared" si="2"/>
        <v>180</v>
      </c>
      <c r="AV8" s="320">
        <f t="shared" si="2"/>
        <v>24855300</v>
      </c>
      <c r="AW8" s="320">
        <f t="shared" si="2"/>
        <v>300</v>
      </c>
      <c r="AX8" s="320">
        <f t="shared" si="2"/>
        <v>38178300</v>
      </c>
      <c r="AY8" s="320">
        <f t="shared" si="2"/>
        <v>1405</v>
      </c>
      <c r="AZ8" s="320">
        <f t="shared" si="2"/>
        <v>201467161</v>
      </c>
      <c r="BA8" s="320">
        <f t="shared" si="2"/>
        <v>0</v>
      </c>
      <c r="BB8" s="320">
        <f t="shared" si="2"/>
        <v>0</v>
      </c>
      <c r="BC8" s="320">
        <f t="shared" si="2"/>
        <v>1405</v>
      </c>
      <c r="BD8" s="320">
        <f t="shared" si="2"/>
        <v>201467161</v>
      </c>
    </row>
    <row r="9" spans="1:56" s="293" customFormat="1" ht="13.5" customHeight="1" x14ac:dyDescent="0.2">
      <c r="A9" s="299">
        <v>3</v>
      </c>
      <c r="B9" s="324">
        <v>127261</v>
      </c>
      <c r="C9" s="297">
        <v>280</v>
      </c>
      <c r="D9" s="297">
        <f>C9*B9</f>
        <v>35633080</v>
      </c>
      <c r="E9" s="297"/>
      <c r="F9" s="297">
        <f>E9*B9</f>
        <v>0</v>
      </c>
      <c r="G9" s="297"/>
      <c r="H9" s="297">
        <f>G9*B9</f>
        <v>0</v>
      </c>
      <c r="I9" s="297"/>
      <c r="J9" s="297">
        <f>I9*B9</f>
        <v>0</v>
      </c>
      <c r="K9" s="297">
        <f>200-22</f>
        <v>178</v>
      </c>
      <c r="L9" s="298">
        <f>K9*B9</f>
        <v>22652458</v>
      </c>
      <c r="M9" s="297"/>
      <c r="N9" s="297">
        <f>M9*B9</f>
        <v>0</v>
      </c>
      <c r="O9" s="297"/>
      <c r="P9" s="297">
        <f>O9*B9</f>
        <v>0</v>
      </c>
      <c r="Q9" s="297"/>
      <c r="R9" s="297">
        <f>Q9*B9</f>
        <v>0</v>
      </c>
      <c r="S9" s="297">
        <f>25-2</f>
        <v>23</v>
      </c>
      <c r="T9" s="297">
        <f>S9*B9</f>
        <v>2927003</v>
      </c>
      <c r="U9" s="297"/>
      <c r="V9" s="297">
        <f>U9*B9</f>
        <v>0</v>
      </c>
      <c r="W9" s="297"/>
      <c r="X9" s="297">
        <f>W9*B9</f>
        <v>0</v>
      </c>
      <c r="Y9" s="297"/>
      <c r="Z9" s="297">
        <f>Y9*B9</f>
        <v>0</v>
      </c>
      <c r="AA9" s="300">
        <v>0</v>
      </c>
      <c r="AB9" s="297">
        <f>AA9*B9</f>
        <v>0</v>
      </c>
      <c r="AC9" s="297"/>
      <c r="AD9" s="297">
        <f>AC9*B9</f>
        <v>0</v>
      </c>
      <c r="AE9" s="297">
        <v>105</v>
      </c>
      <c r="AF9" s="297">
        <f>AE9*B9</f>
        <v>13362405</v>
      </c>
      <c r="AG9" s="297">
        <v>20</v>
      </c>
      <c r="AH9" s="297">
        <f>AG9*B9</f>
        <v>2545220</v>
      </c>
      <c r="AI9" s="297"/>
      <c r="AJ9" s="297">
        <f>AI9*B9</f>
        <v>0</v>
      </c>
      <c r="AK9" s="297"/>
      <c r="AL9" s="297">
        <f t="shared" ref="AL9:AL10" si="3">AK9*B9</f>
        <v>0</v>
      </c>
      <c r="AM9" s="297"/>
      <c r="AN9" s="297">
        <f>AM9*B9</f>
        <v>0</v>
      </c>
      <c r="AO9" s="297"/>
      <c r="AP9" s="298">
        <f>AO9*B9</f>
        <v>0</v>
      </c>
      <c r="AQ9" s="297"/>
      <c r="AR9" s="297">
        <f>AQ9*B9</f>
        <v>0</v>
      </c>
      <c r="AS9" s="297"/>
      <c r="AT9" s="297">
        <f>AS9*B9</f>
        <v>0</v>
      </c>
      <c r="AU9" s="297">
        <v>150</v>
      </c>
      <c r="AV9" s="297">
        <f>AU9*B9</f>
        <v>19089150</v>
      </c>
      <c r="AW9" s="297">
        <v>300</v>
      </c>
      <c r="AX9" s="297">
        <f>AW9*B9</f>
        <v>38178300</v>
      </c>
      <c r="AY9" s="297">
        <f t="shared" ref="AY9:AZ10" si="4">Q9+U9+AO9+AG9+Y9+AA9+AC9+AE9+S9+AQ9+AI9+AM9+AS9+W9+AU9+M9+C9+O9+E9+G9+K9+I9+AW9+AK9</f>
        <v>1056</v>
      </c>
      <c r="AZ9" s="297">
        <f t="shared" si="4"/>
        <v>134387616</v>
      </c>
      <c r="BA9" s="313"/>
      <c r="BB9" s="313"/>
      <c r="BC9" s="323">
        <f>AY9+BA9</f>
        <v>1056</v>
      </c>
      <c r="BD9" s="323">
        <f>AZ9+BB9</f>
        <v>134387616</v>
      </c>
    </row>
    <row r="10" spans="1:56" s="293" customFormat="1" ht="13.5" customHeight="1" x14ac:dyDescent="0.2">
      <c r="A10" s="299">
        <v>4</v>
      </c>
      <c r="B10" s="324">
        <v>192205</v>
      </c>
      <c r="C10" s="300">
        <v>120</v>
      </c>
      <c r="D10" s="297">
        <f>C10*B10</f>
        <v>23064600</v>
      </c>
      <c r="E10" s="300"/>
      <c r="F10" s="297">
        <f>E10*B10</f>
        <v>0</v>
      </c>
      <c r="G10" s="300"/>
      <c r="H10" s="297">
        <f>G10*B10</f>
        <v>0</v>
      </c>
      <c r="I10" s="297">
        <f>10+2</f>
        <v>12</v>
      </c>
      <c r="J10" s="297">
        <f>I10*B10</f>
        <v>2306460</v>
      </c>
      <c r="K10" s="301">
        <f>100-11</f>
        <v>89</v>
      </c>
      <c r="L10" s="298">
        <f>K10*B10</f>
        <v>17106245</v>
      </c>
      <c r="M10" s="302"/>
      <c r="N10" s="297">
        <f>M10*B10</f>
        <v>0</v>
      </c>
      <c r="O10" s="300"/>
      <c r="P10" s="297">
        <f>O10*B10</f>
        <v>0</v>
      </c>
      <c r="Q10" s="300"/>
      <c r="R10" s="297">
        <f>Q10*B10</f>
        <v>0</v>
      </c>
      <c r="S10" s="300">
        <f>25-2</f>
        <v>23</v>
      </c>
      <c r="T10" s="297">
        <f>S10*B10</f>
        <v>4420715</v>
      </c>
      <c r="U10" s="297"/>
      <c r="V10" s="297">
        <f>U10*B10</f>
        <v>0</v>
      </c>
      <c r="W10" s="302"/>
      <c r="X10" s="297">
        <f>W10*B10</f>
        <v>0</v>
      </c>
      <c r="Y10" s="302"/>
      <c r="Z10" s="297">
        <f>Y10*B10</f>
        <v>0</v>
      </c>
      <c r="AA10" s="300">
        <v>0</v>
      </c>
      <c r="AB10" s="297">
        <f>AA10*B10</f>
        <v>0</v>
      </c>
      <c r="AC10" s="300"/>
      <c r="AD10" s="297">
        <f>AC10*B10</f>
        <v>0</v>
      </c>
      <c r="AE10" s="300">
        <v>75</v>
      </c>
      <c r="AF10" s="297">
        <f>AE10*B10</f>
        <v>14415375</v>
      </c>
      <c r="AG10" s="302"/>
      <c r="AH10" s="297">
        <f>AG10*B10</f>
        <v>0</v>
      </c>
      <c r="AI10" s="300"/>
      <c r="AJ10" s="297">
        <f>AI10*B10</f>
        <v>0</v>
      </c>
      <c r="AK10" s="297"/>
      <c r="AL10" s="297">
        <f t="shared" si="3"/>
        <v>0</v>
      </c>
      <c r="AM10" s="297"/>
      <c r="AN10" s="297">
        <f>AM10*B10</f>
        <v>0</v>
      </c>
      <c r="AO10" s="303"/>
      <c r="AP10" s="298">
        <f>AO10*B10</f>
        <v>0</v>
      </c>
      <c r="AQ10" s="300"/>
      <c r="AR10" s="297">
        <f>AQ10*B10</f>
        <v>0</v>
      </c>
      <c r="AS10" s="300"/>
      <c r="AT10" s="297">
        <f>AS10*B10</f>
        <v>0</v>
      </c>
      <c r="AU10" s="300">
        <v>30</v>
      </c>
      <c r="AV10" s="297">
        <f>AU10*B10</f>
        <v>5766150</v>
      </c>
      <c r="AW10" s="300"/>
      <c r="AX10" s="297">
        <f>AW10*B10</f>
        <v>0</v>
      </c>
      <c r="AY10" s="297">
        <f t="shared" si="4"/>
        <v>349</v>
      </c>
      <c r="AZ10" s="297">
        <f t="shared" si="4"/>
        <v>67079545</v>
      </c>
      <c r="BA10" s="313"/>
      <c r="BB10" s="313"/>
      <c r="BC10" s="323">
        <f>AY10+BA10</f>
        <v>349</v>
      </c>
      <c r="BD10" s="323">
        <f>AZ10+BB10</f>
        <v>67079545</v>
      </c>
    </row>
    <row r="11" spans="1:56" s="293" customFormat="1" ht="20.25" customHeight="1" x14ac:dyDescent="0.2">
      <c r="A11" s="332" t="s">
        <v>552</v>
      </c>
      <c r="B11" s="333"/>
      <c r="C11" s="320">
        <f t="shared" ref="C11:BD11" si="5">C12</f>
        <v>50</v>
      </c>
      <c r="D11" s="320">
        <f t="shared" si="5"/>
        <v>6604550</v>
      </c>
      <c r="E11" s="320">
        <f t="shared" si="5"/>
        <v>0</v>
      </c>
      <c r="F11" s="320">
        <f t="shared" si="5"/>
        <v>0</v>
      </c>
      <c r="G11" s="320">
        <f t="shared" si="5"/>
        <v>0</v>
      </c>
      <c r="H11" s="320">
        <f t="shared" si="5"/>
        <v>0</v>
      </c>
      <c r="I11" s="320">
        <f t="shared" si="5"/>
        <v>32</v>
      </c>
      <c r="J11" s="320">
        <f t="shared" si="5"/>
        <v>4226912</v>
      </c>
      <c r="K11" s="320">
        <f t="shared" si="5"/>
        <v>0</v>
      </c>
      <c r="L11" s="320">
        <f t="shared" si="5"/>
        <v>0</v>
      </c>
      <c r="M11" s="320">
        <f t="shared" si="5"/>
        <v>0</v>
      </c>
      <c r="N11" s="320">
        <f t="shared" si="5"/>
        <v>0</v>
      </c>
      <c r="O11" s="320">
        <f t="shared" si="5"/>
        <v>0</v>
      </c>
      <c r="P11" s="320">
        <f t="shared" si="5"/>
        <v>0</v>
      </c>
      <c r="Q11" s="320">
        <f t="shared" si="5"/>
        <v>0</v>
      </c>
      <c r="R11" s="320">
        <f t="shared" si="5"/>
        <v>0</v>
      </c>
      <c r="S11" s="320">
        <f t="shared" si="5"/>
        <v>60</v>
      </c>
      <c r="T11" s="320">
        <f t="shared" si="5"/>
        <v>7925460</v>
      </c>
      <c r="U11" s="320">
        <f t="shared" si="5"/>
        <v>0</v>
      </c>
      <c r="V11" s="320">
        <f t="shared" si="5"/>
        <v>0</v>
      </c>
      <c r="W11" s="320">
        <f t="shared" si="5"/>
        <v>0</v>
      </c>
      <c r="X11" s="320">
        <f t="shared" si="5"/>
        <v>0</v>
      </c>
      <c r="Y11" s="320">
        <f t="shared" si="5"/>
        <v>0</v>
      </c>
      <c r="Z11" s="320">
        <f t="shared" si="5"/>
        <v>0</v>
      </c>
      <c r="AA11" s="320">
        <f t="shared" si="5"/>
        <v>0</v>
      </c>
      <c r="AB11" s="320">
        <f t="shared" si="5"/>
        <v>0</v>
      </c>
      <c r="AC11" s="320">
        <f t="shared" si="5"/>
        <v>0</v>
      </c>
      <c r="AD11" s="320">
        <f t="shared" si="5"/>
        <v>0</v>
      </c>
      <c r="AE11" s="320">
        <f t="shared" si="5"/>
        <v>0</v>
      </c>
      <c r="AF11" s="320">
        <f t="shared" si="5"/>
        <v>0</v>
      </c>
      <c r="AG11" s="320">
        <f t="shared" si="5"/>
        <v>0</v>
      </c>
      <c r="AH11" s="320">
        <f t="shared" si="5"/>
        <v>0</v>
      </c>
      <c r="AI11" s="320">
        <f t="shared" si="5"/>
        <v>0</v>
      </c>
      <c r="AJ11" s="320">
        <f t="shared" si="5"/>
        <v>0</v>
      </c>
      <c r="AK11" s="320">
        <f t="shared" si="5"/>
        <v>0</v>
      </c>
      <c r="AL11" s="320">
        <f t="shared" si="5"/>
        <v>0</v>
      </c>
      <c r="AM11" s="320">
        <f t="shared" si="5"/>
        <v>0</v>
      </c>
      <c r="AN11" s="320">
        <f t="shared" si="5"/>
        <v>0</v>
      </c>
      <c r="AO11" s="320">
        <f t="shared" si="5"/>
        <v>0</v>
      </c>
      <c r="AP11" s="320">
        <f t="shared" si="5"/>
        <v>0</v>
      </c>
      <c r="AQ11" s="320">
        <f t="shared" si="5"/>
        <v>0</v>
      </c>
      <c r="AR11" s="320">
        <f t="shared" si="5"/>
        <v>0</v>
      </c>
      <c r="AS11" s="320">
        <f t="shared" si="5"/>
        <v>0</v>
      </c>
      <c r="AT11" s="320">
        <f t="shared" si="5"/>
        <v>0</v>
      </c>
      <c r="AU11" s="320">
        <f t="shared" si="5"/>
        <v>0</v>
      </c>
      <c r="AV11" s="320">
        <f t="shared" si="5"/>
        <v>0</v>
      </c>
      <c r="AW11" s="320">
        <f t="shared" si="5"/>
        <v>40</v>
      </c>
      <c r="AX11" s="320">
        <f t="shared" si="5"/>
        <v>5283640</v>
      </c>
      <c r="AY11" s="320">
        <f t="shared" si="5"/>
        <v>182</v>
      </c>
      <c r="AZ11" s="320">
        <f t="shared" si="5"/>
        <v>24040562</v>
      </c>
      <c r="BA11" s="320">
        <f t="shared" si="5"/>
        <v>0</v>
      </c>
      <c r="BB11" s="320">
        <f t="shared" si="5"/>
        <v>0</v>
      </c>
      <c r="BC11" s="320">
        <f t="shared" si="5"/>
        <v>182</v>
      </c>
      <c r="BD11" s="320">
        <f t="shared" si="5"/>
        <v>24040562</v>
      </c>
    </row>
    <row r="12" spans="1:56" s="293" customFormat="1" ht="15" customHeight="1" x14ac:dyDescent="0.2">
      <c r="A12" s="299">
        <v>5</v>
      </c>
      <c r="B12" s="324">
        <v>132091</v>
      </c>
      <c r="C12" s="300">
        <v>50</v>
      </c>
      <c r="D12" s="297">
        <f>C12*B12</f>
        <v>6604550</v>
      </c>
      <c r="E12" s="300"/>
      <c r="F12" s="297">
        <f>E12*B12</f>
        <v>0</v>
      </c>
      <c r="G12" s="300"/>
      <c r="H12" s="297">
        <f>G12*B12</f>
        <v>0</v>
      </c>
      <c r="I12" s="297">
        <f>30+2</f>
        <v>32</v>
      </c>
      <c r="J12" s="297">
        <f>I12*B12</f>
        <v>4226912</v>
      </c>
      <c r="K12" s="301"/>
      <c r="L12" s="298">
        <f>K12*B12</f>
        <v>0</v>
      </c>
      <c r="M12" s="300"/>
      <c r="N12" s="297">
        <f>M12*B12</f>
        <v>0</v>
      </c>
      <c r="O12" s="300"/>
      <c r="P12" s="297">
        <f>O12*B12</f>
        <v>0</v>
      </c>
      <c r="Q12" s="300"/>
      <c r="R12" s="297">
        <f>Q12*B12</f>
        <v>0</v>
      </c>
      <c r="S12" s="300">
        <v>60</v>
      </c>
      <c r="T12" s="297">
        <f>S12*B12</f>
        <v>7925460</v>
      </c>
      <c r="U12" s="300"/>
      <c r="V12" s="297">
        <f>U12*B12</f>
        <v>0</v>
      </c>
      <c r="W12" s="300"/>
      <c r="X12" s="297">
        <f>W12*B12</f>
        <v>0</v>
      </c>
      <c r="Y12" s="300"/>
      <c r="Z12" s="297">
        <f>Y12*B12</f>
        <v>0</v>
      </c>
      <c r="AA12" s="300"/>
      <c r="AB12" s="297">
        <f>AA12*B12</f>
        <v>0</v>
      </c>
      <c r="AC12" s="300"/>
      <c r="AD12" s="297">
        <f>AC12*B12</f>
        <v>0</v>
      </c>
      <c r="AE12" s="300"/>
      <c r="AF12" s="297">
        <f>AE12*B12</f>
        <v>0</v>
      </c>
      <c r="AG12" s="300"/>
      <c r="AH12" s="297">
        <f>AG12*B12</f>
        <v>0</v>
      </c>
      <c r="AI12" s="300"/>
      <c r="AJ12" s="297">
        <f>AI12*B12</f>
        <v>0</v>
      </c>
      <c r="AK12" s="297"/>
      <c r="AL12" s="297">
        <f t="shared" ref="AL12" si="6">AK12*B12</f>
        <v>0</v>
      </c>
      <c r="AM12" s="297"/>
      <c r="AN12" s="297">
        <f>AM12*B12</f>
        <v>0</v>
      </c>
      <c r="AO12" s="298"/>
      <c r="AP12" s="298">
        <f>AO12*B12</f>
        <v>0</v>
      </c>
      <c r="AQ12" s="300"/>
      <c r="AR12" s="297">
        <f>AQ12*B12</f>
        <v>0</v>
      </c>
      <c r="AS12" s="300"/>
      <c r="AT12" s="297">
        <f>AS12*B12</f>
        <v>0</v>
      </c>
      <c r="AU12" s="300"/>
      <c r="AV12" s="297">
        <f>AU12*B12</f>
        <v>0</v>
      </c>
      <c r="AW12" s="300">
        <v>40</v>
      </c>
      <c r="AX12" s="297">
        <f>AW12*B12</f>
        <v>5283640</v>
      </c>
      <c r="AY12" s="297">
        <f>Q12+U12+AO12+AG12+Y12+AA12+AC12+AE12+S12+AQ12+AI12+AM12+AS12+W12+AU12+M12+C12+O12+E12+G12+K12+I12+AW12+AK12</f>
        <v>182</v>
      </c>
      <c r="AZ12" s="297">
        <f>R12+V12+AP12+AH12+Z12+AB12+AD12+AF12+T12+AR12+AJ12+AN12+AT12+X12+AV12+N12+D12+P12+F12+H12+L12+J12+AX12+AL12</f>
        <v>24040562</v>
      </c>
      <c r="BA12" s="313"/>
      <c r="BB12" s="313"/>
      <c r="BC12" s="323">
        <f>AY12+BA12</f>
        <v>182</v>
      </c>
      <c r="BD12" s="323">
        <f>AZ12+BB12</f>
        <v>24040562</v>
      </c>
    </row>
    <row r="13" spans="1:56" s="293" customFormat="1" ht="20.25" customHeight="1" x14ac:dyDescent="0.2">
      <c r="A13" s="332" t="s">
        <v>553</v>
      </c>
      <c r="B13" s="333"/>
      <c r="C13" s="320">
        <f t="shared" ref="C13:BD13" si="7">C14+C15</f>
        <v>30</v>
      </c>
      <c r="D13" s="320">
        <f t="shared" si="7"/>
        <v>4482840</v>
      </c>
      <c r="E13" s="320">
        <f t="shared" si="7"/>
        <v>0</v>
      </c>
      <c r="F13" s="320">
        <f t="shared" si="7"/>
        <v>0</v>
      </c>
      <c r="G13" s="320">
        <f t="shared" si="7"/>
        <v>0</v>
      </c>
      <c r="H13" s="320">
        <f t="shared" si="7"/>
        <v>0</v>
      </c>
      <c r="I13" s="320">
        <f t="shared" si="7"/>
        <v>24</v>
      </c>
      <c r="J13" s="320">
        <f t="shared" si="7"/>
        <v>3586272</v>
      </c>
      <c r="K13" s="320">
        <f t="shared" si="7"/>
        <v>0</v>
      </c>
      <c r="L13" s="320">
        <f t="shared" si="7"/>
        <v>0</v>
      </c>
      <c r="M13" s="320">
        <f t="shared" si="7"/>
        <v>0</v>
      </c>
      <c r="N13" s="320">
        <f t="shared" si="7"/>
        <v>0</v>
      </c>
      <c r="O13" s="320">
        <f t="shared" si="7"/>
        <v>0</v>
      </c>
      <c r="P13" s="320">
        <f t="shared" si="7"/>
        <v>0</v>
      </c>
      <c r="Q13" s="320">
        <f t="shared" si="7"/>
        <v>0</v>
      </c>
      <c r="R13" s="320">
        <f t="shared" si="7"/>
        <v>0</v>
      </c>
      <c r="S13" s="320">
        <f t="shared" si="7"/>
        <v>0</v>
      </c>
      <c r="T13" s="320">
        <f t="shared" si="7"/>
        <v>0</v>
      </c>
      <c r="U13" s="320">
        <f t="shared" si="7"/>
        <v>0</v>
      </c>
      <c r="V13" s="320">
        <f t="shared" si="7"/>
        <v>0</v>
      </c>
      <c r="W13" s="320">
        <f t="shared" si="7"/>
        <v>0</v>
      </c>
      <c r="X13" s="320">
        <f t="shared" si="7"/>
        <v>0</v>
      </c>
      <c r="Y13" s="320">
        <f t="shared" si="7"/>
        <v>0</v>
      </c>
      <c r="Z13" s="320">
        <f t="shared" si="7"/>
        <v>0</v>
      </c>
      <c r="AA13" s="320">
        <f t="shared" si="7"/>
        <v>12</v>
      </c>
      <c r="AB13" s="320">
        <f t="shared" si="7"/>
        <v>1793136</v>
      </c>
      <c r="AC13" s="320">
        <f t="shared" si="7"/>
        <v>0</v>
      </c>
      <c r="AD13" s="320">
        <f t="shared" si="7"/>
        <v>0</v>
      </c>
      <c r="AE13" s="320">
        <f t="shared" si="7"/>
        <v>0</v>
      </c>
      <c r="AF13" s="320">
        <f t="shared" si="7"/>
        <v>0</v>
      </c>
      <c r="AG13" s="320">
        <f t="shared" si="7"/>
        <v>0</v>
      </c>
      <c r="AH13" s="320">
        <f t="shared" si="7"/>
        <v>0</v>
      </c>
      <c r="AI13" s="320">
        <f t="shared" si="7"/>
        <v>0</v>
      </c>
      <c r="AJ13" s="320">
        <f t="shared" si="7"/>
        <v>0</v>
      </c>
      <c r="AK13" s="320">
        <f t="shared" si="7"/>
        <v>0</v>
      </c>
      <c r="AL13" s="320">
        <f t="shared" si="7"/>
        <v>0</v>
      </c>
      <c r="AM13" s="320">
        <f t="shared" si="7"/>
        <v>0</v>
      </c>
      <c r="AN13" s="320">
        <f t="shared" si="7"/>
        <v>0</v>
      </c>
      <c r="AO13" s="320">
        <f t="shared" si="7"/>
        <v>0</v>
      </c>
      <c r="AP13" s="320">
        <f t="shared" si="7"/>
        <v>0</v>
      </c>
      <c r="AQ13" s="320">
        <f t="shared" si="7"/>
        <v>0</v>
      </c>
      <c r="AR13" s="320">
        <f t="shared" si="7"/>
        <v>0</v>
      </c>
      <c r="AS13" s="320">
        <f t="shared" si="7"/>
        <v>0</v>
      </c>
      <c r="AT13" s="320">
        <f t="shared" si="7"/>
        <v>0</v>
      </c>
      <c r="AU13" s="320">
        <f t="shared" si="7"/>
        <v>0</v>
      </c>
      <c r="AV13" s="320">
        <f t="shared" si="7"/>
        <v>0</v>
      </c>
      <c r="AW13" s="320">
        <f t="shared" si="7"/>
        <v>60</v>
      </c>
      <c r="AX13" s="320">
        <f t="shared" si="7"/>
        <v>8965680</v>
      </c>
      <c r="AY13" s="320">
        <f t="shared" si="7"/>
        <v>126</v>
      </c>
      <c r="AZ13" s="320">
        <f t="shared" si="7"/>
        <v>18827928</v>
      </c>
      <c r="BA13" s="320">
        <f t="shared" si="7"/>
        <v>0</v>
      </c>
      <c r="BB13" s="320">
        <f t="shared" si="7"/>
        <v>0</v>
      </c>
      <c r="BC13" s="320">
        <f t="shared" si="7"/>
        <v>126</v>
      </c>
      <c r="BD13" s="320">
        <f t="shared" si="7"/>
        <v>18827928</v>
      </c>
    </row>
    <row r="14" spans="1:56" s="293" customFormat="1" ht="12.75" customHeight="1" x14ac:dyDescent="0.2">
      <c r="A14" s="299">
        <v>6</v>
      </c>
      <c r="B14" s="324">
        <v>149428</v>
      </c>
      <c r="C14" s="300">
        <f>40-10</f>
        <v>30</v>
      </c>
      <c r="D14" s="297">
        <f>C14*B14</f>
        <v>4482840</v>
      </c>
      <c r="E14" s="300"/>
      <c r="F14" s="297">
        <f>E14*B14</f>
        <v>0</v>
      </c>
      <c r="G14" s="300"/>
      <c r="H14" s="297">
        <f>G14*B14</f>
        <v>0</v>
      </c>
      <c r="I14" s="300">
        <f>25-1</f>
        <v>24</v>
      </c>
      <c r="J14" s="297">
        <f>I14*B14</f>
        <v>3586272</v>
      </c>
      <c r="K14" s="301"/>
      <c r="L14" s="298">
        <f>K14*B14</f>
        <v>0</v>
      </c>
      <c r="M14" s="300"/>
      <c r="N14" s="297">
        <f>M14*B14</f>
        <v>0</v>
      </c>
      <c r="O14" s="300"/>
      <c r="P14" s="297">
        <f>O14*B14</f>
        <v>0</v>
      </c>
      <c r="Q14" s="300"/>
      <c r="R14" s="297">
        <f>Q14*B14</f>
        <v>0</v>
      </c>
      <c r="S14" s="300"/>
      <c r="T14" s="297">
        <f>S14*B14</f>
        <v>0</v>
      </c>
      <c r="U14" s="300"/>
      <c r="V14" s="297">
        <f>U14*B14</f>
        <v>0</v>
      </c>
      <c r="W14" s="300"/>
      <c r="X14" s="297">
        <f>W14*B14</f>
        <v>0</v>
      </c>
      <c r="Y14" s="300"/>
      <c r="Z14" s="297">
        <f>Y14*B14</f>
        <v>0</v>
      </c>
      <c r="AA14" s="300">
        <v>12</v>
      </c>
      <c r="AB14" s="297">
        <f>AA14*B14</f>
        <v>1793136</v>
      </c>
      <c r="AC14" s="300"/>
      <c r="AD14" s="297">
        <f>AC14*B14</f>
        <v>0</v>
      </c>
      <c r="AE14" s="300"/>
      <c r="AF14" s="297">
        <f>AE14*B14</f>
        <v>0</v>
      </c>
      <c r="AG14" s="300"/>
      <c r="AH14" s="297">
        <f>AG14*B14</f>
        <v>0</v>
      </c>
      <c r="AI14" s="300"/>
      <c r="AJ14" s="297">
        <f>AI14*B14</f>
        <v>0</v>
      </c>
      <c r="AK14" s="297"/>
      <c r="AL14" s="297">
        <f t="shared" ref="AL14:AL15" si="8">AK14*B14</f>
        <v>0</v>
      </c>
      <c r="AM14" s="297"/>
      <c r="AN14" s="297">
        <f>AM14*B14</f>
        <v>0</v>
      </c>
      <c r="AO14" s="298"/>
      <c r="AP14" s="298">
        <f>AO14*B14</f>
        <v>0</v>
      </c>
      <c r="AQ14" s="300"/>
      <c r="AR14" s="297">
        <f>AQ14*B14</f>
        <v>0</v>
      </c>
      <c r="AS14" s="300"/>
      <c r="AT14" s="297">
        <f>AS14*B14</f>
        <v>0</v>
      </c>
      <c r="AU14" s="300"/>
      <c r="AV14" s="297">
        <f>AU14*B14</f>
        <v>0</v>
      </c>
      <c r="AW14" s="300">
        <v>60</v>
      </c>
      <c r="AX14" s="297">
        <f>AW14*B14</f>
        <v>8965680</v>
      </c>
      <c r="AY14" s="297">
        <f t="shared" ref="AY14:AZ15" si="9">Q14+U14+AO14+AG14+Y14+AA14+AC14+AE14+S14+AQ14+AI14+AM14+AS14+W14+AU14+M14+C14+O14+E14+G14+K14+I14+AW14+AK14</f>
        <v>126</v>
      </c>
      <c r="AZ14" s="297">
        <f t="shared" si="9"/>
        <v>18827928</v>
      </c>
      <c r="BA14" s="313"/>
      <c r="BB14" s="313"/>
      <c r="BC14" s="323">
        <f>AY14+BA14</f>
        <v>126</v>
      </c>
      <c r="BD14" s="323">
        <f>AZ14+BB14</f>
        <v>18827928</v>
      </c>
    </row>
    <row r="15" spans="1:56" s="293" customFormat="1" ht="18.75" customHeight="1" x14ac:dyDescent="0.2">
      <c r="A15" s="299">
        <v>7</v>
      </c>
      <c r="B15" s="324">
        <v>442799</v>
      </c>
      <c r="C15" s="300"/>
      <c r="D15" s="297">
        <f>C15*B15</f>
        <v>0</v>
      </c>
      <c r="E15" s="300"/>
      <c r="F15" s="297">
        <f>E15*B15</f>
        <v>0</v>
      </c>
      <c r="G15" s="300"/>
      <c r="H15" s="297">
        <f>G15*B15</f>
        <v>0</v>
      </c>
      <c r="I15" s="300"/>
      <c r="J15" s="297">
        <f>I15*B15</f>
        <v>0</v>
      </c>
      <c r="K15" s="301"/>
      <c r="L15" s="298">
        <f>K15*B15</f>
        <v>0</v>
      </c>
      <c r="M15" s="300"/>
      <c r="N15" s="297">
        <f>M15*B15</f>
        <v>0</v>
      </c>
      <c r="O15" s="300"/>
      <c r="P15" s="297">
        <f>O15*B15</f>
        <v>0</v>
      </c>
      <c r="Q15" s="300"/>
      <c r="R15" s="297">
        <f>Q15*B15</f>
        <v>0</v>
      </c>
      <c r="S15" s="300"/>
      <c r="T15" s="297">
        <f>S15*B15</f>
        <v>0</v>
      </c>
      <c r="U15" s="300"/>
      <c r="V15" s="297">
        <f>U15*B15</f>
        <v>0</v>
      </c>
      <c r="W15" s="300"/>
      <c r="X15" s="297">
        <f>W15*B15</f>
        <v>0</v>
      </c>
      <c r="Y15" s="300"/>
      <c r="Z15" s="297">
        <f>Y15*B15</f>
        <v>0</v>
      </c>
      <c r="AA15" s="300"/>
      <c r="AB15" s="297">
        <f>AA15*B15</f>
        <v>0</v>
      </c>
      <c r="AC15" s="300"/>
      <c r="AD15" s="297">
        <f>AC15*B15</f>
        <v>0</v>
      </c>
      <c r="AE15" s="300"/>
      <c r="AF15" s="297">
        <f>AE15*B15</f>
        <v>0</v>
      </c>
      <c r="AG15" s="300"/>
      <c r="AH15" s="297">
        <f>AG15*B15</f>
        <v>0</v>
      </c>
      <c r="AI15" s="300"/>
      <c r="AJ15" s="297">
        <f>AI15*B15</f>
        <v>0</v>
      </c>
      <c r="AK15" s="297"/>
      <c r="AL15" s="297">
        <f t="shared" si="8"/>
        <v>0</v>
      </c>
      <c r="AM15" s="297"/>
      <c r="AN15" s="297">
        <f>AM15*B15</f>
        <v>0</v>
      </c>
      <c r="AO15" s="300"/>
      <c r="AP15" s="298">
        <f>AO15*B15</f>
        <v>0</v>
      </c>
      <c r="AQ15" s="300"/>
      <c r="AR15" s="297">
        <f>AQ15*B15</f>
        <v>0</v>
      </c>
      <c r="AS15" s="300"/>
      <c r="AT15" s="297">
        <f>AS15*B15</f>
        <v>0</v>
      </c>
      <c r="AU15" s="300"/>
      <c r="AV15" s="297">
        <f>AU15*B15</f>
        <v>0</v>
      </c>
      <c r="AW15" s="300"/>
      <c r="AX15" s="297">
        <f>AW15*B15</f>
        <v>0</v>
      </c>
      <c r="AY15" s="297">
        <f t="shared" si="9"/>
        <v>0</v>
      </c>
      <c r="AZ15" s="297">
        <f t="shared" si="9"/>
        <v>0</v>
      </c>
      <c r="BA15" s="313"/>
      <c r="BB15" s="313"/>
      <c r="BC15" s="323">
        <f>AY15+BA15</f>
        <v>0</v>
      </c>
      <c r="BD15" s="323">
        <f>AZ15+BB15</f>
        <v>0</v>
      </c>
    </row>
    <row r="16" spans="1:56" s="293" customFormat="1" ht="21.75" customHeight="1" x14ac:dyDescent="0.2">
      <c r="A16" s="332" t="s">
        <v>554</v>
      </c>
      <c r="B16" s="333"/>
      <c r="C16" s="320">
        <f t="shared" ref="C16:BD16" si="10">C17</f>
        <v>0</v>
      </c>
      <c r="D16" s="320">
        <f t="shared" si="10"/>
        <v>0</v>
      </c>
      <c r="E16" s="320">
        <f t="shared" si="10"/>
        <v>0</v>
      </c>
      <c r="F16" s="320">
        <f t="shared" si="10"/>
        <v>0</v>
      </c>
      <c r="G16" s="320">
        <f t="shared" si="10"/>
        <v>0</v>
      </c>
      <c r="H16" s="320">
        <f t="shared" si="10"/>
        <v>0</v>
      </c>
      <c r="I16" s="320">
        <f t="shared" si="10"/>
        <v>10</v>
      </c>
      <c r="J16" s="320">
        <f t="shared" si="10"/>
        <v>2606210</v>
      </c>
      <c r="K16" s="320">
        <f t="shared" si="10"/>
        <v>0</v>
      </c>
      <c r="L16" s="320">
        <f t="shared" si="10"/>
        <v>0</v>
      </c>
      <c r="M16" s="320">
        <f t="shared" si="10"/>
        <v>0</v>
      </c>
      <c r="N16" s="320">
        <f t="shared" si="10"/>
        <v>0</v>
      </c>
      <c r="O16" s="320">
        <f t="shared" si="10"/>
        <v>0</v>
      </c>
      <c r="P16" s="320">
        <f t="shared" si="10"/>
        <v>0</v>
      </c>
      <c r="Q16" s="320">
        <f t="shared" si="10"/>
        <v>0</v>
      </c>
      <c r="R16" s="320">
        <f t="shared" si="10"/>
        <v>0</v>
      </c>
      <c r="S16" s="320">
        <f t="shared" si="10"/>
        <v>0</v>
      </c>
      <c r="T16" s="320">
        <f t="shared" si="10"/>
        <v>0</v>
      </c>
      <c r="U16" s="320">
        <f t="shared" si="10"/>
        <v>0</v>
      </c>
      <c r="V16" s="320">
        <f t="shared" si="10"/>
        <v>0</v>
      </c>
      <c r="W16" s="320">
        <f t="shared" si="10"/>
        <v>0</v>
      </c>
      <c r="X16" s="320">
        <f t="shared" si="10"/>
        <v>0</v>
      </c>
      <c r="Y16" s="320">
        <f t="shared" si="10"/>
        <v>0</v>
      </c>
      <c r="Z16" s="320">
        <f t="shared" si="10"/>
        <v>0</v>
      </c>
      <c r="AA16" s="320">
        <f t="shared" si="10"/>
        <v>0</v>
      </c>
      <c r="AB16" s="320">
        <f t="shared" si="10"/>
        <v>0</v>
      </c>
      <c r="AC16" s="320">
        <f t="shared" si="10"/>
        <v>0</v>
      </c>
      <c r="AD16" s="320">
        <f t="shared" si="10"/>
        <v>0</v>
      </c>
      <c r="AE16" s="320">
        <f t="shared" si="10"/>
        <v>0</v>
      </c>
      <c r="AF16" s="320">
        <f t="shared" si="10"/>
        <v>0</v>
      </c>
      <c r="AG16" s="320">
        <f t="shared" si="10"/>
        <v>0</v>
      </c>
      <c r="AH16" s="320">
        <f t="shared" si="10"/>
        <v>0</v>
      </c>
      <c r="AI16" s="320">
        <f t="shared" si="10"/>
        <v>0</v>
      </c>
      <c r="AJ16" s="320">
        <f t="shared" si="10"/>
        <v>0</v>
      </c>
      <c r="AK16" s="320">
        <f t="shared" si="10"/>
        <v>0</v>
      </c>
      <c r="AL16" s="320">
        <f t="shared" si="10"/>
        <v>0</v>
      </c>
      <c r="AM16" s="320">
        <f t="shared" si="10"/>
        <v>0</v>
      </c>
      <c r="AN16" s="320">
        <f t="shared" si="10"/>
        <v>0</v>
      </c>
      <c r="AO16" s="320">
        <f t="shared" si="10"/>
        <v>0</v>
      </c>
      <c r="AP16" s="320">
        <f t="shared" si="10"/>
        <v>0</v>
      </c>
      <c r="AQ16" s="320">
        <f t="shared" si="10"/>
        <v>0</v>
      </c>
      <c r="AR16" s="320">
        <f t="shared" si="10"/>
        <v>0</v>
      </c>
      <c r="AS16" s="320">
        <f t="shared" si="10"/>
        <v>0</v>
      </c>
      <c r="AT16" s="320">
        <f t="shared" si="10"/>
        <v>0</v>
      </c>
      <c r="AU16" s="320">
        <f t="shared" si="10"/>
        <v>0</v>
      </c>
      <c r="AV16" s="320">
        <f t="shared" si="10"/>
        <v>0</v>
      </c>
      <c r="AW16" s="320">
        <f t="shared" si="10"/>
        <v>0</v>
      </c>
      <c r="AX16" s="320">
        <f t="shared" si="10"/>
        <v>0</v>
      </c>
      <c r="AY16" s="320">
        <f t="shared" si="10"/>
        <v>10</v>
      </c>
      <c r="AZ16" s="320">
        <f t="shared" si="10"/>
        <v>2606210</v>
      </c>
      <c r="BA16" s="320">
        <f t="shared" si="10"/>
        <v>0</v>
      </c>
      <c r="BB16" s="320">
        <f t="shared" si="10"/>
        <v>0</v>
      </c>
      <c r="BC16" s="320">
        <f t="shared" si="10"/>
        <v>10</v>
      </c>
      <c r="BD16" s="320">
        <f t="shared" si="10"/>
        <v>2606210</v>
      </c>
    </row>
    <row r="17" spans="1:56" s="293" customFormat="1" ht="14.25" customHeight="1" x14ac:dyDescent="0.2">
      <c r="A17" s="299">
        <v>8</v>
      </c>
      <c r="B17" s="324">
        <v>260621</v>
      </c>
      <c r="C17" s="300"/>
      <c r="D17" s="297">
        <f>C17*B17</f>
        <v>0</v>
      </c>
      <c r="E17" s="300"/>
      <c r="F17" s="297">
        <f>E17*B17</f>
        <v>0</v>
      </c>
      <c r="G17" s="300"/>
      <c r="H17" s="297">
        <f>G17*B17</f>
        <v>0</v>
      </c>
      <c r="I17" s="300">
        <v>10</v>
      </c>
      <c r="J17" s="297">
        <f>I17*B17</f>
        <v>2606210</v>
      </c>
      <c r="K17" s="301"/>
      <c r="L17" s="298">
        <f>K17*B17</f>
        <v>0</v>
      </c>
      <c r="M17" s="300"/>
      <c r="N17" s="297">
        <f>M17*B17</f>
        <v>0</v>
      </c>
      <c r="O17" s="300"/>
      <c r="P17" s="297">
        <f>O17*B17</f>
        <v>0</v>
      </c>
      <c r="Q17" s="300"/>
      <c r="R17" s="297">
        <f>Q17*B17</f>
        <v>0</v>
      </c>
      <c r="S17" s="300"/>
      <c r="T17" s="297">
        <f>S17*B17</f>
        <v>0</v>
      </c>
      <c r="U17" s="300"/>
      <c r="V17" s="297">
        <f>U17*B17</f>
        <v>0</v>
      </c>
      <c r="W17" s="300"/>
      <c r="X17" s="297">
        <f>W17*B17</f>
        <v>0</v>
      </c>
      <c r="Y17" s="300"/>
      <c r="Z17" s="297">
        <f>Y17*B17</f>
        <v>0</v>
      </c>
      <c r="AA17" s="300"/>
      <c r="AB17" s="297">
        <f>AA17*B17</f>
        <v>0</v>
      </c>
      <c r="AC17" s="300"/>
      <c r="AD17" s="297">
        <f>AC17*B17</f>
        <v>0</v>
      </c>
      <c r="AE17" s="300"/>
      <c r="AF17" s="297">
        <f>AE17*B17</f>
        <v>0</v>
      </c>
      <c r="AG17" s="300"/>
      <c r="AH17" s="297">
        <f>AG17*B17</f>
        <v>0</v>
      </c>
      <c r="AI17" s="300"/>
      <c r="AJ17" s="297">
        <f>AI17*B17</f>
        <v>0</v>
      </c>
      <c r="AK17" s="297"/>
      <c r="AL17" s="297">
        <f t="shared" ref="AL17" si="11">AK17*B17</f>
        <v>0</v>
      </c>
      <c r="AM17" s="297"/>
      <c r="AN17" s="297">
        <f>AM17*B17</f>
        <v>0</v>
      </c>
      <c r="AO17" s="301"/>
      <c r="AP17" s="298">
        <f>AO17*B17</f>
        <v>0</v>
      </c>
      <c r="AQ17" s="300"/>
      <c r="AR17" s="297">
        <f>AQ17*B17</f>
        <v>0</v>
      </c>
      <c r="AS17" s="300"/>
      <c r="AT17" s="297">
        <f>AS17*B17</f>
        <v>0</v>
      </c>
      <c r="AU17" s="300"/>
      <c r="AV17" s="297">
        <f>AU17*B17</f>
        <v>0</v>
      </c>
      <c r="AW17" s="300"/>
      <c r="AX17" s="297">
        <f>AW17*B17</f>
        <v>0</v>
      </c>
      <c r="AY17" s="297">
        <f>Q17+U17+AO17+AG17+Y17+AA17+AC17+AE17+S17+AQ17+AI17+AM17+AS17+W17+AU17+M17+C17+O17+E17+G17+K17+I17+AW17+AK17</f>
        <v>10</v>
      </c>
      <c r="AZ17" s="297">
        <f>R17+V17+AP17+AH17+Z17+AB17+AD17+AF17+T17+AR17+AJ17+AN17+AT17+X17+AV17+N17+D17+P17+F17+H17+L17+J17+AX17+AL17</f>
        <v>2606210</v>
      </c>
      <c r="BA17" s="313"/>
      <c r="BB17" s="313"/>
      <c r="BC17" s="323">
        <f>AY17+BA17</f>
        <v>10</v>
      </c>
      <c r="BD17" s="323">
        <f>AZ17+BB17</f>
        <v>2606210</v>
      </c>
    </row>
    <row r="18" spans="1:56" s="293" customFormat="1" ht="18" customHeight="1" x14ac:dyDescent="0.2">
      <c r="A18" s="332" t="s">
        <v>555</v>
      </c>
      <c r="B18" s="333"/>
      <c r="C18" s="320">
        <f t="shared" ref="C18:BD18" si="12">C19</f>
        <v>0</v>
      </c>
      <c r="D18" s="320">
        <f t="shared" si="12"/>
        <v>0</v>
      </c>
      <c r="E18" s="320">
        <f t="shared" si="12"/>
        <v>0</v>
      </c>
      <c r="F18" s="320">
        <f t="shared" si="12"/>
        <v>0</v>
      </c>
      <c r="G18" s="320">
        <f t="shared" si="12"/>
        <v>0</v>
      </c>
      <c r="H18" s="320">
        <f t="shared" si="12"/>
        <v>0</v>
      </c>
      <c r="I18" s="320">
        <f t="shared" si="12"/>
        <v>0</v>
      </c>
      <c r="J18" s="320">
        <f t="shared" si="12"/>
        <v>0</v>
      </c>
      <c r="K18" s="320">
        <f t="shared" si="12"/>
        <v>0</v>
      </c>
      <c r="L18" s="320">
        <f t="shared" si="12"/>
        <v>0</v>
      </c>
      <c r="M18" s="320">
        <f t="shared" si="12"/>
        <v>52</v>
      </c>
      <c r="N18" s="320">
        <f t="shared" si="12"/>
        <v>5245396</v>
      </c>
      <c r="O18" s="320">
        <f t="shared" si="12"/>
        <v>0</v>
      </c>
      <c r="P18" s="320">
        <f t="shared" si="12"/>
        <v>0</v>
      </c>
      <c r="Q18" s="320">
        <f t="shared" si="12"/>
        <v>0</v>
      </c>
      <c r="R18" s="320">
        <f t="shared" si="12"/>
        <v>0</v>
      </c>
      <c r="S18" s="320">
        <f t="shared" si="12"/>
        <v>0</v>
      </c>
      <c r="T18" s="320">
        <f t="shared" si="12"/>
        <v>0</v>
      </c>
      <c r="U18" s="320">
        <f t="shared" si="12"/>
        <v>0</v>
      </c>
      <c r="V18" s="320">
        <f t="shared" si="12"/>
        <v>0</v>
      </c>
      <c r="W18" s="320">
        <f t="shared" si="12"/>
        <v>0</v>
      </c>
      <c r="X18" s="320">
        <f t="shared" si="12"/>
        <v>0</v>
      </c>
      <c r="Y18" s="320">
        <f t="shared" si="12"/>
        <v>0</v>
      </c>
      <c r="Z18" s="320">
        <f t="shared" si="12"/>
        <v>0</v>
      </c>
      <c r="AA18" s="320">
        <f t="shared" si="12"/>
        <v>0</v>
      </c>
      <c r="AB18" s="320">
        <f t="shared" si="12"/>
        <v>0</v>
      </c>
      <c r="AC18" s="320">
        <f t="shared" si="12"/>
        <v>0</v>
      </c>
      <c r="AD18" s="320">
        <f t="shared" si="12"/>
        <v>0</v>
      </c>
      <c r="AE18" s="320">
        <f t="shared" si="12"/>
        <v>0</v>
      </c>
      <c r="AF18" s="320">
        <f t="shared" si="12"/>
        <v>0</v>
      </c>
      <c r="AG18" s="320">
        <f t="shared" si="12"/>
        <v>0</v>
      </c>
      <c r="AH18" s="320">
        <f t="shared" si="12"/>
        <v>0</v>
      </c>
      <c r="AI18" s="320">
        <f t="shared" si="12"/>
        <v>0</v>
      </c>
      <c r="AJ18" s="320">
        <f t="shared" si="12"/>
        <v>0</v>
      </c>
      <c r="AK18" s="320">
        <f t="shared" si="12"/>
        <v>0</v>
      </c>
      <c r="AL18" s="320">
        <f t="shared" si="12"/>
        <v>0</v>
      </c>
      <c r="AM18" s="320">
        <f t="shared" si="12"/>
        <v>0</v>
      </c>
      <c r="AN18" s="320">
        <f t="shared" si="12"/>
        <v>0</v>
      </c>
      <c r="AO18" s="320">
        <f t="shared" si="12"/>
        <v>0</v>
      </c>
      <c r="AP18" s="320">
        <f t="shared" si="12"/>
        <v>0</v>
      </c>
      <c r="AQ18" s="320">
        <f t="shared" si="12"/>
        <v>0</v>
      </c>
      <c r="AR18" s="320">
        <f t="shared" si="12"/>
        <v>0</v>
      </c>
      <c r="AS18" s="320">
        <f t="shared" si="12"/>
        <v>0</v>
      </c>
      <c r="AT18" s="320">
        <f t="shared" si="12"/>
        <v>0</v>
      </c>
      <c r="AU18" s="320">
        <f t="shared" si="12"/>
        <v>0</v>
      </c>
      <c r="AV18" s="320">
        <f t="shared" si="12"/>
        <v>0</v>
      </c>
      <c r="AW18" s="320">
        <f t="shared" si="12"/>
        <v>0</v>
      </c>
      <c r="AX18" s="320">
        <f t="shared" si="12"/>
        <v>0</v>
      </c>
      <c r="AY18" s="320">
        <f t="shared" si="12"/>
        <v>52</v>
      </c>
      <c r="AZ18" s="320">
        <f t="shared" si="12"/>
        <v>5245396</v>
      </c>
      <c r="BA18" s="320">
        <f t="shared" si="12"/>
        <v>0</v>
      </c>
      <c r="BB18" s="320">
        <f t="shared" si="12"/>
        <v>0</v>
      </c>
      <c r="BC18" s="320">
        <f t="shared" si="12"/>
        <v>52</v>
      </c>
      <c r="BD18" s="320">
        <f t="shared" si="12"/>
        <v>5245396</v>
      </c>
    </row>
    <row r="19" spans="1:56" s="293" customFormat="1" ht="15.75" customHeight="1" x14ac:dyDescent="0.2">
      <c r="A19" s="299">
        <v>9</v>
      </c>
      <c r="B19" s="324">
        <v>100873</v>
      </c>
      <c r="C19" s="300"/>
      <c r="D19" s="297">
        <f>C19*B19</f>
        <v>0</v>
      </c>
      <c r="E19" s="300"/>
      <c r="F19" s="297">
        <f>E19*B19</f>
        <v>0</v>
      </c>
      <c r="G19" s="300"/>
      <c r="H19" s="297">
        <f>G19*B19</f>
        <v>0</v>
      </c>
      <c r="I19" s="300"/>
      <c r="J19" s="297">
        <f>I19*B19</f>
        <v>0</v>
      </c>
      <c r="K19" s="301"/>
      <c r="L19" s="298">
        <f>K19*B19</f>
        <v>0</v>
      </c>
      <c r="M19" s="300">
        <v>52</v>
      </c>
      <c r="N19" s="297">
        <f>M19*B19</f>
        <v>5245396</v>
      </c>
      <c r="O19" s="300"/>
      <c r="P19" s="297">
        <f>O19*B19</f>
        <v>0</v>
      </c>
      <c r="Q19" s="300"/>
      <c r="R19" s="297">
        <f>Q19*B19</f>
        <v>0</v>
      </c>
      <c r="S19" s="300"/>
      <c r="T19" s="297">
        <f>S19*B19</f>
        <v>0</v>
      </c>
      <c r="U19" s="300"/>
      <c r="V19" s="297">
        <f>U19*B19</f>
        <v>0</v>
      </c>
      <c r="W19" s="300"/>
      <c r="X19" s="297">
        <f>W19*B19</f>
        <v>0</v>
      </c>
      <c r="Y19" s="300"/>
      <c r="Z19" s="297">
        <f>Y19*B19</f>
        <v>0</v>
      </c>
      <c r="AA19" s="300"/>
      <c r="AB19" s="297">
        <f>AA19*B19</f>
        <v>0</v>
      </c>
      <c r="AC19" s="300"/>
      <c r="AD19" s="297">
        <f>AC19*B19</f>
        <v>0</v>
      </c>
      <c r="AE19" s="300"/>
      <c r="AF19" s="297">
        <f>AE19*B19</f>
        <v>0</v>
      </c>
      <c r="AG19" s="300"/>
      <c r="AH19" s="297">
        <f>AG19*B19</f>
        <v>0</v>
      </c>
      <c r="AI19" s="300"/>
      <c r="AJ19" s="297">
        <f>AI19*B19</f>
        <v>0</v>
      </c>
      <c r="AK19" s="297"/>
      <c r="AL19" s="297">
        <f t="shared" ref="AL19" si="13">AK19*B19</f>
        <v>0</v>
      </c>
      <c r="AM19" s="297"/>
      <c r="AN19" s="297">
        <f>AM19*B19</f>
        <v>0</v>
      </c>
      <c r="AO19" s="298"/>
      <c r="AP19" s="298">
        <f>AO19*B19</f>
        <v>0</v>
      </c>
      <c r="AQ19" s="300"/>
      <c r="AR19" s="297">
        <f>AQ19*B19</f>
        <v>0</v>
      </c>
      <c r="AS19" s="300"/>
      <c r="AT19" s="297">
        <f>AS19*B19</f>
        <v>0</v>
      </c>
      <c r="AU19" s="300"/>
      <c r="AV19" s="297">
        <f>AU19*B19</f>
        <v>0</v>
      </c>
      <c r="AW19" s="300"/>
      <c r="AX19" s="297">
        <f>AW19*B19</f>
        <v>0</v>
      </c>
      <c r="AY19" s="297">
        <f>Q19+U19+AO19+AG19+Y19+AA19+AC19+AE19+S19+AQ19+AI19+AM19+AS19+W19+AU19+M19+C19+O19+E19+G19+K19+I19+AW19+AK19</f>
        <v>52</v>
      </c>
      <c r="AZ19" s="297">
        <f>R19+V19+AP19+AH19+Z19+AB19+AD19+AF19+T19+AR19+AJ19+AN19+AT19+X19+AV19+N19+D19+P19+F19+H19+L19+J19+AX19+AL19</f>
        <v>5245396</v>
      </c>
      <c r="BA19" s="313"/>
      <c r="BB19" s="313"/>
      <c r="BC19" s="323">
        <f>AY19+BA19</f>
        <v>52</v>
      </c>
      <c r="BD19" s="323">
        <f>AZ19+BB19</f>
        <v>5245396</v>
      </c>
    </row>
    <row r="20" spans="1:56" s="293" customFormat="1" ht="12.75" customHeight="1" x14ac:dyDescent="0.2">
      <c r="A20" s="332" t="s">
        <v>556</v>
      </c>
      <c r="B20" s="333"/>
      <c r="C20" s="320">
        <f t="shared" ref="C20:BD20" si="14">C21+C22</f>
        <v>0</v>
      </c>
      <c r="D20" s="320">
        <f t="shared" si="14"/>
        <v>0</v>
      </c>
      <c r="E20" s="320">
        <f t="shared" si="14"/>
        <v>0</v>
      </c>
      <c r="F20" s="320">
        <f t="shared" si="14"/>
        <v>0</v>
      </c>
      <c r="G20" s="320">
        <f t="shared" si="14"/>
        <v>0</v>
      </c>
      <c r="H20" s="320">
        <f t="shared" si="14"/>
        <v>0</v>
      </c>
      <c r="I20" s="320">
        <f t="shared" si="14"/>
        <v>0</v>
      </c>
      <c r="J20" s="320">
        <f t="shared" si="14"/>
        <v>0</v>
      </c>
      <c r="K20" s="320">
        <f t="shared" si="14"/>
        <v>0</v>
      </c>
      <c r="L20" s="320">
        <f t="shared" si="14"/>
        <v>0</v>
      </c>
      <c r="M20" s="320">
        <f t="shared" si="14"/>
        <v>0</v>
      </c>
      <c r="N20" s="320">
        <f t="shared" si="14"/>
        <v>0</v>
      </c>
      <c r="O20" s="320">
        <f t="shared" si="14"/>
        <v>0</v>
      </c>
      <c r="P20" s="320">
        <f t="shared" si="14"/>
        <v>0</v>
      </c>
      <c r="Q20" s="320">
        <f t="shared" si="14"/>
        <v>0</v>
      </c>
      <c r="R20" s="320">
        <f t="shared" si="14"/>
        <v>0</v>
      </c>
      <c r="S20" s="320">
        <f t="shared" si="14"/>
        <v>0</v>
      </c>
      <c r="T20" s="320">
        <f t="shared" si="14"/>
        <v>0</v>
      </c>
      <c r="U20" s="320">
        <f t="shared" si="14"/>
        <v>0</v>
      </c>
      <c r="V20" s="320">
        <f t="shared" si="14"/>
        <v>0</v>
      </c>
      <c r="W20" s="320">
        <f t="shared" si="14"/>
        <v>0</v>
      </c>
      <c r="X20" s="320">
        <f t="shared" si="14"/>
        <v>0</v>
      </c>
      <c r="Y20" s="320">
        <f t="shared" si="14"/>
        <v>0</v>
      </c>
      <c r="Z20" s="320">
        <f t="shared" si="14"/>
        <v>0</v>
      </c>
      <c r="AA20" s="320">
        <f t="shared" si="14"/>
        <v>0</v>
      </c>
      <c r="AB20" s="320">
        <f t="shared" si="14"/>
        <v>0</v>
      </c>
      <c r="AC20" s="320">
        <f t="shared" si="14"/>
        <v>0</v>
      </c>
      <c r="AD20" s="320">
        <f t="shared" si="14"/>
        <v>0</v>
      </c>
      <c r="AE20" s="320">
        <f t="shared" si="14"/>
        <v>98</v>
      </c>
      <c r="AF20" s="320">
        <f t="shared" si="14"/>
        <v>62513320</v>
      </c>
      <c r="AG20" s="320">
        <f t="shared" si="14"/>
        <v>0</v>
      </c>
      <c r="AH20" s="320">
        <f t="shared" si="14"/>
        <v>0</v>
      </c>
      <c r="AI20" s="320">
        <f t="shared" si="14"/>
        <v>0</v>
      </c>
      <c r="AJ20" s="320">
        <f t="shared" si="14"/>
        <v>0</v>
      </c>
      <c r="AK20" s="320">
        <f t="shared" si="14"/>
        <v>0</v>
      </c>
      <c r="AL20" s="320">
        <f t="shared" si="14"/>
        <v>0</v>
      </c>
      <c r="AM20" s="320">
        <f t="shared" si="14"/>
        <v>0</v>
      </c>
      <c r="AN20" s="320">
        <f t="shared" si="14"/>
        <v>0</v>
      </c>
      <c r="AO20" s="320">
        <f t="shared" si="14"/>
        <v>0</v>
      </c>
      <c r="AP20" s="320">
        <f t="shared" si="14"/>
        <v>0</v>
      </c>
      <c r="AQ20" s="320">
        <f t="shared" si="14"/>
        <v>15</v>
      </c>
      <c r="AR20" s="320">
        <f t="shared" si="14"/>
        <v>7983825</v>
      </c>
      <c r="AS20" s="320">
        <f t="shared" si="14"/>
        <v>0</v>
      </c>
      <c r="AT20" s="320">
        <f t="shared" si="14"/>
        <v>0</v>
      </c>
      <c r="AU20" s="320">
        <f t="shared" si="14"/>
        <v>0</v>
      </c>
      <c r="AV20" s="320">
        <f t="shared" si="14"/>
        <v>0</v>
      </c>
      <c r="AW20" s="320">
        <f t="shared" si="14"/>
        <v>0</v>
      </c>
      <c r="AX20" s="320">
        <f t="shared" si="14"/>
        <v>0</v>
      </c>
      <c r="AY20" s="320">
        <f t="shared" si="14"/>
        <v>113</v>
      </c>
      <c r="AZ20" s="320">
        <f t="shared" si="14"/>
        <v>70497145</v>
      </c>
      <c r="BA20" s="320">
        <f t="shared" si="14"/>
        <v>0</v>
      </c>
      <c r="BB20" s="320">
        <f t="shared" si="14"/>
        <v>0</v>
      </c>
      <c r="BC20" s="320">
        <f t="shared" si="14"/>
        <v>113</v>
      </c>
      <c r="BD20" s="320">
        <f t="shared" si="14"/>
        <v>70497145</v>
      </c>
    </row>
    <row r="21" spans="1:56" s="293" customFormat="1" ht="14.25" customHeight="1" x14ac:dyDescent="0.2">
      <c r="A21" s="299">
        <v>10</v>
      </c>
      <c r="B21" s="324">
        <v>532255</v>
      </c>
      <c r="C21" s="300"/>
      <c r="D21" s="297">
        <f>C21*B21</f>
        <v>0</v>
      </c>
      <c r="E21" s="300"/>
      <c r="F21" s="297">
        <f>E21*B21</f>
        <v>0</v>
      </c>
      <c r="G21" s="300"/>
      <c r="H21" s="297">
        <f>G21*B21</f>
        <v>0</v>
      </c>
      <c r="I21" s="300"/>
      <c r="J21" s="297">
        <f>I21*B21</f>
        <v>0</v>
      </c>
      <c r="K21" s="301"/>
      <c r="L21" s="298">
        <f>K21*B21</f>
        <v>0</v>
      </c>
      <c r="M21" s="302"/>
      <c r="N21" s="297">
        <f>M21*B21</f>
        <v>0</v>
      </c>
      <c r="O21" s="300"/>
      <c r="P21" s="297">
        <f>O21*B21</f>
        <v>0</v>
      </c>
      <c r="Q21" s="300"/>
      <c r="R21" s="297">
        <f>Q21*B21</f>
        <v>0</v>
      </c>
      <c r="S21" s="300"/>
      <c r="T21" s="297">
        <f>S21*B21</f>
        <v>0</v>
      </c>
      <c r="U21" s="302"/>
      <c r="V21" s="297">
        <f>U21*B21</f>
        <v>0</v>
      </c>
      <c r="W21" s="302"/>
      <c r="X21" s="297">
        <f>W21*B21</f>
        <v>0</v>
      </c>
      <c r="Y21" s="302"/>
      <c r="Z21" s="297">
        <f>Y21*B21</f>
        <v>0</v>
      </c>
      <c r="AA21" s="302"/>
      <c r="AB21" s="297">
        <f>AA21*B21</f>
        <v>0</v>
      </c>
      <c r="AC21" s="300"/>
      <c r="AD21" s="297">
        <f>AC21*B21</f>
        <v>0</v>
      </c>
      <c r="AE21" s="300">
        <f>90-2</f>
        <v>88</v>
      </c>
      <c r="AF21" s="297">
        <f>AE21*B21</f>
        <v>46838440</v>
      </c>
      <c r="AG21" s="302"/>
      <c r="AH21" s="297">
        <f>AG21*B21</f>
        <v>0</v>
      </c>
      <c r="AI21" s="300"/>
      <c r="AJ21" s="297">
        <f>AI21*B21</f>
        <v>0</v>
      </c>
      <c r="AK21" s="297"/>
      <c r="AL21" s="297">
        <f t="shared" ref="AL21:AL22" si="15">AK21*B21</f>
        <v>0</v>
      </c>
      <c r="AM21" s="297"/>
      <c r="AN21" s="297">
        <f>AM21*B21</f>
        <v>0</v>
      </c>
      <c r="AO21" s="303"/>
      <c r="AP21" s="298">
        <f>AO21*B21</f>
        <v>0</v>
      </c>
      <c r="AQ21" s="300">
        <v>15</v>
      </c>
      <c r="AR21" s="297">
        <f>AQ21*B21</f>
        <v>7983825</v>
      </c>
      <c r="AS21" s="300"/>
      <c r="AT21" s="297">
        <f>AS21*B21</f>
        <v>0</v>
      </c>
      <c r="AU21" s="300"/>
      <c r="AV21" s="297">
        <f>AU21*B21</f>
        <v>0</v>
      </c>
      <c r="AW21" s="300"/>
      <c r="AX21" s="297">
        <f>AW21*B21</f>
        <v>0</v>
      </c>
      <c r="AY21" s="297">
        <f t="shared" ref="AY21:AZ22" si="16">Q21+U21+AO21+AG21+Y21+AA21+AC21+AE21+S21+AQ21+AI21+AM21+AS21+W21+AU21+M21+C21+O21+E21+G21+K21+I21+AW21+AK21</f>
        <v>103</v>
      </c>
      <c r="AZ21" s="297">
        <f t="shared" si="16"/>
        <v>54822265</v>
      </c>
      <c r="BA21" s="313"/>
      <c r="BB21" s="313"/>
      <c r="BC21" s="323">
        <f>AY21+BA21</f>
        <v>103</v>
      </c>
      <c r="BD21" s="323">
        <f>AZ21+BB21</f>
        <v>54822265</v>
      </c>
    </row>
    <row r="22" spans="1:56" s="293" customFormat="1" ht="14.25" customHeight="1" x14ac:dyDescent="0.2">
      <c r="A22" s="299">
        <v>11</v>
      </c>
      <c r="B22" s="324">
        <v>1567488</v>
      </c>
      <c r="C22" s="304"/>
      <c r="D22" s="297">
        <f>C22*B22</f>
        <v>0</v>
      </c>
      <c r="E22" s="304"/>
      <c r="F22" s="297">
        <f>E22*B22</f>
        <v>0</v>
      </c>
      <c r="G22" s="304"/>
      <c r="H22" s="297">
        <f>G22*B22</f>
        <v>0</v>
      </c>
      <c r="I22" s="304"/>
      <c r="J22" s="297">
        <f>I22*B22</f>
        <v>0</v>
      </c>
      <c r="K22" s="305"/>
      <c r="L22" s="298">
        <f>K22*B22</f>
        <v>0</v>
      </c>
      <c r="M22" s="306"/>
      <c r="N22" s="297">
        <f>M22*B22</f>
        <v>0</v>
      </c>
      <c r="O22" s="304"/>
      <c r="P22" s="297">
        <f>O22*B22</f>
        <v>0</v>
      </c>
      <c r="Q22" s="304"/>
      <c r="R22" s="297">
        <f>Q22*B22</f>
        <v>0</v>
      </c>
      <c r="S22" s="304"/>
      <c r="T22" s="297">
        <f>S22*B22</f>
        <v>0</v>
      </c>
      <c r="U22" s="306"/>
      <c r="V22" s="297">
        <f>U22*B22</f>
        <v>0</v>
      </c>
      <c r="W22" s="306"/>
      <c r="X22" s="297">
        <f>W22*B22</f>
        <v>0</v>
      </c>
      <c r="Y22" s="306"/>
      <c r="Z22" s="297">
        <f>Y22*B22</f>
        <v>0</v>
      </c>
      <c r="AA22" s="306"/>
      <c r="AB22" s="297">
        <f>AA22*B22</f>
        <v>0</v>
      </c>
      <c r="AC22" s="304"/>
      <c r="AD22" s="297">
        <f>AC22*B22</f>
        <v>0</v>
      </c>
      <c r="AE22" s="304">
        <v>10</v>
      </c>
      <c r="AF22" s="297">
        <f>AE22*B22</f>
        <v>15674880</v>
      </c>
      <c r="AG22" s="306"/>
      <c r="AH22" s="297">
        <f>AG22*B22</f>
        <v>0</v>
      </c>
      <c r="AI22" s="304"/>
      <c r="AJ22" s="297">
        <f>AI22*B22</f>
        <v>0</v>
      </c>
      <c r="AK22" s="297"/>
      <c r="AL22" s="297">
        <f t="shared" si="15"/>
        <v>0</v>
      </c>
      <c r="AM22" s="300"/>
      <c r="AN22" s="297">
        <f>AM22*B22</f>
        <v>0</v>
      </c>
      <c r="AO22" s="307"/>
      <c r="AP22" s="298">
        <f>AO22*B22</f>
        <v>0</v>
      </c>
      <c r="AQ22" s="304"/>
      <c r="AR22" s="297">
        <f>AQ22*B22</f>
        <v>0</v>
      </c>
      <c r="AS22" s="304"/>
      <c r="AT22" s="297">
        <f>AS22*B22</f>
        <v>0</v>
      </c>
      <c r="AU22" s="304"/>
      <c r="AV22" s="297">
        <f>AU22*B22</f>
        <v>0</v>
      </c>
      <c r="AW22" s="304"/>
      <c r="AX22" s="297">
        <f>AW22*B22</f>
        <v>0</v>
      </c>
      <c r="AY22" s="297">
        <f t="shared" si="16"/>
        <v>10</v>
      </c>
      <c r="AZ22" s="297">
        <f t="shared" si="16"/>
        <v>15674880</v>
      </c>
      <c r="BA22" s="313"/>
      <c r="BB22" s="313"/>
      <c r="BC22" s="323">
        <f>AY22+BA22</f>
        <v>10</v>
      </c>
      <c r="BD22" s="323">
        <f>AZ22+BB22</f>
        <v>15674880</v>
      </c>
    </row>
    <row r="23" spans="1:56" s="293" customFormat="1" ht="21" customHeight="1" x14ac:dyDescent="0.2">
      <c r="A23" s="332" t="s">
        <v>557</v>
      </c>
      <c r="B23" s="333"/>
      <c r="C23" s="320">
        <f t="shared" ref="C23:BD23" si="17">SUM(C24:C29)</f>
        <v>380</v>
      </c>
      <c r="D23" s="320">
        <f t="shared" si="17"/>
        <v>67497270</v>
      </c>
      <c r="E23" s="320">
        <f t="shared" si="17"/>
        <v>0</v>
      </c>
      <c r="F23" s="320">
        <f t="shared" si="17"/>
        <v>0</v>
      </c>
      <c r="G23" s="320">
        <f t="shared" si="17"/>
        <v>0</v>
      </c>
      <c r="H23" s="320">
        <f t="shared" si="17"/>
        <v>0</v>
      </c>
      <c r="I23" s="320">
        <f t="shared" si="17"/>
        <v>141</v>
      </c>
      <c r="J23" s="320">
        <f t="shared" si="17"/>
        <v>27471537</v>
      </c>
      <c r="K23" s="320">
        <f t="shared" si="17"/>
        <v>0</v>
      </c>
      <c r="L23" s="320">
        <f t="shared" si="17"/>
        <v>0</v>
      </c>
      <c r="M23" s="320">
        <f t="shared" si="17"/>
        <v>0</v>
      </c>
      <c r="N23" s="320">
        <f t="shared" si="17"/>
        <v>0</v>
      </c>
      <c r="O23" s="320">
        <f t="shared" si="17"/>
        <v>0</v>
      </c>
      <c r="P23" s="320">
        <f t="shared" si="17"/>
        <v>0</v>
      </c>
      <c r="Q23" s="320">
        <f t="shared" si="17"/>
        <v>78</v>
      </c>
      <c r="R23" s="320">
        <f t="shared" si="17"/>
        <v>16150416</v>
      </c>
      <c r="S23" s="320">
        <f t="shared" si="17"/>
        <v>124</v>
      </c>
      <c r="T23" s="320">
        <f t="shared" si="17"/>
        <v>21726733</v>
      </c>
      <c r="U23" s="320">
        <f t="shared" si="17"/>
        <v>0</v>
      </c>
      <c r="V23" s="320">
        <f t="shared" si="17"/>
        <v>0</v>
      </c>
      <c r="W23" s="320">
        <f t="shared" si="17"/>
        <v>0</v>
      </c>
      <c r="X23" s="320">
        <f t="shared" si="17"/>
        <v>0</v>
      </c>
      <c r="Y23" s="320">
        <f t="shared" si="17"/>
        <v>0</v>
      </c>
      <c r="Z23" s="320">
        <f t="shared" si="17"/>
        <v>0</v>
      </c>
      <c r="AA23" s="320">
        <f t="shared" si="17"/>
        <v>0</v>
      </c>
      <c r="AB23" s="320">
        <f t="shared" si="17"/>
        <v>0</v>
      </c>
      <c r="AC23" s="320">
        <f t="shared" si="17"/>
        <v>22</v>
      </c>
      <c r="AD23" s="320">
        <f t="shared" si="17"/>
        <v>4538613</v>
      </c>
      <c r="AE23" s="320">
        <f t="shared" si="17"/>
        <v>0</v>
      </c>
      <c r="AF23" s="320">
        <f t="shared" si="17"/>
        <v>0</v>
      </c>
      <c r="AG23" s="320">
        <f t="shared" si="17"/>
        <v>0</v>
      </c>
      <c r="AH23" s="320">
        <f t="shared" si="17"/>
        <v>0</v>
      </c>
      <c r="AI23" s="320">
        <f t="shared" si="17"/>
        <v>2</v>
      </c>
      <c r="AJ23" s="320">
        <f t="shared" si="17"/>
        <v>491718</v>
      </c>
      <c r="AK23" s="320">
        <f t="shared" si="17"/>
        <v>0</v>
      </c>
      <c r="AL23" s="320">
        <f t="shared" si="17"/>
        <v>0</v>
      </c>
      <c r="AM23" s="320">
        <f t="shared" si="17"/>
        <v>7</v>
      </c>
      <c r="AN23" s="320">
        <f t="shared" si="17"/>
        <v>1394150</v>
      </c>
      <c r="AO23" s="320">
        <f t="shared" si="17"/>
        <v>0</v>
      </c>
      <c r="AP23" s="320">
        <f t="shared" si="17"/>
        <v>0</v>
      </c>
      <c r="AQ23" s="320">
        <f t="shared" si="17"/>
        <v>194</v>
      </c>
      <c r="AR23" s="320">
        <f t="shared" si="17"/>
        <v>31791672</v>
      </c>
      <c r="AS23" s="320">
        <f t="shared" si="17"/>
        <v>0</v>
      </c>
      <c r="AT23" s="320">
        <f t="shared" si="17"/>
        <v>0</v>
      </c>
      <c r="AU23" s="320">
        <f t="shared" si="17"/>
        <v>0</v>
      </c>
      <c r="AV23" s="320">
        <f t="shared" si="17"/>
        <v>0</v>
      </c>
      <c r="AW23" s="320">
        <f t="shared" si="17"/>
        <v>60</v>
      </c>
      <c r="AX23" s="320">
        <f t="shared" si="17"/>
        <v>9746640</v>
      </c>
      <c r="AY23" s="320">
        <f t="shared" si="17"/>
        <v>1008</v>
      </c>
      <c r="AZ23" s="320">
        <f t="shared" si="17"/>
        <v>180808749</v>
      </c>
      <c r="BA23" s="320">
        <f t="shared" si="17"/>
        <v>0</v>
      </c>
      <c r="BB23" s="320">
        <f t="shared" si="17"/>
        <v>0</v>
      </c>
      <c r="BC23" s="320">
        <f t="shared" si="17"/>
        <v>1008</v>
      </c>
      <c r="BD23" s="320">
        <f t="shared" si="17"/>
        <v>180808749</v>
      </c>
    </row>
    <row r="24" spans="1:56" s="293" customFormat="1" ht="14.25" customHeight="1" x14ac:dyDescent="0.2">
      <c r="A24" s="299">
        <v>12</v>
      </c>
      <c r="B24" s="324">
        <v>162444</v>
      </c>
      <c r="C24" s="297">
        <f>320+10</f>
        <v>330</v>
      </c>
      <c r="D24" s="297">
        <f t="shared" ref="D24:D29" si="18">C24*B24</f>
        <v>53606520</v>
      </c>
      <c r="E24" s="297"/>
      <c r="F24" s="297">
        <f t="shared" ref="F24:F29" si="19">E24*B24</f>
        <v>0</v>
      </c>
      <c r="G24" s="297"/>
      <c r="H24" s="297">
        <f t="shared" ref="H24:H29" si="20">G24*B24</f>
        <v>0</v>
      </c>
      <c r="I24" s="300">
        <f>65+5</f>
        <v>70</v>
      </c>
      <c r="J24" s="297">
        <f t="shared" ref="J24:J29" si="21">I24*B24</f>
        <v>11371080</v>
      </c>
      <c r="K24" s="298"/>
      <c r="L24" s="298">
        <f t="shared" ref="L24:L29" si="22">K24*B24</f>
        <v>0</v>
      </c>
      <c r="M24" s="297"/>
      <c r="N24" s="297">
        <f t="shared" ref="N24:N29" si="23">M24*B24</f>
        <v>0</v>
      </c>
      <c r="O24" s="297"/>
      <c r="P24" s="297">
        <f t="shared" ref="P24:P29" si="24">O24*B24</f>
        <v>0</v>
      </c>
      <c r="Q24" s="297">
        <f>80-20</f>
        <v>60</v>
      </c>
      <c r="R24" s="297">
        <f t="shared" ref="R24:R29" si="25">Q24*B24</f>
        <v>9746640</v>
      </c>
      <c r="S24" s="297">
        <f>136-29</f>
        <v>107</v>
      </c>
      <c r="T24" s="297">
        <f t="shared" ref="T24:T29" si="26">S24*B24</f>
        <v>17381508</v>
      </c>
      <c r="U24" s="297"/>
      <c r="V24" s="297">
        <f t="shared" ref="V24:V29" si="27">U24*B24</f>
        <v>0</v>
      </c>
      <c r="W24" s="297"/>
      <c r="X24" s="297">
        <f t="shared" ref="X24:X29" si="28">W24*B24</f>
        <v>0</v>
      </c>
      <c r="Y24" s="297"/>
      <c r="Z24" s="297">
        <f t="shared" ref="Z24:Z29" si="29">Y24*B24</f>
        <v>0</v>
      </c>
      <c r="AA24" s="297"/>
      <c r="AB24" s="297">
        <f t="shared" ref="AB24:AB29" si="30">AA24*B24</f>
        <v>0</v>
      </c>
      <c r="AC24" s="297">
        <f>5+1+1</f>
        <v>7</v>
      </c>
      <c r="AD24" s="297">
        <f t="shared" ref="AD24:AD29" si="31">AC24*B24</f>
        <v>1137108</v>
      </c>
      <c r="AE24" s="297"/>
      <c r="AF24" s="297">
        <f t="shared" ref="AF24:AF29" si="32">AE24*B24</f>
        <v>0</v>
      </c>
      <c r="AG24" s="298"/>
      <c r="AH24" s="297">
        <f t="shared" ref="AH24:AH29" si="33">AG24*B24</f>
        <v>0</v>
      </c>
      <c r="AI24" s="297"/>
      <c r="AJ24" s="297">
        <f t="shared" ref="AJ24:AJ29" si="34">AI24*B24</f>
        <v>0</v>
      </c>
      <c r="AK24" s="297"/>
      <c r="AL24" s="297">
        <f t="shared" ref="AL24:AL29" si="35">AK24*B24</f>
        <v>0</v>
      </c>
      <c r="AM24" s="297">
        <v>5</v>
      </c>
      <c r="AN24" s="297">
        <f t="shared" ref="AN24:AN29" si="36">AM24*B24</f>
        <v>812220</v>
      </c>
      <c r="AO24" s="298"/>
      <c r="AP24" s="298">
        <f t="shared" ref="AP24:AP29" si="37">AO24*B24</f>
        <v>0</v>
      </c>
      <c r="AQ24" s="297">
        <v>178</v>
      </c>
      <c r="AR24" s="297">
        <f t="shared" ref="AR24:AR29" si="38">AQ24*B24</f>
        <v>28915032</v>
      </c>
      <c r="AS24" s="297"/>
      <c r="AT24" s="297">
        <f t="shared" ref="AT24:AT29" si="39">AS24*B24</f>
        <v>0</v>
      </c>
      <c r="AU24" s="297"/>
      <c r="AV24" s="297">
        <f t="shared" ref="AV24:AV29" si="40">AU24*B24</f>
        <v>0</v>
      </c>
      <c r="AW24" s="297">
        <v>60</v>
      </c>
      <c r="AX24" s="297">
        <f t="shared" ref="AX24:AX29" si="41">AW24*B24</f>
        <v>9746640</v>
      </c>
      <c r="AY24" s="297">
        <f t="shared" ref="AY24:AZ29" si="42">Q24+U24+AO24+AG24+Y24+AA24+AC24+AE24+S24+AQ24+AI24+AM24+AS24+W24+AU24+M24+C24+O24+E24+G24+K24+I24+AW24+AK24</f>
        <v>817</v>
      </c>
      <c r="AZ24" s="297">
        <f t="shared" si="42"/>
        <v>132716748</v>
      </c>
      <c r="BA24" s="313"/>
      <c r="BB24" s="313"/>
      <c r="BC24" s="323">
        <f t="shared" ref="BC24:BD29" si="43">AY24+BA24</f>
        <v>817</v>
      </c>
      <c r="BD24" s="323">
        <f t="shared" si="43"/>
        <v>132716748</v>
      </c>
    </row>
    <row r="25" spans="1:56" s="293" customFormat="1" ht="14.25" customHeight="1" x14ac:dyDescent="0.2">
      <c r="A25" s="299">
        <v>13</v>
      </c>
      <c r="B25" s="324">
        <v>245859</v>
      </c>
      <c r="C25" s="297">
        <v>5</v>
      </c>
      <c r="D25" s="297">
        <f t="shared" si="18"/>
        <v>1229295</v>
      </c>
      <c r="E25" s="297"/>
      <c r="F25" s="297">
        <f t="shared" si="19"/>
        <v>0</v>
      </c>
      <c r="G25" s="297"/>
      <c r="H25" s="297">
        <f t="shared" si="20"/>
        <v>0</v>
      </c>
      <c r="I25" s="300"/>
      <c r="J25" s="297">
        <f t="shared" si="21"/>
        <v>0</v>
      </c>
      <c r="K25" s="297"/>
      <c r="L25" s="298">
        <f t="shared" si="22"/>
        <v>0</v>
      </c>
      <c r="M25" s="308"/>
      <c r="N25" s="297">
        <f t="shared" si="23"/>
        <v>0</v>
      </c>
      <c r="O25" s="297"/>
      <c r="P25" s="297">
        <f t="shared" si="24"/>
        <v>0</v>
      </c>
      <c r="Q25" s="297"/>
      <c r="R25" s="297">
        <f t="shared" si="25"/>
        <v>0</v>
      </c>
      <c r="S25" s="297"/>
      <c r="T25" s="297">
        <f t="shared" si="26"/>
        <v>0</v>
      </c>
      <c r="U25" s="308"/>
      <c r="V25" s="297">
        <f t="shared" si="27"/>
        <v>0</v>
      </c>
      <c r="W25" s="308"/>
      <c r="X25" s="297">
        <f t="shared" si="28"/>
        <v>0</v>
      </c>
      <c r="Y25" s="308"/>
      <c r="Z25" s="297">
        <f t="shared" si="29"/>
        <v>0</v>
      </c>
      <c r="AA25" s="308"/>
      <c r="AB25" s="297">
        <f t="shared" si="30"/>
        <v>0</v>
      </c>
      <c r="AC25" s="297"/>
      <c r="AD25" s="297">
        <f t="shared" si="31"/>
        <v>0</v>
      </c>
      <c r="AE25" s="297"/>
      <c r="AF25" s="297">
        <f t="shared" si="32"/>
        <v>0</v>
      </c>
      <c r="AG25" s="308"/>
      <c r="AH25" s="297">
        <f t="shared" si="33"/>
        <v>0</v>
      </c>
      <c r="AI25" s="297">
        <f>0+2</f>
        <v>2</v>
      </c>
      <c r="AJ25" s="297">
        <f t="shared" si="34"/>
        <v>491718</v>
      </c>
      <c r="AK25" s="297"/>
      <c r="AL25" s="297">
        <f t="shared" si="35"/>
        <v>0</v>
      </c>
      <c r="AM25" s="297"/>
      <c r="AN25" s="297">
        <f t="shared" si="36"/>
        <v>0</v>
      </c>
      <c r="AO25" s="308"/>
      <c r="AP25" s="298">
        <f t="shared" si="37"/>
        <v>0</v>
      </c>
      <c r="AQ25" s="297">
        <v>4</v>
      </c>
      <c r="AR25" s="297">
        <f t="shared" si="38"/>
        <v>983436</v>
      </c>
      <c r="AS25" s="297"/>
      <c r="AT25" s="297">
        <f t="shared" si="39"/>
        <v>0</v>
      </c>
      <c r="AU25" s="297"/>
      <c r="AV25" s="297">
        <f t="shared" si="40"/>
        <v>0</v>
      </c>
      <c r="AW25" s="297"/>
      <c r="AX25" s="297">
        <f t="shared" si="41"/>
        <v>0</v>
      </c>
      <c r="AY25" s="297">
        <f t="shared" si="42"/>
        <v>11</v>
      </c>
      <c r="AZ25" s="297">
        <f t="shared" si="42"/>
        <v>2704449</v>
      </c>
      <c r="BA25" s="313"/>
      <c r="BB25" s="313"/>
      <c r="BC25" s="323">
        <f t="shared" si="43"/>
        <v>11</v>
      </c>
      <c r="BD25" s="323">
        <f t="shared" si="43"/>
        <v>2704449</v>
      </c>
    </row>
    <row r="26" spans="1:56" s="293" customFormat="1" ht="14.25" customHeight="1" x14ac:dyDescent="0.2">
      <c r="A26" s="299">
        <v>14</v>
      </c>
      <c r="B26" s="324">
        <v>157767</v>
      </c>
      <c r="C26" s="300">
        <v>15</v>
      </c>
      <c r="D26" s="297">
        <f t="shared" si="18"/>
        <v>2366505</v>
      </c>
      <c r="E26" s="300"/>
      <c r="F26" s="297">
        <f t="shared" si="19"/>
        <v>0</v>
      </c>
      <c r="G26" s="300"/>
      <c r="H26" s="297">
        <f t="shared" si="20"/>
        <v>0</v>
      </c>
      <c r="I26" s="300"/>
      <c r="J26" s="297">
        <f t="shared" si="21"/>
        <v>0</v>
      </c>
      <c r="K26" s="301"/>
      <c r="L26" s="298">
        <f t="shared" si="22"/>
        <v>0</v>
      </c>
      <c r="M26" s="302"/>
      <c r="N26" s="297">
        <f t="shared" si="23"/>
        <v>0</v>
      </c>
      <c r="O26" s="300"/>
      <c r="P26" s="297">
        <f t="shared" si="24"/>
        <v>0</v>
      </c>
      <c r="Q26" s="300">
        <v>3</v>
      </c>
      <c r="R26" s="297">
        <f t="shared" si="25"/>
        <v>473301</v>
      </c>
      <c r="S26" s="300">
        <v>10</v>
      </c>
      <c r="T26" s="297">
        <f t="shared" si="26"/>
        <v>1577670</v>
      </c>
      <c r="U26" s="302"/>
      <c r="V26" s="297">
        <f t="shared" si="27"/>
        <v>0</v>
      </c>
      <c r="W26" s="302"/>
      <c r="X26" s="297">
        <f t="shared" si="28"/>
        <v>0</v>
      </c>
      <c r="Y26" s="302"/>
      <c r="Z26" s="297">
        <f t="shared" si="29"/>
        <v>0</v>
      </c>
      <c r="AA26" s="302"/>
      <c r="AB26" s="297">
        <f t="shared" si="30"/>
        <v>0</v>
      </c>
      <c r="AC26" s="300">
        <f>15-15</f>
        <v>0</v>
      </c>
      <c r="AD26" s="297">
        <f t="shared" si="31"/>
        <v>0</v>
      </c>
      <c r="AE26" s="300"/>
      <c r="AF26" s="297">
        <f t="shared" si="32"/>
        <v>0</v>
      </c>
      <c r="AG26" s="302"/>
      <c r="AH26" s="297">
        <f t="shared" si="33"/>
        <v>0</v>
      </c>
      <c r="AI26" s="300"/>
      <c r="AJ26" s="297">
        <f t="shared" si="34"/>
        <v>0</v>
      </c>
      <c r="AK26" s="297"/>
      <c r="AL26" s="297">
        <f t="shared" si="35"/>
        <v>0</v>
      </c>
      <c r="AM26" s="300"/>
      <c r="AN26" s="297">
        <f t="shared" si="36"/>
        <v>0</v>
      </c>
      <c r="AO26" s="303"/>
      <c r="AP26" s="298">
        <f t="shared" si="37"/>
        <v>0</v>
      </c>
      <c r="AQ26" s="300">
        <v>12</v>
      </c>
      <c r="AR26" s="297">
        <f t="shared" si="38"/>
        <v>1893204</v>
      </c>
      <c r="AS26" s="300"/>
      <c r="AT26" s="297">
        <f t="shared" si="39"/>
        <v>0</v>
      </c>
      <c r="AU26" s="300"/>
      <c r="AV26" s="297">
        <f t="shared" si="40"/>
        <v>0</v>
      </c>
      <c r="AW26" s="300"/>
      <c r="AX26" s="297">
        <f t="shared" si="41"/>
        <v>0</v>
      </c>
      <c r="AY26" s="297">
        <f t="shared" si="42"/>
        <v>40</v>
      </c>
      <c r="AZ26" s="297">
        <f t="shared" si="42"/>
        <v>6310680</v>
      </c>
      <c r="BA26" s="313"/>
      <c r="BB26" s="313"/>
      <c r="BC26" s="323">
        <f t="shared" si="43"/>
        <v>40</v>
      </c>
      <c r="BD26" s="323">
        <f t="shared" si="43"/>
        <v>6310680</v>
      </c>
    </row>
    <row r="27" spans="1:56" s="293" customFormat="1" ht="12.75" customHeight="1" x14ac:dyDescent="0.2">
      <c r="A27" s="299">
        <v>15</v>
      </c>
      <c r="B27" s="324">
        <v>226767</v>
      </c>
      <c r="C27" s="304"/>
      <c r="D27" s="297">
        <f t="shared" si="18"/>
        <v>0</v>
      </c>
      <c r="E27" s="304"/>
      <c r="F27" s="297">
        <f t="shared" si="19"/>
        <v>0</v>
      </c>
      <c r="G27" s="304"/>
      <c r="H27" s="297">
        <f t="shared" si="20"/>
        <v>0</v>
      </c>
      <c r="I27" s="300">
        <f>60+11</f>
        <v>71</v>
      </c>
      <c r="J27" s="297">
        <f t="shared" si="21"/>
        <v>16100457</v>
      </c>
      <c r="K27" s="305"/>
      <c r="L27" s="298">
        <f t="shared" si="22"/>
        <v>0</v>
      </c>
      <c r="M27" s="306"/>
      <c r="N27" s="297">
        <f t="shared" si="23"/>
        <v>0</v>
      </c>
      <c r="O27" s="304"/>
      <c r="P27" s="297">
        <f t="shared" si="24"/>
        <v>0</v>
      </c>
      <c r="Q27" s="304"/>
      <c r="R27" s="297">
        <f t="shared" si="25"/>
        <v>0</v>
      </c>
      <c r="S27" s="304"/>
      <c r="T27" s="297">
        <f t="shared" si="26"/>
        <v>0</v>
      </c>
      <c r="U27" s="306"/>
      <c r="V27" s="297">
        <f t="shared" si="27"/>
        <v>0</v>
      </c>
      <c r="W27" s="306"/>
      <c r="X27" s="297">
        <f t="shared" si="28"/>
        <v>0</v>
      </c>
      <c r="Y27" s="306"/>
      <c r="Z27" s="297">
        <f t="shared" si="29"/>
        <v>0</v>
      </c>
      <c r="AA27" s="306"/>
      <c r="AB27" s="297">
        <f t="shared" si="30"/>
        <v>0</v>
      </c>
      <c r="AC27" s="300">
        <f>0+15</f>
        <v>15</v>
      </c>
      <c r="AD27" s="297">
        <f t="shared" si="31"/>
        <v>3401505</v>
      </c>
      <c r="AE27" s="304"/>
      <c r="AF27" s="297">
        <f t="shared" si="32"/>
        <v>0</v>
      </c>
      <c r="AG27" s="306"/>
      <c r="AH27" s="297">
        <f t="shared" si="33"/>
        <v>0</v>
      </c>
      <c r="AI27" s="304"/>
      <c r="AJ27" s="297">
        <f t="shared" si="34"/>
        <v>0</v>
      </c>
      <c r="AK27" s="297"/>
      <c r="AL27" s="297">
        <f t="shared" si="35"/>
        <v>0</v>
      </c>
      <c r="AM27" s="300"/>
      <c r="AN27" s="297">
        <f t="shared" si="36"/>
        <v>0</v>
      </c>
      <c r="AO27" s="307"/>
      <c r="AP27" s="298">
        <f t="shared" si="37"/>
        <v>0</v>
      </c>
      <c r="AQ27" s="304"/>
      <c r="AR27" s="297">
        <f t="shared" si="38"/>
        <v>0</v>
      </c>
      <c r="AS27" s="304"/>
      <c r="AT27" s="297">
        <f t="shared" si="39"/>
        <v>0</v>
      </c>
      <c r="AU27" s="304"/>
      <c r="AV27" s="297">
        <f t="shared" si="40"/>
        <v>0</v>
      </c>
      <c r="AW27" s="304"/>
      <c r="AX27" s="297">
        <f t="shared" si="41"/>
        <v>0</v>
      </c>
      <c r="AY27" s="297">
        <f t="shared" si="42"/>
        <v>86</v>
      </c>
      <c r="AZ27" s="297">
        <f t="shared" si="42"/>
        <v>19501962</v>
      </c>
      <c r="BA27" s="313"/>
      <c r="BB27" s="313"/>
      <c r="BC27" s="323">
        <f t="shared" si="43"/>
        <v>86</v>
      </c>
      <c r="BD27" s="323">
        <f t="shared" si="43"/>
        <v>19501962</v>
      </c>
    </row>
    <row r="28" spans="1:56" s="293" customFormat="1" ht="14.25" customHeight="1" x14ac:dyDescent="0.2">
      <c r="A28" s="299">
        <v>16</v>
      </c>
      <c r="B28" s="324">
        <v>290965</v>
      </c>
      <c r="C28" s="300">
        <v>15</v>
      </c>
      <c r="D28" s="297">
        <f t="shared" si="18"/>
        <v>4364475</v>
      </c>
      <c r="E28" s="300"/>
      <c r="F28" s="297">
        <f t="shared" si="19"/>
        <v>0</v>
      </c>
      <c r="G28" s="300"/>
      <c r="H28" s="297">
        <f t="shared" si="20"/>
        <v>0</v>
      </c>
      <c r="I28" s="300"/>
      <c r="J28" s="297">
        <f t="shared" si="21"/>
        <v>0</v>
      </c>
      <c r="K28" s="301"/>
      <c r="L28" s="298">
        <f t="shared" si="22"/>
        <v>0</v>
      </c>
      <c r="M28" s="302"/>
      <c r="N28" s="297">
        <f t="shared" si="23"/>
        <v>0</v>
      </c>
      <c r="O28" s="300"/>
      <c r="P28" s="297">
        <f t="shared" si="24"/>
        <v>0</v>
      </c>
      <c r="Q28" s="300"/>
      <c r="R28" s="297">
        <f t="shared" si="25"/>
        <v>0</v>
      </c>
      <c r="S28" s="300"/>
      <c r="T28" s="297">
        <f t="shared" si="26"/>
        <v>0</v>
      </c>
      <c r="U28" s="302"/>
      <c r="V28" s="297">
        <f t="shared" si="27"/>
        <v>0</v>
      </c>
      <c r="W28" s="302"/>
      <c r="X28" s="297">
        <f t="shared" si="28"/>
        <v>0</v>
      </c>
      <c r="Y28" s="302"/>
      <c r="Z28" s="297">
        <f t="shared" si="29"/>
        <v>0</v>
      </c>
      <c r="AA28" s="302"/>
      <c r="AB28" s="297">
        <f t="shared" si="30"/>
        <v>0</v>
      </c>
      <c r="AC28" s="300"/>
      <c r="AD28" s="297">
        <f t="shared" si="31"/>
        <v>0</v>
      </c>
      <c r="AE28" s="300"/>
      <c r="AF28" s="297">
        <f t="shared" si="32"/>
        <v>0</v>
      </c>
      <c r="AG28" s="302"/>
      <c r="AH28" s="297">
        <f t="shared" si="33"/>
        <v>0</v>
      </c>
      <c r="AI28" s="300"/>
      <c r="AJ28" s="297">
        <f t="shared" si="34"/>
        <v>0</v>
      </c>
      <c r="AK28" s="297"/>
      <c r="AL28" s="297">
        <f t="shared" si="35"/>
        <v>0</v>
      </c>
      <c r="AM28" s="300">
        <v>2</v>
      </c>
      <c r="AN28" s="297">
        <f t="shared" si="36"/>
        <v>581930</v>
      </c>
      <c r="AO28" s="303"/>
      <c r="AP28" s="298">
        <f t="shared" si="37"/>
        <v>0</v>
      </c>
      <c r="AQ28" s="300"/>
      <c r="AR28" s="297">
        <f t="shared" si="38"/>
        <v>0</v>
      </c>
      <c r="AS28" s="300"/>
      <c r="AT28" s="297">
        <f t="shared" si="39"/>
        <v>0</v>
      </c>
      <c r="AU28" s="300"/>
      <c r="AV28" s="297">
        <f t="shared" si="40"/>
        <v>0</v>
      </c>
      <c r="AW28" s="300"/>
      <c r="AX28" s="297">
        <f t="shared" si="41"/>
        <v>0</v>
      </c>
      <c r="AY28" s="297">
        <f t="shared" si="42"/>
        <v>17</v>
      </c>
      <c r="AZ28" s="297">
        <f t="shared" si="42"/>
        <v>4946405</v>
      </c>
      <c r="BA28" s="313"/>
      <c r="BB28" s="313"/>
      <c r="BC28" s="323">
        <f t="shared" si="43"/>
        <v>17</v>
      </c>
      <c r="BD28" s="323">
        <f t="shared" si="43"/>
        <v>4946405</v>
      </c>
    </row>
    <row r="29" spans="1:56" s="293" customFormat="1" ht="14.25" customHeight="1" x14ac:dyDescent="0.2">
      <c r="A29" s="299">
        <v>17</v>
      </c>
      <c r="B29" s="324">
        <v>395365</v>
      </c>
      <c r="C29" s="304">
        <v>15</v>
      </c>
      <c r="D29" s="297">
        <f t="shared" si="18"/>
        <v>5930475</v>
      </c>
      <c r="E29" s="304"/>
      <c r="F29" s="297">
        <f t="shared" si="19"/>
        <v>0</v>
      </c>
      <c r="G29" s="304"/>
      <c r="H29" s="297">
        <f t="shared" si="20"/>
        <v>0</v>
      </c>
      <c r="I29" s="304"/>
      <c r="J29" s="297">
        <f t="shared" si="21"/>
        <v>0</v>
      </c>
      <c r="K29" s="305"/>
      <c r="L29" s="298">
        <f t="shared" si="22"/>
        <v>0</v>
      </c>
      <c r="M29" s="306"/>
      <c r="N29" s="297">
        <f t="shared" si="23"/>
        <v>0</v>
      </c>
      <c r="O29" s="304"/>
      <c r="P29" s="297">
        <f t="shared" si="24"/>
        <v>0</v>
      </c>
      <c r="Q29" s="304">
        <v>15</v>
      </c>
      <c r="R29" s="297">
        <f t="shared" si="25"/>
        <v>5930475</v>
      </c>
      <c r="S29" s="304">
        <f>10-3</f>
        <v>7</v>
      </c>
      <c r="T29" s="297">
        <f t="shared" si="26"/>
        <v>2767555</v>
      </c>
      <c r="U29" s="306"/>
      <c r="V29" s="297">
        <f t="shared" si="27"/>
        <v>0</v>
      </c>
      <c r="W29" s="306"/>
      <c r="X29" s="297">
        <f t="shared" si="28"/>
        <v>0</v>
      </c>
      <c r="Y29" s="306"/>
      <c r="Z29" s="297">
        <f t="shared" si="29"/>
        <v>0</v>
      </c>
      <c r="AA29" s="306"/>
      <c r="AB29" s="297">
        <f t="shared" si="30"/>
        <v>0</v>
      </c>
      <c r="AC29" s="304"/>
      <c r="AD29" s="297">
        <f t="shared" si="31"/>
        <v>0</v>
      </c>
      <c r="AE29" s="304"/>
      <c r="AF29" s="297">
        <f t="shared" si="32"/>
        <v>0</v>
      </c>
      <c r="AG29" s="306"/>
      <c r="AH29" s="297">
        <f t="shared" si="33"/>
        <v>0</v>
      </c>
      <c r="AI29" s="304"/>
      <c r="AJ29" s="297">
        <f t="shared" si="34"/>
        <v>0</v>
      </c>
      <c r="AK29" s="297"/>
      <c r="AL29" s="297">
        <f t="shared" si="35"/>
        <v>0</v>
      </c>
      <c r="AM29" s="300"/>
      <c r="AN29" s="297">
        <f t="shared" si="36"/>
        <v>0</v>
      </c>
      <c r="AO29" s="307"/>
      <c r="AP29" s="298">
        <f t="shared" si="37"/>
        <v>0</v>
      </c>
      <c r="AQ29" s="304"/>
      <c r="AR29" s="297">
        <f t="shared" si="38"/>
        <v>0</v>
      </c>
      <c r="AS29" s="304"/>
      <c r="AT29" s="297">
        <f t="shared" si="39"/>
        <v>0</v>
      </c>
      <c r="AU29" s="304"/>
      <c r="AV29" s="297">
        <f t="shared" si="40"/>
        <v>0</v>
      </c>
      <c r="AW29" s="304"/>
      <c r="AX29" s="297">
        <f t="shared" si="41"/>
        <v>0</v>
      </c>
      <c r="AY29" s="297">
        <f t="shared" si="42"/>
        <v>37</v>
      </c>
      <c r="AZ29" s="297">
        <f t="shared" si="42"/>
        <v>14628505</v>
      </c>
      <c r="BA29" s="313"/>
      <c r="BB29" s="313"/>
      <c r="BC29" s="323">
        <f t="shared" si="43"/>
        <v>37</v>
      </c>
      <c r="BD29" s="323">
        <f t="shared" si="43"/>
        <v>14628505</v>
      </c>
    </row>
    <row r="30" spans="1:56" s="293" customFormat="1" ht="18.75" customHeight="1" x14ac:dyDescent="0.2">
      <c r="A30" s="332" t="s">
        <v>558</v>
      </c>
      <c r="B30" s="333"/>
      <c r="C30" s="320">
        <f t="shared" ref="C30:BD30" si="44">C31+C32</f>
        <v>170</v>
      </c>
      <c r="D30" s="320">
        <f t="shared" si="44"/>
        <v>45959005</v>
      </c>
      <c r="E30" s="320">
        <f t="shared" si="44"/>
        <v>0</v>
      </c>
      <c r="F30" s="320">
        <f t="shared" si="44"/>
        <v>0</v>
      </c>
      <c r="G30" s="320">
        <f t="shared" si="44"/>
        <v>0</v>
      </c>
      <c r="H30" s="320">
        <f t="shared" si="44"/>
        <v>0</v>
      </c>
      <c r="I30" s="320">
        <f t="shared" si="44"/>
        <v>180</v>
      </c>
      <c r="J30" s="320">
        <f t="shared" si="44"/>
        <v>49680098</v>
      </c>
      <c r="K30" s="320">
        <f t="shared" si="44"/>
        <v>380</v>
      </c>
      <c r="L30" s="320">
        <f t="shared" si="44"/>
        <v>114314040</v>
      </c>
      <c r="M30" s="320">
        <f t="shared" si="44"/>
        <v>0</v>
      </c>
      <c r="N30" s="320">
        <f t="shared" si="44"/>
        <v>0</v>
      </c>
      <c r="O30" s="320">
        <f t="shared" si="44"/>
        <v>0</v>
      </c>
      <c r="P30" s="320">
        <f t="shared" si="44"/>
        <v>0</v>
      </c>
      <c r="Q30" s="320">
        <f t="shared" si="44"/>
        <v>0</v>
      </c>
      <c r="R30" s="320">
        <f t="shared" si="44"/>
        <v>0</v>
      </c>
      <c r="S30" s="320">
        <f t="shared" si="44"/>
        <v>0</v>
      </c>
      <c r="T30" s="320">
        <f t="shared" si="44"/>
        <v>0</v>
      </c>
      <c r="U30" s="320">
        <f t="shared" si="44"/>
        <v>0</v>
      </c>
      <c r="V30" s="320">
        <f t="shared" si="44"/>
        <v>0</v>
      </c>
      <c r="W30" s="320">
        <f t="shared" si="44"/>
        <v>0</v>
      </c>
      <c r="X30" s="320">
        <f t="shared" si="44"/>
        <v>0</v>
      </c>
      <c r="Y30" s="320">
        <f t="shared" si="44"/>
        <v>0</v>
      </c>
      <c r="Z30" s="320">
        <f t="shared" si="44"/>
        <v>0</v>
      </c>
      <c r="AA30" s="320">
        <f t="shared" si="44"/>
        <v>0</v>
      </c>
      <c r="AB30" s="320">
        <f t="shared" si="44"/>
        <v>0</v>
      </c>
      <c r="AC30" s="320">
        <f t="shared" si="44"/>
        <v>155</v>
      </c>
      <c r="AD30" s="320">
        <f t="shared" si="44"/>
        <v>42255280</v>
      </c>
      <c r="AE30" s="320">
        <f t="shared" si="44"/>
        <v>0</v>
      </c>
      <c r="AF30" s="320">
        <f t="shared" si="44"/>
        <v>0</v>
      </c>
      <c r="AG30" s="320">
        <f t="shared" si="44"/>
        <v>0</v>
      </c>
      <c r="AH30" s="320">
        <f t="shared" si="44"/>
        <v>0</v>
      </c>
      <c r="AI30" s="320">
        <f t="shared" si="44"/>
        <v>0</v>
      </c>
      <c r="AJ30" s="320">
        <f t="shared" si="44"/>
        <v>0</v>
      </c>
      <c r="AK30" s="320">
        <f t="shared" si="44"/>
        <v>0</v>
      </c>
      <c r="AL30" s="320">
        <f t="shared" si="44"/>
        <v>0</v>
      </c>
      <c r="AM30" s="320">
        <f t="shared" si="44"/>
        <v>0</v>
      </c>
      <c r="AN30" s="320">
        <f t="shared" si="44"/>
        <v>0</v>
      </c>
      <c r="AO30" s="320">
        <f t="shared" si="44"/>
        <v>0</v>
      </c>
      <c r="AP30" s="320">
        <f t="shared" si="44"/>
        <v>0</v>
      </c>
      <c r="AQ30" s="320">
        <f t="shared" si="44"/>
        <v>0</v>
      </c>
      <c r="AR30" s="320">
        <f t="shared" si="44"/>
        <v>0</v>
      </c>
      <c r="AS30" s="320">
        <f t="shared" si="44"/>
        <v>0</v>
      </c>
      <c r="AT30" s="320">
        <f t="shared" si="44"/>
        <v>0</v>
      </c>
      <c r="AU30" s="320">
        <f t="shared" si="44"/>
        <v>0</v>
      </c>
      <c r="AV30" s="320">
        <f t="shared" si="44"/>
        <v>0</v>
      </c>
      <c r="AW30" s="320">
        <f t="shared" si="44"/>
        <v>65</v>
      </c>
      <c r="AX30" s="320">
        <f t="shared" si="44"/>
        <v>17415231</v>
      </c>
      <c r="AY30" s="320">
        <f t="shared" si="44"/>
        <v>950</v>
      </c>
      <c r="AZ30" s="320">
        <f t="shared" si="44"/>
        <v>269623654</v>
      </c>
      <c r="BA30" s="320">
        <f t="shared" si="44"/>
        <v>0</v>
      </c>
      <c r="BB30" s="320">
        <f t="shared" si="44"/>
        <v>0</v>
      </c>
      <c r="BC30" s="320">
        <f t="shared" si="44"/>
        <v>950</v>
      </c>
      <c r="BD30" s="320">
        <f t="shared" si="44"/>
        <v>269623654</v>
      </c>
    </row>
    <row r="31" spans="1:56" s="293" customFormat="1" ht="14.25" customHeight="1" x14ac:dyDescent="0.2">
      <c r="A31" s="299">
        <v>18</v>
      </c>
      <c r="B31" s="324">
        <v>246915</v>
      </c>
      <c r="C31" s="297">
        <f>75+30+30</f>
        <v>135</v>
      </c>
      <c r="D31" s="297">
        <f>C31*B31</f>
        <v>33333525</v>
      </c>
      <c r="E31" s="297"/>
      <c r="F31" s="297">
        <f>E31*B31</f>
        <v>0</v>
      </c>
      <c r="G31" s="297"/>
      <c r="H31" s="297">
        <f>G31*B31</f>
        <v>0</v>
      </c>
      <c r="I31" s="300">
        <f>154-20</f>
        <v>134</v>
      </c>
      <c r="J31" s="297">
        <f>I31*B31</f>
        <v>33086610</v>
      </c>
      <c r="K31" s="297">
        <f>180+20</f>
        <v>200</v>
      </c>
      <c r="L31" s="298">
        <f>K31*B31</f>
        <v>49383000</v>
      </c>
      <c r="M31" s="297"/>
      <c r="N31" s="297">
        <f>M31*B31</f>
        <v>0</v>
      </c>
      <c r="O31" s="297"/>
      <c r="P31" s="297">
        <f>O31*B31</f>
        <v>0</v>
      </c>
      <c r="Q31" s="297"/>
      <c r="R31" s="297">
        <f>Q31*B31</f>
        <v>0</v>
      </c>
      <c r="S31" s="297"/>
      <c r="T31" s="297">
        <f>S31*B31</f>
        <v>0</v>
      </c>
      <c r="U31" s="297"/>
      <c r="V31" s="297">
        <f>U31*B31</f>
        <v>0</v>
      </c>
      <c r="W31" s="297"/>
      <c r="X31" s="297">
        <f>W31*B31</f>
        <v>0</v>
      </c>
      <c r="Y31" s="297"/>
      <c r="Z31" s="297">
        <f>Y31*B31</f>
        <v>0</v>
      </c>
      <c r="AA31" s="297"/>
      <c r="AB31" s="297">
        <f>AA31*B31</f>
        <v>0</v>
      </c>
      <c r="AC31" s="297">
        <v>120</v>
      </c>
      <c r="AD31" s="297">
        <f>AC31*B31</f>
        <v>29629800</v>
      </c>
      <c r="AE31" s="297"/>
      <c r="AF31" s="297">
        <f>AE31*B31</f>
        <v>0</v>
      </c>
      <c r="AG31" s="297"/>
      <c r="AH31" s="297">
        <f>AG31*B31</f>
        <v>0</v>
      </c>
      <c r="AI31" s="297"/>
      <c r="AJ31" s="297">
        <f>AI31*B31</f>
        <v>0</v>
      </c>
      <c r="AK31" s="297"/>
      <c r="AL31" s="297">
        <f t="shared" ref="AL31:AL32" si="45">AK31*B31</f>
        <v>0</v>
      </c>
      <c r="AM31" s="297"/>
      <c r="AN31" s="297">
        <f>AM31*B31</f>
        <v>0</v>
      </c>
      <c r="AO31" s="297"/>
      <c r="AP31" s="298">
        <f>AO31*B31</f>
        <v>0</v>
      </c>
      <c r="AQ31" s="297"/>
      <c r="AR31" s="297">
        <f>AQ31*B31</f>
        <v>0</v>
      </c>
      <c r="AS31" s="297"/>
      <c r="AT31" s="297">
        <f>AS31*B31</f>
        <v>0</v>
      </c>
      <c r="AU31" s="297"/>
      <c r="AV31" s="297">
        <f>AU31*B31</f>
        <v>0</v>
      </c>
      <c r="AW31" s="297">
        <f>100-36-11</f>
        <v>53</v>
      </c>
      <c r="AX31" s="297">
        <f>AW31*B31</f>
        <v>13086495</v>
      </c>
      <c r="AY31" s="297">
        <f t="shared" ref="AY31:AZ32" si="46">Q31+U31+AO31+AG31+Y31+AA31+AC31+AE31+S31+AQ31+AI31+AM31+AS31+W31+AU31+M31+C31+O31+E31+G31+K31+I31+AW31+AK31</f>
        <v>642</v>
      </c>
      <c r="AZ31" s="297">
        <f t="shared" si="46"/>
        <v>158519430</v>
      </c>
      <c r="BA31" s="313"/>
      <c r="BB31" s="313"/>
      <c r="BC31" s="323">
        <f>AY31+BA31</f>
        <v>642</v>
      </c>
      <c r="BD31" s="323">
        <f>AZ31+BB31</f>
        <v>158519430</v>
      </c>
    </row>
    <row r="32" spans="1:56" s="293" customFormat="1" ht="14.25" customHeight="1" x14ac:dyDescent="0.2">
      <c r="A32" s="299">
        <v>19</v>
      </c>
      <c r="B32" s="324">
        <v>360728</v>
      </c>
      <c r="C32" s="297">
        <f>75-20-20</f>
        <v>35</v>
      </c>
      <c r="D32" s="297">
        <f>C32*B32</f>
        <v>12625480</v>
      </c>
      <c r="E32" s="297"/>
      <c r="F32" s="297">
        <f>E32*B32</f>
        <v>0</v>
      </c>
      <c r="G32" s="297"/>
      <c r="H32" s="297">
        <f>G32*B32</f>
        <v>0</v>
      </c>
      <c r="I32" s="300">
        <f>56-10</f>
        <v>46</v>
      </c>
      <c r="J32" s="297">
        <f>I32*B32</f>
        <v>16593488</v>
      </c>
      <c r="K32" s="297">
        <v>180</v>
      </c>
      <c r="L32" s="298">
        <f>K32*B32</f>
        <v>64931040</v>
      </c>
      <c r="M32" s="297"/>
      <c r="N32" s="297">
        <f>M32*B32</f>
        <v>0</v>
      </c>
      <c r="O32" s="297"/>
      <c r="P32" s="297">
        <f>O32*B32</f>
        <v>0</v>
      </c>
      <c r="Q32" s="297"/>
      <c r="R32" s="297">
        <f>Q32*B32</f>
        <v>0</v>
      </c>
      <c r="S32" s="297"/>
      <c r="T32" s="297">
        <f>S32*B32</f>
        <v>0</v>
      </c>
      <c r="U32" s="297"/>
      <c r="V32" s="297">
        <f>U32*B32</f>
        <v>0</v>
      </c>
      <c r="W32" s="297"/>
      <c r="X32" s="297">
        <f>W32*B32</f>
        <v>0</v>
      </c>
      <c r="Y32" s="297"/>
      <c r="Z32" s="297">
        <f>Y32*B32</f>
        <v>0</v>
      </c>
      <c r="AA32" s="297"/>
      <c r="AB32" s="297">
        <f>AA32*B32</f>
        <v>0</v>
      </c>
      <c r="AC32" s="297">
        <f>40-2-3</f>
        <v>35</v>
      </c>
      <c r="AD32" s="297">
        <f>AC32*B32</f>
        <v>12625480</v>
      </c>
      <c r="AE32" s="297"/>
      <c r="AF32" s="297">
        <f>AE32*B32</f>
        <v>0</v>
      </c>
      <c r="AG32" s="297"/>
      <c r="AH32" s="297">
        <f>AG32*B32</f>
        <v>0</v>
      </c>
      <c r="AI32" s="297"/>
      <c r="AJ32" s="297">
        <f>AI32*B32</f>
        <v>0</v>
      </c>
      <c r="AK32" s="297"/>
      <c r="AL32" s="297">
        <f t="shared" si="45"/>
        <v>0</v>
      </c>
      <c r="AM32" s="297"/>
      <c r="AN32" s="297">
        <f>AM32*B32</f>
        <v>0</v>
      </c>
      <c r="AO32" s="297"/>
      <c r="AP32" s="298">
        <f>AO32*B32</f>
        <v>0</v>
      </c>
      <c r="AQ32" s="297"/>
      <c r="AR32" s="297">
        <f>AQ32*B32</f>
        <v>0</v>
      </c>
      <c r="AS32" s="297"/>
      <c r="AT32" s="297">
        <f>AS32*B32</f>
        <v>0</v>
      </c>
      <c r="AU32" s="297"/>
      <c r="AV32" s="297">
        <f>AU32*B32</f>
        <v>0</v>
      </c>
      <c r="AW32" s="297">
        <f>20-6-2</f>
        <v>12</v>
      </c>
      <c r="AX32" s="297">
        <f>AW32*B32</f>
        <v>4328736</v>
      </c>
      <c r="AY32" s="297">
        <f t="shared" si="46"/>
        <v>308</v>
      </c>
      <c r="AZ32" s="297">
        <f t="shared" si="46"/>
        <v>111104224</v>
      </c>
      <c r="BA32" s="313"/>
      <c r="BB32" s="313"/>
      <c r="BC32" s="323">
        <f>AY32+BA32</f>
        <v>308</v>
      </c>
      <c r="BD32" s="323">
        <f>AZ32+BB32</f>
        <v>111104224</v>
      </c>
    </row>
    <row r="33" spans="1:56" s="293" customFormat="1" ht="18.75" customHeight="1" x14ac:dyDescent="0.2">
      <c r="A33" s="332" t="s">
        <v>559</v>
      </c>
      <c r="B33" s="333"/>
      <c r="C33" s="320">
        <f t="shared" ref="C33:BD33" si="47">C34+C35+C36</f>
        <v>86</v>
      </c>
      <c r="D33" s="320">
        <f t="shared" si="47"/>
        <v>11259731</v>
      </c>
      <c r="E33" s="320">
        <f t="shared" si="47"/>
        <v>1224</v>
      </c>
      <c r="F33" s="320">
        <f t="shared" si="47"/>
        <v>157808356</v>
      </c>
      <c r="G33" s="320">
        <f t="shared" si="47"/>
        <v>0</v>
      </c>
      <c r="H33" s="320">
        <f t="shared" si="47"/>
        <v>0</v>
      </c>
      <c r="I33" s="320">
        <f t="shared" si="47"/>
        <v>103</v>
      </c>
      <c r="J33" s="320">
        <f t="shared" si="47"/>
        <v>13801908</v>
      </c>
      <c r="K33" s="320">
        <f t="shared" si="47"/>
        <v>0</v>
      </c>
      <c r="L33" s="320">
        <f t="shared" si="47"/>
        <v>0</v>
      </c>
      <c r="M33" s="320">
        <f t="shared" si="47"/>
        <v>0</v>
      </c>
      <c r="N33" s="320">
        <f t="shared" si="47"/>
        <v>0</v>
      </c>
      <c r="O33" s="320">
        <f t="shared" si="47"/>
        <v>0</v>
      </c>
      <c r="P33" s="320">
        <f t="shared" si="47"/>
        <v>0</v>
      </c>
      <c r="Q33" s="320">
        <f t="shared" si="47"/>
        <v>0</v>
      </c>
      <c r="R33" s="320">
        <f t="shared" si="47"/>
        <v>0</v>
      </c>
      <c r="S33" s="320">
        <f t="shared" si="47"/>
        <v>0</v>
      </c>
      <c r="T33" s="320">
        <f t="shared" si="47"/>
        <v>0</v>
      </c>
      <c r="U33" s="320">
        <f t="shared" si="47"/>
        <v>0</v>
      </c>
      <c r="V33" s="320">
        <f t="shared" si="47"/>
        <v>0</v>
      </c>
      <c r="W33" s="320">
        <f t="shared" si="47"/>
        <v>0</v>
      </c>
      <c r="X33" s="320">
        <f t="shared" si="47"/>
        <v>0</v>
      </c>
      <c r="Y33" s="320">
        <f t="shared" si="47"/>
        <v>0</v>
      </c>
      <c r="Z33" s="320">
        <f t="shared" si="47"/>
        <v>0</v>
      </c>
      <c r="AA33" s="320">
        <f t="shared" si="47"/>
        <v>0</v>
      </c>
      <c r="AB33" s="320">
        <f t="shared" si="47"/>
        <v>0</v>
      </c>
      <c r="AC33" s="320">
        <f t="shared" si="47"/>
        <v>0</v>
      </c>
      <c r="AD33" s="320">
        <f t="shared" si="47"/>
        <v>0</v>
      </c>
      <c r="AE33" s="320">
        <f t="shared" si="47"/>
        <v>0</v>
      </c>
      <c r="AF33" s="320">
        <f t="shared" si="47"/>
        <v>0</v>
      </c>
      <c r="AG33" s="320">
        <f t="shared" si="47"/>
        <v>0</v>
      </c>
      <c r="AH33" s="320">
        <f t="shared" si="47"/>
        <v>0</v>
      </c>
      <c r="AI33" s="320">
        <f t="shared" si="47"/>
        <v>0</v>
      </c>
      <c r="AJ33" s="320">
        <f t="shared" si="47"/>
        <v>0</v>
      </c>
      <c r="AK33" s="320">
        <f t="shared" si="47"/>
        <v>0</v>
      </c>
      <c r="AL33" s="320">
        <f t="shared" si="47"/>
        <v>0</v>
      </c>
      <c r="AM33" s="320">
        <f t="shared" si="47"/>
        <v>0</v>
      </c>
      <c r="AN33" s="320">
        <f t="shared" si="47"/>
        <v>0</v>
      </c>
      <c r="AO33" s="320">
        <f t="shared" si="47"/>
        <v>0</v>
      </c>
      <c r="AP33" s="320">
        <f t="shared" si="47"/>
        <v>0</v>
      </c>
      <c r="AQ33" s="320">
        <f t="shared" si="47"/>
        <v>62</v>
      </c>
      <c r="AR33" s="320">
        <f t="shared" si="47"/>
        <v>7894832</v>
      </c>
      <c r="AS33" s="320">
        <f t="shared" si="47"/>
        <v>20</v>
      </c>
      <c r="AT33" s="320">
        <f t="shared" si="47"/>
        <v>2546720</v>
      </c>
      <c r="AU33" s="320">
        <f t="shared" si="47"/>
        <v>0</v>
      </c>
      <c r="AV33" s="320">
        <f t="shared" si="47"/>
        <v>0</v>
      </c>
      <c r="AW33" s="320">
        <f t="shared" si="47"/>
        <v>150</v>
      </c>
      <c r="AX33" s="320">
        <f t="shared" si="47"/>
        <v>19443550</v>
      </c>
      <c r="AY33" s="320">
        <f t="shared" si="47"/>
        <v>1645</v>
      </c>
      <c r="AZ33" s="320">
        <f t="shared" si="47"/>
        <v>212755097</v>
      </c>
      <c r="BA33" s="320">
        <f t="shared" si="47"/>
        <v>0</v>
      </c>
      <c r="BB33" s="320">
        <f t="shared" si="47"/>
        <v>0</v>
      </c>
      <c r="BC33" s="320">
        <f t="shared" si="47"/>
        <v>1645</v>
      </c>
      <c r="BD33" s="320">
        <f t="shared" si="47"/>
        <v>212755097</v>
      </c>
    </row>
    <row r="34" spans="1:56" s="293" customFormat="1" ht="14.25" customHeight="1" x14ac:dyDescent="0.2">
      <c r="A34" s="299">
        <v>20</v>
      </c>
      <c r="B34" s="324">
        <v>127336</v>
      </c>
      <c r="C34" s="297">
        <v>41</v>
      </c>
      <c r="D34" s="297">
        <f>C34*B34</f>
        <v>5220776</v>
      </c>
      <c r="E34" s="297">
        <v>940</v>
      </c>
      <c r="F34" s="297">
        <f>E34*B34</f>
        <v>119695840</v>
      </c>
      <c r="G34" s="297"/>
      <c r="H34" s="297">
        <f>G34*B34</f>
        <v>0</v>
      </c>
      <c r="I34" s="300">
        <f>0+1+2</f>
        <v>3</v>
      </c>
      <c r="J34" s="297">
        <f>I34*B34</f>
        <v>382008</v>
      </c>
      <c r="K34" s="297"/>
      <c r="L34" s="298">
        <f>K34*B34</f>
        <v>0</v>
      </c>
      <c r="M34" s="297"/>
      <c r="N34" s="297">
        <f>M34*B34</f>
        <v>0</v>
      </c>
      <c r="O34" s="297"/>
      <c r="P34" s="297">
        <f>O34*B34</f>
        <v>0</v>
      </c>
      <c r="Q34" s="297"/>
      <c r="R34" s="297">
        <f>Q34*B34</f>
        <v>0</v>
      </c>
      <c r="S34" s="297"/>
      <c r="T34" s="297">
        <f>S34*B34</f>
        <v>0</v>
      </c>
      <c r="U34" s="297"/>
      <c r="V34" s="297">
        <f>U34*B34</f>
        <v>0</v>
      </c>
      <c r="W34" s="297"/>
      <c r="X34" s="297">
        <f>W34*B34</f>
        <v>0</v>
      </c>
      <c r="Y34" s="297"/>
      <c r="Z34" s="297">
        <f>Y34*B34</f>
        <v>0</v>
      </c>
      <c r="AA34" s="297"/>
      <c r="AB34" s="297">
        <f>AA34*B34</f>
        <v>0</v>
      </c>
      <c r="AC34" s="297"/>
      <c r="AD34" s="297">
        <f>AC34*B34</f>
        <v>0</v>
      </c>
      <c r="AE34" s="297"/>
      <c r="AF34" s="297">
        <f>AE34*B34</f>
        <v>0</v>
      </c>
      <c r="AG34" s="297"/>
      <c r="AH34" s="297">
        <f>AG34*B34</f>
        <v>0</v>
      </c>
      <c r="AI34" s="297"/>
      <c r="AJ34" s="297">
        <f>AI34*B34</f>
        <v>0</v>
      </c>
      <c r="AK34" s="297"/>
      <c r="AL34" s="297">
        <f t="shared" ref="AL34:AL36" si="48">AK34*B34</f>
        <v>0</v>
      </c>
      <c r="AM34" s="297"/>
      <c r="AN34" s="297">
        <f>AM34*B34</f>
        <v>0</v>
      </c>
      <c r="AO34" s="297"/>
      <c r="AP34" s="298">
        <f>AO34*B34</f>
        <v>0</v>
      </c>
      <c r="AQ34" s="297">
        <v>62</v>
      </c>
      <c r="AR34" s="297">
        <f>AQ34*B34</f>
        <v>7894832</v>
      </c>
      <c r="AS34" s="297">
        <v>20</v>
      </c>
      <c r="AT34" s="297">
        <f>AS34*B34</f>
        <v>2546720</v>
      </c>
      <c r="AU34" s="297"/>
      <c r="AV34" s="297">
        <f>AU34*B34</f>
        <v>0</v>
      </c>
      <c r="AW34" s="297">
        <v>100</v>
      </c>
      <c r="AX34" s="297">
        <f>AW34*B34</f>
        <v>12733600</v>
      </c>
      <c r="AY34" s="297">
        <f t="shared" ref="AY34:AZ36" si="49">Q34+U34+AO34+AG34+Y34+AA34+AC34+AE34+S34+AQ34+AI34+AM34+AS34+W34+AU34+M34+C34+O34+E34+G34+K34+I34+AW34+AK34</f>
        <v>1166</v>
      </c>
      <c r="AZ34" s="297">
        <f t="shared" si="49"/>
        <v>148473776</v>
      </c>
      <c r="BA34" s="313"/>
      <c r="BB34" s="313"/>
      <c r="BC34" s="323">
        <f t="shared" ref="BC34:BD36" si="50">AY34+BA34</f>
        <v>1166</v>
      </c>
      <c r="BD34" s="323">
        <f t="shared" si="50"/>
        <v>148473776</v>
      </c>
    </row>
    <row r="35" spans="1:56" s="293" customFormat="1" ht="14.25" customHeight="1" x14ac:dyDescent="0.2">
      <c r="A35" s="299">
        <v>21</v>
      </c>
      <c r="B35" s="324">
        <v>98802</v>
      </c>
      <c r="C35" s="300"/>
      <c r="D35" s="297">
        <f>C35*B35</f>
        <v>0</v>
      </c>
      <c r="E35" s="300"/>
      <c r="F35" s="297">
        <f>E35*B35</f>
        <v>0</v>
      </c>
      <c r="G35" s="300"/>
      <c r="H35" s="297">
        <f>G35*B35</f>
        <v>0</v>
      </c>
      <c r="I35" s="300"/>
      <c r="J35" s="297">
        <f>I35*B35</f>
        <v>0</v>
      </c>
      <c r="K35" s="300"/>
      <c r="L35" s="298">
        <f>K35*B35</f>
        <v>0</v>
      </c>
      <c r="M35" s="300"/>
      <c r="N35" s="297">
        <f>M35*B35</f>
        <v>0</v>
      </c>
      <c r="O35" s="300"/>
      <c r="P35" s="297">
        <f>O35*B35</f>
        <v>0</v>
      </c>
      <c r="Q35" s="300"/>
      <c r="R35" s="297">
        <f>Q35*B35</f>
        <v>0</v>
      </c>
      <c r="S35" s="300"/>
      <c r="T35" s="297">
        <f>S35*B35</f>
        <v>0</v>
      </c>
      <c r="U35" s="300"/>
      <c r="V35" s="297">
        <f>U35*B35</f>
        <v>0</v>
      </c>
      <c r="W35" s="300"/>
      <c r="X35" s="297">
        <f>W35*B35</f>
        <v>0</v>
      </c>
      <c r="Y35" s="300"/>
      <c r="Z35" s="297">
        <f>Y35*B35</f>
        <v>0</v>
      </c>
      <c r="AA35" s="300"/>
      <c r="AB35" s="297">
        <f>AA35*B35</f>
        <v>0</v>
      </c>
      <c r="AC35" s="300"/>
      <c r="AD35" s="297">
        <f>AC35*B35</f>
        <v>0</v>
      </c>
      <c r="AE35" s="300"/>
      <c r="AF35" s="297">
        <f>AE35*B35</f>
        <v>0</v>
      </c>
      <c r="AG35" s="300"/>
      <c r="AH35" s="297">
        <f>AG35*B35</f>
        <v>0</v>
      </c>
      <c r="AI35" s="300"/>
      <c r="AJ35" s="297">
        <f>AI35*B35</f>
        <v>0</v>
      </c>
      <c r="AK35" s="297"/>
      <c r="AL35" s="297">
        <f t="shared" si="48"/>
        <v>0</v>
      </c>
      <c r="AM35" s="297"/>
      <c r="AN35" s="297">
        <f>AM35*B35</f>
        <v>0</v>
      </c>
      <c r="AO35" s="300"/>
      <c r="AP35" s="298">
        <f>AO35*B35</f>
        <v>0</v>
      </c>
      <c r="AQ35" s="300"/>
      <c r="AR35" s="297">
        <f>AQ35*B35</f>
        <v>0</v>
      </c>
      <c r="AS35" s="300"/>
      <c r="AT35" s="297">
        <f>AS35*B35</f>
        <v>0</v>
      </c>
      <c r="AU35" s="300"/>
      <c r="AV35" s="297">
        <f>AU35*B35</f>
        <v>0</v>
      </c>
      <c r="AW35" s="300"/>
      <c r="AX35" s="297">
        <f>AW35*B35</f>
        <v>0</v>
      </c>
      <c r="AY35" s="297">
        <f t="shared" si="49"/>
        <v>0</v>
      </c>
      <c r="AZ35" s="297">
        <f t="shared" si="49"/>
        <v>0</v>
      </c>
      <c r="BA35" s="313"/>
      <c r="BB35" s="313"/>
      <c r="BC35" s="323">
        <f t="shared" si="50"/>
        <v>0</v>
      </c>
      <c r="BD35" s="323">
        <f t="shared" si="50"/>
        <v>0</v>
      </c>
    </row>
    <row r="36" spans="1:56" s="293" customFormat="1" ht="14.25" customHeight="1" x14ac:dyDescent="0.2">
      <c r="A36" s="299">
        <v>22</v>
      </c>
      <c r="B36" s="324">
        <v>134199</v>
      </c>
      <c r="C36" s="304">
        <f>60-15</f>
        <v>45</v>
      </c>
      <c r="D36" s="297">
        <f>C36*B36</f>
        <v>6038955</v>
      </c>
      <c r="E36" s="304">
        <v>284</v>
      </c>
      <c r="F36" s="297">
        <f>E36*B36</f>
        <v>38112516</v>
      </c>
      <c r="G36" s="304"/>
      <c r="H36" s="297">
        <f>G36*B36</f>
        <v>0</v>
      </c>
      <c r="I36" s="304">
        <v>100</v>
      </c>
      <c r="J36" s="297">
        <f>I36*B36</f>
        <v>13419900</v>
      </c>
      <c r="K36" s="304"/>
      <c r="L36" s="298">
        <f>K36*B36</f>
        <v>0</v>
      </c>
      <c r="M36" s="306"/>
      <c r="N36" s="297">
        <f>M36*B36</f>
        <v>0</v>
      </c>
      <c r="O36" s="304"/>
      <c r="P36" s="297">
        <f>O36*B36</f>
        <v>0</v>
      </c>
      <c r="Q36" s="304"/>
      <c r="R36" s="297">
        <f>Q36*B36</f>
        <v>0</v>
      </c>
      <c r="S36" s="304"/>
      <c r="T36" s="297">
        <f>S36*B36</f>
        <v>0</v>
      </c>
      <c r="U36" s="304"/>
      <c r="V36" s="297">
        <f>U36*B36</f>
        <v>0</v>
      </c>
      <c r="W36" s="306"/>
      <c r="X36" s="297">
        <f>W36*B36</f>
        <v>0</v>
      </c>
      <c r="Y36" s="306"/>
      <c r="Z36" s="297">
        <f>Y36*B36</f>
        <v>0</v>
      </c>
      <c r="AA36" s="306"/>
      <c r="AB36" s="297">
        <f>AA36*B36</f>
        <v>0</v>
      </c>
      <c r="AC36" s="304"/>
      <c r="AD36" s="297">
        <f>AC36*B36</f>
        <v>0</v>
      </c>
      <c r="AE36" s="304"/>
      <c r="AF36" s="297">
        <f>AE36*B36</f>
        <v>0</v>
      </c>
      <c r="AG36" s="306"/>
      <c r="AH36" s="297">
        <f>AG36*B36</f>
        <v>0</v>
      </c>
      <c r="AI36" s="304"/>
      <c r="AJ36" s="297">
        <f>AI36*B36</f>
        <v>0</v>
      </c>
      <c r="AK36" s="297"/>
      <c r="AL36" s="297">
        <f t="shared" si="48"/>
        <v>0</v>
      </c>
      <c r="AM36" s="297"/>
      <c r="AN36" s="297">
        <f>AM36*B36</f>
        <v>0</v>
      </c>
      <c r="AO36" s="306"/>
      <c r="AP36" s="298">
        <f>AO36*B36</f>
        <v>0</v>
      </c>
      <c r="AQ36" s="304"/>
      <c r="AR36" s="297">
        <f>AQ36*B36</f>
        <v>0</v>
      </c>
      <c r="AS36" s="304"/>
      <c r="AT36" s="297">
        <f>AS36*B36</f>
        <v>0</v>
      </c>
      <c r="AU36" s="304"/>
      <c r="AV36" s="297">
        <f>AU36*B36</f>
        <v>0</v>
      </c>
      <c r="AW36" s="304">
        <v>50</v>
      </c>
      <c r="AX36" s="297">
        <f>AW36*B36</f>
        <v>6709950</v>
      </c>
      <c r="AY36" s="297">
        <f t="shared" si="49"/>
        <v>479</v>
      </c>
      <c r="AZ36" s="297">
        <f t="shared" si="49"/>
        <v>64281321</v>
      </c>
      <c r="BA36" s="313"/>
      <c r="BB36" s="313"/>
      <c r="BC36" s="323">
        <f t="shared" si="50"/>
        <v>479</v>
      </c>
      <c r="BD36" s="323">
        <f t="shared" si="50"/>
        <v>64281321</v>
      </c>
    </row>
    <row r="37" spans="1:56" s="293" customFormat="1" ht="19.5" customHeight="1" x14ac:dyDescent="0.2">
      <c r="A37" s="332" t="s">
        <v>560</v>
      </c>
      <c r="B37" s="333"/>
      <c r="C37" s="320">
        <f t="shared" ref="C37:BD37" si="51">C38+C39</f>
        <v>120</v>
      </c>
      <c r="D37" s="320">
        <f t="shared" si="51"/>
        <v>12505865</v>
      </c>
      <c r="E37" s="320">
        <f t="shared" si="51"/>
        <v>0</v>
      </c>
      <c r="F37" s="320">
        <f t="shared" si="51"/>
        <v>0</v>
      </c>
      <c r="G37" s="320">
        <f t="shared" si="51"/>
        <v>0</v>
      </c>
      <c r="H37" s="320">
        <f t="shared" si="51"/>
        <v>0</v>
      </c>
      <c r="I37" s="320">
        <f t="shared" si="51"/>
        <v>50</v>
      </c>
      <c r="J37" s="320">
        <f t="shared" si="51"/>
        <v>5229870</v>
      </c>
      <c r="K37" s="320">
        <f t="shared" si="51"/>
        <v>0</v>
      </c>
      <c r="L37" s="320">
        <f t="shared" si="51"/>
        <v>0</v>
      </c>
      <c r="M37" s="320">
        <f t="shared" si="51"/>
        <v>0</v>
      </c>
      <c r="N37" s="320">
        <f t="shared" si="51"/>
        <v>0</v>
      </c>
      <c r="O37" s="320">
        <f t="shared" si="51"/>
        <v>0</v>
      </c>
      <c r="P37" s="320">
        <f t="shared" si="51"/>
        <v>0</v>
      </c>
      <c r="Q37" s="320">
        <f t="shared" si="51"/>
        <v>2</v>
      </c>
      <c r="R37" s="320">
        <f t="shared" si="51"/>
        <v>135878</v>
      </c>
      <c r="S37" s="320">
        <f t="shared" si="51"/>
        <v>68</v>
      </c>
      <c r="T37" s="320">
        <f t="shared" si="51"/>
        <v>5673781</v>
      </c>
      <c r="U37" s="320">
        <f t="shared" si="51"/>
        <v>0</v>
      </c>
      <c r="V37" s="320">
        <f t="shared" si="51"/>
        <v>0</v>
      </c>
      <c r="W37" s="320">
        <f t="shared" si="51"/>
        <v>0</v>
      </c>
      <c r="X37" s="320">
        <f t="shared" si="51"/>
        <v>0</v>
      </c>
      <c r="Y37" s="320">
        <f t="shared" si="51"/>
        <v>0</v>
      </c>
      <c r="Z37" s="320">
        <f t="shared" si="51"/>
        <v>0</v>
      </c>
      <c r="AA37" s="320">
        <f t="shared" si="51"/>
        <v>92</v>
      </c>
      <c r="AB37" s="320">
        <f t="shared" si="51"/>
        <v>8633184</v>
      </c>
      <c r="AC37" s="320">
        <f t="shared" si="51"/>
        <v>0</v>
      </c>
      <c r="AD37" s="320">
        <f t="shared" si="51"/>
        <v>0</v>
      </c>
      <c r="AE37" s="320">
        <f t="shared" si="51"/>
        <v>0</v>
      </c>
      <c r="AF37" s="320">
        <f t="shared" si="51"/>
        <v>0</v>
      </c>
      <c r="AG37" s="320">
        <f t="shared" si="51"/>
        <v>0</v>
      </c>
      <c r="AH37" s="320">
        <f t="shared" si="51"/>
        <v>0</v>
      </c>
      <c r="AI37" s="320">
        <f t="shared" si="51"/>
        <v>0</v>
      </c>
      <c r="AJ37" s="320">
        <f t="shared" si="51"/>
        <v>0</v>
      </c>
      <c r="AK37" s="320">
        <f t="shared" si="51"/>
        <v>0</v>
      </c>
      <c r="AL37" s="320">
        <f t="shared" si="51"/>
        <v>0</v>
      </c>
      <c r="AM37" s="320">
        <f t="shared" si="51"/>
        <v>0</v>
      </c>
      <c r="AN37" s="320">
        <f t="shared" si="51"/>
        <v>0</v>
      </c>
      <c r="AO37" s="320">
        <f t="shared" si="51"/>
        <v>0</v>
      </c>
      <c r="AP37" s="320">
        <f t="shared" si="51"/>
        <v>0</v>
      </c>
      <c r="AQ37" s="320">
        <f t="shared" si="51"/>
        <v>0</v>
      </c>
      <c r="AR37" s="320">
        <f t="shared" si="51"/>
        <v>0</v>
      </c>
      <c r="AS37" s="320">
        <f t="shared" si="51"/>
        <v>0</v>
      </c>
      <c r="AT37" s="320">
        <f t="shared" si="51"/>
        <v>0</v>
      </c>
      <c r="AU37" s="320">
        <f t="shared" si="51"/>
        <v>0</v>
      </c>
      <c r="AV37" s="320">
        <f t="shared" si="51"/>
        <v>0</v>
      </c>
      <c r="AW37" s="320">
        <f t="shared" si="51"/>
        <v>0</v>
      </c>
      <c r="AX37" s="320">
        <f t="shared" si="51"/>
        <v>0</v>
      </c>
      <c r="AY37" s="320">
        <f t="shared" si="51"/>
        <v>332</v>
      </c>
      <c r="AZ37" s="320">
        <f t="shared" si="51"/>
        <v>32178578</v>
      </c>
      <c r="BA37" s="320">
        <f t="shared" si="51"/>
        <v>0</v>
      </c>
      <c r="BB37" s="320">
        <f t="shared" si="51"/>
        <v>0</v>
      </c>
      <c r="BC37" s="320">
        <f t="shared" si="51"/>
        <v>332</v>
      </c>
      <c r="BD37" s="320">
        <f t="shared" si="51"/>
        <v>32178578</v>
      </c>
    </row>
    <row r="38" spans="1:56" s="293" customFormat="1" ht="15" customHeight="1" x14ac:dyDescent="0.2">
      <c r="A38" s="299">
        <v>23</v>
      </c>
      <c r="B38" s="324">
        <v>113762</v>
      </c>
      <c r="C38" s="300">
        <v>95</v>
      </c>
      <c r="D38" s="297">
        <f>C38*B38</f>
        <v>10807390</v>
      </c>
      <c r="E38" s="300"/>
      <c r="F38" s="297">
        <f>E38*B38</f>
        <v>0</v>
      </c>
      <c r="G38" s="300"/>
      <c r="H38" s="297">
        <f>G38*B38</f>
        <v>0</v>
      </c>
      <c r="I38" s="300">
        <f>20+7+13</f>
        <v>40</v>
      </c>
      <c r="J38" s="297">
        <f>I38*B38</f>
        <v>4550480</v>
      </c>
      <c r="K38" s="300"/>
      <c r="L38" s="298">
        <f>K38*B38</f>
        <v>0</v>
      </c>
      <c r="M38" s="300"/>
      <c r="N38" s="297">
        <f>M38*B38</f>
        <v>0</v>
      </c>
      <c r="O38" s="300"/>
      <c r="P38" s="297">
        <f>O38*B38</f>
        <v>0</v>
      </c>
      <c r="Q38" s="300">
        <f>10-10</f>
        <v>0</v>
      </c>
      <c r="R38" s="297">
        <f>Q38*B38</f>
        <v>0</v>
      </c>
      <c r="S38" s="300">
        <f>20+3</f>
        <v>23</v>
      </c>
      <c r="T38" s="297">
        <f>S38*B38</f>
        <v>2616526</v>
      </c>
      <c r="U38" s="300"/>
      <c r="V38" s="297">
        <f>U38*B38</f>
        <v>0</v>
      </c>
      <c r="W38" s="300"/>
      <c r="X38" s="297">
        <f>W38*B38</f>
        <v>0</v>
      </c>
      <c r="Y38" s="300"/>
      <c r="Z38" s="297">
        <f>Y38*B38</f>
        <v>0</v>
      </c>
      <c r="AA38" s="300">
        <v>52</v>
      </c>
      <c r="AB38" s="297">
        <f>AA38*B38</f>
        <v>5915624</v>
      </c>
      <c r="AC38" s="300"/>
      <c r="AD38" s="297">
        <f>AC38*B38</f>
        <v>0</v>
      </c>
      <c r="AE38" s="300"/>
      <c r="AF38" s="297">
        <f>AE38*B38</f>
        <v>0</v>
      </c>
      <c r="AG38" s="300"/>
      <c r="AH38" s="297">
        <f>AG38*B38</f>
        <v>0</v>
      </c>
      <c r="AI38" s="300"/>
      <c r="AJ38" s="297">
        <f>AI38*B38</f>
        <v>0</v>
      </c>
      <c r="AK38" s="297"/>
      <c r="AL38" s="297">
        <f t="shared" ref="AL38:AL39" si="52">AK38*B38</f>
        <v>0</v>
      </c>
      <c r="AM38" s="297"/>
      <c r="AN38" s="297">
        <f>AM38*B38</f>
        <v>0</v>
      </c>
      <c r="AO38" s="300"/>
      <c r="AP38" s="298">
        <f>AO38*B38</f>
        <v>0</v>
      </c>
      <c r="AQ38" s="300"/>
      <c r="AR38" s="297">
        <f>AQ38*B38</f>
        <v>0</v>
      </c>
      <c r="AS38" s="300"/>
      <c r="AT38" s="297">
        <f>AS38*B38</f>
        <v>0</v>
      </c>
      <c r="AU38" s="300"/>
      <c r="AV38" s="297">
        <f>AU38*B38</f>
        <v>0</v>
      </c>
      <c r="AW38" s="300"/>
      <c r="AX38" s="297">
        <f>AW38*B38</f>
        <v>0</v>
      </c>
      <c r="AY38" s="297">
        <f t="shared" ref="AY38:AZ39" si="53">Q38+U38+AO38+AG38+Y38+AA38+AC38+AE38+S38+AQ38+AI38+AM38+AS38+W38+AU38+M38+C38+O38+E38+G38+K38+I38+AW38+AK38</f>
        <v>210</v>
      </c>
      <c r="AZ38" s="297">
        <f t="shared" si="53"/>
        <v>23890020</v>
      </c>
      <c r="BA38" s="313"/>
      <c r="BB38" s="313"/>
      <c r="BC38" s="323">
        <f>AY38+BA38</f>
        <v>210</v>
      </c>
      <c r="BD38" s="323">
        <f>AZ38+BB38</f>
        <v>23890020</v>
      </c>
    </row>
    <row r="39" spans="1:56" s="293" customFormat="1" ht="15" customHeight="1" x14ac:dyDescent="0.2">
      <c r="A39" s="299">
        <v>24</v>
      </c>
      <c r="B39" s="324">
        <v>67939</v>
      </c>
      <c r="C39" s="300">
        <v>25</v>
      </c>
      <c r="D39" s="297">
        <f>C39*B39</f>
        <v>1698475</v>
      </c>
      <c r="E39" s="297"/>
      <c r="F39" s="297">
        <f>E39*B39</f>
        <v>0</v>
      </c>
      <c r="G39" s="300"/>
      <c r="H39" s="297">
        <f>G39*B39</f>
        <v>0</v>
      </c>
      <c r="I39" s="300">
        <f>30-7-13</f>
        <v>10</v>
      </c>
      <c r="J39" s="297">
        <f>I39*B39</f>
        <v>679390</v>
      </c>
      <c r="K39" s="297"/>
      <c r="L39" s="298">
        <f>K39*B39</f>
        <v>0</v>
      </c>
      <c r="M39" s="300"/>
      <c r="N39" s="297">
        <f>M39*B39</f>
        <v>0</v>
      </c>
      <c r="O39" s="300"/>
      <c r="P39" s="297">
        <f>O39*B39</f>
        <v>0</v>
      </c>
      <c r="Q39" s="300">
        <f>5-3</f>
        <v>2</v>
      </c>
      <c r="R39" s="297">
        <f>Q39*B39</f>
        <v>135878</v>
      </c>
      <c r="S39" s="300">
        <v>45</v>
      </c>
      <c r="T39" s="297">
        <f>S39*B39</f>
        <v>3057255</v>
      </c>
      <c r="U39" s="297"/>
      <c r="V39" s="297">
        <f>U39*B39</f>
        <v>0</v>
      </c>
      <c r="W39" s="300"/>
      <c r="X39" s="297">
        <f>W39*B39</f>
        <v>0</v>
      </c>
      <c r="Y39" s="300"/>
      <c r="Z39" s="297">
        <f>Y39*B39</f>
        <v>0</v>
      </c>
      <c r="AA39" s="297">
        <v>40</v>
      </c>
      <c r="AB39" s="297">
        <f>AA39*B39</f>
        <v>2717560</v>
      </c>
      <c r="AC39" s="300"/>
      <c r="AD39" s="297">
        <f>AC39*B39</f>
        <v>0</v>
      </c>
      <c r="AE39" s="297"/>
      <c r="AF39" s="297">
        <f>AE39*B39</f>
        <v>0</v>
      </c>
      <c r="AG39" s="297"/>
      <c r="AH39" s="297">
        <f>AG39*B39</f>
        <v>0</v>
      </c>
      <c r="AI39" s="300"/>
      <c r="AJ39" s="297">
        <f>AI39*B39</f>
        <v>0</v>
      </c>
      <c r="AK39" s="297"/>
      <c r="AL39" s="297">
        <f t="shared" si="52"/>
        <v>0</v>
      </c>
      <c r="AM39" s="297"/>
      <c r="AN39" s="297">
        <f>AM39*B39</f>
        <v>0</v>
      </c>
      <c r="AO39" s="300"/>
      <c r="AP39" s="298">
        <f>AO39*B39</f>
        <v>0</v>
      </c>
      <c r="AQ39" s="297"/>
      <c r="AR39" s="297">
        <f>AQ39*B39</f>
        <v>0</v>
      </c>
      <c r="AS39" s="297"/>
      <c r="AT39" s="297">
        <f>AS39*B39</f>
        <v>0</v>
      </c>
      <c r="AU39" s="297"/>
      <c r="AV39" s="297">
        <f>AU39*B39</f>
        <v>0</v>
      </c>
      <c r="AW39" s="297"/>
      <c r="AX39" s="297">
        <f>AW39*B39</f>
        <v>0</v>
      </c>
      <c r="AY39" s="297">
        <f t="shared" si="53"/>
        <v>122</v>
      </c>
      <c r="AZ39" s="297">
        <f t="shared" si="53"/>
        <v>8288558</v>
      </c>
      <c r="BA39" s="313"/>
      <c r="BB39" s="313"/>
      <c r="BC39" s="323">
        <f>AY39+BA39</f>
        <v>122</v>
      </c>
      <c r="BD39" s="323">
        <f>AZ39+BB39</f>
        <v>8288558</v>
      </c>
    </row>
    <row r="40" spans="1:56" s="293" customFormat="1" ht="19.5" customHeight="1" x14ac:dyDescent="0.2">
      <c r="A40" s="332" t="s">
        <v>561</v>
      </c>
      <c r="B40" s="333"/>
      <c r="C40" s="320">
        <f t="shared" ref="C40:BD40" si="54">C41+C42</f>
        <v>0</v>
      </c>
      <c r="D40" s="320">
        <f t="shared" si="54"/>
        <v>0</v>
      </c>
      <c r="E40" s="320">
        <f t="shared" si="54"/>
        <v>0</v>
      </c>
      <c r="F40" s="320">
        <f t="shared" si="54"/>
        <v>0</v>
      </c>
      <c r="G40" s="320">
        <f t="shared" si="54"/>
        <v>0</v>
      </c>
      <c r="H40" s="320">
        <f t="shared" si="54"/>
        <v>0</v>
      </c>
      <c r="I40" s="320">
        <f t="shared" si="54"/>
        <v>60</v>
      </c>
      <c r="J40" s="320">
        <f t="shared" si="54"/>
        <v>4272120</v>
      </c>
      <c r="K40" s="320">
        <f t="shared" si="54"/>
        <v>0</v>
      </c>
      <c r="L40" s="320">
        <f t="shared" si="54"/>
        <v>0</v>
      </c>
      <c r="M40" s="320">
        <f t="shared" si="54"/>
        <v>0</v>
      </c>
      <c r="N40" s="320">
        <f t="shared" si="54"/>
        <v>0</v>
      </c>
      <c r="O40" s="320">
        <f t="shared" si="54"/>
        <v>0</v>
      </c>
      <c r="P40" s="320">
        <f t="shared" si="54"/>
        <v>0</v>
      </c>
      <c r="Q40" s="320">
        <f t="shared" si="54"/>
        <v>0</v>
      </c>
      <c r="R40" s="320">
        <f t="shared" si="54"/>
        <v>0</v>
      </c>
      <c r="S40" s="320">
        <f t="shared" si="54"/>
        <v>0</v>
      </c>
      <c r="T40" s="320">
        <f t="shared" si="54"/>
        <v>0</v>
      </c>
      <c r="U40" s="320">
        <f t="shared" si="54"/>
        <v>300</v>
      </c>
      <c r="V40" s="320">
        <f t="shared" si="54"/>
        <v>21525020</v>
      </c>
      <c r="W40" s="320">
        <f t="shared" si="54"/>
        <v>2424</v>
      </c>
      <c r="X40" s="320">
        <f t="shared" si="54"/>
        <v>172988256</v>
      </c>
      <c r="Y40" s="320">
        <f t="shared" si="54"/>
        <v>200</v>
      </c>
      <c r="Z40" s="320">
        <f t="shared" si="54"/>
        <v>14240400</v>
      </c>
      <c r="AA40" s="320">
        <f t="shared" si="54"/>
        <v>0</v>
      </c>
      <c r="AB40" s="320">
        <f t="shared" si="54"/>
        <v>0</v>
      </c>
      <c r="AC40" s="320">
        <f t="shared" si="54"/>
        <v>0</v>
      </c>
      <c r="AD40" s="320">
        <f t="shared" si="54"/>
        <v>0</v>
      </c>
      <c r="AE40" s="320">
        <f t="shared" si="54"/>
        <v>0</v>
      </c>
      <c r="AF40" s="320">
        <f t="shared" si="54"/>
        <v>0</v>
      </c>
      <c r="AG40" s="320">
        <f t="shared" si="54"/>
        <v>0</v>
      </c>
      <c r="AH40" s="320">
        <f t="shared" si="54"/>
        <v>0</v>
      </c>
      <c r="AI40" s="320">
        <f t="shared" si="54"/>
        <v>0</v>
      </c>
      <c r="AJ40" s="320">
        <f t="shared" si="54"/>
        <v>0</v>
      </c>
      <c r="AK40" s="320">
        <f t="shared" si="54"/>
        <v>0</v>
      </c>
      <c r="AL40" s="320">
        <f t="shared" si="54"/>
        <v>0</v>
      </c>
      <c r="AM40" s="320">
        <f t="shared" si="54"/>
        <v>0</v>
      </c>
      <c r="AN40" s="320">
        <f t="shared" si="54"/>
        <v>0</v>
      </c>
      <c r="AO40" s="320">
        <f t="shared" si="54"/>
        <v>0</v>
      </c>
      <c r="AP40" s="320">
        <f t="shared" si="54"/>
        <v>0</v>
      </c>
      <c r="AQ40" s="320">
        <f t="shared" si="54"/>
        <v>0</v>
      </c>
      <c r="AR40" s="320">
        <f t="shared" si="54"/>
        <v>0</v>
      </c>
      <c r="AS40" s="320">
        <f t="shared" si="54"/>
        <v>0</v>
      </c>
      <c r="AT40" s="320">
        <f t="shared" si="54"/>
        <v>0</v>
      </c>
      <c r="AU40" s="320">
        <f t="shared" si="54"/>
        <v>0</v>
      </c>
      <c r="AV40" s="320">
        <f t="shared" si="54"/>
        <v>0</v>
      </c>
      <c r="AW40" s="320">
        <f t="shared" si="54"/>
        <v>0</v>
      </c>
      <c r="AX40" s="320">
        <f t="shared" si="54"/>
        <v>0</v>
      </c>
      <c r="AY40" s="320">
        <f t="shared" si="54"/>
        <v>2984</v>
      </c>
      <c r="AZ40" s="320">
        <f t="shared" si="54"/>
        <v>213025796</v>
      </c>
      <c r="BA40" s="320">
        <f t="shared" si="54"/>
        <v>0</v>
      </c>
      <c r="BB40" s="320">
        <f t="shared" si="54"/>
        <v>0</v>
      </c>
      <c r="BC40" s="320">
        <f t="shared" si="54"/>
        <v>2984</v>
      </c>
      <c r="BD40" s="320">
        <f t="shared" si="54"/>
        <v>213025796</v>
      </c>
    </row>
    <row r="41" spans="1:56" s="293" customFormat="1" ht="14.25" customHeight="1" x14ac:dyDescent="0.2">
      <c r="A41" s="299">
        <v>25</v>
      </c>
      <c r="B41" s="324">
        <v>71202</v>
      </c>
      <c r="C41" s="300"/>
      <c r="D41" s="297">
        <f>C41*B41</f>
        <v>0</v>
      </c>
      <c r="E41" s="300"/>
      <c r="F41" s="297">
        <f>E41*B41</f>
        <v>0</v>
      </c>
      <c r="G41" s="300"/>
      <c r="H41" s="297">
        <f>G41*B41</f>
        <v>0</v>
      </c>
      <c r="I41" s="300">
        <v>60</v>
      </c>
      <c r="J41" s="297">
        <f>I41*B41</f>
        <v>4272120</v>
      </c>
      <c r="K41" s="300"/>
      <c r="L41" s="298">
        <f>K41*B41</f>
        <v>0</v>
      </c>
      <c r="M41" s="297"/>
      <c r="N41" s="297">
        <f>M41*B41</f>
        <v>0</v>
      </c>
      <c r="O41" s="300"/>
      <c r="P41" s="297">
        <f>O41*B41</f>
        <v>0</v>
      </c>
      <c r="Q41" s="300"/>
      <c r="R41" s="297">
        <f>Q41*B41</f>
        <v>0</v>
      </c>
      <c r="S41" s="300"/>
      <c r="T41" s="297">
        <f>S41*B41</f>
        <v>0</v>
      </c>
      <c r="U41" s="300">
        <v>290</v>
      </c>
      <c r="V41" s="297">
        <f>U41*B41</f>
        <v>20648580</v>
      </c>
      <c r="W41" s="300">
        <v>2400</v>
      </c>
      <c r="X41" s="297">
        <f>W41*B41</f>
        <v>170884800</v>
      </c>
      <c r="Y41" s="300">
        <v>200</v>
      </c>
      <c r="Z41" s="297">
        <f>Y41*B41</f>
        <v>14240400</v>
      </c>
      <c r="AA41" s="300"/>
      <c r="AB41" s="297">
        <f>AA41*B41</f>
        <v>0</v>
      </c>
      <c r="AC41" s="300"/>
      <c r="AD41" s="297">
        <f>AC41*B41</f>
        <v>0</v>
      </c>
      <c r="AE41" s="300"/>
      <c r="AF41" s="297">
        <f>AE41*B41</f>
        <v>0</v>
      </c>
      <c r="AG41" s="300"/>
      <c r="AH41" s="297">
        <f>AG41*B41</f>
        <v>0</v>
      </c>
      <c r="AI41" s="300"/>
      <c r="AJ41" s="297">
        <f>AI41*B41</f>
        <v>0</v>
      </c>
      <c r="AK41" s="297"/>
      <c r="AL41" s="297">
        <f t="shared" ref="AL41:AL42" si="55">AK41*B41</f>
        <v>0</v>
      </c>
      <c r="AM41" s="297"/>
      <c r="AN41" s="297">
        <f>AM41*B41</f>
        <v>0</v>
      </c>
      <c r="AO41" s="300"/>
      <c r="AP41" s="298">
        <f>AO41*B41</f>
        <v>0</v>
      </c>
      <c r="AQ41" s="300"/>
      <c r="AR41" s="297">
        <f>AQ41*B41</f>
        <v>0</v>
      </c>
      <c r="AS41" s="300"/>
      <c r="AT41" s="297">
        <f>AS41*B41</f>
        <v>0</v>
      </c>
      <c r="AU41" s="300"/>
      <c r="AV41" s="297">
        <f>AU41*B41</f>
        <v>0</v>
      </c>
      <c r="AW41" s="300"/>
      <c r="AX41" s="297">
        <f>AW41*B41</f>
        <v>0</v>
      </c>
      <c r="AY41" s="297">
        <f t="shared" ref="AY41:AZ42" si="56">Q41+U41+AO41+AG41+Y41+AA41+AC41+AE41+S41+AQ41+AI41+AM41+AS41+W41+AU41+M41+C41+O41+E41+G41+K41+I41+AW41+AK41</f>
        <v>2950</v>
      </c>
      <c r="AZ41" s="297">
        <f t="shared" si="56"/>
        <v>210045900</v>
      </c>
      <c r="BA41" s="313"/>
      <c r="BB41" s="313"/>
      <c r="BC41" s="323">
        <f>AY41+BA41</f>
        <v>2950</v>
      </c>
      <c r="BD41" s="323">
        <f>AZ41+BB41</f>
        <v>210045900</v>
      </c>
    </row>
    <row r="42" spans="1:56" s="293" customFormat="1" ht="14.25" customHeight="1" x14ac:dyDescent="0.2">
      <c r="A42" s="299">
        <v>26</v>
      </c>
      <c r="B42" s="324">
        <v>87644</v>
      </c>
      <c r="C42" s="300"/>
      <c r="D42" s="297">
        <f>C42*B42</f>
        <v>0</v>
      </c>
      <c r="E42" s="300"/>
      <c r="F42" s="297">
        <f>E42*B42</f>
        <v>0</v>
      </c>
      <c r="G42" s="300"/>
      <c r="H42" s="297">
        <f>G42*B42</f>
        <v>0</v>
      </c>
      <c r="I42" s="300"/>
      <c r="J42" s="297">
        <f>I42*B42</f>
        <v>0</v>
      </c>
      <c r="K42" s="300"/>
      <c r="L42" s="298">
        <f>K42*B42</f>
        <v>0</v>
      </c>
      <c r="M42" s="304"/>
      <c r="N42" s="297">
        <f>M42*B42</f>
        <v>0</v>
      </c>
      <c r="O42" s="300"/>
      <c r="P42" s="297">
        <f>O42*B42</f>
        <v>0</v>
      </c>
      <c r="Q42" s="300"/>
      <c r="R42" s="297">
        <f>Q42*B42</f>
        <v>0</v>
      </c>
      <c r="S42" s="300"/>
      <c r="T42" s="297">
        <f>S42*B42</f>
        <v>0</v>
      </c>
      <c r="U42" s="300">
        <v>10</v>
      </c>
      <c r="V42" s="297">
        <f>U42*B42</f>
        <v>876440</v>
      </c>
      <c r="W42" s="300">
        <v>24</v>
      </c>
      <c r="X42" s="297">
        <f>W42*B42</f>
        <v>2103456</v>
      </c>
      <c r="Y42" s="300"/>
      <c r="Z42" s="297">
        <f>Y42*B42</f>
        <v>0</v>
      </c>
      <c r="AA42" s="300"/>
      <c r="AB42" s="297">
        <f>AA42*B42</f>
        <v>0</v>
      </c>
      <c r="AC42" s="300"/>
      <c r="AD42" s="297">
        <f>AC42*B42</f>
        <v>0</v>
      </c>
      <c r="AE42" s="300"/>
      <c r="AF42" s="297">
        <f>AE42*B42</f>
        <v>0</v>
      </c>
      <c r="AG42" s="300"/>
      <c r="AH42" s="297">
        <f>AG42*B42</f>
        <v>0</v>
      </c>
      <c r="AI42" s="300"/>
      <c r="AJ42" s="297">
        <f>AI42*B42</f>
        <v>0</v>
      </c>
      <c r="AK42" s="297"/>
      <c r="AL42" s="297">
        <f t="shared" si="55"/>
        <v>0</v>
      </c>
      <c r="AM42" s="297"/>
      <c r="AN42" s="297">
        <f>AM42*B42</f>
        <v>0</v>
      </c>
      <c r="AO42" s="300"/>
      <c r="AP42" s="298">
        <f>AO42*B42</f>
        <v>0</v>
      </c>
      <c r="AQ42" s="300"/>
      <c r="AR42" s="297">
        <f>AQ42*B42</f>
        <v>0</v>
      </c>
      <c r="AS42" s="300"/>
      <c r="AT42" s="297">
        <f>AS42*B42</f>
        <v>0</v>
      </c>
      <c r="AU42" s="300"/>
      <c r="AV42" s="297">
        <f>AU42*B42</f>
        <v>0</v>
      </c>
      <c r="AW42" s="300"/>
      <c r="AX42" s="297">
        <f>AW42*B42</f>
        <v>0</v>
      </c>
      <c r="AY42" s="297">
        <f t="shared" si="56"/>
        <v>34</v>
      </c>
      <c r="AZ42" s="297">
        <f t="shared" si="56"/>
        <v>2979896</v>
      </c>
      <c r="BA42" s="313"/>
      <c r="BB42" s="313"/>
      <c r="BC42" s="323">
        <f>AY42+BA42</f>
        <v>34</v>
      </c>
      <c r="BD42" s="323">
        <f>AZ42+BB42</f>
        <v>2979896</v>
      </c>
    </row>
    <row r="43" spans="1:56" s="293" customFormat="1" ht="18.75" customHeight="1" x14ac:dyDescent="0.2">
      <c r="A43" s="332" t="s">
        <v>562</v>
      </c>
      <c r="B43" s="333"/>
      <c r="C43" s="320">
        <f t="shared" ref="C43:BD43" si="57">C44+C45+C46</f>
        <v>0</v>
      </c>
      <c r="D43" s="320">
        <f t="shared" si="57"/>
        <v>0</v>
      </c>
      <c r="E43" s="320">
        <f t="shared" si="57"/>
        <v>0</v>
      </c>
      <c r="F43" s="320">
        <f t="shared" si="57"/>
        <v>0</v>
      </c>
      <c r="G43" s="320">
        <f t="shared" si="57"/>
        <v>0</v>
      </c>
      <c r="H43" s="320">
        <f t="shared" si="57"/>
        <v>0</v>
      </c>
      <c r="I43" s="320">
        <f t="shared" si="57"/>
        <v>40</v>
      </c>
      <c r="J43" s="320">
        <f t="shared" si="57"/>
        <v>6554898</v>
      </c>
      <c r="K43" s="320">
        <f t="shared" si="57"/>
        <v>0</v>
      </c>
      <c r="L43" s="320">
        <f t="shared" si="57"/>
        <v>0</v>
      </c>
      <c r="M43" s="320">
        <f t="shared" si="57"/>
        <v>0</v>
      </c>
      <c r="N43" s="320">
        <f t="shared" si="57"/>
        <v>0</v>
      </c>
      <c r="O43" s="320">
        <f t="shared" si="57"/>
        <v>0</v>
      </c>
      <c r="P43" s="320">
        <f t="shared" si="57"/>
        <v>0</v>
      </c>
      <c r="Q43" s="320">
        <f t="shared" si="57"/>
        <v>0</v>
      </c>
      <c r="R43" s="320">
        <f t="shared" si="57"/>
        <v>0</v>
      </c>
      <c r="S43" s="320">
        <f t="shared" si="57"/>
        <v>0</v>
      </c>
      <c r="T43" s="320">
        <f t="shared" si="57"/>
        <v>0</v>
      </c>
      <c r="U43" s="320">
        <f t="shared" si="57"/>
        <v>0</v>
      </c>
      <c r="V43" s="320">
        <f t="shared" si="57"/>
        <v>0</v>
      </c>
      <c r="W43" s="320">
        <f t="shared" si="57"/>
        <v>0</v>
      </c>
      <c r="X43" s="320">
        <f t="shared" si="57"/>
        <v>0</v>
      </c>
      <c r="Y43" s="320">
        <f t="shared" si="57"/>
        <v>0</v>
      </c>
      <c r="Z43" s="320">
        <f t="shared" si="57"/>
        <v>0</v>
      </c>
      <c r="AA43" s="320">
        <f t="shared" si="57"/>
        <v>0</v>
      </c>
      <c r="AB43" s="320">
        <f t="shared" si="57"/>
        <v>0</v>
      </c>
      <c r="AC43" s="320">
        <f t="shared" si="57"/>
        <v>0</v>
      </c>
      <c r="AD43" s="320">
        <f t="shared" si="57"/>
        <v>0</v>
      </c>
      <c r="AE43" s="320">
        <f t="shared" si="57"/>
        <v>0</v>
      </c>
      <c r="AF43" s="320">
        <f t="shared" si="57"/>
        <v>0</v>
      </c>
      <c r="AG43" s="320">
        <f t="shared" si="57"/>
        <v>0</v>
      </c>
      <c r="AH43" s="320">
        <f t="shared" si="57"/>
        <v>0</v>
      </c>
      <c r="AI43" s="320">
        <f t="shared" si="57"/>
        <v>0</v>
      </c>
      <c r="AJ43" s="320">
        <f t="shared" si="57"/>
        <v>0</v>
      </c>
      <c r="AK43" s="320">
        <f t="shared" si="57"/>
        <v>0</v>
      </c>
      <c r="AL43" s="320">
        <f t="shared" si="57"/>
        <v>0</v>
      </c>
      <c r="AM43" s="320">
        <f t="shared" si="57"/>
        <v>0</v>
      </c>
      <c r="AN43" s="320">
        <f t="shared" si="57"/>
        <v>0</v>
      </c>
      <c r="AO43" s="320">
        <f t="shared" si="57"/>
        <v>0</v>
      </c>
      <c r="AP43" s="320">
        <f t="shared" si="57"/>
        <v>0</v>
      </c>
      <c r="AQ43" s="320">
        <f t="shared" si="57"/>
        <v>0</v>
      </c>
      <c r="AR43" s="320">
        <f t="shared" si="57"/>
        <v>0</v>
      </c>
      <c r="AS43" s="320">
        <f t="shared" si="57"/>
        <v>0</v>
      </c>
      <c r="AT43" s="320">
        <f t="shared" si="57"/>
        <v>0</v>
      </c>
      <c r="AU43" s="320">
        <f t="shared" si="57"/>
        <v>0</v>
      </c>
      <c r="AV43" s="320">
        <f t="shared" si="57"/>
        <v>0</v>
      </c>
      <c r="AW43" s="320">
        <f t="shared" si="57"/>
        <v>0</v>
      </c>
      <c r="AX43" s="320">
        <f t="shared" si="57"/>
        <v>0</v>
      </c>
      <c r="AY43" s="320">
        <f t="shared" si="57"/>
        <v>40</v>
      </c>
      <c r="AZ43" s="320">
        <f t="shared" si="57"/>
        <v>6554898</v>
      </c>
      <c r="BA43" s="320">
        <f t="shared" si="57"/>
        <v>0</v>
      </c>
      <c r="BB43" s="320">
        <f t="shared" si="57"/>
        <v>0</v>
      </c>
      <c r="BC43" s="320">
        <f t="shared" si="57"/>
        <v>40</v>
      </c>
      <c r="BD43" s="320">
        <f t="shared" si="57"/>
        <v>6554898</v>
      </c>
    </row>
    <row r="44" spans="1:56" s="293" customFormat="1" ht="15" customHeight="1" x14ac:dyDescent="0.2">
      <c r="A44" s="299">
        <v>27</v>
      </c>
      <c r="B44" s="324">
        <v>82367</v>
      </c>
      <c r="C44" s="297"/>
      <c r="D44" s="297">
        <f>C44*B44</f>
        <v>0</v>
      </c>
      <c r="E44" s="297"/>
      <c r="F44" s="297">
        <f>E44*B44</f>
        <v>0</v>
      </c>
      <c r="G44" s="297"/>
      <c r="H44" s="297">
        <f>G44*B44</f>
        <v>0</v>
      </c>
      <c r="I44" s="300">
        <f>5-2</f>
        <v>3</v>
      </c>
      <c r="J44" s="297">
        <f>I44*B44</f>
        <v>247101</v>
      </c>
      <c r="K44" s="297"/>
      <c r="L44" s="298">
        <f>K44*B44</f>
        <v>0</v>
      </c>
      <c r="M44" s="297"/>
      <c r="N44" s="297">
        <f>M44*B44</f>
        <v>0</v>
      </c>
      <c r="O44" s="297"/>
      <c r="P44" s="297">
        <f>O44*B44</f>
        <v>0</v>
      </c>
      <c r="Q44" s="297"/>
      <c r="R44" s="297">
        <f>Q44*B44</f>
        <v>0</v>
      </c>
      <c r="S44" s="297"/>
      <c r="T44" s="297">
        <f>S44*B44</f>
        <v>0</v>
      </c>
      <c r="U44" s="297"/>
      <c r="V44" s="297">
        <f>U44*B44</f>
        <v>0</v>
      </c>
      <c r="W44" s="297"/>
      <c r="X44" s="297">
        <f>W44*B44</f>
        <v>0</v>
      </c>
      <c r="Y44" s="297"/>
      <c r="Z44" s="297">
        <f>Y44*B44</f>
        <v>0</v>
      </c>
      <c r="AA44" s="297"/>
      <c r="AB44" s="297">
        <f>AA44*B44</f>
        <v>0</v>
      </c>
      <c r="AC44" s="297"/>
      <c r="AD44" s="297">
        <f>AC44*B44</f>
        <v>0</v>
      </c>
      <c r="AE44" s="297"/>
      <c r="AF44" s="297">
        <f>AE44*B44</f>
        <v>0</v>
      </c>
      <c r="AG44" s="297"/>
      <c r="AH44" s="297">
        <f>AG44*B44</f>
        <v>0</v>
      </c>
      <c r="AI44" s="297"/>
      <c r="AJ44" s="297">
        <f>AI44*B44</f>
        <v>0</v>
      </c>
      <c r="AK44" s="297"/>
      <c r="AL44" s="297">
        <f t="shared" ref="AL44:AL46" si="58">AK44*B44</f>
        <v>0</v>
      </c>
      <c r="AM44" s="297"/>
      <c r="AN44" s="297">
        <f>AM44*B44</f>
        <v>0</v>
      </c>
      <c r="AO44" s="297"/>
      <c r="AP44" s="298">
        <f>AO44*B44</f>
        <v>0</v>
      </c>
      <c r="AQ44" s="297"/>
      <c r="AR44" s="297">
        <f>AQ44*B44</f>
        <v>0</v>
      </c>
      <c r="AS44" s="297"/>
      <c r="AT44" s="297">
        <f>AS44*B44</f>
        <v>0</v>
      </c>
      <c r="AU44" s="297"/>
      <c r="AV44" s="297">
        <f>AU44*B44</f>
        <v>0</v>
      </c>
      <c r="AW44" s="297"/>
      <c r="AX44" s="297">
        <f>AW44*B44</f>
        <v>0</v>
      </c>
      <c r="AY44" s="297">
        <f t="shared" ref="AY44:AZ46" si="59">Q44+U44+AO44+AG44+Y44+AA44+AC44+AE44+S44+AQ44+AI44+AM44+AS44+W44+AU44+M44+C44+O44+E44+G44+K44+I44+AW44+AK44</f>
        <v>3</v>
      </c>
      <c r="AZ44" s="297">
        <f t="shared" si="59"/>
        <v>247101</v>
      </c>
      <c r="BA44" s="313"/>
      <c r="BB44" s="313"/>
      <c r="BC44" s="323">
        <f t="shared" ref="BC44:BD46" si="60">AY44+BA44</f>
        <v>3</v>
      </c>
      <c r="BD44" s="323">
        <f t="shared" si="60"/>
        <v>247101</v>
      </c>
    </row>
    <row r="45" spans="1:56" s="293" customFormat="1" ht="13.5" customHeight="1" x14ac:dyDescent="0.2">
      <c r="A45" s="299">
        <v>28</v>
      </c>
      <c r="B45" s="324">
        <v>170481</v>
      </c>
      <c r="C45" s="300"/>
      <c r="D45" s="297">
        <f>C45*B45</f>
        <v>0</v>
      </c>
      <c r="E45" s="300"/>
      <c r="F45" s="297">
        <f>E45*B45</f>
        <v>0</v>
      </c>
      <c r="G45" s="300"/>
      <c r="H45" s="297">
        <f>G45*B45</f>
        <v>0</v>
      </c>
      <c r="I45" s="300">
        <v>37</v>
      </c>
      <c r="J45" s="297">
        <f>I45*B45</f>
        <v>6307797</v>
      </c>
      <c r="K45" s="300"/>
      <c r="L45" s="298">
        <f>K45*B45</f>
        <v>0</v>
      </c>
      <c r="M45" s="300"/>
      <c r="N45" s="297">
        <f>M45*B45</f>
        <v>0</v>
      </c>
      <c r="O45" s="300"/>
      <c r="P45" s="297">
        <f>O45*B45</f>
        <v>0</v>
      </c>
      <c r="Q45" s="300"/>
      <c r="R45" s="297">
        <f>Q45*B45</f>
        <v>0</v>
      </c>
      <c r="S45" s="300"/>
      <c r="T45" s="297">
        <f>S45*B45</f>
        <v>0</v>
      </c>
      <c r="U45" s="300"/>
      <c r="V45" s="297">
        <f>U45*B45</f>
        <v>0</v>
      </c>
      <c r="W45" s="300"/>
      <c r="X45" s="297">
        <f>W45*B45</f>
        <v>0</v>
      </c>
      <c r="Y45" s="300"/>
      <c r="Z45" s="297">
        <f>Y45*B45</f>
        <v>0</v>
      </c>
      <c r="AA45" s="300"/>
      <c r="AB45" s="297">
        <f>AA45*B45</f>
        <v>0</v>
      </c>
      <c r="AC45" s="300"/>
      <c r="AD45" s="297">
        <f>AC45*B45</f>
        <v>0</v>
      </c>
      <c r="AE45" s="300"/>
      <c r="AF45" s="297">
        <f>AE45*B45</f>
        <v>0</v>
      </c>
      <c r="AG45" s="300"/>
      <c r="AH45" s="297">
        <f>AG45*B45</f>
        <v>0</v>
      </c>
      <c r="AI45" s="300"/>
      <c r="AJ45" s="297">
        <f>AI45*B45</f>
        <v>0</v>
      </c>
      <c r="AK45" s="297"/>
      <c r="AL45" s="297">
        <f t="shared" si="58"/>
        <v>0</v>
      </c>
      <c r="AM45" s="297"/>
      <c r="AN45" s="297">
        <f>AM45*B45</f>
        <v>0</v>
      </c>
      <c r="AO45" s="300"/>
      <c r="AP45" s="298">
        <f>AO45*B45</f>
        <v>0</v>
      </c>
      <c r="AQ45" s="300"/>
      <c r="AR45" s="297">
        <f>AQ45*B45</f>
        <v>0</v>
      </c>
      <c r="AS45" s="300"/>
      <c r="AT45" s="297">
        <f>AS45*B45</f>
        <v>0</v>
      </c>
      <c r="AU45" s="300"/>
      <c r="AV45" s="297">
        <f>AU45*B45</f>
        <v>0</v>
      </c>
      <c r="AW45" s="300"/>
      <c r="AX45" s="297">
        <f>AW45*B45</f>
        <v>0</v>
      </c>
      <c r="AY45" s="297">
        <f t="shared" si="59"/>
        <v>37</v>
      </c>
      <c r="AZ45" s="297">
        <f t="shared" si="59"/>
        <v>6307797</v>
      </c>
      <c r="BA45" s="313"/>
      <c r="BB45" s="313"/>
      <c r="BC45" s="323">
        <f t="shared" si="60"/>
        <v>37</v>
      </c>
      <c r="BD45" s="323">
        <f t="shared" si="60"/>
        <v>6307797</v>
      </c>
    </row>
    <row r="46" spans="1:56" s="293" customFormat="1" ht="15" customHeight="1" x14ac:dyDescent="0.2">
      <c r="A46" s="296">
        <v>29</v>
      </c>
      <c r="B46" s="322">
        <v>98244</v>
      </c>
      <c r="C46" s="304"/>
      <c r="D46" s="297">
        <f>C46*B46</f>
        <v>0</v>
      </c>
      <c r="E46" s="304"/>
      <c r="F46" s="297">
        <f>E46*B46</f>
        <v>0</v>
      </c>
      <c r="G46" s="304"/>
      <c r="H46" s="297">
        <f>G46*B46</f>
        <v>0</v>
      </c>
      <c r="I46" s="304"/>
      <c r="J46" s="297">
        <f>I46*B46</f>
        <v>0</v>
      </c>
      <c r="K46" s="304"/>
      <c r="L46" s="298">
        <f>K46*B46</f>
        <v>0</v>
      </c>
      <c r="M46" s="306"/>
      <c r="N46" s="297">
        <f>M46*B46</f>
        <v>0</v>
      </c>
      <c r="O46" s="304"/>
      <c r="P46" s="297">
        <f>O46*B46</f>
        <v>0</v>
      </c>
      <c r="Q46" s="304"/>
      <c r="R46" s="297">
        <f>Q46*B46</f>
        <v>0</v>
      </c>
      <c r="S46" s="304"/>
      <c r="T46" s="297">
        <f>S46*B46</f>
        <v>0</v>
      </c>
      <c r="U46" s="306"/>
      <c r="V46" s="297">
        <f>U46*B46</f>
        <v>0</v>
      </c>
      <c r="W46" s="306"/>
      <c r="X46" s="297">
        <f>W46*B46</f>
        <v>0</v>
      </c>
      <c r="Y46" s="306"/>
      <c r="Z46" s="297">
        <f>Y46*B46</f>
        <v>0</v>
      </c>
      <c r="AA46" s="306"/>
      <c r="AB46" s="297">
        <f>AA46*B46</f>
        <v>0</v>
      </c>
      <c r="AC46" s="304"/>
      <c r="AD46" s="297">
        <f>AC46*B46</f>
        <v>0</v>
      </c>
      <c r="AE46" s="304"/>
      <c r="AF46" s="297">
        <f>AE46*B46</f>
        <v>0</v>
      </c>
      <c r="AG46" s="306"/>
      <c r="AH46" s="297">
        <f>AG46*B46</f>
        <v>0</v>
      </c>
      <c r="AI46" s="304"/>
      <c r="AJ46" s="297">
        <f>AI46*B46</f>
        <v>0</v>
      </c>
      <c r="AK46" s="297"/>
      <c r="AL46" s="297">
        <f t="shared" si="58"/>
        <v>0</v>
      </c>
      <c r="AM46" s="297"/>
      <c r="AN46" s="297">
        <f>AM46*B46</f>
        <v>0</v>
      </c>
      <c r="AO46" s="306"/>
      <c r="AP46" s="298">
        <f>AO46*B46</f>
        <v>0</v>
      </c>
      <c r="AQ46" s="304"/>
      <c r="AR46" s="297">
        <f>AQ46*B46</f>
        <v>0</v>
      </c>
      <c r="AS46" s="304"/>
      <c r="AT46" s="297">
        <f>AS46*B46</f>
        <v>0</v>
      </c>
      <c r="AU46" s="304"/>
      <c r="AV46" s="297">
        <f>AU46*B46</f>
        <v>0</v>
      </c>
      <c r="AW46" s="304"/>
      <c r="AX46" s="297">
        <f>AW46*B46</f>
        <v>0</v>
      </c>
      <c r="AY46" s="297">
        <f t="shared" si="59"/>
        <v>0</v>
      </c>
      <c r="AZ46" s="297">
        <f t="shared" si="59"/>
        <v>0</v>
      </c>
      <c r="BA46" s="313"/>
      <c r="BB46" s="313"/>
      <c r="BC46" s="323">
        <f t="shared" si="60"/>
        <v>0</v>
      </c>
      <c r="BD46" s="323">
        <f t="shared" si="60"/>
        <v>0</v>
      </c>
    </row>
    <row r="47" spans="1:56" s="293" customFormat="1" ht="17.25" customHeight="1" x14ac:dyDescent="0.2">
      <c r="A47" s="332" t="s">
        <v>563</v>
      </c>
      <c r="B47" s="333"/>
      <c r="C47" s="320">
        <f t="shared" ref="C47:BD47" si="61">C48</f>
        <v>200</v>
      </c>
      <c r="D47" s="320">
        <f t="shared" si="61"/>
        <v>26292400</v>
      </c>
      <c r="E47" s="320">
        <f t="shared" si="61"/>
        <v>0</v>
      </c>
      <c r="F47" s="320">
        <f t="shared" si="61"/>
        <v>0</v>
      </c>
      <c r="G47" s="320">
        <f t="shared" si="61"/>
        <v>0</v>
      </c>
      <c r="H47" s="320">
        <f t="shared" si="61"/>
        <v>0</v>
      </c>
      <c r="I47" s="320">
        <f t="shared" si="61"/>
        <v>0</v>
      </c>
      <c r="J47" s="320">
        <f t="shared" si="61"/>
        <v>0</v>
      </c>
      <c r="K47" s="320">
        <f t="shared" si="61"/>
        <v>0</v>
      </c>
      <c r="L47" s="320">
        <f t="shared" si="61"/>
        <v>0</v>
      </c>
      <c r="M47" s="320">
        <f t="shared" si="61"/>
        <v>0</v>
      </c>
      <c r="N47" s="320">
        <f t="shared" si="61"/>
        <v>0</v>
      </c>
      <c r="O47" s="320">
        <f t="shared" si="61"/>
        <v>0</v>
      </c>
      <c r="P47" s="320">
        <f t="shared" si="61"/>
        <v>0</v>
      </c>
      <c r="Q47" s="320">
        <f t="shared" si="61"/>
        <v>0</v>
      </c>
      <c r="R47" s="320">
        <f t="shared" si="61"/>
        <v>0</v>
      </c>
      <c r="S47" s="320">
        <f t="shared" si="61"/>
        <v>0</v>
      </c>
      <c r="T47" s="320">
        <f t="shared" si="61"/>
        <v>0</v>
      </c>
      <c r="U47" s="320">
        <f t="shared" si="61"/>
        <v>0</v>
      </c>
      <c r="V47" s="320">
        <f t="shared" si="61"/>
        <v>0</v>
      </c>
      <c r="W47" s="320">
        <f t="shared" si="61"/>
        <v>0</v>
      </c>
      <c r="X47" s="320">
        <f t="shared" si="61"/>
        <v>0</v>
      </c>
      <c r="Y47" s="320">
        <f t="shared" si="61"/>
        <v>0</v>
      </c>
      <c r="Z47" s="320">
        <f t="shared" si="61"/>
        <v>0</v>
      </c>
      <c r="AA47" s="320">
        <f t="shared" si="61"/>
        <v>100</v>
      </c>
      <c r="AB47" s="320">
        <f t="shared" si="61"/>
        <v>13146200</v>
      </c>
      <c r="AC47" s="320">
        <f t="shared" si="61"/>
        <v>0</v>
      </c>
      <c r="AD47" s="320">
        <f t="shared" si="61"/>
        <v>0</v>
      </c>
      <c r="AE47" s="320">
        <f t="shared" si="61"/>
        <v>0</v>
      </c>
      <c r="AF47" s="320">
        <f t="shared" si="61"/>
        <v>0</v>
      </c>
      <c r="AG47" s="320">
        <f t="shared" si="61"/>
        <v>0</v>
      </c>
      <c r="AH47" s="320">
        <f t="shared" si="61"/>
        <v>0</v>
      </c>
      <c r="AI47" s="320">
        <f t="shared" si="61"/>
        <v>0</v>
      </c>
      <c r="AJ47" s="320">
        <f t="shared" si="61"/>
        <v>0</v>
      </c>
      <c r="AK47" s="320">
        <f t="shared" si="61"/>
        <v>0</v>
      </c>
      <c r="AL47" s="320">
        <f t="shared" si="61"/>
        <v>0</v>
      </c>
      <c r="AM47" s="320">
        <f t="shared" si="61"/>
        <v>0</v>
      </c>
      <c r="AN47" s="320">
        <f t="shared" si="61"/>
        <v>0</v>
      </c>
      <c r="AO47" s="320">
        <f t="shared" si="61"/>
        <v>0</v>
      </c>
      <c r="AP47" s="320">
        <f t="shared" si="61"/>
        <v>0</v>
      </c>
      <c r="AQ47" s="320">
        <f t="shared" si="61"/>
        <v>60</v>
      </c>
      <c r="AR47" s="320">
        <f t="shared" si="61"/>
        <v>7887720</v>
      </c>
      <c r="AS47" s="320">
        <f t="shared" si="61"/>
        <v>0</v>
      </c>
      <c r="AT47" s="320">
        <f t="shared" si="61"/>
        <v>0</v>
      </c>
      <c r="AU47" s="320">
        <f t="shared" si="61"/>
        <v>0</v>
      </c>
      <c r="AV47" s="320">
        <f t="shared" si="61"/>
        <v>0</v>
      </c>
      <c r="AW47" s="320">
        <f t="shared" si="61"/>
        <v>40</v>
      </c>
      <c r="AX47" s="320">
        <f t="shared" si="61"/>
        <v>5258480</v>
      </c>
      <c r="AY47" s="320">
        <f t="shared" si="61"/>
        <v>400</v>
      </c>
      <c r="AZ47" s="320">
        <f t="shared" si="61"/>
        <v>52584800</v>
      </c>
      <c r="BA47" s="320">
        <f t="shared" si="61"/>
        <v>0</v>
      </c>
      <c r="BB47" s="320">
        <f t="shared" si="61"/>
        <v>0</v>
      </c>
      <c r="BC47" s="320">
        <f t="shared" si="61"/>
        <v>400</v>
      </c>
      <c r="BD47" s="320">
        <f t="shared" si="61"/>
        <v>52584800</v>
      </c>
    </row>
    <row r="48" spans="1:56" s="293" customFormat="1" ht="14.25" customHeight="1" x14ac:dyDescent="0.2">
      <c r="A48" s="309">
        <v>30</v>
      </c>
      <c r="B48" s="325">
        <v>131462</v>
      </c>
      <c r="C48" s="297">
        <v>200</v>
      </c>
      <c r="D48" s="297">
        <f>C48*B48</f>
        <v>26292400</v>
      </c>
      <c r="E48" s="297"/>
      <c r="F48" s="297">
        <f>E48*B48</f>
        <v>0</v>
      </c>
      <c r="G48" s="297"/>
      <c r="H48" s="297">
        <f>G48*B48</f>
        <v>0</v>
      </c>
      <c r="I48" s="297"/>
      <c r="J48" s="297">
        <f>I48*B48</f>
        <v>0</v>
      </c>
      <c r="K48" s="297"/>
      <c r="L48" s="298">
        <f>K48*B48</f>
        <v>0</v>
      </c>
      <c r="M48" s="297"/>
      <c r="N48" s="297">
        <f>M48*B48</f>
        <v>0</v>
      </c>
      <c r="O48" s="297"/>
      <c r="P48" s="297">
        <f>O48*B48</f>
        <v>0</v>
      </c>
      <c r="Q48" s="297"/>
      <c r="R48" s="297">
        <f>Q48*B48</f>
        <v>0</v>
      </c>
      <c r="S48" s="297"/>
      <c r="T48" s="297">
        <f>S48*B48</f>
        <v>0</v>
      </c>
      <c r="U48" s="297"/>
      <c r="V48" s="297">
        <f>U48*B48</f>
        <v>0</v>
      </c>
      <c r="W48" s="297"/>
      <c r="X48" s="297">
        <f>W48*B48</f>
        <v>0</v>
      </c>
      <c r="Y48" s="297"/>
      <c r="Z48" s="297">
        <f>Y48*B48</f>
        <v>0</v>
      </c>
      <c r="AA48" s="297">
        <v>100</v>
      </c>
      <c r="AB48" s="297">
        <f>AA48*B48</f>
        <v>13146200</v>
      </c>
      <c r="AC48" s="297"/>
      <c r="AD48" s="297">
        <f>AC48*B48</f>
        <v>0</v>
      </c>
      <c r="AE48" s="297"/>
      <c r="AF48" s="297">
        <f>AE48*B48</f>
        <v>0</v>
      </c>
      <c r="AG48" s="297"/>
      <c r="AH48" s="297">
        <f>AG48*B48</f>
        <v>0</v>
      </c>
      <c r="AI48" s="297"/>
      <c r="AJ48" s="297">
        <f>AI48*B48</f>
        <v>0</v>
      </c>
      <c r="AK48" s="297"/>
      <c r="AL48" s="297">
        <f t="shared" ref="AL48" si="62">AK48*B48</f>
        <v>0</v>
      </c>
      <c r="AM48" s="297"/>
      <c r="AN48" s="297">
        <f>AM48*B48</f>
        <v>0</v>
      </c>
      <c r="AO48" s="297"/>
      <c r="AP48" s="298">
        <f>AO48*B48</f>
        <v>0</v>
      </c>
      <c r="AQ48" s="297">
        <v>60</v>
      </c>
      <c r="AR48" s="297">
        <f>AQ48*B48</f>
        <v>7887720</v>
      </c>
      <c r="AS48" s="297"/>
      <c r="AT48" s="297">
        <f>AS48*B48</f>
        <v>0</v>
      </c>
      <c r="AU48" s="297"/>
      <c r="AV48" s="297">
        <f>AU48*B48</f>
        <v>0</v>
      </c>
      <c r="AW48" s="297">
        <v>40</v>
      </c>
      <c r="AX48" s="297">
        <f>AW48*B48</f>
        <v>5258480</v>
      </c>
      <c r="AY48" s="297">
        <f>Q48+U48+AO48+AG48+Y48+AA48+AC48+AE48+S48+AQ48+AI48+AM48+AS48+W48+AU48+M48+C48+O48+E48+G48+K48+I48+AW48</f>
        <v>400</v>
      </c>
      <c r="AZ48" s="297">
        <f>R48+V48+AP48+AH48+Z48+AB48+AD48+AF48+T48+AR48+AJ48+AN48+AT48+X48+AV48+N48+D48+P48+F48+H48+L48+J48+AX48</f>
        <v>52584800</v>
      </c>
      <c r="BA48" s="313"/>
      <c r="BB48" s="313"/>
      <c r="BC48" s="323">
        <f>AY48+BA48</f>
        <v>400</v>
      </c>
      <c r="BD48" s="323">
        <f>AZ48+BB48</f>
        <v>52584800</v>
      </c>
    </row>
    <row r="49" spans="1:56" s="293" customFormat="1" ht="26.25" customHeight="1" x14ac:dyDescent="0.2">
      <c r="A49" s="332" t="s">
        <v>564</v>
      </c>
      <c r="B49" s="333"/>
      <c r="C49" s="320">
        <f t="shared" ref="C49:AH49" si="63">SUM(C50:C60)</f>
        <v>323</v>
      </c>
      <c r="D49" s="320">
        <f t="shared" si="63"/>
        <v>63299710</v>
      </c>
      <c r="E49" s="320">
        <f t="shared" si="63"/>
        <v>0</v>
      </c>
      <c r="F49" s="320">
        <f t="shared" si="63"/>
        <v>0</v>
      </c>
      <c r="G49" s="320">
        <f t="shared" si="63"/>
        <v>3318</v>
      </c>
      <c r="H49" s="320">
        <f t="shared" si="63"/>
        <v>735034356</v>
      </c>
      <c r="I49" s="320">
        <f t="shared" si="63"/>
        <v>0</v>
      </c>
      <c r="J49" s="320">
        <f t="shared" si="63"/>
        <v>0</v>
      </c>
      <c r="K49" s="320">
        <f t="shared" si="63"/>
        <v>0</v>
      </c>
      <c r="L49" s="320">
        <f t="shared" si="63"/>
        <v>0</v>
      </c>
      <c r="M49" s="320">
        <f t="shared" si="63"/>
        <v>0</v>
      </c>
      <c r="N49" s="320">
        <f t="shared" si="63"/>
        <v>0</v>
      </c>
      <c r="O49" s="320">
        <f t="shared" si="63"/>
        <v>0</v>
      </c>
      <c r="P49" s="320">
        <f t="shared" si="63"/>
        <v>0</v>
      </c>
      <c r="Q49" s="320">
        <f t="shared" si="63"/>
        <v>792</v>
      </c>
      <c r="R49" s="320">
        <f t="shared" si="63"/>
        <v>143266350</v>
      </c>
      <c r="S49" s="320">
        <f t="shared" si="63"/>
        <v>573</v>
      </c>
      <c r="T49" s="320">
        <f t="shared" si="63"/>
        <v>101075808</v>
      </c>
      <c r="U49" s="320">
        <f t="shared" si="63"/>
        <v>0</v>
      </c>
      <c r="V49" s="320">
        <f t="shared" si="63"/>
        <v>0</v>
      </c>
      <c r="W49" s="320">
        <f t="shared" si="63"/>
        <v>0</v>
      </c>
      <c r="X49" s="320">
        <f t="shared" si="63"/>
        <v>0</v>
      </c>
      <c r="Y49" s="320">
        <f t="shared" si="63"/>
        <v>0</v>
      </c>
      <c r="Z49" s="320">
        <f t="shared" si="63"/>
        <v>0</v>
      </c>
      <c r="AA49" s="320">
        <f t="shared" si="63"/>
        <v>0</v>
      </c>
      <c r="AB49" s="320">
        <f t="shared" si="63"/>
        <v>0</v>
      </c>
      <c r="AC49" s="320">
        <f t="shared" si="63"/>
        <v>0</v>
      </c>
      <c r="AD49" s="320">
        <f t="shared" si="63"/>
        <v>0</v>
      </c>
      <c r="AE49" s="320">
        <f t="shared" si="63"/>
        <v>181</v>
      </c>
      <c r="AF49" s="320">
        <f t="shared" si="63"/>
        <v>38107660</v>
      </c>
      <c r="AG49" s="320">
        <f t="shared" si="63"/>
        <v>0</v>
      </c>
      <c r="AH49" s="320">
        <f t="shared" si="63"/>
        <v>0</v>
      </c>
      <c r="AI49" s="320">
        <f t="shared" ref="AI49:BD49" si="64">SUM(AI50:AI60)</f>
        <v>207</v>
      </c>
      <c r="AJ49" s="320">
        <f t="shared" si="64"/>
        <v>42716548</v>
      </c>
      <c r="AK49" s="320">
        <f t="shared" si="64"/>
        <v>133</v>
      </c>
      <c r="AL49" s="320">
        <f t="shared" si="64"/>
        <v>24160980</v>
      </c>
      <c r="AM49" s="320">
        <f t="shared" si="64"/>
        <v>0</v>
      </c>
      <c r="AN49" s="320">
        <f t="shared" si="64"/>
        <v>0</v>
      </c>
      <c r="AO49" s="320">
        <f t="shared" si="64"/>
        <v>0</v>
      </c>
      <c r="AP49" s="320">
        <f t="shared" si="64"/>
        <v>0</v>
      </c>
      <c r="AQ49" s="320">
        <f t="shared" si="64"/>
        <v>362</v>
      </c>
      <c r="AR49" s="320">
        <f t="shared" si="64"/>
        <v>62299881</v>
      </c>
      <c r="AS49" s="320">
        <f t="shared" si="64"/>
        <v>219</v>
      </c>
      <c r="AT49" s="320">
        <f t="shared" si="64"/>
        <v>44565034</v>
      </c>
      <c r="AU49" s="320">
        <f t="shared" si="64"/>
        <v>0</v>
      </c>
      <c r="AV49" s="320">
        <f t="shared" si="64"/>
        <v>0</v>
      </c>
      <c r="AW49" s="320">
        <f t="shared" si="64"/>
        <v>568</v>
      </c>
      <c r="AX49" s="320">
        <f t="shared" si="64"/>
        <v>114445326</v>
      </c>
      <c r="AY49" s="320">
        <f t="shared" si="64"/>
        <v>6676</v>
      </c>
      <c r="AZ49" s="320">
        <f t="shared" si="64"/>
        <v>1368971653</v>
      </c>
      <c r="BA49" s="320">
        <f t="shared" si="64"/>
        <v>0</v>
      </c>
      <c r="BB49" s="320">
        <f t="shared" si="64"/>
        <v>0</v>
      </c>
      <c r="BC49" s="320">
        <f t="shared" si="64"/>
        <v>6676</v>
      </c>
      <c r="BD49" s="320">
        <f t="shared" si="64"/>
        <v>1368971653</v>
      </c>
    </row>
    <row r="50" spans="1:56" s="293" customFormat="1" ht="14.25" customHeight="1" x14ac:dyDescent="0.2">
      <c r="A50" s="299">
        <v>31</v>
      </c>
      <c r="B50" s="324">
        <v>170525</v>
      </c>
      <c r="C50" s="310">
        <v>41</v>
      </c>
      <c r="D50" s="297">
        <f t="shared" ref="D50:D60" si="65">C50*B50</f>
        <v>6991525</v>
      </c>
      <c r="E50" s="310"/>
      <c r="F50" s="297">
        <f t="shared" ref="F50:F60" si="66">E50*B50</f>
        <v>0</v>
      </c>
      <c r="G50" s="310">
        <v>323</v>
      </c>
      <c r="H50" s="297">
        <f t="shared" ref="H50:H60" si="67">G50*B50</f>
        <v>55079575</v>
      </c>
      <c r="I50" s="310"/>
      <c r="J50" s="297">
        <f t="shared" ref="J50:J60" si="68">I50*B50</f>
        <v>0</v>
      </c>
      <c r="K50" s="310"/>
      <c r="L50" s="298">
        <f t="shared" ref="L50:L60" si="69">K50*B50</f>
        <v>0</v>
      </c>
      <c r="M50" s="311"/>
      <c r="N50" s="297">
        <f t="shared" ref="N50:N60" si="70">M50*B50</f>
        <v>0</v>
      </c>
      <c r="O50" s="310"/>
      <c r="P50" s="297">
        <f t="shared" ref="P50:P60" si="71">O50*B50</f>
        <v>0</v>
      </c>
      <c r="Q50" s="310">
        <f>263+15</f>
        <v>278</v>
      </c>
      <c r="R50" s="297">
        <f t="shared" ref="R50:R60" si="72">Q50*B50</f>
        <v>47405950</v>
      </c>
      <c r="S50" s="310">
        <f>160+55</f>
        <v>215</v>
      </c>
      <c r="T50" s="297">
        <f t="shared" ref="T50:T60" si="73">S50*B50</f>
        <v>36662875</v>
      </c>
      <c r="U50" s="311"/>
      <c r="V50" s="297">
        <f t="shared" ref="V50:V60" si="74">U50*B50</f>
        <v>0</v>
      </c>
      <c r="W50" s="311"/>
      <c r="X50" s="297">
        <f t="shared" ref="X50:X60" si="75">W50*B50</f>
        <v>0</v>
      </c>
      <c r="Y50" s="311"/>
      <c r="Z50" s="297">
        <f t="shared" ref="Z50:Z60" si="76">Y50*B50</f>
        <v>0</v>
      </c>
      <c r="AA50" s="311"/>
      <c r="AB50" s="297">
        <f t="shared" ref="AB50:AB60" si="77">AA50*B50</f>
        <v>0</v>
      </c>
      <c r="AC50" s="310"/>
      <c r="AD50" s="297">
        <f t="shared" ref="AD50:AD60" si="78">AC50*B50</f>
        <v>0</v>
      </c>
      <c r="AE50" s="310">
        <f>0+35</f>
        <v>35</v>
      </c>
      <c r="AF50" s="297">
        <f t="shared" ref="AF50:AF60" si="79">AE50*B50</f>
        <v>5968375</v>
      </c>
      <c r="AG50" s="311"/>
      <c r="AH50" s="297">
        <f t="shared" ref="AH50:AH60" si="80">AG50*B50</f>
        <v>0</v>
      </c>
      <c r="AI50" s="310">
        <f>118-6</f>
        <v>112</v>
      </c>
      <c r="AJ50" s="297">
        <f t="shared" ref="AJ50:AJ60" si="81">AI50*B50</f>
        <v>19098800</v>
      </c>
      <c r="AK50" s="297">
        <f>0+20</f>
        <v>20</v>
      </c>
      <c r="AL50" s="297">
        <f>AK50*B50</f>
        <v>3410500</v>
      </c>
      <c r="AM50" s="297"/>
      <c r="AN50" s="297">
        <f t="shared" ref="AN50:AN60" si="82">AM50*B50</f>
        <v>0</v>
      </c>
      <c r="AO50" s="311"/>
      <c r="AP50" s="298">
        <f t="shared" ref="AP50:AP60" si="83">AO50*B50</f>
        <v>0</v>
      </c>
      <c r="AQ50" s="310">
        <f>268-29-6</f>
        <v>233</v>
      </c>
      <c r="AR50" s="297">
        <f t="shared" ref="AR50:AR60" si="84">AQ50*B50</f>
        <v>39732325</v>
      </c>
      <c r="AS50" s="300">
        <f>30+29+21+6</f>
        <v>86</v>
      </c>
      <c r="AT50" s="297">
        <f t="shared" ref="AT50:AT60" si="85">AS50*B50</f>
        <v>14665150</v>
      </c>
      <c r="AU50" s="310"/>
      <c r="AV50" s="297">
        <f t="shared" ref="AV50:AV60" si="86">AU50*B50</f>
        <v>0</v>
      </c>
      <c r="AW50" s="310">
        <f>100+6</f>
        <v>106</v>
      </c>
      <c r="AX50" s="297">
        <f t="shared" ref="AX50:AX60" si="87">AW50*B50</f>
        <v>18075650</v>
      </c>
      <c r="AY50" s="297">
        <f t="shared" ref="AY50:AZ60" si="88">Q50+U50+AO50+AG50+Y50+AA50+AC50+AE50+S50+AQ50+AI50+AM50+AS50+W50+AU50+M50+C50+O50+E50+G50+K50+I50+AW50+AK50</f>
        <v>1449</v>
      </c>
      <c r="AZ50" s="297">
        <f t="shared" si="88"/>
        <v>247090725</v>
      </c>
      <c r="BA50" s="312">
        <f>55-35-20</f>
        <v>0</v>
      </c>
      <c r="BB50" s="297">
        <f t="shared" ref="BB50:BB55" si="89">BA50*B50</f>
        <v>0</v>
      </c>
      <c r="BC50" s="323">
        <f t="shared" ref="BC50:BD60" si="90">AY50+BA50</f>
        <v>1449</v>
      </c>
      <c r="BD50" s="323">
        <f t="shared" si="90"/>
        <v>247090725</v>
      </c>
    </row>
    <row r="51" spans="1:56" s="293" customFormat="1" ht="14.25" customHeight="1" x14ac:dyDescent="0.2">
      <c r="A51" s="299">
        <v>32</v>
      </c>
      <c r="B51" s="324">
        <v>234472</v>
      </c>
      <c r="C51" s="300">
        <v>50</v>
      </c>
      <c r="D51" s="297">
        <f t="shared" si="65"/>
        <v>11723600</v>
      </c>
      <c r="E51" s="300"/>
      <c r="F51" s="297">
        <f t="shared" si="66"/>
        <v>0</v>
      </c>
      <c r="G51" s="300">
        <v>133</v>
      </c>
      <c r="H51" s="297">
        <f t="shared" si="67"/>
        <v>31184776</v>
      </c>
      <c r="I51" s="300"/>
      <c r="J51" s="297">
        <f t="shared" si="68"/>
        <v>0</v>
      </c>
      <c r="K51" s="300"/>
      <c r="L51" s="298">
        <f t="shared" si="69"/>
        <v>0</v>
      </c>
      <c r="M51" s="300"/>
      <c r="N51" s="297">
        <f t="shared" si="70"/>
        <v>0</v>
      </c>
      <c r="O51" s="300"/>
      <c r="P51" s="297">
        <f t="shared" si="71"/>
        <v>0</v>
      </c>
      <c r="Q51" s="300">
        <f>90-10</f>
        <v>80</v>
      </c>
      <c r="R51" s="297">
        <f t="shared" si="72"/>
        <v>18757760</v>
      </c>
      <c r="S51" s="300">
        <f>20+44</f>
        <v>64</v>
      </c>
      <c r="T51" s="297">
        <f t="shared" si="73"/>
        <v>15006208</v>
      </c>
      <c r="U51" s="300"/>
      <c r="V51" s="297">
        <f t="shared" si="74"/>
        <v>0</v>
      </c>
      <c r="W51" s="300"/>
      <c r="X51" s="297">
        <f t="shared" si="75"/>
        <v>0</v>
      </c>
      <c r="Y51" s="300"/>
      <c r="Z51" s="297">
        <f t="shared" si="76"/>
        <v>0</v>
      </c>
      <c r="AA51" s="300"/>
      <c r="AB51" s="297">
        <f t="shared" si="77"/>
        <v>0</v>
      </c>
      <c r="AC51" s="300"/>
      <c r="AD51" s="297">
        <f t="shared" si="78"/>
        <v>0</v>
      </c>
      <c r="AE51" s="300">
        <f>0+50-2</f>
        <v>48</v>
      </c>
      <c r="AF51" s="297">
        <f t="shared" si="79"/>
        <v>11254656</v>
      </c>
      <c r="AG51" s="300"/>
      <c r="AH51" s="297">
        <f t="shared" si="80"/>
        <v>0</v>
      </c>
      <c r="AI51" s="300">
        <v>74</v>
      </c>
      <c r="AJ51" s="297">
        <f t="shared" si="81"/>
        <v>17350928</v>
      </c>
      <c r="AK51" s="297">
        <f>0+10</f>
        <v>10</v>
      </c>
      <c r="AL51" s="297">
        <f t="shared" ref="AL51:AL78" si="91">AK51*B51</f>
        <v>2344720</v>
      </c>
      <c r="AM51" s="297"/>
      <c r="AN51" s="297">
        <f t="shared" si="82"/>
        <v>0</v>
      </c>
      <c r="AO51" s="300"/>
      <c r="AP51" s="298">
        <f t="shared" si="83"/>
        <v>0</v>
      </c>
      <c r="AQ51" s="300">
        <f>30-7</f>
        <v>23</v>
      </c>
      <c r="AR51" s="297">
        <f t="shared" si="84"/>
        <v>5392856</v>
      </c>
      <c r="AS51" s="300">
        <f>40+7</f>
        <v>47</v>
      </c>
      <c r="AT51" s="297">
        <f t="shared" si="85"/>
        <v>11020184</v>
      </c>
      <c r="AU51" s="300"/>
      <c r="AV51" s="297">
        <f t="shared" si="86"/>
        <v>0</v>
      </c>
      <c r="AW51" s="300">
        <f>20+11+8</f>
        <v>39</v>
      </c>
      <c r="AX51" s="297">
        <f t="shared" si="87"/>
        <v>9144408</v>
      </c>
      <c r="AY51" s="297">
        <f t="shared" si="88"/>
        <v>568</v>
      </c>
      <c r="AZ51" s="297">
        <f t="shared" si="88"/>
        <v>133180096</v>
      </c>
      <c r="BA51" s="312">
        <f>60-50-10</f>
        <v>0</v>
      </c>
      <c r="BB51" s="297">
        <f t="shared" si="89"/>
        <v>0</v>
      </c>
      <c r="BC51" s="323">
        <f t="shared" si="90"/>
        <v>568</v>
      </c>
      <c r="BD51" s="323">
        <f t="shared" si="90"/>
        <v>133180096</v>
      </c>
    </row>
    <row r="52" spans="1:56" s="293" customFormat="1" ht="14.25" customHeight="1" x14ac:dyDescent="0.2">
      <c r="A52" s="299">
        <v>33</v>
      </c>
      <c r="B52" s="324">
        <v>298420</v>
      </c>
      <c r="C52" s="300">
        <v>11</v>
      </c>
      <c r="D52" s="297">
        <f t="shared" si="65"/>
        <v>3282620</v>
      </c>
      <c r="E52" s="300"/>
      <c r="F52" s="297">
        <f t="shared" si="66"/>
        <v>0</v>
      </c>
      <c r="G52" s="300">
        <v>38</v>
      </c>
      <c r="H52" s="297">
        <f t="shared" si="67"/>
        <v>11339960</v>
      </c>
      <c r="I52" s="300"/>
      <c r="J52" s="297">
        <f t="shared" si="68"/>
        <v>0</v>
      </c>
      <c r="K52" s="300"/>
      <c r="L52" s="298">
        <f t="shared" si="69"/>
        <v>0</v>
      </c>
      <c r="M52" s="302"/>
      <c r="N52" s="297">
        <f t="shared" si="70"/>
        <v>0</v>
      </c>
      <c r="O52" s="300"/>
      <c r="P52" s="297">
        <f t="shared" si="71"/>
        <v>0</v>
      </c>
      <c r="Q52" s="300">
        <f>20-2</f>
        <v>18</v>
      </c>
      <c r="R52" s="297">
        <f t="shared" si="72"/>
        <v>5371560</v>
      </c>
      <c r="S52" s="300">
        <f>5+3+5</f>
        <v>13</v>
      </c>
      <c r="T52" s="297">
        <f t="shared" si="73"/>
        <v>3879460</v>
      </c>
      <c r="U52" s="302"/>
      <c r="V52" s="297">
        <f t="shared" si="74"/>
        <v>0</v>
      </c>
      <c r="W52" s="302"/>
      <c r="X52" s="297">
        <f t="shared" si="75"/>
        <v>0</v>
      </c>
      <c r="Y52" s="302"/>
      <c r="Z52" s="297">
        <f t="shared" si="76"/>
        <v>0</v>
      </c>
      <c r="AA52" s="302"/>
      <c r="AB52" s="297">
        <f t="shared" si="77"/>
        <v>0</v>
      </c>
      <c r="AC52" s="300"/>
      <c r="AD52" s="297">
        <f t="shared" si="78"/>
        <v>0</v>
      </c>
      <c r="AE52" s="300">
        <f>0+15</f>
        <v>15</v>
      </c>
      <c r="AF52" s="297">
        <f t="shared" si="79"/>
        <v>4476300</v>
      </c>
      <c r="AG52" s="302"/>
      <c r="AH52" s="297">
        <f t="shared" si="80"/>
        <v>0</v>
      </c>
      <c r="AI52" s="300">
        <v>21</v>
      </c>
      <c r="AJ52" s="297">
        <f t="shared" si="81"/>
        <v>6266820</v>
      </c>
      <c r="AK52" s="297">
        <f>0+3</f>
        <v>3</v>
      </c>
      <c r="AL52" s="297">
        <f t="shared" si="91"/>
        <v>895260</v>
      </c>
      <c r="AM52" s="297"/>
      <c r="AN52" s="297">
        <f t="shared" si="82"/>
        <v>0</v>
      </c>
      <c r="AO52" s="302"/>
      <c r="AP52" s="298">
        <f t="shared" si="83"/>
        <v>0</v>
      </c>
      <c r="AQ52" s="300">
        <f>5-3</f>
        <v>2</v>
      </c>
      <c r="AR52" s="297">
        <f t="shared" si="84"/>
        <v>596840</v>
      </c>
      <c r="AS52" s="300">
        <f>20+2</f>
        <v>22</v>
      </c>
      <c r="AT52" s="297">
        <f t="shared" si="85"/>
        <v>6565240</v>
      </c>
      <c r="AU52" s="300"/>
      <c r="AV52" s="297">
        <f t="shared" si="86"/>
        <v>0</v>
      </c>
      <c r="AW52" s="300">
        <f>5+1+3</f>
        <v>9</v>
      </c>
      <c r="AX52" s="297">
        <f t="shared" si="87"/>
        <v>2685780</v>
      </c>
      <c r="AY52" s="297">
        <f t="shared" si="88"/>
        <v>152</v>
      </c>
      <c r="AZ52" s="297">
        <f t="shared" si="88"/>
        <v>45359840</v>
      </c>
      <c r="BA52" s="312">
        <f>18-15-3</f>
        <v>0</v>
      </c>
      <c r="BB52" s="297">
        <f t="shared" si="89"/>
        <v>0</v>
      </c>
      <c r="BC52" s="323">
        <f t="shared" si="90"/>
        <v>152</v>
      </c>
      <c r="BD52" s="323">
        <f t="shared" si="90"/>
        <v>45359840</v>
      </c>
    </row>
    <row r="53" spans="1:56" s="293" customFormat="1" ht="14.25" customHeight="1" x14ac:dyDescent="0.2">
      <c r="A53" s="299">
        <v>34</v>
      </c>
      <c r="B53" s="324">
        <v>152265</v>
      </c>
      <c r="C53" s="300">
        <v>118</v>
      </c>
      <c r="D53" s="297">
        <f t="shared" si="65"/>
        <v>17967270</v>
      </c>
      <c r="E53" s="300"/>
      <c r="F53" s="297">
        <f t="shared" si="66"/>
        <v>0</v>
      </c>
      <c r="G53" s="300">
        <v>680</v>
      </c>
      <c r="H53" s="297">
        <f t="shared" si="67"/>
        <v>103540200</v>
      </c>
      <c r="I53" s="300"/>
      <c r="J53" s="297">
        <f t="shared" si="68"/>
        <v>0</v>
      </c>
      <c r="K53" s="300"/>
      <c r="L53" s="298">
        <f t="shared" si="69"/>
        <v>0</v>
      </c>
      <c r="M53" s="302"/>
      <c r="N53" s="297">
        <f t="shared" si="70"/>
        <v>0</v>
      </c>
      <c r="O53" s="300"/>
      <c r="P53" s="297">
        <f t="shared" si="71"/>
        <v>0</v>
      </c>
      <c r="Q53" s="300">
        <f>290+14</f>
        <v>304</v>
      </c>
      <c r="R53" s="297">
        <f t="shared" si="72"/>
        <v>46288560</v>
      </c>
      <c r="S53" s="300">
        <f>363-55-67</f>
        <v>241</v>
      </c>
      <c r="T53" s="297">
        <f t="shared" si="73"/>
        <v>36695865</v>
      </c>
      <c r="U53" s="302"/>
      <c r="V53" s="297">
        <f t="shared" si="74"/>
        <v>0</v>
      </c>
      <c r="W53" s="302"/>
      <c r="X53" s="297">
        <f t="shared" si="75"/>
        <v>0</v>
      </c>
      <c r="Y53" s="302"/>
      <c r="Z53" s="297">
        <f t="shared" si="76"/>
        <v>0</v>
      </c>
      <c r="AA53" s="302"/>
      <c r="AB53" s="297">
        <f t="shared" si="77"/>
        <v>0</v>
      </c>
      <c r="AC53" s="300"/>
      <c r="AD53" s="297">
        <f t="shared" si="78"/>
        <v>0</v>
      </c>
      <c r="AE53" s="300">
        <f>0+25</f>
        <v>25</v>
      </c>
      <c r="AF53" s="297">
        <f t="shared" si="79"/>
        <v>3806625</v>
      </c>
      <c r="AG53" s="302"/>
      <c r="AH53" s="297">
        <f t="shared" si="80"/>
        <v>0</v>
      </c>
      <c r="AI53" s="300"/>
      <c r="AJ53" s="297">
        <f t="shared" si="81"/>
        <v>0</v>
      </c>
      <c r="AK53" s="297">
        <f>0+70</f>
        <v>70</v>
      </c>
      <c r="AL53" s="297">
        <f t="shared" si="91"/>
        <v>10658550</v>
      </c>
      <c r="AM53" s="297"/>
      <c r="AN53" s="297">
        <f t="shared" si="82"/>
        <v>0</v>
      </c>
      <c r="AO53" s="302"/>
      <c r="AP53" s="298">
        <f t="shared" si="83"/>
        <v>0</v>
      </c>
      <c r="AQ53" s="300">
        <f>100-9</f>
        <v>91</v>
      </c>
      <c r="AR53" s="297">
        <f t="shared" si="84"/>
        <v>13856115</v>
      </c>
      <c r="AS53" s="300">
        <f>25-5+9</f>
        <v>29</v>
      </c>
      <c r="AT53" s="297">
        <f t="shared" si="85"/>
        <v>4415685</v>
      </c>
      <c r="AU53" s="300"/>
      <c r="AV53" s="297">
        <f t="shared" si="86"/>
        <v>0</v>
      </c>
      <c r="AW53" s="300">
        <v>253</v>
      </c>
      <c r="AX53" s="297">
        <f t="shared" si="87"/>
        <v>38523045</v>
      </c>
      <c r="AY53" s="297">
        <f t="shared" si="88"/>
        <v>1811</v>
      </c>
      <c r="AZ53" s="297">
        <f t="shared" si="88"/>
        <v>275751915</v>
      </c>
      <c r="BA53" s="312">
        <f>95-25-70</f>
        <v>0</v>
      </c>
      <c r="BB53" s="297">
        <f t="shared" si="89"/>
        <v>0</v>
      </c>
      <c r="BC53" s="323">
        <f t="shared" si="90"/>
        <v>1811</v>
      </c>
      <c r="BD53" s="323">
        <f t="shared" si="90"/>
        <v>275751915</v>
      </c>
    </row>
    <row r="54" spans="1:56" s="293" customFormat="1" ht="14.25" customHeight="1" x14ac:dyDescent="0.2">
      <c r="A54" s="299">
        <v>35</v>
      </c>
      <c r="B54" s="324">
        <v>209365</v>
      </c>
      <c r="C54" s="300">
        <v>72</v>
      </c>
      <c r="D54" s="297">
        <f t="shared" si="65"/>
        <v>15074280</v>
      </c>
      <c r="E54" s="300"/>
      <c r="F54" s="297">
        <f t="shared" si="66"/>
        <v>0</v>
      </c>
      <c r="G54" s="297">
        <v>228</v>
      </c>
      <c r="H54" s="297">
        <f t="shared" si="67"/>
        <v>47735220</v>
      </c>
      <c r="I54" s="300"/>
      <c r="J54" s="297">
        <f t="shared" si="68"/>
        <v>0</v>
      </c>
      <c r="K54" s="300"/>
      <c r="L54" s="298">
        <f t="shared" si="69"/>
        <v>0</v>
      </c>
      <c r="M54" s="300"/>
      <c r="N54" s="297">
        <f t="shared" si="70"/>
        <v>0</v>
      </c>
      <c r="O54" s="300"/>
      <c r="P54" s="297">
        <f t="shared" si="71"/>
        <v>0</v>
      </c>
      <c r="Q54" s="300">
        <f>80-8</f>
        <v>72</v>
      </c>
      <c r="R54" s="297">
        <f t="shared" si="72"/>
        <v>15074280</v>
      </c>
      <c r="S54" s="300">
        <f>20+5+7</f>
        <v>32</v>
      </c>
      <c r="T54" s="297">
        <f t="shared" si="73"/>
        <v>6699680</v>
      </c>
      <c r="U54" s="300"/>
      <c r="V54" s="297">
        <f t="shared" si="74"/>
        <v>0</v>
      </c>
      <c r="W54" s="300"/>
      <c r="X54" s="297">
        <f t="shared" si="75"/>
        <v>0</v>
      </c>
      <c r="Y54" s="300"/>
      <c r="Z54" s="297">
        <f t="shared" si="76"/>
        <v>0</v>
      </c>
      <c r="AA54" s="300"/>
      <c r="AB54" s="297">
        <f t="shared" si="77"/>
        <v>0</v>
      </c>
      <c r="AC54" s="300"/>
      <c r="AD54" s="297">
        <f t="shared" si="78"/>
        <v>0</v>
      </c>
      <c r="AE54" s="300">
        <f>0+40</f>
        <v>40</v>
      </c>
      <c r="AF54" s="297">
        <f t="shared" si="79"/>
        <v>8374600</v>
      </c>
      <c r="AG54" s="300"/>
      <c r="AH54" s="297">
        <f t="shared" si="80"/>
        <v>0</v>
      </c>
      <c r="AI54" s="300"/>
      <c r="AJ54" s="297">
        <f t="shared" si="81"/>
        <v>0</v>
      </c>
      <c r="AK54" s="297">
        <f>0+20</f>
        <v>20</v>
      </c>
      <c r="AL54" s="297">
        <f t="shared" si="91"/>
        <v>4187300</v>
      </c>
      <c r="AM54" s="297"/>
      <c r="AN54" s="297">
        <f t="shared" si="82"/>
        <v>0</v>
      </c>
      <c r="AO54" s="300"/>
      <c r="AP54" s="298">
        <f t="shared" si="83"/>
        <v>0</v>
      </c>
      <c r="AQ54" s="300">
        <f>15-2</f>
        <v>13</v>
      </c>
      <c r="AR54" s="297">
        <f t="shared" si="84"/>
        <v>2721745</v>
      </c>
      <c r="AS54" s="300">
        <f>33-10+2</f>
        <v>25</v>
      </c>
      <c r="AT54" s="297">
        <f t="shared" si="85"/>
        <v>5234125</v>
      </c>
      <c r="AU54" s="300"/>
      <c r="AV54" s="297">
        <f t="shared" si="86"/>
        <v>0</v>
      </c>
      <c r="AW54" s="300">
        <f>40+8</f>
        <v>48</v>
      </c>
      <c r="AX54" s="297">
        <f t="shared" si="87"/>
        <v>10049520</v>
      </c>
      <c r="AY54" s="297">
        <f t="shared" si="88"/>
        <v>550</v>
      </c>
      <c r="AZ54" s="297">
        <f t="shared" si="88"/>
        <v>115150750</v>
      </c>
      <c r="BA54" s="312">
        <f>60-40-20</f>
        <v>0</v>
      </c>
      <c r="BB54" s="297">
        <f t="shared" si="89"/>
        <v>0</v>
      </c>
      <c r="BC54" s="323">
        <f t="shared" si="90"/>
        <v>550</v>
      </c>
      <c r="BD54" s="323">
        <f t="shared" si="90"/>
        <v>115150750</v>
      </c>
    </row>
    <row r="55" spans="1:56" s="293" customFormat="1" ht="14.25" customHeight="1" x14ac:dyDescent="0.2">
      <c r="A55" s="299">
        <v>36</v>
      </c>
      <c r="B55" s="324">
        <v>266465</v>
      </c>
      <c r="C55" s="300">
        <v>31</v>
      </c>
      <c r="D55" s="297">
        <f t="shared" si="65"/>
        <v>8260415</v>
      </c>
      <c r="E55" s="300"/>
      <c r="F55" s="297">
        <f t="shared" si="66"/>
        <v>0</v>
      </c>
      <c r="G55" s="297">
        <v>71</v>
      </c>
      <c r="H55" s="297">
        <f t="shared" si="67"/>
        <v>18919015</v>
      </c>
      <c r="I55" s="300"/>
      <c r="J55" s="297">
        <f t="shared" si="68"/>
        <v>0</v>
      </c>
      <c r="K55" s="300"/>
      <c r="L55" s="298">
        <f t="shared" si="69"/>
        <v>0</v>
      </c>
      <c r="M55" s="300"/>
      <c r="N55" s="297">
        <f t="shared" si="70"/>
        <v>0</v>
      </c>
      <c r="O55" s="300"/>
      <c r="P55" s="297">
        <f t="shared" si="71"/>
        <v>0</v>
      </c>
      <c r="Q55" s="300">
        <v>20</v>
      </c>
      <c r="R55" s="297">
        <f t="shared" si="72"/>
        <v>5329300</v>
      </c>
      <c r="S55" s="300">
        <f>5+3</f>
        <v>8</v>
      </c>
      <c r="T55" s="297">
        <f t="shared" si="73"/>
        <v>2131720</v>
      </c>
      <c r="U55" s="300"/>
      <c r="V55" s="297">
        <f t="shared" si="74"/>
        <v>0</v>
      </c>
      <c r="W55" s="300"/>
      <c r="X55" s="297">
        <f t="shared" si="75"/>
        <v>0</v>
      </c>
      <c r="Y55" s="300"/>
      <c r="Z55" s="297">
        <f t="shared" si="76"/>
        <v>0</v>
      </c>
      <c r="AA55" s="300"/>
      <c r="AB55" s="297">
        <f t="shared" si="77"/>
        <v>0</v>
      </c>
      <c r="AC55" s="300"/>
      <c r="AD55" s="297">
        <f t="shared" si="78"/>
        <v>0</v>
      </c>
      <c r="AE55" s="300">
        <f>0+10+2</f>
        <v>12</v>
      </c>
      <c r="AF55" s="297">
        <f t="shared" si="79"/>
        <v>3197580</v>
      </c>
      <c r="AG55" s="300"/>
      <c r="AH55" s="297">
        <f t="shared" si="80"/>
        <v>0</v>
      </c>
      <c r="AI55" s="300"/>
      <c r="AJ55" s="297">
        <f t="shared" si="81"/>
        <v>0</v>
      </c>
      <c r="AK55" s="297">
        <f>0+10</f>
        <v>10</v>
      </c>
      <c r="AL55" s="297">
        <f t="shared" si="91"/>
        <v>2664650</v>
      </c>
      <c r="AM55" s="297"/>
      <c r="AN55" s="297">
        <f t="shared" si="82"/>
        <v>0</v>
      </c>
      <c r="AO55" s="300"/>
      <c r="AP55" s="298">
        <f t="shared" si="83"/>
        <v>0</v>
      </c>
      <c r="AQ55" s="300"/>
      <c r="AR55" s="297">
        <f t="shared" si="84"/>
        <v>0</v>
      </c>
      <c r="AS55" s="300">
        <f>15+1-6</f>
        <v>10</v>
      </c>
      <c r="AT55" s="297">
        <f t="shared" si="85"/>
        <v>2664650</v>
      </c>
      <c r="AU55" s="300"/>
      <c r="AV55" s="297">
        <f t="shared" si="86"/>
        <v>0</v>
      </c>
      <c r="AW55" s="300">
        <f>5+1+1</f>
        <v>7</v>
      </c>
      <c r="AX55" s="297">
        <f t="shared" si="87"/>
        <v>1865255</v>
      </c>
      <c r="AY55" s="297">
        <f t="shared" si="88"/>
        <v>169</v>
      </c>
      <c r="AZ55" s="297">
        <f t="shared" si="88"/>
        <v>45032585</v>
      </c>
      <c r="BA55" s="312">
        <f>20-10-10</f>
        <v>0</v>
      </c>
      <c r="BB55" s="297">
        <f t="shared" si="89"/>
        <v>0</v>
      </c>
      <c r="BC55" s="323">
        <f t="shared" si="90"/>
        <v>169</v>
      </c>
      <c r="BD55" s="323">
        <f t="shared" si="90"/>
        <v>45032585</v>
      </c>
    </row>
    <row r="56" spans="1:56" s="293" customFormat="1" ht="14.25" customHeight="1" x14ac:dyDescent="0.2">
      <c r="A56" s="299">
        <v>37</v>
      </c>
      <c r="B56" s="324">
        <v>251947</v>
      </c>
      <c r="C56" s="300"/>
      <c r="D56" s="297">
        <f t="shared" si="65"/>
        <v>0</v>
      </c>
      <c r="E56" s="300"/>
      <c r="F56" s="297">
        <f t="shared" si="66"/>
        <v>0</v>
      </c>
      <c r="G56" s="297">
        <f>0+230</f>
        <v>230</v>
      </c>
      <c r="H56" s="297">
        <f t="shared" si="67"/>
        <v>57947810</v>
      </c>
      <c r="I56" s="300"/>
      <c r="J56" s="297">
        <f t="shared" si="68"/>
        <v>0</v>
      </c>
      <c r="K56" s="300"/>
      <c r="L56" s="298">
        <f t="shared" si="69"/>
        <v>0</v>
      </c>
      <c r="M56" s="302"/>
      <c r="N56" s="297">
        <f t="shared" si="70"/>
        <v>0</v>
      </c>
      <c r="O56" s="300"/>
      <c r="P56" s="297">
        <f t="shared" si="71"/>
        <v>0</v>
      </c>
      <c r="Q56" s="300">
        <f>0+20</f>
        <v>20</v>
      </c>
      <c r="R56" s="297">
        <f t="shared" si="72"/>
        <v>5038940</v>
      </c>
      <c r="S56" s="300"/>
      <c r="T56" s="297">
        <f t="shared" si="73"/>
        <v>0</v>
      </c>
      <c r="U56" s="302"/>
      <c r="V56" s="297">
        <f t="shared" si="74"/>
        <v>0</v>
      </c>
      <c r="W56" s="302"/>
      <c r="X56" s="297">
        <f t="shared" si="75"/>
        <v>0</v>
      </c>
      <c r="Y56" s="302"/>
      <c r="Z56" s="297">
        <f t="shared" si="76"/>
        <v>0</v>
      </c>
      <c r="AA56" s="302"/>
      <c r="AB56" s="297">
        <f t="shared" si="77"/>
        <v>0</v>
      </c>
      <c r="AC56" s="300"/>
      <c r="AD56" s="297">
        <f t="shared" si="78"/>
        <v>0</v>
      </c>
      <c r="AE56" s="300"/>
      <c r="AF56" s="297">
        <f t="shared" si="79"/>
        <v>0</v>
      </c>
      <c r="AG56" s="302"/>
      <c r="AH56" s="297">
        <f t="shared" si="80"/>
        <v>0</v>
      </c>
      <c r="AI56" s="300"/>
      <c r="AJ56" s="297">
        <f t="shared" si="81"/>
        <v>0</v>
      </c>
      <c r="AK56" s="297"/>
      <c r="AL56" s="297">
        <f t="shared" si="91"/>
        <v>0</v>
      </c>
      <c r="AM56" s="297"/>
      <c r="AN56" s="297">
        <f t="shared" si="82"/>
        <v>0</v>
      </c>
      <c r="AO56" s="302"/>
      <c r="AP56" s="298">
        <f t="shared" si="83"/>
        <v>0</v>
      </c>
      <c r="AQ56" s="300"/>
      <c r="AR56" s="297">
        <f t="shared" si="84"/>
        <v>0</v>
      </c>
      <c r="AS56" s="300"/>
      <c r="AT56" s="297">
        <f t="shared" si="85"/>
        <v>0</v>
      </c>
      <c r="AU56" s="300"/>
      <c r="AV56" s="297">
        <f t="shared" si="86"/>
        <v>0</v>
      </c>
      <c r="AW56" s="300"/>
      <c r="AX56" s="297">
        <f t="shared" si="87"/>
        <v>0</v>
      </c>
      <c r="AY56" s="297">
        <f t="shared" si="88"/>
        <v>250</v>
      </c>
      <c r="AZ56" s="297">
        <f t="shared" si="88"/>
        <v>62986750</v>
      </c>
      <c r="BA56" s="312"/>
      <c r="BB56" s="313"/>
      <c r="BC56" s="323">
        <f t="shared" si="90"/>
        <v>250</v>
      </c>
      <c r="BD56" s="323">
        <f t="shared" si="90"/>
        <v>62986750</v>
      </c>
    </row>
    <row r="57" spans="1:56" s="293" customFormat="1" ht="14.25" customHeight="1" x14ac:dyDescent="0.2">
      <c r="A57" s="299">
        <v>38</v>
      </c>
      <c r="B57" s="324">
        <v>140507</v>
      </c>
      <c r="C57" s="300"/>
      <c r="D57" s="297">
        <f t="shared" si="65"/>
        <v>0</v>
      </c>
      <c r="E57" s="300"/>
      <c r="F57" s="297">
        <f t="shared" si="66"/>
        <v>0</v>
      </c>
      <c r="G57" s="300">
        <v>300</v>
      </c>
      <c r="H57" s="297">
        <f t="shared" si="67"/>
        <v>42152100</v>
      </c>
      <c r="I57" s="300"/>
      <c r="J57" s="297">
        <f t="shared" si="68"/>
        <v>0</v>
      </c>
      <c r="K57" s="300"/>
      <c r="L57" s="298">
        <f t="shared" si="69"/>
        <v>0</v>
      </c>
      <c r="M57" s="302"/>
      <c r="N57" s="297">
        <f t="shared" si="70"/>
        <v>0</v>
      </c>
      <c r="O57" s="300"/>
      <c r="P57" s="297">
        <f t="shared" si="71"/>
        <v>0</v>
      </c>
      <c r="Q57" s="300"/>
      <c r="R57" s="297">
        <f t="shared" si="72"/>
        <v>0</v>
      </c>
      <c r="S57" s="300"/>
      <c r="T57" s="297">
        <f t="shared" si="73"/>
        <v>0</v>
      </c>
      <c r="U57" s="302"/>
      <c r="V57" s="297">
        <f t="shared" si="74"/>
        <v>0</v>
      </c>
      <c r="W57" s="302"/>
      <c r="X57" s="297">
        <f t="shared" si="75"/>
        <v>0</v>
      </c>
      <c r="Y57" s="302"/>
      <c r="Z57" s="297">
        <f t="shared" si="76"/>
        <v>0</v>
      </c>
      <c r="AA57" s="302"/>
      <c r="AB57" s="297">
        <f t="shared" si="77"/>
        <v>0</v>
      </c>
      <c r="AC57" s="300"/>
      <c r="AD57" s="297">
        <f t="shared" si="78"/>
        <v>0</v>
      </c>
      <c r="AE57" s="300">
        <f>0+4</f>
        <v>4</v>
      </c>
      <c r="AF57" s="297">
        <f t="shared" si="79"/>
        <v>562028</v>
      </c>
      <c r="AG57" s="302"/>
      <c r="AH57" s="297">
        <f t="shared" si="80"/>
        <v>0</v>
      </c>
      <c r="AI57" s="300"/>
      <c r="AJ57" s="297">
        <f t="shared" si="81"/>
        <v>0</v>
      </c>
      <c r="AK57" s="297"/>
      <c r="AL57" s="297">
        <f t="shared" si="91"/>
        <v>0</v>
      </c>
      <c r="AM57" s="297"/>
      <c r="AN57" s="297">
        <f t="shared" si="82"/>
        <v>0</v>
      </c>
      <c r="AO57" s="302"/>
      <c r="AP57" s="298">
        <f t="shared" si="83"/>
        <v>0</v>
      </c>
      <c r="AQ57" s="300"/>
      <c r="AR57" s="297">
        <f t="shared" si="84"/>
        <v>0</v>
      </c>
      <c r="AS57" s="300"/>
      <c r="AT57" s="297">
        <f t="shared" si="85"/>
        <v>0</v>
      </c>
      <c r="AU57" s="300"/>
      <c r="AV57" s="297">
        <f t="shared" si="86"/>
        <v>0</v>
      </c>
      <c r="AW57" s="300">
        <v>10</v>
      </c>
      <c r="AX57" s="297">
        <f t="shared" si="87"/>
        <v>1405070</v>
      </c>
      <c r="AY57" s="297">
        <f t="shared" si="88"/>
        <v>314</v>
      </c>
      <c r="AZ57" s="297">
        <f t="shared" si="88"/>
        <v>44119198</v>
      </c>
      <c r="BA57" s="313"/>
      <c r="BB57" s="313"/>
      <c r="BC57" s="323">
        <f t="shared" si="90"/>
        <v>314</v>
      </c>
      <c r="BD57" s="323">
        <f t="shared" si="90"/>
        <v>44119198</v>
      </c>
    </row>
    <row r="58" spans="1:56" s="293" customFormat="1" ht="14.25" customHeight="1" x14ac:dyDescent="0.2">
      <c r="A58" s="299">
        <v>39</v>
      </c>
      <c r="B58" s="324">
        <v>258664</v>
      </c>
      <c r="C58" s="300"/>
      <c r="D58" s="297">
        <f t="shared" si="65"/>
        <v>0</v>
      </c>
      <c r="E58" s="300"/>
      <c r="F58" s="297">
        <f t="shared" si="66"/>
        <v>0</v>
      </c>
      <c r="G58" s="300">
        <v>5</v>
      </c>
      <c r="H58" s="297">
        <f t="shared" si="67"/>
        <v>1293320</v>
      </c>
      <c r="I58" s="300"/>
      <c r="J58" s="297">
        <f t="shared" si="68"/>
        <v>0</v>
      </c>
      <c r="K58" s="300"/>
      <c r="L58" s="298">
        <f t="shared" si="69"/>
        <v>0</v>
      </c>
      <c r="M58" s="302"/>
      <c r="N58" s="297">
        <f t="shared" si="70"/>
        <v>0</v>
      </c>
      <c r="O58" s="300"/>
      <c r="P58" s="297">
        <f t="shared" si="71"/>
        <v>0</v>
      </c>
      <c r="Q58" s="300"/>
      <c r="R58" s="297">
        <f t="shared" si="72"/>
        <v>0</v>
      </c>
      <c r="S58" s="300"/>
      <c r="T58" s="297">
        <f t="shared" si="73"/>
        <v>0</v>
      </c>
      <c r="U58" s="302"/>
      <c r="V58" s="297">
        <f t="shared" si="74"/>
        <v>0</v>
      </c>
      <c r="W58" s="302"/>
      <c r="X58" s="297">
        <f t="shared" si="75"/>
        <v>0</v>
      </c>
      <c r="Y58" s="302"/>
      <c r="Z58" s="297">
        <f t="shared" si="76"/>
        <v>0</v>
      </c>
      <c r="AA58" s="302"/>
      <c r="AB58" s="297">
        <f t="shared" si="77"/>
        <v>0</v>
      </c>
      <c r="AC58" s="300"/>
      <c r="AD58" s="297">
        <f t="shared" si="78"/>
        <v>0</v>
      </c>
      <c r="AE58" s="300"/>
      <c r="AF58" s="297">
        <f t="shared" si="79"/>
        <v>0</v>
      </c>
      <c r="AG58" s="302"/>
      <c r="AH58" s="297">
        <f t="shared" si="80"/>
        <v>0</v>
      </c>
      <c r="AI58" s="300"/>
      <c r="AJ58" s="297">
        <f t="shared" si="81"/>
        <v>0</v>
      </c>
      <c r="AK58" s="297"/>
      <c r="AL58" s="297">
        <f t="shared" si="91"/>
        <v>0</v>
      </c>
      <c r="AM58" s="297"/>
      <c r="AN58" s="297">
        <f t="shared" si="82"/>
        <v>0</v>
      </c>
      <c r="AO58" s="302"/>
      <c r="AP58" s="298">
        <f t="shared" si="83"/>
        <v>0</v>
      </c>
      <c r="AQ58" s="300"/>
      <c r="AR58" s="297">
        <f t="shared" si="84"/>
        <v>0</v>
      </c>
      <c r="AS58" s="300"/>
      <c r="AT58" s="297">
        <f t="shared" si="85"/>
        <v>0</v>
      </c>
      <c r="AU58" s="300"/>
      <c r="AV58" s="297">
        <f t="shared" si="86"/>
        <v>0</v>
      </c>
      <c r="AW58" s="300"/>
      <c r="AX58" s="297">
        <f t="shared" si="87"/>
        <v>0</v>
      </c>
      <c r="AY58" s="297">
        <f t="shared" si="88"/>
        <v>5</v>
      </c>
      <c r="AZ58" s="297">
        <f t="shared" si="88"/>
        <v>1293320</v>
      </c>
      <c r="BA58" s="313"/>
      <c r="BB58" s="313"/>
      <c r="BC58" s="323">
        <f t="shared" si="90"/>
        <v>5</v>
      </c>
      <c r="BD58" s="323">
        <f t="shared" si="90"/>
        <v>1293320</v>
      </c>
    </row>
    <row r="59" spans="1:56" s="293" customFormat="1" ht="14.25" customHeight="1" x14ac:dyDescent="0.2">
      <c r="A59" s="299">
        <v>40</v>
      </c>
      <c r="B59" s="324">
        <v>233748</v>
      </c>
      <c r="C59" s="300"/>
      <c r="D59" s="297">
        <f t="shared" si="65"/>
        <v>0</v>
      </c>
      <c r="E59" s="300"/>
      <c r="F59" s="297">
        <f t="shared" si="66"/>
        <v>0</v>
      </c>
      <c r="G59" s="300">
        <v>810</v>
      </c>
      <c r="H59" s="297">
        <f t="shared" si="67"/>
        <v>189335880</v>
      </c>
      <c r="I59" s="300"/>
      <c r="J59" s="297">
        <f t="shared" si="68"/>
        <v>0</v>
      </c>
      <c r="K59" s="300"/>
      <c r="L59" s="298">
        <f t="shared" si="69"/>
        <v>0</v>
      </c>
      <c r="M59" s="302"/>
      <c r="N59" s="297">
        <f t="shared" si="70"/>
        <v>0</v>
      </c>
      <c r="O59" s="300"/>
      <c r="P59" s="297">
        <f t="shared" si="71"/>
        <v>0</v>
      </c>
      <c r="Q59" s="300"/>
      <c r="R59" s="297">
        <f t="shared" si="72"/>
        <v>0</v>
      </c>
      <c r="S59" s="300"/>
      <c r="T59" s="297">
        <f t="shared" si="73"/>
        <v>0</v>
      </c>
      <c r="U59" s="302"/>
      <c r="V59" s="297">
        <f t="shared" si="74"/>
        <v>0</v>
      </c>
      <c r="W59" s="302"/>
      <c r="X59" s="297">
        <f t="shared" si="75"/>
        <v>0</v>
      </c>
      <c r="Y59" s="302"/>
      <c r="Z59" s="297">
        <f t="shared" si="76"/>
        <v>0</v>
      </c>
      <c r="AA59" s="302"/>
      <c r="AB59" s="297">
        <f t="shared" si="77"/>
        <v>0</v>
      </c>
      <c r="AC59" s="300"/>
      <c r="AD59" s="297">
        <f t="shared" si="78"/>
        <v>0</v>
      </c>
      <c r="AE59" s="300">
        <f>0+2</f>
        <v>2</v>
      </c>
      <c r="AF59" s="297">
        <f t="shared" si="79"/>
        <v>467496</v>
      </c>
      <c r="AG59" s="302"/>
      <c r="AH59" s="297">
        <f t="shared" si="80"/>
        <v>0</v>
      </c>
      <c r="AI59" s="300"/>
      <c r="AJ59" s="297">
        <f t="shared" si="81"/>
        <v>0</v>
      </c>
      <c r="AK59" s="297"/>
      <c r="AL59" s="297">
        <f t="shared" si="91"/>
        <v>0</v>
      </c>
      <c r="AM59" s="297"/>
      <c r="AN59" s="297">
        <f t="shared" si="82"/>
        <v>0</v>
      </c>
      <c r="AO59" s="302"/>
      <c r="AP59" s="298">
        <f t="shared" si="83"/>
        <v>0</v>
      </c>
      <c r="AQ59" s="300"/>
      <c r="AR59" s="297">
        <f t="shared" si="84"/>
        <v>0</v>
      </c>
      <c r="AS59" s="300"/>
      <c r="AT59" s="297">
        <f t="shared" si="85"/>
        <v>0</v>
      </c>
      <c r="AU59" s="300"/>
      <c r="AV59" s="297">
        <f t="shared" si="86"/>
        <v>0</v>
      </c>
      <c r="AW59" s="300">
        <v>10</v>
      </c>
      <c r="AX59" s="297">
        <f t="shared" si="87"/>
        <v>2337480</v>
      </c>
      <c r="AY59" s="297">
        <f t="shared" si="88"/>
        <v>822</v>
      </c>
      <c r="AZ59" s="297">
        <f t="shared" si="88"/>
        <v>192140856</v>
      </c>
      <c r="BA59" s="313"/>
      <c r="BB59" s="313"/>
      <c r="BC59" s="323">
        <f t="shared" si="90"/>
        <v>822</v>
      </c>
      <c r="BD59" s="323">
        <f t="shared" si="90"/>
        <v>192140856</v>
      </c>
    </row>
    <row r="60" spans="1:56" s="293" customFormat="1" ht="14.25" customHeight="1" x14ac:dyDescent="0.2">
      <c r="A60" s="299">
        <v>41</v>
      </c>
      <c r="B60" s="324">
        <v>353013</v>
      </c>
      <c r="C60" s="297"/>
      <c r="D60" s="297">
        <f t="shared" si="65"/>
        <v>0</v>
      </c>
      <c r="E60" s="297"/>
      <c r="F60" s="297">
        <f t="shared" si="66"/>
        <v>0</v>
      </c>
      <c r="G60" s="297">
        <v>500</v>
      </c>
      <c r="H60" s="297">
        <f t="shared" si="67"/>
        <v>176506500</v>
      </c>
      <c r="I60" s="297"/>
      <c r="J60" s="297">
        <f t="shared" si="68"/>
        <v>0</v>
      </c>
      <c r="K60" s="297"/>
      <c r="L60" s="298">
        <f t="shared" si="69"/>
        <v>0</v>
      </c>
      <c r="M60" s="297"/>
      <c r="N60" s="297">
        <f t="shared" si="70"/>
        <v>0</v>
      </c>
      <c r="O60" s="297"/>
      <c r="P60" s="297">
        <f t="shared" si="71"/>
        <v>0</v>
      </c>
      <c r="Q60" s="297"/>
      <c r="R60" s="297">
        <f t="shared" si="72"/>
        <v>0</v>
      </c>
      <c r="S60" s="297"/>
      <c r="T60" s="297">
        <f t="shared" si="73"/>
        <v>0</v>
      </c>
      <c r="U60" s="297"/>
      <c r="V60" s="297">
        <f t="shared" si="74"/>
        <v>0</v>
      </c>
      <c r="W60" s="297"/>
      <c r="X60" s="297">
        <f t="shared" si="75"/>
        <v>0</v>
      </c>
      <c r="Y60" s="297"/>
      <c r="Z60" s="297">
        <f t="shared" si="76"/>
        <v>0</v>
      </c>
      <c r="AA60" s="297"/>
      <c r="AB60" s="297">
        <f t="shared" si="77"/>
        <v>0</v>
      </c>
      <c r="AC60" s="297"/>
      <c r="AD60" s="297">
        <f t="shared" si="78"/>
        <v>0</v>
      </c>
      <c r="AE60" s="297"/>
      <c r="AF60" s="297">
        <f t="shared" si="79"/>
        <v>0</v>
      </c>
      <c r="AG60" s="297"/>
      <c r="AH60" s="297">
        <f t="shared" si="80"/>
        <v>0</v>
      </c>
      <c r="AI60" s="297"/>
      <c r="AJ60" s="297">
        <f t="shared" si="81"/>
        <v>0</v>
      </c>
      <c r="AK60" s="297"/>
      <c r="AL60" s="297">
        <f t="shared" si="91"/>
        <v>0</v>
      </c>
      <c r="AM60" s="297"/>
      <c r="AN60" s="297">
        <f t="shared" si="82"/>
        <v>0</v>
      </c>
      <c r="AO60" s="297"/>
      <c r="AP60" s="298">
        <f t="shared" si="83"/>
        <v>0</v>
      </c>
      <c r="AQ60" s="297"/>
      <c r="AR60" s="297">
        <f t="shared" si="84"/>
        <v>0</v>
      </c>
      <c r="AS60" s="297"/>
      <c r="AT60" s="297">
        <f t="shared" si="85"/>
        <v>0</v>
      </c>
      <c r="AU60" s="297"/>
      <c r="AV60" s="297">
        <f t="shared" si="86"/>
        <v>0</v>
      </c>
      <c r="AW60" s="297">
        <f>70+15+1</f>
        <v>86</v>
      </c>
      <c r="AX60" s="297">
        <f t="shared" si="87"/>
        <v>30359118</v>
      </c>
      <c r="AY60" s="297">
        <f t="shared" si="88"/>
        <v>586</v>
      </c>
      <c r="AZ60" s="297">
        <f t="shared" si="88"/>
        <v>206865618</v>
      </c>
      <c r="BA60" s="313"/>
      <c r="BB60" s="313"/>
      <c r="BC60" s="323">
        <f t="shared" si="90"/>
        <v>586</v>
      </c>
      <c r="BD60" s="323">
        <f t="shared" si="90"/>
        <v>206865618</v>
      </c>
    </row>
    <row r="61" spans="1:56" s="293" customFormat="1" ht="19.5" customHeight="1" x14ac:dyDescent="0.2">
      <c r="A61" s="332" t="s">
        <v>565</v>
      </c>
      <c r="B61" s="333"/>
      <c r="C61" s="320">
        <f t="shared" ref="C61:BD61" si="92">C62+C63</f>
        <v>30</v>
      </c>
      <c r="D61" s="320">
        <f t="shared" si="92"/>
        <v>5342320</v>
      </c>
      <c r="E61" s="320">
        <f t="shared" si="92"/>
        <v>0</v>
      </c>
      <c r="F61" s="320">
        <f t="shared" si="92"/>
        <v>0</v>
      </c>
      <c r="G61" s="320">
        <f t="shared" si="92"/>
        <v>0</v>
      </c>
      <c r="H61" s="320">
        <f t="shared" si="92"/>
        <v>0</v>
      </c>
      <c r="I61" s="320">
        <f t="shared" si="92"/>
        <v>0</v>
      </c>
      <c r="J61" s="320">
        <f t="shared" si="92"/>
        <v>0</v>
      </c>
      <c r="K61" s="320">
        <f t="shared" si="92"/>
        <v>0</v>
      </c>
      <c r="L61" s="320">
        <f t="shared" si="92"/>
        <v>0</v>
      </c>
      <c r="M61" s="320">
        <f t="shared" si="92"/>
        <v>0</v>
      </c>
      <c r="N61" s="320">
        <f t="shared" si="92"/>
        <v>0</v>
      </c>
      <c r="O61" s="320">
        <f t="shared" si="92"/>
        <v>0</v>
      </c>
      <c r="P61" s="320">
        <f t="shared" si="92"/>
        <v>0</v>
      </c>
      <c r="Q61" s="320">
        <f t="shared" si="92"/>
        <v>0</v>
      </c>
      <c r="R61" s="320">
        <f t="shared" si="92"/>
        <v>0</v>
      </c>
      <c r="S61" s="320">
        <f t="shared" si="92"/>
        <v>0</v>
      </c>
      <c r="T61" s="320">
        <f t="shared" si="92"/>
        <v>0</v>
      </c>
      <c r="U61" s="320">
        <f t="shared" si="92"/>
        <v>0</v>
      </c>
      <c r="V61" s="320">
        <f t="shared" si="92"/>
        <v>0</v>
      </c>
      <c r="W61" s="320">
        <f t="shared" si="92"/>
        <v>0</v>
      </c>
      <c r="X61" s="320">
        <f t="shared" si="92"/>
        <v>0</v>
      </c>
      <c r="Y61" s="320">
        <f t="shared" si="92"/>
        <v>0</v>
      </c>
      <c r="Z61" s="320">
        <f t="shared" si="92"/>
        <v>0</v>
      </c>
      <c r="AA61" s="320">
        <f t="shared" si="92"/>
        <v>0</v>
      </c>
      <c r="AB61" s="320">
        <f t="shared" si="92"/>
        <v>0</v>
      </c>
      <c r="AC61" s="320">
        <f t="shared" si="92"/>
        <v>0</v>
      </c>
      <c r="AD61" s="320">
        <f t="shared" si="92"/>
        <v>0</v>
      </c>
      <c r="AE61" s="320">
        <f t="shared" si="92"/>
        <v>0</v>
      </c>
      <c r="AF61" s="320">
        <f t="shared" si="92"/>
        <v>0</v>
      </c>
      <c r="AG61" s="320">
        <f t="shared" si="92"/>
        <v>0</v>
      </c>
      <c r="AH61" s="320">
        <f t="shared" si="92"/>
        <v>0</v>
      </c>
      <c r="AI61" s="320">
        <f t="shared" si="92"/>
        <v>0</v>
      </c>
      <c r="AJ61" s="320">
        <f t="shared" si="92"/>
        <v>0</v>
      </c>
      <c r="AK61" s="320">
        <f t="shared" si="92"/>
        <v>0</v>
      </c>
      <c r="AL61" s="320">
        <f t="shared" si="92"/>
        <v>0</v>
      </c>
      <c r="AM61" s="320">
        <f t="shared" si="92"/>
        <v>0</v>
      </c>
      <c r="AN61" s="320">
        <f t="shared" si="92"/>
        <v>0</v>
      </c>
      <c r="AO61" s="320">
        <f t="shared" si="92"/>
        <v>0</v>
      </c>
      <c r="AP61" s="320">
        <f t="shared" si="92"/>
        <v>0</v>
      </c>
      <c r="AQ61" s="320">
        <f t="shared" si="92"/>
        <v>0</v>
      </c>
      <c r="AR61" s="320">
        <f t="shared" si="92"/>
        <v>0</v>
      </c>
      <c r="AS61" s="320">
        <f t="shared" si="92"/>
        <v>0</v>
      </c>
      <c r="AT61" s="320">
        <f t="shared" si="92"/>
        <v>0</v>
      </c>
      <c r="AU61" s="320">
        <f t="shared" si="92"/>
        <v>0</v>
      </c>
      <c r="AV61" s="320">
        <f t="shared" si="92"/>
        <v>0</v>
      </c>
      <c r="AW61" s="320">
        <f t="shared" si="92"/>
        <v>50</v>
      </c>
      <c r="AX61" s="320">
        <f t="shared" si="92"/>
        <v>7127300</v>
      </c>
      <c r="AY61" s="320">
        <f t="shared" si="92"/>
        <v>80</v>
      </c>
      <c r="AZ61" s="320">
        <f t="shared" si="92"/>
        <v>12469620</v>
      </c>
      <c r="BA61" s="320">
        <f t="shared" si="92"/>
        <v>0</v>
      </c>
      <c r="BB61" s="320">
        <f t="shared" si="92"/>
        <v>0</v>
      </c>
      <c r="BC61" s="320">
        <f t="shared" si="92"/>
        <v>80</v>
      </c>
      <c r="BD61" s="320">
        <f t="shared" si="92"/>
        <v>12469620</v>
      </c>
    </row>
    <row r="62" spans="1:56" s="293" customFormat="1" ht="15.75" customHeight="1" x14ac:dyDescent="0.2">
      <c r="A62" s="299">
        <v>42</v>
      </c>
      <c r="B62" s="324">
        <v>142546</v>
      </c>
      <c r="C62" s="300">
        <v>20</v>
      </c>
      <c r="D62" s="297">
        <f>C62*B62</f>
        <v>2850920</v>
      </c>
      <c r="E62" s="300"/>
      <c r="F62" s="297">
        <f>E62*B62</f>
        <v>0</v>
      </c>
      <c r="G62" s="300"/>
      <c r="H62" s="297">
        <f>G62*B62</f>
        <v>0</v>
      </c>
      <c r="I62" s="300"/>
      <c r="J62" s="297">
        <f>I62*B62</f>
        <v>0</v>
      </c>
      <c r="K62" s="300"/>
      <c r="L62" s="298">
        <f>K62*B62</f>
        <v>0</v>
      </c>
      <c r="M62" s="302"/>
      <c r="N62" s="297">
        <f>M62*B62</f>
        <v>0</v>
      </c>
      <c r="O62" s="300"/>
      <c r="P62" s="297">
        <f>O62*B62</f>
        <v>0</v>
      </c>
      <c r="Q62" s="300"/>
      <c r="R62" s="297">
        <f>Q62*B62</f>
        <v>0</v>
      </c>
      <c r="S62" s="300"/>
      <c r="T62" s="297">
        <f>S62*B62</f>
        <v>0</v>
      </c>
      <c r="U62" s="302"/>
      <c r="V62" s="297">
        <f>U62*B62</f>
        <v>0</v>
      </c>
      <c r="W62" s="302"/>
      <c r="X62" s="297">
        <f>W62*B62</f>
        <v>0</v>
      </c>
      <c r="Y62" s="302"/>
      <c r="Z62" s="297">
        <f>Y62*B62</f>
        <v>0</v>
      </c>
      <c r="AA62" s="302"/>
      <c r="AB62" s="297">
        <f>AA62*B62</f>
        <v>0</v>
      </c>
      <c r="AC62" s="300"/>
      <c r="AD62" s="297">
        <f>AC62*B62</f>
        <v>0</v>
      </c>
      <c r="AE62" s="300"/>
      <c r="AF62" s="297">
        <f>AE62*B62</f>
        <v>0</v>
      </c>
      <c r="AG62" s="302"/>
      <c r="AH62" s="297">
        <f>AG62*B62</f>
        <v>0</v>
      </c>
      <c r="AI62" s="300"/>
      <c r="AJ62" s="297">
        <f>AI62*B62</f>
        <v>0</v>
      </c>
      <c r="AK62" s="297"/>
      <c r="AL62" s="297">
        <f t="shared" si="91"/>
        <v>0</v>
      </c>
      <c r="AM62" s="297"/>
      <c r="AN62" s="297">
        <f>AM62*B62</f>
        <v>0</v>
      </c>
      <c r="AO62" s="302"/>
      <c r="AP62" s="298">
        <f>AO62*B62</f>
        <v>0</v>
      </c>
      <c r="AQ62" s="300"/>
      <c r="AR62" s="297">
        <f>AQ62*B62</f>
        <v>0</v>
      </c>
      <c r="AS62" s="300"/>
      <c r="AT62" s="297">
        <f>AS62*B62</f>
        <v>0</v>
      </c>
      <c r="AU62" s="300"/>
      <c r="AV62" s="297">
        <f>AU62*B62</f>
        <v>0</v>
      </c>
      <c r="AW62" s="300">
        <v>50</v>
      </c>
      <c r="AX62" s="297">
        <f>AW62*B62</f>
        <v>7127300</v>
      </c>
      <c r="AY62" s="297">
        <f t="shared" ref="AY62:AZ63" si="93">Q62+U62+AO62+AG62+Y62+AA62+AC62+AE62+S62+AQ62+AI62+AM62+AS62+W62+AU62+M62+C62+O62+E62+G62+K62+I62+AW62+AK62</f>
        <v>70</v>
      </c>
      <c r="AZ62" s="297">
        <f t="shared" si="93"/>
        <v>9978220</v>
      </c>
      <c r="BA62" s="313"/>
      <c r="BB62" s="313"/>
      <c r="BC62" s="323">
        <f>AY62+BA62</f>
        <v>70</v>
      </c>
      <c r="BD62" s="323">
        <f>AZ62+BB62</f>
        <v>9978220</v>
      </c>
    </row>
    <row r="63" spans="1:56" s="293" customFormat="1" ht="14.25" customHeight="1" x14ac:dyDescent="0.2">
      <c r="A63" s="299">
        <v>43</v>
      </c>
      <c r="B63" s="324">
        <v>249140</v>
      </c>
      <c r="C63" s="297">
        <v>10</v>
      </c>
      <c r="D63" s="297">
        <f>C63*B63</f>
        <v>2491400</v>
      </c>
      <c r="E63" s="297"/>
      <c r="F63" s="297">
        <f>E63*B63</f>
        <v>0</v>
      </c>
      <c r="G63" s="297"/>
      <c r="H63" s="297">
        <f>G63*B63</f>
        <v>0</v>
      </c>
      <c r="I63" s="297"/>
      <c r="J63" s="297">
        <f>I63*B63</f>
        <v>0</v>
      </c>
      <c r="K63" s="297"/>
      <c r="L63" s="298">
        <f>K63*B63</f>
        <v>0</v>
      </c>
      <c r="M63" s="297"/>
      <c r="N63" s="297">
        <f>M63*B63</f>
        <v>0</v>
      </c>
      <c r="O63" s="297"/>
      <c r="P63" s="297">
        <f>O63*B63</f>
        <v>0</v>
      </c>
      <c r="Q63" s="297"/>
      <c r="R63" s="297">
        <f>Q63*B63</f>
        <v>0</v>
      </c>
      <c r="S63" s="297"/>
      <c r="T63" s="297">
        <f>S63*B63</f>
        <v>0</v>
      </c>
      <c r="U63" s="297"/>
      <c r="V63" s="297">
        <f>U63*B63</f>
        <v>0</v>
      </c>
      <c r="W63" s="297"/>
      <c r="X63" s="297">
        <f>W63*B63</f>
        <v>0</v>
      </c>
      <c r="Y63" s="297"/>
      <c r="Z63" s="297">
        <f>Y63*B63</f>
        <v>0</v>
      </c>
      <c r="AA63" s="297"/>
      <c r="AB63" s="297">
        <f>AA63*B63</f>
        <v>0</v>
      </c>
      <c r="AC63" s="297"/>
      <c r="AD63" s="297">
        <f>AC63*B63</f>
        <v>0</v>
      </c>
      <c r="AE63" s="297"/>
      <c r="AF63" s="297">
        <f>AE63*B63</f>
        <v>0</v>
      </c>
      <c r="AG63" s="297"/>
      <c r="AH63" s="297">
        <f>AG63*B63</f>
        <v>0</v>
      </c>
      <c r="AI63" s="297"/>
      <c r="AJ63" s="297">
        <f>AI63*B63</f>
        <v>0</v>
      </c>
      <c r="AK63" s="297"/>
      <c r="AL63" s="297">
        <f t="shared" si="91"/>
        <v>0</v>
      </c>
      <c r="AM63" s="297"/>
      <c r="AN63" s="297">
        <f>AM63*B63</f>
        <v>0</v>
      </c>
      <c r="AO63" s="297"/>
      <c r="AP63" s="298">
        <f>AO63*B63</f>
        <v>0</v>
      </c>
      <c r="AQ63" s="297"/>
      <c r="AR63" s="297">
        <f>AQ63*B63</f>
        <v>0</v>
      </c>
      <c r="AS63" s="297"/>
      <c r="AT63" s="297">
        <f>AS63*B63</f>
        <v>0</v>
      </c>
      <c r="AU63" s="297"/>
      <c r="AV63" s="297">
        <f>AU63*B63</f>
        <v>0</v>
      </c>
      <c r="AW63" s="297"/>
      <c r="AX63" s="297">
        <f>AW63*B63</f>
        <v>0</v>
      </c>
      <c r="AY63" s="297">
        <f t="shared" si="93"/>
        <v>10</v>
      </c>
      <c r="AZ63" s="297">
        <f t="shared" si="93"/>
        <v>2491400</v>
      </c>
      <c r="BA63" s="313"/>
      <c r="BB63" s="313"/>
      <c r="BC63" s="323">
        <f>AY63+BA63</f>
        <v>10</v>
      </c>
      <c r="BD63" s="323">
        <f>AZ63+BB63</f>
        <v>2491400</v>
      </c>
    </row>
    <row r="64" spans="1:56" s="293" customFormat="1" ht="24" customHeight="1" x14ac:dyDescent="0.2">
      <c r="A64" s="332" t="s">
        <v>566</v>
      </c>
      <c r="B64" s="333"/>
      <c r="C64" s="320">
        <f t="shared" ref="C64:BD64" si="94">SUM(C65:C70)</f>
        <v>355</v>
      </c>
      <c r="D64" s="320">
        <f t="shared" si="94"/>
        <v>59669285</v>
      </c>
      <c r="E64" s="320">
        <f t="shared" si="94"/>
        <v>0</v>
      </c>
      <c r="F64" s="320">
        <f t="shared" si="94"/>
        <v>0</v>
      </c>
      <c r="G64" s="320">
        <f t="shared" si="94"/>
        <v>0</v>
      </c>
      <c r="H64" s="320">
        <f t="shared" si="94"/>
        <v>0</v>
      </c>
      <c r="I64" s="320">
        <f t="shared" si="94"/>
        <v>60</v>
      </c>
      <c r="J64" s="320">
        <f t="shared" si="94"/>
        <v>8926820</v>
      </c>
      <c r="K64" s="320">
        <f t="shared" si="94"/>
        <v>0</v>
      </c>
      <c r="L64" s="320">
        <f t="shared" si="94"/>
        <v>0</v>
      </c>
      <c r="M64" s="320">
        <f t="shared" si="94"/>
        <v>0</v>
      </c>
      <c r="N64" s="320">
        <f t="shared" si="94"/>
        <v>0</v>
      </c>
      <c r="O64" s="320">
        <f t="shared" si="94"/>
        <v>216</v>
      </c>
      <c r="P64" s="320">
        <f t="shared" si="94"/>
        <v>31110912</v>
      </c>
      <c r="Q64" s="320">
        <f t="shared" si="94"/>
        <v>197</v>
      </c>
      <c r="R64" s="320">
        <f t="shared" si="94"/>
        <v>30720424</v>
      </c>
      <c r="S64" s="320">
        <f t="shared" si="94"/>
        <v>200</v>
      </c>
      <c r="T64" s="320">
        <f t="shared" si="94"/>
        <v>29929100</v>
      </c>
      <c r="U64" s="320">
        <f t="shared" si="94"/>
        <v>0</v>
      </c>
      <c r="V64" s="320">
        <f t="shared" si="94"/>
        <v>0</v>
      </c>
      <c r="W64" s="320">
        <f t="shared" si="94"/>
        <v>0</v>
      </c>
      <c r="X64" s="320">
        <f t="shared" si="94"/>
        <v>0</v>
      </c>
      <c r="Y64" s="320">
        <f t="shared" si="94"/>
        <v>0</v>
      </c>
      <c r="Z64" s="320">
        <f t="shared" si="94"/>
        <v>0</v>
      </c>
      <c r="AA64" s="320">
        <f t="shared" si="94"/>
        <v>73</v>
      </c>
      <c r="AB64" s="320">
        <f t="shared" si="94"/>
        <v>11548504</v>
      </c>
      <c r="AC64" s="320">
        <f t="shared" si="94"/>
        <v>230</v>
      </c>
      <c r="AD64" s="320">
        <f t="shared" si="94"/>
        <v>33874665</v>
      </c>
      <c r="AE64" s="320">
        <f t="shared" si="94"/>
        <v>210</v>
      </c>
      <c r="AF64" s="320">
        <f t="shared" si="94"/>
        <v>33769430</v>
      </c>
      <c r="AG64" s="320">
        <f t="shared" si="94"/>
        <v>0</v>
      </c>
      <c r="AH64" s="320">
        <f t="shared" si="94"/>
        <v>0</v>
      </c>
      <c r="AI64" s="320">
        <f t="shared" si="94"/>
        <v>31</v>
      </c>
      <c r="AJ64" s="320">
        <f t="shared" si="94"/>
        <v>4886018</v>
      </c>
      <c r="AK64" s="320">
        <f t="shared" si="94"/>
        <v>0</v>
      </c>
      <c r="AL64" s="320">
        <f t="shared" si="94"/>
        <v>0</v>
      </c>
      <c r="AM64" s="320">
        <f t="shared" si="94"/>
        <v>25</v>
      </c>
      <c r="AN64" s="320">
        <f t="shared" si="94"/>
        <v>4243686</v>
      </c>
      <c r="AO64" s="320">
        <f t="shared" si="94"/>
        <v>20</v>
      </c>
      <c r="AP64" s="320">
        <f t="shared" si="94"/>
        <v>4089660</v>
      </c>
      <c r="AQ64" s="320">
        <f t="shared" si="94"/>
        <v>129</v>
      </c>
      <c r="AR64" s="320">
        <f t="shared" si="94"/>
        <v>21818667</v>
      </c>
      <c r="AS64" s="320">
        <f t="shared" si="94"/>
        <v>15</v>
      </c>
      <c r="AT64" s="320">
        <f t="shared" si="94"/>
        <v>2192850</v>
      </c>
      <c r="AU64" s="320">
        <f t="shared" si="94"/>
        <v>0</v>
      </c>
      <c r="AV64" s="320">
        <f t="shared" si="94"/>
        <v>0</v>
      </c>
      <c r="AW64" s="320">
        <f t="shared" si="94"/>
        <v>50</v>
      </c>
      <c r="AX64" s="320">
        <f t="shared" si="94"/>
        <v>7309500</v>
      </c>
      <c r="AY64" s="320">
        <f t="shared" si="94"/>
        <v>1811</v>
      </c>
      <c r="AZ64" s="320">
        <f t="shared" si="94"/>
        <v>284089521</v>
      </c>
      <c r="BA64" s="320">
        <f t="shared" si="94"/>
        <v>0</v>
      </c>
      <c r="BB64" s="320">
        <f t="shared" si="94"/>
        <v>0</v>
      </c>
      <c r="BC64" s="320">
        <f t="shared" si="94"/>
        <v>1811</v>
      </c>
      <c r="BD64" s="320">
        <f t="shared" si="94"/>
        <v>284089521</v>
      </c>
    </row>
    <row r="65" spans="1:56" s="293" customFormat="1" ht="15.75" customHeight="1" x14ac:dyDescent="0.2">
      <c r="A65" s="296">
        <v>44</v>
      </c>
      <c r="B65" s="322">
        <v>137558</v>
      </c>
      <c r="C65" s="297">
        <v>70</v>
      </c>
      <c r="D65" s="297">
        <f t="shared" ref="D65:D70" si="95">C65*B65</f>
        <v>9629060</v>
      </c>
      <c r="E65" s="297"/>
      <c r="F65" s="297">
        <f t="shared" ref="F65:F70" si="96">E65*B65</f>
        <v>0</v>
      </c>
      <c r="G65" s="297"/>
      <c r="H65" s="297">
        <f t="shared" ref="H65:H70" si="97">G65*B65</f>
        <v>0</v>
      </c>
      <c r="I65" s="297">
        <v>55</v>
      </c>
      <c r="J65" s="297">
        <f t="shared" ref="J65:J70" si="98">I65*B65</f>
        <v>7565690</v>
      </c>
      <c r="K65" s="297"/>
      <c r="L65" s="298">
        <f t="shared" ref="L65:L70" si="99">K65*B65</f>
        <v>0</v>
      </c>
      <c r="M65" s="297"/>
      <c r="N65" s="297">
        <f t="shared" ref="N65:N70" si="100">M65*B65</f>
        <v>0</v>
      </c>
      <c r="O65" s="297">
        <v>54</v>
      </c>
      <c r="P65" s="297">
        <f t="shared" ref="P65:P70" si="101">O65*B65</f>
        <v>7428132</v>
      </c>
      <c r="Q65" s="297">
        <f>60+20-15</f>
        <v>65</v>
      </c>
      <c r="R65" s="297">
        <f t="shared" ref="R65:R70" si="102">Q65*B65</f>
        <v>8941270</v>
      </c>
      <c r="S65" s="297">
        <v>55</v>
      </c>
      <c r="T65" s="297">
        <f t="shared" ref="T65:T70" si="103">S65*B65</f>
        <v>7565690</v>
      </c>
      <c r="U65" s="297"/>
      <c r="V65" s="297">
        <f t="shared" ref="V65:V70" si="104">U65*B65</f>
        <v>0</v>
      </c>
      <c r="W65" s="297"/>
      <c r="X65" s="297">
        <f t="shared" ref="X65:X70" si="105">W65*B65</f>
        <v>0</v>
      </c>
      <c r="Y65" s="297"/>
      <c r="Z65" s="297">
        <f t="shared" ref="Z65:Z70" si="106">Y65*B65</f>
        <v>0</v>
      </c>
      <c r="AA65" s="297">
        <v>20</v>
      </c>
      <c r="AB65" s="297">
        <f t="shared" ref="AB65:AB70" si="107">AA65*B65</f>
        <v>2751160</v>
      </c>
      <c r="AC65" s="297">
        <v>217</v>
      </c>
      <c r="AD65" s="297">
        <f t="shared" ref="AD65:AD70" si="108">AC65*B65</f>
        <v>29850086</v>
      </c>
      <c r="AE65" s="297">
        <v>10</v>
      </c>
      <c r="AF65" s="297">
        <f t="shared" ref="AF65:AF70" si="109">AE65*B65</f>
        <v>1375580</v>
      </c>
      <c r="AG65" s="297"/>
      <c r="AH65" s="297">
        <f t="shared" ref="AH65:AH70" si="110">AG65*B65</f>
        <v>0</v>
      </c>
      <c r="AI65" s="297">
        <f>8-1+6</f>
        <v>13</v>
      </c>
      <c r="AJ65" s="297">
        <f t="shared" ref="AJ65:AJ70" si="111">AI65*B65</f>
        <v>1788254</v>
      </c>
      <c r="AK65" s="297"/>
      <c r="AL65" s="297">
        <f t="shared" si="91"/>
        <v>0</v>
      </c>
      <c r="AM65" s="297">
        <v>15</v>
      </c>
      <c r="AN65" s="297">
        <f t="shared" ref="AN65:AN70" si="112">AM65*B65</f>
        <v>2063370</v>
      </c>
      <c r="AO65" s="297"/>
      <c r="AP65" s="298">
        <f t="shared" ref="AP65:AP70" si="113">AO65*B65</f>
        <v>0</v>
      </c>
      <c r="AQ65" s="297">
        <v>42</v>
      </c>
      <c r="AR65" s="297">
        <f t="shared" ref="AR65:AR70" si="114">AQ65*B65</f>
        <v>5777436</v>
      </c>
      <c r="AS65" s="297"/>
      <c r="AT65" s="297">
        <f t="shared" ref="AT65:AT70" si="115">AS65*B65</f>
        <v>0</v>
      </c>
      <c r="AU65" s="297"/>
      <c r="AV65" s="297">
        <f t="shared" ref="AV65:AV70" si="116">AU65*B65</f>
        <v>0</v>
      </c>
      <c r="AW65" s="297"/>
      <c r="AX65" s="297">
        <f t="shared" ref="AX65:AX70" si="117">AW65*B65</f>
        <v>0</v>
      </c>
      <c r="AY65" s="297">
        <f t="shared" ref="AY65:AZ70" si="118">Q65+U65+AO65+AG65+Y65+AA65+AC65+AE65+S65+AQ65+AI65+AM65+AS65+W65+AU65+M65+C65+O65+E65+G65+K65+I65+AW65+AK65</f>
        <v>616</v>
      </c>
      <c r="AZ65" s="297">
        <f t="shared" si="118"/>
        <v>84735728</v>
      </c>
      <c r="BA65" s="313"/>
      <c r="BB65" s="313"/>
      <c r="BC65" s="323">
        <f t="shared" ref="BC65:BD70" si="119">AY65+BA65</f>
        <v>616</v>
      </c>
      <c r="BD65" s="323">
        <f t="shared" si="119"/>
        <v>84735728</v>
      </c>
    </row>
    <row r="66" spans="1:56" s="293" customFormat="1" ht="15.75" customHeight="1" x14ac:dyDescent="0.2">
      <c r="A66" s="296">
        <v>45</v>
      </c>
      <c r="B66" s="322">
        <v>204483</v>
      </c>
      <c r="C66" s="297">
        <v>30</v>
      </c>
      <c r="D66" s="297">
        <f t="shared" si="95"/>
        <v>6134490</v>
      </c>
      <c r="E66" s="297"/>
      <c r="F66" s="297">
        <f t="shared" si="96"/>
        <v>0</v>
      </c>
      <c r="G66" s="297"/>
      <c r="H66" s="297">
        <f t="shared" si="97"/>
        <v>0</v>
      </c>
      <c r="I66" s="297"/>
      <c r="J66" s="297">
        <f t="shared" si="98"/>
        <v>0</v>
      </c>
      <c r="K66" s="297"/>
      <c r="L66" s="298">
        <f t="shared" si="99"/>
        <v>0</v>
      </c>
      <c r="M66" s="297"/>
      <c r="N66" s="297">
        <f t="shared" si="100"/>
        <v>0</v>
      </c>
      <c r="O66" s="297"/>
      <c r="P66" s="297">
        <f t="shared" si="101"/>
        <v>0</v>
      </c>
      <c r="Q66" s="297">
        <v>35</v>
      </c>
      <c r="R66" s="297">
        <f t="shared" si="102"/>
        <v>7156905</v>
      </c>
      <c r="S66" s="297">
        <v>20</v>
      </c>
      <c r="T66" s="297">
        <f t="shared" si="103"/>
        <v>4089660</v>
      </c>
      <c r="U66" s="297"/>
      <c r="V66" s="297">
        <f t="shared" si="104"/>
        <v>0</v>
      </c>
      <c r="W66" s="297"/>
      <c r="X66" s="297">
        <f t="shared" si="105"/>
        <v>0</v>
      </c>
      <c r="Y66" s="297"/>
      <c r="Z66" s="297">
        <f t="shared" si="106"/>
        <v>0</v>
      </c>
      <c r="AA66" s="297">
        <v>18</v>
      </c>
      <c r="AB66" s="297">
        <f t="shared" si="107"/>
        <v>3680694</v>
      </c>
      <c r="AC66" s="297">
        <v>3</v>
      </c>
      <c r="AD66" s="297">
        <f t="shared" si="108"/>
        <v>613449</v>
      </c>
      <c r="AE66" s="297"/>
      <c r="AF66" s="297">
        <f t="shared" si="109"/>
        <v>0</v>
      </c>
      <c r="AG66" s="297"/>
      <c r="AH66" s="297">
        <f t="shared" si="110"/>
        <v>0</v>
      </c>
      <c r="AI66" s="297">
        <f>10-1-1</f>
        <v>8</v>
      </c>
      <c r="AJ66" s="297">
        <f t="shared" si="111"/>
        <v>1635864</v>
      </c>
      <c r="AK66" s="297"/>
      <c r="AL66" s="297">
        <f t="shared" si="91"/>
        <v>0</v>
      </c>
      <c r="AM66" s="297">
        <v>8</v>
      </c>
      <c r="AN66" s="297">
        <f t="shared" si="112"/>
        <v>1635864</v>
      </c>
      <c r="AO66" s="297">
        <f>15+5</f>
        <v>20</v>
      </c>
      <c r="AP66" s="298">
        <f t="shared" si="113"/>
        <v>4089660</v>
      </c>
      <c r="AQ66" s="297">
        <v>57</v>
      </c>
      <c r="AR66" s="297">
        <f t="shared" si="114"/>
        <v>11655531</v>
      </c>
      <c r="AS66" s="297"/>
      <c r="AT66" s="297">
        <f t="shared" si="115"/>
        <v>0</v>
      </c>
      <c r="AU66" s="297"/>
      <c r="AV66" s="297">
        <f t="shared" si="116"/>
        <v>0</v>
      </c>
      <c r="AW66" s="297"/>
      <c r="AX66" s="297">
        <f t="shared" si="117"/>
        <v>0</v>
      </c>
      <c r="AY66" s="297">
        <f t="shared" si="118"/>
        <v>199</v>
      </c>
      <c r="AZ66" s="297">
        <f t="shared" si="118"/>
        <v>40692117</v>
      </c>
      <c r="BA66" s="313"/>
      <c r="BB66" s="313"/>
      <c r="BC66" s="323">
        <f t="shared" si="119"/>
        <v>199</v>
      </c>
      <c r="BD66" s="323">
        <f t="shared" si="119"/>
        <v>40692117</v>
      </c>
    </row>
    <row r="67" spans="1:56" s="293" customFormat="1" ht="15.75" customHeight="1" x14ac:dyDescent="0.2">
      <c r="A67" s="296">
        <v>46</v>
      </c>
      <c r="B67" s="324">
        <v>272226</v>
      </c>
      <c r="C67" s="297"/>
      <c r="D67" s="297">
        <f t="shared" si="95"/>
        <v>0</v>
      </c>
      <c r="E67" s="297"/>
      <c r="F67" s="297">
        <f t="shared" si="96"/>
        <v>0</v>
      </c>
      <c r="G67" s="297"/>
      <c r="H67" s="297">
        <f t="shared" si="97"/>
        <v>0</v>
      </c>
      <c r="I67" s="297">
        <v>5</v>
      </c>
      <c r="J67" s="297">
        <f t="shared" si="98"/>
        <v>1361130</v>
      </c>
      <c r="K67" s="297"/>
      <c r="L67" s="298">
        <f t="shared" si="99"/>
        <v>0</v>
      </c>
      <c r="M67" s="297"/>
      <c r="N67" s="297">
        <f t="shared" si="100"/>
        <v>0</v>
      </c>
      <c r="O67" s="297"/>
      <c r="P67" s="297">
        <f t="shared" si="101"/>
        <v>0</v>
      </c>
      <c r="Q67" s="297"/>
      <c r="R67" s="297">
        <f t="shared" si="102"/>
        <v>0</v>
      </c>
      <c r="S67" s="297"/>
      <c r="T67" s="297">
        <f t="shared" si="103"/>
        <v>0</v>
      </c>
      <c r="U67" s="297"/>
      <c r="V67" s="297">
        <f t="shared" si="104"/>
        <v>0</v>
      </c>
      <c r="W67" s="297"/>
      <c r="X67" s="297">
        <f t="shared" si="105"/>
        <v>0</v>
      </c>
      <c r="Y67" s="297"/>
      <c r="Z67" s="297">
        <f t="shared" si="106"/>
        <v>0</v>
      </c>
      <c r="AA67" s="297"/>
      <c r="AB67" s="297">
        <f t="shared" si="107"/>
        <v>0</v>
      </c>
      <c r="AC67" s="297"/>
      <c r="AD67" s="297">
        <f t="shared" si="108"/>
        <v>0</v>
      </c>
      <c r="AE67" s="297"/>
      <c r="AF67" s="297">
        <f t="shared" si="109"/>
        <v>0</v>
      </c>
      <c r="AG67" s="297"/>
      <c r="AH67" s="297">
        <f t="shared" si="110"/>
        <v>0</v>
      </c>
      <c r="AI67" s="297"/>
      <c r="AJ67" s="297">
        <f t="shared" si="111"/>
        <v>0</v>
      </c>
      <c r="AK67" s="297"/>
      <c r="AL67" s="297">
        <f t="shared" si="91"/>
        <v>0</v>
      </c>
      <c r="AM67" s="297">
        <v>2</v>
      </c>
      <c r="AN67" s="297">
        <f t="shared" si="112"/>
        <v>544452</v>
      </c>
      <c r="AO67" s="297"/>
      <c r="AP67" s="298">
        <f t="shared" si="113"/>
        <v>0</v>
      </c>
      <c r="AQ67" s="297"/>
      <c r="AR67" s="297">
        <f t="shared" si="114"/>
        <v>0</v>
      </c>
      <c r="AS67" s="297">
        <f>15-15</f>
        <v>0</v>
      </c>
      <c r="AT67" s="297">
        <f t="shared" si="115"/>
        <v>0</v>
      </c>
      <c r="AU67" s="297"/>
      <c r="AV67" s="297">
        <f t="shared" si="116"/>
        <v>0</v>
      </c>
      <c r="AW67" s="297"/>
      <c r="AX67" s="297">
        <f t="shared" si="117"/>
        <v>0</v>
      </c>
      <c r="AY67" s="297">
        <f t="shared" si="118"/>
        <v>7</v>
      </c>
      <c r="AZ67" s="297">
        <f t="shared" si="118"/>
        <v>1905582</v>
      </c>
      <c r="BA67" s="313"/>
      <c r="BB67" s="313"/>
      <c r="BC67" s="323">
        <f t="shared" si="119"/>
        <v>7</v>
      </c>
      <c r="BD67" s="323">
        <f t="shared" si="119"/>
        <v>1905582</v>
      </c>
    </row>
    <row r="68" spans="1:56" s="293" customFormat="1" ht="15.75" customHeight="1" x14ac:dyDescent="0.2">
      <c r="A68" s="299">
        <v>47</v>
      </c>
      <c r="B68" s="324">
        <v>146190</v>
      </c>
      <c r="C68" s="297">
        <f>300-150</f>
        <v>150</v>
      </c>
      <c r="D68" s="297">
        <f t="shared" si="95"/>
        <v>21928500</v>
      </c>
      <c r="E68" s="297"/>
      <c r="F68" s="297">
        <f t="shared" si="96"/>
        <v>0</v>
      </c>
      <c r="G68" s="297"/>
      <c r="H68" s="297">
        <f t="shared" si="97"/>
        <v>0</v>
      </c>
      <c r="I68" s="297"/>
      <c r="J68" s="297">
        <f t="shared" si="98"/>
        <v>0</v>
      </c>
      <c r="K68" s="297"/>
      <c r="L68" s="298">
        <f t="shared" si="99"/>
        <v>0</v>
      </c>
      <c r="M68" s="308"/>
      <c r="N68" s="297">
        <f t="shared" si="100"/>
        <v>0</v>
      </c>
      <c r="O68" s="297">
        <f>162-20+20</f>
        <v>162</v>
      </c>
      <c r="P68" s="297">
        <f t="shared" si="101"/>
        <v>23682780</v>
      </c>
      <c r="Q68" s="297">
        <f>100-27+17</f>
        <v>90</v>
      </c>
      <c r="R68" s="297">
        <f t="shared" si="102"/>
        <v>13157100</v>
      </c>
      <c r="S68" s="297">
        <v>125</v>
      </c>
      <c r="T68" s="297">
        <f t="shared" si="103"/>
        <v>18273750</v>
      </c>
      <c r="U68" s="308"/>
      <c r="V68" s="297">
        <f t="shared" si="104"/>
        <v>0</v>
      </c>
      <c r="W68" s="308"/>
      <c r="X68" s="297">
        <f t="shared" si="105"/>
        <v>0</v>
      </c>
      <c r="Y68" s="308"/>
      <c r="Z68" s="297">
        <f t="shared" si="106"/>
        <v>0</v>
      </c>
      <c r="AA68" s="297">
        <v>35</v>
      </c>
      <c r="AB68" s="297">
        <f t="shared" si="107"/>
        <v>5116650</v>
      </c>
      <c r="AC68" s="297"/>
      <c r="AD68" s="297">
        <f t="shared" si="108"/>
        <v>0</v>
      </c>
      <c r="AE68" s="297">
        <v>150</v>
      </c>
      <c r="AF68" s="297">
        <f t="shared" si="109"/>
        <v>21928500</v>
      </c>
      <c r="AG68" s="308"/>
      <c r="AH68" s="297">
        <f t="shared" si="110"/>
        <v>0</v>
      </c>
      <c r="AI68" s="297">
        <f>7+1+1+1</f>
        <v>10</v>
      </c>
      <c r="AJ68" s="297">
        <f t="shared" si="111"/>
        <v>1461900</v>
      </c>
      <c r="AK68" s="297"/>
      <c r="AL68" s="297">
        <f t="shared" si="91"/>
        <v>0</v>
      </c>
      <c r="AM68" s="297"/>
      <c r="AN68" s="297">
        <f t="shared" si="112"/>
        <v>0</v>
      </c>
      <c r="AO68" s="308"/>
      <c r="AP68" s="298">
        <f t="shared" si="113"/>
        <v>0</v>
      </c>
      <c r="AQ68" s="297">
        <v>30</v>
      </c>
      <c r="AR68" s="297">
        <f t="shared" si="114"/>
        <v>4385700</v>
      </c>
      <c r="AS68" s="297">
        <f>0+15</f>
        <v>15</v>
      </c>
      <c r="AT68" s="297">
        <f t="shared" si="115"/>
        <v>2192850</v>
      </c>
      <c r="AU68" s="297"/>
      <c r="AV68" s="297">
        <f t="shared" si="116"/>
        <v>0</v>
      </c>
      <c r="AW68" s="297">
        <v>50</v>
      </c>
      <c r="AX68" s="297">
        <f t="shared" si="117"/>
        <v>7309500</v>
      </c>
      <c r="AY68" s="297">
        <f t="shared" si="118"/>
        <v>817</v>
      </c>
      <c r="AZ68" s="297">
        <f t="shared" si="118"/>
        <v>119437230</v>
      </c>
      <c r="BA68" s="313"/>
      <c r="BB68" s="313"/>
      <c r="BC68" s="323">
        <f t="shared" si="119"/>
        <v>817</v>
      </c>
      <c r="BD68" s="323">
        <f t="shared" si="119"/>
        <v>119437230</v>
      </c>
    </row>
    <row r="69" spans="1:56" s="293" customFormat="1" ht="15.75" customHeight="1" x14ac:dyDescent="0.2">
      <c r="A69" s="299">
        <v>48</v>
      </c>
      <c r="B69" s="324">
        <v>209307</v>
      </c>
      <c r="C69" s="297">
        <f>0+105</f>
        <v>105</v>
      </c>
      <c r="D69" s="297">
        <f t="shared" si="95"/>
        <v>21977235</v>
      </c>
      <c r="E69" s="297"/>
      <c r="F69" s="297">
        <f t="shared" si="96"/>
        <v>0</v>
      </c>
      <c r="G69" s="297"/>
      <c r="H69" s="297">
        <f t="shared" si="97"/>
        <v>0</v>
      </c>
      <c r="I69" s="297"/>
      <c r="J69" s="297">
        <f t="shared" si="98"/>
        <v>0</v>
      </c>
      <c r="K69" s="297"/>
      <c r="L69" s="298">
        <f t="shared" si="99"/>
        <v>0</v>
      </c>
      <c r="M69" s="297"/>
      <c r="N69" s="297">
        <f t="shared" si="100"/>
        <v>0</v>
      </c>
      <c r="O69" s="297">
        <f>0+20-20</f>
        <v>0</v>
      </c>
      <c r="P69" s="297">
        <f t="shared" si="101"/>
        <v>0</v>
      </c>
      <c r="Q69" s="297">
        <f>0+27-20</f>
        <v>7</v>
      </c>
      <c r="R69" s="297">
        <f t="shared" si="102"/>
        <v>1465149</v>
      </c>
      <c r="S69" s="297"/>
      <c r="T69" s="297">
        <f t="shared" si="103"/>
        <v>0</v>
      </c>
      <c r="U69" s="297"/>
      <c r="V69" s="297">
        <f t="shared" si="104"/>
        <v>0</v>
      </c>
      <c r="W69" s="297"/>
      <c r="X69" s="297">
        <f t="shared" si="105"/>
        <v>0</v>
      </c>
      <c r="Y69" s="297"/>
      <c r="Z69" s="297">
        <f t="shared" si="106"/>
        <v>0</v>
      </c>
      <c r="AA69" s="297"/>
      <c r="AB69" s="297">
        <f t="shared" si="107"/>
        <v>0</v>
      </c>
      <c r="AC69" s="297"/>
      <c r="AD69" s="297">
        <f t="shared" si="108"/>
        <v>0</v>
      </c>
      <c r="AE69" s="297">
        <v>50</v>
      </c>
      <c r="AF69" s="297">
        <f t="shared" si="109"/>
        <v>10465350</v>
      </c>
      <c r="AG69" s="297"/>
      <c r="AH69" s="297">
        <f t="shared" si="110"/>
        <v>0</v>
      </c>
      <c r="AI69" s="297"/>
      <c r="AJ69" s="297">
        <f t="shared" si="111"/>
        <v>0</v>
      </c>
      <c r="AK69" s="297"/>
      <c r="AL69" s="297">
        <f t="shared" si="91"/>
        <v>0</v>
      </c>
      <c r="AM69" s="297"/>
      <c r="AN69" s="297">
        <f t="shared" si="112"/>
        <v>0</v>
      </c>
      <c r="AO69" s="297"/>
      <c r="AP69" s="298">
        <f t="shared" si="113"/>
        <v>0</v>
      </c>
      <c r="AQ69" s="297"/>
      <c r="AR69" s="297">
        <f t="shared" si="114"/>
        <v>0</v>
      </c>
      <c r="AS69" s="297"/>
      <c r="AT69" s="297">
        <f t="shared" si="115"/>
        <v>0</v>
      </c>
      <c r="AU69" s="297"/>
      <c r="AV69" s="297">
        <f t="shared" si="116"/>
        <v>0</v>
      </c>
      <c r="AW69" s="297"/>
      <c r="AX69" s="297">
        <f t="shared" si="117"/>
        <v>0</v>
      </c>
      <c r="AY69" s="297">
        <f t="shared" si="118"/>
        <v>162</v>
      </c>
      <c r="AZ69" s="297">
        <f t="shared" si="118"/>
        <v>33907734</v>
      </c>
      <c r="BA69" s="313"/>
      <c r="BB69" s="313"/>
      <c r="BC69" s="323">
        <f t="shared" si="119"/>
        <v>162</v>
      </c>
      <c r="BD69" s="323">
        <f t="shared" si="119"/>
        <v>33907734</v>
      </c>
    </row>
    <row r="70" spans="1:56" s="293" customFormat="1" ht="15.75" customHeight="1" x14ac:dyDescent="0.2">
      <c r="A70" s="299">
        <v>49</v>
      </c>
      <c r="B70" s="324">
        <v>341113</v>
      </c>
      <c r="C70" s="297"/>
      <c r="D70" s="297">
        <f t="shared" si="95"/>
        <v>0</v>
      </c>
      <c r="E70" s="300"/>
      <c r="F70" s="297">
        <f t="shared" si="96"/>
        <v>0</v>
      </c>
      <c r="G70" s="300"/>
      <c r="H70" s="297">
        <f t="shared" si="97"/>
        <v>0</v>
      </c>
      <c r="I70" s="300"/>
      <c r="J70" s="297">
        <f t="shared" si="98"/>
        <v>0</v>
      </c>
      <c r="K70" s="300"/>
      <c r="L70" s="298">
        <f t="shared" si="99"/>
        <v>0</v>
      </c>
      <c r="M70" s="302"/>
      <c r="N70" s="297">
        <f t="shared" si="100"/>
        <v>0</v>
      </c>
      <c r="O70" s="297"/>
      <c r="P70" s="297">
        <f t="shared" si="101"/>
        <v>0</v>
      </c>
      <c r="Q70" s="300"/>
      <c r="R70" s="297">
        <f t="shared" si="102"/>
        <v>0</v>
      </c>
      <c r="S70" s="300"/>
      <c r="T70" s="297">
        <f t="shared" si="103"/>
        <v>0</v>
      </c>
      <c r="U70" s="302"/>
      <c r="V70" s="297">
        <f t="shared" si="104"/>
        <v>0</v>
      </c>
      <c r="W70" s="302"/>
      <c r="X70" s="297">
        <f t="shared" si="105"/>
        <v>0</v>
      </c>
      <c r="Y70" s="302"/>
      <c r="Z70" s="297">
        <f t="shared" si="106"/>
        <v>0</v>
      </c>
      <c r="AA70" s="300"/>
      <c r="AB70" s="297">
        <f t="shared" si="107"/>
        <v>0</v>
      </c>
      <c r="AC70" s="300">
        <f>7+1+2</f>
        <v>10</v>
      </c>
      <c r="AD70" s="297">
        <f t="shared" si="108"/>
        <v>3411130</v>
      </c>
      <c r="AE70" s="300"/>
      <c r="AF70" s="297">
        <f t="shared" si="109"/>
        <v>0</v>
      </c>
      <c r="AG70" s="302"/>
      <c r="AH70" s="297">
        <f t="shared" si="110"/>
        <v>0</v>
      </c>
      <c r="AI70" s="300"/>
      <c r="AJ70" s="297">
        <f t="shared" si="111"/>
        <v>0</v>
      </c>
      <c r="AK70" s="297"/>
      <c r="AL70" s="297">
        <f t="shared" si="91"/>
        <v>0</v>
      </c>
      <c r="AM70" s="297"/>
      <c r="AN70" s="297">
        <f t="shared" si="112"/>
        <v>0</v>
      </c>
      <c r="AO70" s="302"/>
      <c r="AP70" s="298">
        <f t="shared" si="113"/>
        <v>0</v>
      </c>
      <c r="AQ70" s="300"/>
      <c r="AR70" s="297">
        <f t="shared" si="114"/>
        <v>0</v>
      </c>
      <c r="AS70" s="300"/>
      <c r="AT70" s="297">
        <f t="shared" si="115"/>
        <v>0</v>
      </c>
      <c r="AU70" s="300"/>
      <c r="AV70" s="297">
        <f t="shared" si="116"/>
        <v>0</v>
      </c>
      <c r="AW70" s="300"/>
      <c r="AX70" s="297">
        <f t="shared" si="117"/>
        <v>0</v>
      </c>
      <c r="AY70" s="297">
        <f t="shared" si="118"/>
        <v>10</v>
      </c>
      <c r="AZ70" s="297">
        <f t="shared" si="118"/>
        <v>3411130</v>
      </c>
      <c r="BA70" s="313"/>
      <c r="BB70" s="313"/>
      <c r="BC70" s="323">
        <f t="shared" si="119"/>
        <v>10</v>
      </c>
      <c r="BD70" s="323">
        <f t="shared" si="119"/>
        <v>3411130</v>
      </c>
    </row>
    <row r="71" spans="1:56" s="293" customFormat="1" ht="18.75" customHeight="1" x14ac:dyDescent="0.2">
      <c r="A71" s="332" t="s">
        <v>567</v>
      </c>
      <c r="B71" s="333"/>
      <c r="C71" s="320">
        <f t="shared" ref="C71:BD71" si="120">C72+C73</f>
        <v>120</v>
      </c>
      <c r="D71" s="320">
        <f t="shared" si="120"/>
        <v>12249760</v>
      </c>
      <c r="E71" s="320">
        <f t="shared" si="120"/>
        <v>0</v>
      </c>
      <c r="F71" s="320">
        <f t="shared" si="120"/>
        <v>0</v>
      </c>
      <c r="G71" s="320">
        <f t="shared" si="120"/>
        <v>0</v>
      </c>
      <c r="H71" s="320">
        <f t="shared" si="120"/>
        <v>0</v>
      </c>
      <c r="I71" s="320">
        <f t="shared" si="120"/>
        <v>140</v>
      </c>
      <c r="J71" s="320">
        <f t="shared" si="120"/>
        <v>13256880</v>
      </c>
      <c r="K71" s="320">
        <f t="shared" si="120"/>
        <v>0</v>
      </c>
      <c r="L71" s="320">
        <f t="shared" si="120"/>
        <v>0</v>
      </c>
      <c r="M71" s="320">
        <f t="shared" si="120"/>
        <v>0</v>
      </c>
      <c r="N71" s="320">
        <f t="shared" si="120"/>
        <v>0</v>
      </c>
      <c r="O71" s="320">
        <f t="shared" si="120"/>
        <v>0</v>
      </c>
      <c r="P71" s="320">
        <f t="shared" si="120"/>
        <v>0</v>
      </c>
      <c r="Q71" s="320">
        <f t="shared" si="120"/>
        <v>30</v>
      </c>
      <c r="R71" s="320">
        <f t="shared" si="120"/>
        <v>2840760</v>
      </c>
      <c r="S71" s="320">
        <f t="shared" si="120"/>
        <v>10</v>
      </c>
      <c r="T71" s="320">
        <f t="shared" si="120"/>
        <v>946920</v>
      </c>
      <c r="U71" s="320">
        <f t="shared" si="120"/>
        <v>0</v>
      </c>
      <c r="V71" s="320">
        <f t="shared" si="120"/>
        <v>0</v>
      </c>
      <c r="W71" s="320">
        <f t="shared" si="120"/>
        <v>0</v>
      </c>
      <c r="X71" s="320">
        <f t="shared" si="120"/>
        <v>0</v>
      </c>
      <c r="Y71" s="320">
        <f t="shared" si="120"/>
        <v>0</v>
      </c>
      <c r="Z71" s="320">
        <f t="shared" si="120"/>
        <v>0</v>
      </c>
      <c r="AA71" s="320">
        <f t="shared" si="120"/>
        <v>0</v>
      </c>
      <c r="AB71" s="320">
        <f t="shared" si="120"/>
        <v>0</v>
      </c>
      <c r="AC71" s="320">
        <f t="shared" si="120"/>
        <v>35</v>
      </c>
      <c r="AD71" s="320">
        <f t="shared" si="120"/>
        <v>3314220</v>
      </c>
      <c r="AE71" s="320">
        <f t="shared" si="120"/>
        <v>0</v>
      </c>
      <c r="AF71" s="320">
        <f t="shared" si="120"/>
        <v>0</v>
      </c>
      <c r="AG71" s="320">
        <f t="shared" si="120"/>
        <v>0</v>
      </c>
      <c r="AH71" s="320">
        <f t="shared" si="120"/>
        <v>0</v>
      </c>
      <c r="AI71" s="320">
        <f t="shared" si="120"/>
        <v>0</v>
      </c>
      <c r="AJ71" s="320">
        <f t="shared" si="120"/>
        <v>0</v>
      </c>
      <c r="AK71" s="320">
        <f t="shared" si="120"/>
        <v>0</v>
      </c>
      <c r="AL71" s="320">
        <f t="shared" si="120"/>
        <v>0</v>
      </c>
      <c r="AM71" s="320">
        <f t="shared" si="120"/>
        <v>0</v>
      </c>
      <c r="AN71" s="320">
        <f t="shared" si="120"/>
        <v>0</v>
      </c>
      <c r="AO71" s="320">
        <f t="shared" si="120"/>
        <v>0</v>
      </c>
      <c r="AP71" s="320">
        <f t="shared" si="120"/>
        <v>0</v>
      </c>
      <c r="AQ71" s="320">
        <f t="shared" si="120"/>
        <v>2</v>
      </c>
      <c r="AR71" s="320">
        <f t="shared" si="120"/>
        <v>278056</v>
      </c>
      <c r="AS71" s="320">
        <f t="shared" si="120"/>
        <v>10</v>
      </c>
      <c r="AT71" s="320">
        <f t="shared" si="120"/>
        <v>946920</v>
      </c>
      <c r="AU71" s="320">
        <f t="shared" si="120"/>
        <v>40</v>
      </c>
      <c r="AV71" s="320">
        <f t="shared" si="120"/>
        <v>4231040</v>
      </c>
      <c r="AW71" s="320">
        <f t="shared" si="120"/>
        <v>130</v>
      </c>
      <c r="AX71" s="320">
        <f t="shared" si="120"/>
        <v>12309960</v>
      </c>
      <c r="AY71" s="320">
        <f t="shared" si="120"/>
        <v>517</v>
      </c>
      <c r="AZ71" s="320">
        <f t="shared" si="120"/>
        <v>50374516</v>
      </c>
      <c r="BA71" s="320">
        <f t="shared" si="120"/>
        <v>0</v>
      </c>
      <c r="BB71" s="320">
        <f t="shared" si="120"/>
        <v>0</v>
      </c>
      <c r="BC71" s="320">
        <f t="shared" si="120"/>
        <v>517</v>
      </c>
      <c r="BD71" s="320">
        <f t="shared" si="120"/>
        <v>50374516</v>
      </c>
    </row>
    <row r="72" spans="1:56" s="293" customFormat="1" ht="18" customHeight="1" x14ac:dyDescent="0.2">
      <c r="A72" s="299">
        <v>50</v>
      </c>
      <c r="B72" s="324">
        <v>94692</v>
      </c>
      <c r="C72" s="297">
        <v>100</v>
      </c>
      <c r="D72" s="297">
        <f>C72*B72</f>
        <v>9469200</v>
      </c>
      <c r="E72" s="297"/>
      <c r="F72" s="297">
        <f>E72*B72</f>
        <v>0</v>
      </c>
      <c r="G72" s="297"/>
      <c r="H72" s="297">
        <f>G72*B72</f>
        <v>0</v>
      </c>
      <c r="I72" s="297">
        <v>140</v>
      </c>
      <c r="J72" s="297">
        <f>I72*B72</f>
        <v>13256880</v>
      </c>
      <c r="K72" s="297"/>
      <c r="L72" s="298">
        <f>K72*B72</f>
        <v>0</v>
      </c>
      <c r="M72" s="297"/>
      <c r="N72" s="297">
        <f>M72*B72</f>
        <v>0</v>
      </c>
      <c r="O72" s="297"/>
      <c r="P72" s="297">
        <f>O72*B72</f>
        <v>0</v>
      </c>
      <c r="Q72" s="297">
        <v>30</v>
      </c>
      <c r="R72" s="297">
        <f>Q72*B72</f>
        <v>2840760</v>
      </c>
      <c r="S72" s="297">
        <v>10</v>
      </c>
      <c r="T72" s="297">
        <f>S72*B72</f>
        <v>946920</v>
      </c>
      <c r="U72" s="297"/>
      <c r="V72" s="297">
        <f>U72*B72</f>
        <v>0</v>
      </c>
      <c r="W72" s="297"/>
      <c r="X72" s="297">
        <f>W72*B72</f>
        <v>0</v>
      </c>
      <c r="Y72" s="297"/>
      <c r="Z72" s="297">
        <f>Y72*B72</f>
        <v>0</v>
      </c>
      <c r="AA72" s="297"/>
      <c r="AB72" s="297">
        <f>AA72*B72</f>
        <v>0</v>
      </c>
      <c r="AC72" s="297">
        <v>35</v>
      </c>
      <c r="AD72" s="297">
        <f>AC72*B72</f>
        <v>3314220</v>
      </c>
      <c r="AE72" s="297"/>
      <c r="AF72" s="297">
        <f>AE72*B72</f>
        <v>0</v>
      </c>
      <c r="AG72" s="297"/>
      <c r="AH72" s="297">
        <f>AG72*B72</f>
        <v>0</v>
      </c>
      <c r="AI72" s="297"/>
      <c r="AJ72" s="297">
        <f>AI72*B72</f>
        <v>0</v>
      </c>
      <c r="AK72" s="297"/>
      <c r="AL72" s="297">
        <f t="shared" si="91"/>
        <v>0</v>
      </c>
      <c r="AM72" s="297"/>
      <c r="AN72" s="297">
        <f>AM72*B72</f>
        <v>0</v>
      </c>
      <c r="AO72" s="297"/>
      <c r="AP72" s="298">
        <f>AO72*B72</f>
        <v>0</v>
      </c>
      <c r="AQ72" s="297"/>
      <c r="AR72" s="297">
        <f>AQ72*B72</f>
        <v>0</v>
      </c>
      <c r="AS72" s="297">
        <v>10</v>
      </c>
      <c r="AT72" s="297">
        <f>AS72*B72</f>
        <v>946920</v>
      </c>
      <c r="AU72" s="297">
        <v>30</v>
      </c>
      <c r="AV72" s="297">
        <f>AU72*B72</f>
        <v>2840760</v>
      </c>
      <c r="AW72" s="297">
        <v>130</v>
      </c>
      <c r="AX72" s="297">
        <f>AW72*B72</f>
        <v>12309960</v>
      </c>
      <c r="AY72" s="297">
        <f t="shared" ref="AY72:AZ73" si="121">Q72+U72+AO72+AG72+Y72+AA72+AC72+AE72+S72+AQ72+AI72+AM72+AS72+W72+AU72+M72+C72+O72+E72+G72+K72+I72+AW72+AK72</f>
        <v>485</v>
      </c>
      <c r="AZ72" s="297">
        <f t="shared" si="121"/>
        <v>45925620</v>
      </c>
      <c r="BA72" s="313"/>
      <c r="BB72" s="313"/>
      <c r="BC72" s="323">
        <f>AY72+BA72</f>
        <v>485</v>
      </c>
      <c r="BD72" s="323">
        <f>AZ72+BB72</f>
        <v>45925620</v>
      </c>
    </row>
    <row r="73" spans="1:56" s="293" customFormat="1" ht="12.75" customHeight="1" x14ac:dyDescent="0.2">
      <c r="A73" s="299">
        <v>51</v>
      </c>
      <c r="B73" s="324">
        <v>139028</v>
      </c>
      <c r="C73" s="297">
        <v>20</v>
      </c>
      <c r="D73" s="297">
        <f>C73*B73</f>
        <v>2780560</v>
      </c>
      <c r="E73" s="297"/>
      <c r="F73" s="297">
        <f>E73*B73</f>
        <v>0</v>
      </c>
      <c r="G73" s="297"/>
      <c r="H73" s="297">
        <f>G73*B73</f>
        <v>0</v>
      </c>
      <c r="I73" s="297"/>
      <c r="J73" s="297">
        <f>I73*B73</f>
        <v>0</v>
      </c>
      <c r="K73" s="297"/>
      <c r="L73" s="298">
        <f>K73*B73</f>
        <v>0</v>
      </c>
      <c r="M73" s="297"/>
      <c r="N73" s="297">
        <f>M73*B73</f>
        <v>0</v>
      </c>
      <c r="O73" s="297"/>
      <c r="P73" s="297">
        <f>O73*B73</f>
        <v>0</v>
      </c>
      <c r="Q73" s="297"/>
      <c r="R73" s="297">
        <f>Q73*B73</f>
        <v>0</v>
      </c>
      <c r="S73" s="297"/>
      <c r="T73" s="297">
        <f>S73*B73</f>
        <v>0</v>
      </c>
      <c r="U73" s="297"/>
      <c r="V73" s="297">
        <f>U73*B73</f>
        <v>0</v>
      </c>
      <c r="W73" s="297"/>
      <c r="X73" s="297">
        <f>W73*B73</f>
        <v>0</v>
      </c>
      <c r="Y73" s="297"/>
      <c r="Z73" s="297">
        <f>Y73*B73</f>
        <v>0</v>
      </c>
      <c r="AA73" s="297"/>
      <c r="AB73" s="297">
        <f>AA73*B73</f>
        <v>0</v>
      </c>
      <c r="AC73" s="297"/>
      <c r="AD73" s="297">
        <f>AC73*B73</f>
        <v>0</v>
      </c>
      <c r="AE73" s="297"/>
      <c r="AF73" s="297">
        <f>AE73*B73</f>
        <v>0</v>
      </c>
      <c r="AG73" s="297"/>
      <c r="AH73" s="297">
        <f>AG73*B73</f>
        <v>0</v>
      </c>
      <c r="AI73" s="297"/>
      <c r="AJ73" s="297">
        <f>AI73*B73</f>
        <v>0</v>
      </c>
      <c r="AK73" s="297"/>
      <c r="AL73" s="297">
        <f t="shared" si="91"/>
        <v>0</v>
      </c>
      <c r="AM73" s="297"/>
      <c r="AN73" s="297">
        <f>AM73*B73</f>
        <v>0</v>
      </c>
      <c r="AO73" s="297"/>
      <c r="AP73" s="298">
        <f>AO73*B73</f>
        <v>0</v>
      </c>
      <c r="AQ73" s="297">
        <v>2</v>
      </c>
      <c r="AR73" s="297">
        <f>AQ73*B73</f>
        <v>278056</v>
      </c>
      <c r="AS73" s="297"/>
      <c r="AT73" s="297">
        <f>AS73*B73</f>
        <v>0</v>
      </c>
      <c r="AU73" s="297">
        <v>10</v>
      </c>
      <c r="AV73" s="297">
        <f>AU73*B73</f>
        <v>1390280</v>
      </c>
      <c r="AW73" s="297"/>
      <c r="AX73" s="297">
        <f>AW73*B73</f>
        <v>0</v>
      </c>
      <c r="AY73" s="297">
        <f t="shared" si="121"/>
        <v>32</v>
      </c>
      <c r="AZ73" s="297">
        <f t="shared" si="121"/>
        <v>4448896</v>
      </c>
      <c r="BA73" s="313"/>
      <c r="BB73" s="313"/>
      <c r="BC73" s="323">
        <f>AY73+BA73</f>
        <v>32</v>
      </c>
      <c r="BD73" s="323">
        <f>AZ73+BB73</f>
        <v>4448896</v>
      </c>
    </row>
    <row r="74" spans="1:56" s="293" customFormat="1" ht="24.75" customHeight="1" x14ac:dyDescent="0.2">
      <c r="A74" s="332" t="s">
        <v>568</v>
      </c>
      <c r="B74" s="333"/>
      <c r="C74" s="320">
        <f t="shared" ref="C74:BD74" si="122">C75</f>
        <v>0</v>
      </c>
      <c r="D74" s="320">
        <f t="shared" si="122"/>
        <v>0</v>
      </c>
      <c r="E74" s="320">
        <f t="shared" si="122"/>
        <v>0</v>
      </c>
      <c r="F74" s="320">
        <f t="shared" si="122"/>
        <v>0</v>
      </c>
      <c r="G74" s="320">
        <f t="shared" si="122"/>
        <v>0</v>
      </c>
      <c r="H74" s="320">
        <f t="shared" si="122"/>
        <v>0</v>
      </c>
      <c r="I74" s="320">
        <f t="shared" si="122"/>
        <v>45</v>
      </c>
      <c r="J74" s="320">
        <f t="shared" si="122"/>
        <v>5537880</v>
      </c>
      <c r="K74" s="320">
        <f t="shared" si="122"/>
        <v>0</v>
      </c>
      <c r="L74" s="320">
        <f t="shared" si="122"/>
        <v>0</v>
      </c>
      <c r="M74" s="320">
        <f t="shared" si="122"/>
        <v>0</v>
      </c>
      <c r="N74" s="320">
        <f t="shared" si="122"/>
        <v>0</v>
      </c>
      <c r="O74" s="320">
        <f t="shared" si="122"/>
        <v>0</v>
      </c>
      <c r="P74" s="320">
        <f t="shared" si="122"/>
        <v>0</v>
      </c>
      <c r="Q74" s="320">
        <f t="shared" si="122"/>
        <v>0</v>
      </c>
      <c r="R74" s="320">
        <f t="shared" si="122"/>
        <v>0</v>
      </c>
      <c r="S74" s="320">
        <f t="shared" si="122"/>
        <v>60</v>
      </c>
      <c r="T74" s="320">
        <f t="shared" si="122"/>
        <v>7383840</v>
      </c>
      <c r="U74" s="320">
        <f t="shared" si="122"/>
        <v>0</v>
      </c>
      <c r="V74" s="320">
        <f t="shared" si="122"/>
        <v>0</v>
      </c>
      <c r="W74" s="320">
        <f t="shared" si="122"/>
        <v>0</v>
      </c>
      <c r="X74" s="320">
        <f t="shared" si="122"/>
        <v>0</v>
      </c>
      <c r="Y74" s="320">
        <f t="shared" si="122"/>
        <v>0</v>
      </c>
      <c r="Z74" s="320">
        <f t="shared" si="122"/>
        <v>0</v>
      </c>
      <c r="AA74" s="320">
        <f t="shared" si="122"/>
        <v>0</v>
      </c>
      <c r="AB74" s="320">
        <f t="shared" si="122"/>
        <v>0</v>
      </c>
      <c r="AC74" s="320">
        <f t="shared" si="122"/>
        <v>0</v>
      </c>
      <c r="AD74" s="320">
        <f t="shared" si="122"/>
        <v>0</v>
      </c>
      <c r="AE74" s="320">
        <f t="shared" si="122"/>
        <v>0</v>
      </c>
      <c r="AF74" s="320">
        <f t="shared" si="122"/>
        <v>0</v>
      </c>
      <c r="AG74" s="320">
        <f t="shared" si="122"/>
        <v>0</v>
      </c>
      <c r="AH74" s="320">
        <f t="shared" si="122"/>
        <v>0</v>
      </c>
      <c r="AI74" s="320">
        <f t="shared" si="122"/>
        <v>0</v>
      </c>
      <c r="AJ74" s="320">
        <f t="shared" si="122"/>
        <v>0</v>
      </c>
      <c r="AK74" s="320">
        <f t="shared" si="122"/>
        <v>0</v>
      </c>
      <c r="AL74" s="320">
        <f t="shared" si="122"/>
        <v>0</v>
      </c>
      <c r="AM74" s="320">
        <f t="shared" si="122"/>
        <v>0</v>
      </c>
      <c r="AN74" s="320">
        <f t="shared" si="122"/>
        <v>0</v>
      </c>
      <c r="AO74" s="320">
        <f t="shared" si="122"/>
        <v>0</v>
      </c>
      <c r="AP74" s="320">
        <f t="shared" si="122"/>
        <v>0</v>
      </c>
      <c r="AQ74" s="320">
        <f t="shared" si="122"/>
        <v>20</v>
      </c>
      <c r="AR74" s="320">
        <f t="shared" si="122"/>
        <v>2461280</v>
      </c>
      <c r="AS74" s="320">
        <f t="shared" si="122"/>
        <v>0</v>
      </c>
      <c r="AT74" s="320">
        <f t="shared" si="122"/>
        <v>0</v>
      </c>
      <c r="AU74" s="320">
        <f t="shared" si="122"/>
        <v>0</v>
      </c>
      <c r="AV74" s="320">
        <f t="shared" si="122"/>
        <v>0</v>
      </c>
      <c r="AW74" s="320">
        <f t="shared" si="122"/>
        <v>0</v>
      </c>
      <c r="AX74" s="320">
        <f t="shared" si="122"/>
        <v>0</v>
      </c>
      <c r="AY74" s="320">
        <f t="shared" si="122"/>
        <v>125</v>
      </c>
      <c r="AZ74" s="320">
        <f t="shared" si="122"/>
        <v>15383000</v>
      </c>
      <c r="BA74" s="320">
        <f t="shared" si="122"/>
        <v>0</v>
      </c>
      <c r="BB74" s="320">
        <f t="shared" si="122"/>
        <v>0</v>
      </c>
      <c r="BC74" s="320">
        <f t="shared" si="122"/>
        <v>125</v>
      </c>
      <c r="BD74" s="320">
        <f t="shared" si="122"/>
        <v>15383000</v>
      </c>
    </row>
    <row r="75" spans="1:56" s="293" customFormat="1" ht="16.5" customHeight="1" x14ac:dyDescent="0.2">
      <c r="A75" s="299">
        <v>52</v>
      </c>
      <c r="B75" s="324">
        <v>123064</v>
      </c>
      <c r="C75" s="297"/>
      <c r="D75" s="297">
        <f>C75*B75</f>
        <v>0</v>
      </c>
      <c r="E75" s="297"/>
      <c r="F75" s="297">
        <f>E75*B75</f>
        <v>0</v>
      </c>
      <c r="G75" s="297"/>
      <c r="H75" s="297">
        <f>G75*B75</f>
        <v>0</v>
      </c>
      <c r="I75" s="297">
        <f>40+5</f>
        <v>45</v>
      </c>
      <c r="J75" s="297">
        <f>I75*B75</f>
        <v>5537880</v>
      </c>
      <c r="K75" s="297"/>
      <c r="L75" s="298">
        <f>K75*B75</f>
        <v>0</v>
      </c>
      <c r="M75" s="297"/>
      <c r="N75" s="297">
        <f>M75*B75</f>
        <v>0</v>
      </c>
      <c r="O75" s="297"/>
      <c r="P75" s="297">
        <f>O75*B75</f>
        <v>0</v>
      </c>
      <c r="Q75" s="297"/>
      <c r="R75" s="297">
        <f>Q75*B75</f>
        <v>0</v>
      </c>
      <c r="S75" s="297">
        <v>60</v>
      </c>
      <c r="T75" s="297">
        <f>S75*B75</f>
        <v>7383840</v>
      </c>
      <c r="U75" s="297"/>
      <c r="V75" s="297">
        <f>U75*B75</f>
        <v>0</v>
      </c>
      <c r="W75" s="297"/>
      <c r="X75" s="297">
        <f>W75*B75</f>
        <v>0</v>
      </c>
      <c r="Y75" s="297"/>
      <c r="Z75" s="297">
        <f>Y75*B75</f>
        <v>0</v>
      </c>
      <c r="AA75" s="297"/>
      <c r="AB75" s="297">
        <f>AA75*B75</f>
        <v>0</v>
      </c>
      <c r="AC75" s="297"/>
      <c r="AD75" s="297">
        <f>AC75*B75</f>
        <v>0</v>
      </c>
      <c r="AE75" s="297"/>
      <c r="AF75" s="297">
        <f>AE75*B75</f>
        <v>0</v>
      </c>
      <c r="AG75" s="297"/>
      <c r="AH75" s="297">
        <f>AG75*B75</f>
        <v>0</v>
      </c>
      <c r="AI75" s="297"/>
      <c r="AJ75" s="297">
        <f>AI75*B75</f>
        <v>0</v>
      </c>
      <c r="AK75" s="297"/>
      <c r="AL75" s="297">
        <f t="shared" si="91"/>
        <v>0</v>
      </c>
      <c r="AM75" s="297"/>
      <c r="AN75" s="297">
        <f>AM75*B75</f>
        <v>0</v>
      </c>
      <c r="AO75" s="297"/>
      <c r="AP75" s="298">
        <f>AO75*B75</f>
        <v>0</v>
      </c>
      <c r="AQ75" s="297">
        <v>20</v>
      </c>
      <c r="AR75" s="297">
        <f>AQ75*B75</f>
        <v>2461280</v>
      </c>
      <c r="AS75" s="297"/>
      <c r="AT75" s="297">
        <f>AS75*B75</f>
        <v>0</v>
      </c>
      <c r="AU75" s="297"/>
      <c r="AV75" s="297">
        <f>AU75*B75</f>
        <v>0</v>
      </c>
      <c r="AW75" s="297"/>
      <c r="AX75" s="297">
        <f>AW75*B75</f>
        <v>0</v>
      </c>
      <c r="AY75" s="297">
        <f>Q75+U75+AO75+AG75+Y75+AA75+AC75+AE75+S75+AQ75+AI75+AM75+AS75+W75+AU75+M75+C75+O75+E75+G75+K75+I75+AW75+AK75</f>
        <v>125</v>
      </c>
      <c r="AZ75" s="297">
        <f>R75+V75+AP75+AH75+Z75+AB75+AD75+AF75+T75+AR75+AJ75+AN75+AT75+X75+AV75+N75+D75+P75+F75+H75+L75+J75+AX75+AL75</f>
        <v>15383000</v>
      </c>
      <c r="BA75" s="313"/>
      <c r="BB75" s="313"/>
      <c r="BC75" s="323">
        <f>AY75+BA75</f>
        <v>125</v>
      </c>
      <c r="BD75" s="323">
        <f>AZ75+BB75</f>
        <v>15383000</v>
      </c>
    </row>
    <row r="76" spans="1:56" s="293" customFormat="1" ht="18.75" customHeight="1" x14ac:dyDescent="0.2">
      <c r="A76" s="332" t="s">
        <v>569</v>
      </c>
      <c r="B76" s="333"/>
      <c r="C76" s="320">
        <f t="shared" ref="C76:BD76" si="123">C77+C78</f>
        <v>10</v>
      </c>
      <c r="D76" s="320">
        <f t="shared" si="123"/>
        <v>1850640</v>
      </c>
      <c r="E76" s="320">
        <f t="shared" si="123"/>
        <v>0</v>
      </c>
      <c r="F76" s="320">
        <f t="shared" si="123"/>
        <v>0</v>
      </c>
      <c r="G76" s="320">
        <f t="shared" si="123"/>
        <v>0</v>
      </c>
      <c r="H76" s="320">
        <f t="shared" si="123"/>
        <v>0</v>
      </c>
      <c r="I76" s="320">
        <f t="shared" si="123"/>
        <v>30</v>
      </c>
      <c r="J76" s="320">
        <f t="shared" si="123"/>
        <v>5551920</v>
      </c>
      <c r="K76" s="320">
        <f t="shared" si="123"/>
        <v>0</v>
      </c>
      <c r="L76" s="320">
        <f t="shared" si="123"/>
        <v>0</v>
      </c>
      <c r="M76" s="320">
        <f t="shared" si="123"/>
        <v>0</v>
      </c>
      <c r="N76" s="320">
        <f t="shared" si="123"/>
        <v>0</v>
      </c>
      <c r="O76" s="320">
        <f t="shared" si="123"/>
        <v>0</v>
      </c>
      <c r="P76" s="320">
        <f t="shared" si="123"/>
        <v>0</v>
      </c>
      <c r="Q76" s="320">
        <f t="shared" si="123"/>
        <v>0</v>
      </c>
      <c r="R76" s="320">
        <f t="shared" si="123"/>
        <v>0</v>
      </c>
      <c r="S76" s="320">
        <f t="shared" si="123"/>
        <v>20</v>
      </c>
      <c r="T76" s="320">
        <f t="shared" si="123"/>
        <v>3701280</v>
      </c>
      <c r="U76" s="320">
        <f t="shared" si="123"/>
        <v>0</v>
      </c>
      <c r="V76" s="320">
        <f t="shared" si="123"/>
        <v>0</v>
      </c>
      <c r="W76" s="320">
        <f t="shared" si="123"/>
        <v>0</v>
      </c>
      <c r="X76" s="320">
        <f t="shared" si="123"/>
        <v>0</v>
      </c>
      <c r="Y76" s="320">
        <f t="shared" si="123"/>
        <v>0</v>
      </c>
      <c r="Z76" s="320">
        <f t="shared" si="123"/>
        <v>0</v>
      </c>
      <c r="AA76" s="320">
        <f t="shared" si="123"/>
        <v>0</v>
      </c>
      <c r="AB76" s="320">
        <f t="shared" si="123"/>
        <v>0</v>
      </c>
      <c r="AC76" s="320">
        <f t="shared" si="123"/>
        <v>0</v>
      </c>
      <c r="AD76" s="320">
        <f t="shared" si="123"/>
        <v>0</v>
      </c>
      <c r="AE76" s="320">
        <f t="shared" si="123"/>
        <v>0</v>
      </c>
      <c r="AF76" s="320">
        <f t="shared" si="123"/>
        <v>0</v>
      </c>
      <c r="AG76" s="320">
        <f t="shared" si="123"/>
        <v>0</v>
      </c>
      <c r="AH76" s="320">
        <f t="shared" si="123"/>
        <v>0</v>
      </c>
      <c r="AI76" s="320">
        <f t="shared" si="123"/>
        <v>0</v>
      </c>
      <c r="AJ76" s="320">
        <f t="shared" si="123"/>
        <v>0</v>
      </c>
      <c r="AK76" s="320">
        <f t="shared" si="123"/>
        <v>0</v>
      </c>
      <c r="AL76" s="320">
        <f t="shared" si="123"/>
        <v>0</v>
      </c>
      <c r="AM76" s="320">
        <f t="shared" si="123"/>
        <v>0</v>
      </c>
      <c r="AN76" s="320">
        <f t="shared" si="123"/>
        <v>0</v>
      </c>
      <c r="AO76" s="320">
        <f t="shared" si="123"/>
        <v>0</v>
      </c>
      <c r="AP76" s="320">
        <f t="shared" si="123"/>
        <v>0</v>
      </c>
      <c r="AQ76" s="320">
        <f t="shared" si="123"/>
        <v>0</v>
      </c>
      <c r="AR76" s="320">
        <f t="shared" si="123"/>
        <v>0</v>
      </c>
      <c r="AS76" s="320">
        <f t="shared" si="123"/>
        <v>0</v>
      </c>
      <c r="AT76" s="320">
        <f t="shared" si="123"/>
        <v>0</v>
      </c>
      <c r="AU76" s="320">
        <f t="shared" si="123"/>
        <v>0</v>
      </c>
      <c r="AV76" s="320">
        <f t="shared" si="123"/>
        <v>0</v>
      </c>
      <c r="AW76" s="320">
        <f t="shared" si="123"/>
        <v>40</v>
      </c>
      <c r="AX76" s="320">
        <f t="shared" si="123"/>
        <v>7402560</v>
      </c>
      <c r="AY76" s="320">
        <f t="shared" si="123"/>
        <v>100</v>
      </c>
      <c r="AZ76" s="320">
        <f t="shared" si="123"/>
        <v>18506400</v>
      </c>
      <c r="BA76" s="320">
        <f t="shared" si="123"/>
        <v>0</v>
      </c>
      <c r="BB76" s="320">
        <f t="shared" si="123"/>
        <v>0</v>
      </c>
      <c r="BC76" s="320">
        <f t="shared" si="123"/>
        <v>100</v>
      </c>
      <c r="BD76" s="320">
        <f t="shared" si="123"/>
        <v>18506400</v>
      </c>
    </row>
    <row r="77" spans="1:56" s="293" customFormat="1" ht="15.75" customHeight="1" x14ac:dyDescent="0.2">
      <c r="A77" s="299">
        <v>53</v>
      </c>
      <c r="B77" s="324">
        <v>185064</v>
      </c>
      <c r="C77" s="297">
        <v>10</v>
      </c>
      <c r="D77" s="297">
        <f>C77*B77</f>
        <v>1850640</v>
      </c>
      <c r="E77" s="297"/>
      <c r="F77" s="297">
        <f>E77*B77</f>
        <v>0</v>
      </c>
      <c r="G77" s="297"/>
      <c r="H77" s="297">
        <f>G77*B77</f>
        <v>0</v>
      </c>
      <c r="I77" s="297">
        <f>25+5</f>
        <v>30</v>
      </c>
      <c r="J77" s="297">
        <f>I77*B77</f>
        <v>5551920</v>
      </c>
      <c r="K77" s="297"/>
      <c r="L77" s="298">
        <f>K77*B77</f>
        <v>0</v>
      </c>
      <c r="M77" s="297"/>
      <c r="N77" s="297">
        <f>M77*B77</f>
        <v>0</v>
      </c>
      <c r="O77" s="297"/>
      <c r="P77" s="297">
        <f>O77*B77</f>
        <v>0</v>
      </c>
      <c r="Q77" s="297"/>
      <c r="R77" s="297">
        <f>Q77*B77</f>
        <v>0</v>
      </c>
      <c r="S77" s="297">
        <v>20</v>
      </c>
      <c r="T77" s="297">
        <f>S77*B77</f>
        <v>3701280</v>
      </c>
      <c r="U77" s="297"/>
      <c r="V77" s="297">
        <f>U77*B77</f>
        <v>0</v>
      </c>
      <c r="W77" s="297"/>
      <c r="X77" s="297">
        <f>W77*B77</f>
        <v>0</v>
      </c>
      <c r="Y77" s="297"/>
      <c r="Z77" s="297">
        <f>Y77*B77</f>
        <v>0</v>
      </c>
      <c r="AA77" s="297"/>
      <c r="AB77" s="297">
        <f>AA77*B77</f>
        <v>0</v>
      </c>
      <c r="AC77" s="297"/>
      <c r="AD77" s="297">
        <f>AC77*B77</f>
        <v>0</v>
      </c>
      <c r="AE77" s="297"/>
      <c r="AF77" s="297">
        <f>AE77*B77</f>
        <v>0</v>
      </c>
      <c r="AG77" s="297"/>
      <c r="AH77" s="297">
        <f>AG77*B77</f>
        <v>0</v>
      </c>
      <c r="AI77" s="297"/>
      <c r="AJ77" s="297">
        <f>AI77*B77</f>
        <v>0</v>
      </c>
      <c r="AK77" s="297"/>
      <c r="AL77" s="297">
        <f t="shared" si="91"/>
        <v>0</v>
      </c>
      <c r="AM77" s="297"/>
      <c r="AN77" s="297">
        <f>AM77*B77</f>
        <v>0</v>
      </c>
      <c r="AO77" s="297"/>
      <c r="AP77" s="298">
        <f>AO77*B77</f>
        <v>0</v>
      </c>
      <c r="AQ77" s="297"/>
      <c r="AR77" s="297">
        <f>AQ77*B77</f>
        <v>0</v>
      </c>
      <c r="AS77" s="297"/>
      <c r="AT77" s="297">
        <f>AS77*B77</f>
        <v>0</v>
      </c>
      <c r="AU77" s="297"/>
      <c r="AV77" s="297">
        <f>AU77*B77</f>
        <v>0</v>
      </c>
      <c r="AW77" s="297">
        <v>40</v>
      </c>
      <c r="AX77" s="297">
        <f>AW77*B77</f>
        <v>7402560</v>
      </c>
      <c r="AY77" s="297">
        <f t="shared" ref="AY77:AZ78" si="124">Q77+U77+AO77+AG77+Y77+AA77+AC77+AE77+S77+AQ77+AI77+AM77+AS77+W77+AU77+M77+C77+O77+E77+G77+K77+I77+AW77+AK77</f>
        <v>100</v>
      </c>
      <c r="AZ77" s="297">
        <f t="shared" si="124"/>
        <v>18506400</v>
      </c>
      <c r="BA77" s="313"/>
      <c r="BB77" s="313"/>
      <c r="BC77" s="323">
        <f>AY77+BA77</f>
        <v>100</v>
      </c>
      <c r="BD77" s="323">
        <f>AZ77+BB77</f>
        <v>18506400</v>
      </c>
    </row>
    <row r="78" spans="1:56" s="293" customFormat="1" ht="17.25" customHeight="1" x14ac:dyDescent="0.2">
      <c r="A78" s="299">
        <v>54</v>
      </c>
      <c r="B78" s="324">
        <v>102137</v>
      </c>
      <c r="C78" s="297"/>
      <c r="D78" s="297">
        <f>C78*B78</f>
        <v>0</v>
      </c>
      <c r="E78" s="297"/>
      <c r="F78" s="297">
        <f>E78*B78</f>
        <v>0</v>
      </c>
      <c r="G78" s="297"/>
      <c r="H78" s="297">
        <f>G78*B78</f>
        <v>0</v>
      </c>
      <c r="I78" s="297"/>
      <c r="J78" s="297">
        <f>I78*B78</f>
        <v>0</v>
      </c>
      <c r="K78" s="297"/>
      <c r="L78" s="298">
        <f>K78*B78</f>
        <v>0</v>
      </c>
      <c r="M78" s="297"/>
      <c r="N78" s="297">
        <f>M78*B78</f>
        <v>0</v>
      </c>
      <c r="O78" s="297"/>
      <c r="P78" s="297">
        <f>O78*B78</f>
        <v>0</v>
      </c>
      <c r="Q78" s="297"/>
      <c r="R78" s="297">
        <f>Q78*B78</f>
        <v>0</v>
      </c>
      <c r="S78" s="297"/>
      <c r="T78" s="297">
        <f>S78*B78</f>
        <v>0</v>
      </c>
      <c r="U78" s="297"/>
      <c r="V78" s="297">
        <f>U78*B78</f>
        <v>0</v>
      </c>
      <c r="W78" s="297"/>
      <c r="X78" s="297">
        <f>W78*B78</f>
        <v>0</v>
      </c>
      <c r="Y78" s="297"/>
      <c r="Z78" s="297">
        <f>Y78*B78</f>
        <v>0</v>
      </c>
      <c r="AA78" s="297"/>
      <c r="AB78" s="297">
        <f>AA78*B78</f>
        <v>0</v>
      </c>
      <c r="AC78" s="297"/>
      <c r="AD78" s="297">
        <f>AC78*B78</f>
        <v>0</v>
      </c>
      <c r="AE78" s="297"/>
      <c r="AF78" s="297">
        <f>AE78*B78</f>
        <v>0</v>
      </c>
      <c r="AG78" s="297"/>
      <c r="AH78" s="297">
        <f>AG78*B78</f>
        <v>0</v>
      </c>
      <c r="AI78" s="297"/>
      <c r="AJ78" s="297">
        <f>AI78*B78</f>
        <v>0</v>
      </c>
      <c r="AK78" s="297"/>
      <c r="AL78" s="297">
        <f t="shared" si="91"/>
        <v>0</v>
      </c>
      <c r="AM78" s="297"/>
      <c r="AN78" s="297">
        <f>AM78*B78</f>
        <v>0</v>
      </c>
      <c r="AO78" s="297"/>
      <c r="AP78" s="298">
        <f>AO78*B78</f>
        <v>0</v>
      </c>
      <c r="AQ78" s="297"/>
      <c r="AR78" s="297">
        <f>AQ78*B78</f>
        <v>0</v>
      </c>
      <c r="AS78" s="297"/>
      <c r="AT78" s="297">
        <f>AS78*B78</f>
        <v>0</v>
      </c>
      <c r="AU78" s="297"/>
      <c r="AV78" s="297">
        <f>AU78*B78</f>
        <v>0</v>
      </c>
      <c r="AW78" s="297"/>
      <c r="AX78" s="297">
        <f>AW78*B78</f>
        <v>0</v>
      </c>
      <c r="AY78" s="297">
        <f t="shared" si="124"/>
        <v>0</v>
      </c>
      <c r="AZ78" s="297">
        <f t="shared" si="124"/>
        <v>0</v>
      </c>
      <c r="BA78" s="313"/>
      <c r="BB78" s="313"/>
      <c r="BC78" s="323">
        <f>AY78+BA78</f>
        <v>0</v>
      </c>
      <c r="BD78" s="323">
        <f>AZ78+BB78</f>
        <v>0</v>
      </c>
    </row>
    <row r="79" spans="1:56" s="293" customFormat="1" ht="18.75" customHeight="1" x14ac:dyDescent="0.2">
      <c r="A79" s="332" t="s">
        <v>68</v>
      </c>
      <c r="B79" s="333"/>
      <c r="C79" s="320">
        <f t="shared" ref="C79:BD79" si="125">C5+C8+C11+C13+C16+C18+C20+C23+C30+C33+C37+C40+C47+C49+C61+C64+C71+C74+C76+C43</f>
        <v>2406</v>
      </c>
      <c r="D79" s="320">
        <f t="shared" si="125"/>
        <v>397531791</v>
      </c>
      <c r="E79" s="320">
        <f t="shared" si="125"/>
        <v>1224</v>
      </c>
      <c r="F79" s="320">
        <f t="shared" si="125"/>
        <v>157808356</v>
      </c>
      <c r="G79" s="320">
        <f t="shared" si="125"/>
        <v>3318</v>
      </c>
      <c r="H79" s="320">
        <f t="shared" si="125"/>
        <v>735034356</v>
      </c>
      <c r="I79" s="320">
        <f t="shared" si="125"/>
        <v>927</v>
      </c>
      <c r="J79" s="320">
        <f t="shared" si="125"/>
        <v>153009785</v>
      </c>
      <c r="K79" s="320">
        <f t="shared" si="125"/>
        <v>647</v>
      </c>
      <c r="L79" s="320">
        <f t="shared" si="125"/>
        <v>154072743</v>
      </c>
      <c r="M79" s="320">
        <f t="shared" si="125"/>
        <v>52</v>
      </c>
      <c r="N79" s="320">
        <f t="shared" si="125"/>
        <v>5245396</v>
      </c>
      <c r="O79" s="320">
        <f t="shared" si="125"/>
        <v>216</v>
      </c>
      <c r="P79" s="320">
        <f t="shared" si="125"/>
        <v>31110912</v>
      </c>
      <c r="Q79" s="320">
        <f t="shared" si="125"/>
        <v>1099</v>
      </c>
      <c r="R79" s="320">
        <f t="shared" si="125"/>
        <v>193113828</v>
      </c>
      <c r="S79" s="320">
        <f t="shared" si="125"/>
        <v>1217</v>
      </c>
      <c r="T79" s="320">
        <f t="shared" si="125"/>
        <v>194936920</v>
      </c>
      <c r="U79" s="320">
        <f t="shared" si="125"/>
        <v>300</v>
      </c>
      <c r="V79" s="320">
        <f t="shared" si="125"/>
        <v>21525020</v>
      </c>
      <c r="W79" s="320">
        <f t="shared" si="125"/>
        <v>2424</v>
      </c>
      <c r="X79" s="320">
        <f t="shared" si="125"/>
        <v>172988256</v>
      </c>
      <c r="Y79" s="320">
        <f t="shared" si="125"/>
        <v>200</v>
      </c>
      <c r="Z79" s="320">
        <f t="shared" si="125"/>
        <v>14240400</v>
      </c>
      <c r="AA79" s="320">
        <f t="shared" si="125"/>
        <v>277</v>
      </c>
      <c r="AB79" s="320">
        <f t="shared" si="125"/>
        <v>35121024</v>
      </c>
      <c r="AC79" s="320">
        <f t="shared" si="125"/>
        <v>442</v>
      </c>
      <c r="AD79" s="320">
        <f t="shared" si="125"/>
        <v>83982778</v>
      </c>
      <c r="AE79" s="320">
        <f t="shared" si="125"/>
        <v>669</v>
      </c>
      <c r="AF79" s="320">
        <f t="shared" si="125"/>
        <v>162168190</v>
      </c>
      <c r="AG79" s="320">
        <f t="shared" si="125"/>
        <v>20</v>
      </c>
      <c r="AH79" s="320">
        <f t="shared" si="125"/>
        <v>2545220</v>
      </c>
      <c r="AI79" s="320">
        <f t="shared" si="125"/>
        <v>240</v>
      </c>
      <c r="AJ79" s="320">
        <f t="shared" si="125"/>
        <v>48094284</v>
      </c>
      <c r="AK79" s="320">
        <f t="shared" si="125"/>
        <v>133</v>
      </c>
      <c r="AL79" s="320">
        <f t="shared" si="125"/>
        <v>24160980</v>
      </c>
      <c r="AM79" s="320">
        <f t="shared" si="125"/>
        <v>32</v>
      </c>
      <c r="AN79" s="320">
        <f t="shared" si="125"/>
        <v>5637836</v>
      </c>
      <c r="AO79" s="320">
        <f t="shared" si="125"/>
        <v>20</v>
      </c>
      <c r="AP79" s="320">
        <f t="shared" si="125"/>
        <v>4089660</v>
      </c>
      <c r="AQ79" s="320">
        <f t="shared" si="125"/>
        <v>844</v>
      </c>
      <c r="AR79" s="320">
        <f t="shared" si="125"/>
        <v>142415933</v>
      </c>
      <c r="AS79" s="320">
        <f t="shared" si="125"/>
        <v>264</v>
      </c>
      <c r="AT79" s="320">
        <f t="shared" si="125"/>
        <v>50251524</v>
      </c>
      <c r="AU79" s="320">
        <f t="shared" si="125"/>
        <v>240</v>
      </c>
      <c r="AV79" s="320">
        <f t="shared" si="125"/>
        <v>32454515</v>
      </c>
      <c r="AW79" s="320">
        <f t="shared" si="125"/>
        <v>1593</v>
      </c>
      <c r="AX79" s="320">
        <f t="shared" si="125"/>
        <v>259622517</v>
      </c>
      <c r="AY79" s="320">
        <f t="shared" si="125"/>
        <v>18804</v>
      </c>
      <c r="AZ79" s="320">
        <f t="shared" si="125"/>
        <v>3081162224</v>
      </c>
      <c r="BA79" s="320">
        <f t="shared" si="125"/>
        <v>0</v>
      </c>
      <c r="BB79" s="320">
        <f t="shared" si="125"/>
        <v>0</v>
      </c>
      <c r="BC79" s="320">
        <f t="shared" si="125"/>
        <v>18804</v>
      </c>
      <c r="BD79" s="320">
        <f t="shared" si="125"/>
        <v>3081162224</v>
      </c>
    </row>
  </sheetData>
  <mergeCells count="51">
    <mergeCell ref="A64:B64"/>
    <mergeCell ref="A71:B71"/>
    <mergeCell ref="A74:B74"/>
    <mergeCell ref="A76:B76"/>
    <mergeCell ref="A79:B79"/>
    <mergeCell ref="A61:B61"/>
    <mergeCell ref="A16:B16"/>
    <mergeCell ref="A18:B18"/>
    <mergeCell ref="A20:B20"/>
    <mergeCell ref="A23:B23"/>
    <mergeCell ref="A30:B30"/>
    <mergeCell ref="A33:B33"/>
    <mergeCell ref="A37:B37"/>
    <mergeCell ref="A40:B40"/>
    <mergeCell ref="A43:B43"/>
    <mergeCell ref="A47:B47"/>
    <mergeCell ref="A49:B49"/>
    <mergeCell ref="BA2:BB2"/>
    <mergeCell ref="BC2:BD2"/>
    <mergeCell ref="A5:B5"/>
    <mergeCell ref="A8:B8"/>
    <mergeCell ref="A11:B11"/>
    <mergeCell ref="AW2:AX2"/>
    <mergeCell ref="AY2:AZ2"/>
    <mergeCell ref="AA2:AB2"/>
    <mergeCell ref="A13:B13"/>
    <mergeCell ref="AO2:AP2"/>
    <mergeCell ref="AQ2:AR2"/>
    <mergeCell ref="AS2:AT2"/>
    <mergeCell ref="AU2:AV2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1:Z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ageMargins left="0" right="0" top="0" bottom="0" header="0.31496062992125984" footer="0.31496062992125984"/>
  <pageSetup paperSize="9" scale="65" fitToHeight="2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zoomScaleNormal="100" workbookViewId="0">
      <pane xSplit="2" ySplit="7" topLeftCell="C152" activePane="bottomRight" state="frozen"/>
      <selection pane="topRight" activeCell="C1" sqref="C1"/>
      <selection pane="bottomLeft" activeCell="A8" sqref="A8"/>
      <selection pane="bottomRight" activeCell="I5" sqref="I5:I6"/>
    </sheetView>
  </sheetViews>
  <sheetFormatPr defaultRowHeight="11.25" x14ac:dyDescent="0.2"/>
  <cols>
    <col min="1" max="1" width="4.28515625" style="111" customWidth="1"/>
    <col min="2" max="2" width="24.140625" style="85" customWidth="1"/>
    <col min="3" max="3" width="8.7109375" style="111" customWidth="1"/>
    <col min="4" max="4" width="10.28515625" style="111" customWidth="1"/>
    <col min="5" max="5" width="20.85546875" style="111" customWidth="1"/>
    <col min="6" max="6" width="13.140625" style="111" customWidth="1"/>
    <col min="7" max="7" width="11.7109375" style="111" customWidth="1"/>
    <col min="8" max="8" width="11.28515625" style="111" customWidth="1"/>
    <col min="9" max="9" width="11.85546875" style="111" customWidth="1"/>
    <col min="10" max="10" width="10.7109375" style="111" customWidth="1"/>
    <col min="11" max="11" width="10.85546875" style="111" customWidth="1"/>
    <col min="12" max="12" width="14.28515625" style="111" customWidth="1"/>
    <col min="13" max="13" width="14.140625" style="111" customWidth="1"/>
    <col min="14" max="14" width="14" style="111" customWidth="1"/>
    <col min="15" max="16384" width="9.140625" style="111"/>
  </cols>
  <sheetData>
    <row r="1" spans="1:14" x14ac:dyDescent="0.2">
      <c r="A1" s="436" t="s">
        <v>252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4" ht="12" thickBot="1" x14ac:dyDescent="0.25">
      <c r="A2" s="112"/>
    </row>
    <row r="3" spans="1:14" s="113" customFormat="1" x14ac:dyDescent="0.2">
      <c r="A3" s="437" t="s">
        <v>0</v>
      </c>
      <c r="B3" s="440" t="s">
        <v>254</v>
      </c>
      <c r="C3" s="443" t="s">
        <v>379</v>
      </c>
      <c r="D3" s="446" t="s">
        <v>361</v>
      </c>
      <c r="E3" s="447"/>
      <c r="F3" s="447"/>
      <c r="G3" s="447"/>
      <c r="H3" s="447"/>
      <c r="I3" s="448"/>
      <c r="J3" s="449" t="s">
        <v>362</v>
      </c>
      <c r="K3" s="450"/>
      <c r="L3" s="450"/>
      <c r="M3" s="451"/>
    </row>
    <row r="4" spans="1:14" s="113" customFormat="1" x14ac:dyDescent="0.2">
      <c r="A4" s="438"/>
      <c r="B4" s="441"/>
      <c r="C4" s="444"/>
      <c r="D4" s="452" t="s">
        <v>52</v>
      </c>
      <c r="E4" s="453" t="s">
        <v>363</v>
      </c>
      <c r="F4" s="453"/>
      <c r="G4" s="453"/>
      <c r="H4" s="453"/>
      <c r="I4" s="454"/>
      <c r="J4" s="452" t="s">
        <v>52</v>
      </c>
      <c r="K4" s="455" t="s">
        <v>363</v>
      </c>
      <c r="L4" s="455"/>
      <c r="M4" s="456"/>
    </row>
    <row r="5" spans="1:14" s="114" customFormat="1" ht="41.25" customHeight="1" x14ac:dyDescent="0.25">
      <c r="A5" s="438"/>
      <c r="B5" s="441"/>
      <c r="C5" s="444"/>
      <c r="D5" s="452"/>
      <c r="E5" s="432" t="s">
        <v>381</v>
      </c>
      <c r="F5" s="433"/>
      <c r="G5" s="433" t="s">
        <v>364</v>
      </c>
      <c r="H5" s="433" t="s">
        <v>365</v>
      </c>
      <c r="I5" s="434" t="s">
        <v>366</v>
      </c>
      <c r="J5" s="452"/>
      <c r="K5" s="433" t="s">
        <v>367</v>
      </c>
      <c r="L5" s="433" t="s">
        <v>368</v>
      </c>
      <c r="M5" s="428" t="s">
        <v>369</v>
      </c>
    </row>
    <row r="6" spans="1:14" s="114" customFormat="1" ht="67.5" x14ac:dyDescent="0.25">
      <c r="A6" s="439"/>
      <c r="B6" s="442"/>
      <c r="C6" s="445"/>
      <c r="D6" s="452"/>
      <c r="E6" s="115" t="s">
        <v>370</v>
      </c>
      <c r="F6" s="116" t="s">
        <v>382</v>
      </c>
      <c r="G6" s="433"/>
      <c r="H6" s="433"/>
      <c r="I6" s="435"/>
      <c r="J6" s="452"/>
      <c r="K6" s="433"/>
      <c r="L6" s="433"/>
      <c r="M6" s="428"/>
    </row>
    <row r="7" spans="1:14" s="113" customFormat="1" x14ac:dyDescent="0.2">
      <c r="A7" s="117">
        <v>1</v>
      </c>
      <c r="B7" s="118">
        <v>2</v>
      </c>
      <c r="C7" s="119">
        <v>3</v>
      </c>
      <c r="D7" s="117">
        <v>4</v>
      </c>
      <c r="E7" s="120">
        <v>5</v>
      </c>
      <c r="F7" s="120">
        <v>6</v>
      </c>
      <c r="G7" s="120">
        <v>7</v>
      </c>
      <c r="H7" s="120">
        <v>8</v>
      </c>
      <c r="I7" s="121">
        <v>9</v>
      </c>
      <c r="J7" s="117">
        <v>10</v>
      </c>
      <c r="K7" s="120">
        <v>11</v>
      </c>
      <c r="L7" s="120">
        <v>12</v>
      </c>
      <c r="M7" s="121">
        <v>13</v>
      </c>
    </row>
    <row r="8" spans="1:14" x14ac:dyDescent="0.2">
      <c r="A8" s="122">
        <v>1</v>
      </c>
      <c r="B8" s="123" t="s">
        <v>1</v>
      </c>
      <c r="C8" s="124">
        <f>D8+J8</f>
        <v>155893</v>
      </c>
      <c r="D8" s="125">
        <f>E8+F8+G8+H8+I8</f>
        <v>104160</v>
      </c>
      <c r="E8" s="126">
        <v>34718</v>
      </c>
      <c r="F8" s="126">
        <v>10668</v>
      </c>
      <c r="G8" s="126">
        <v>2032</v>
      </c>
      <c r="H8" s="126">
        <v>37157</v>
      </c>
      <c r="I8" s="127">
        <v>19585</v>
      </c>
      <c r="J8" s="125">
        <f>K8+L8+M8</f>
        <v>51733</v>
      </c>
      <c r="K8" s="128">
        <v>19394</v>
      </c>
      <c r="L8" s="128">
        <v>11190</v>
      </c>
      <c r="M8" s="129">
        <v>21149</v>
      </c>
      <c r="N8" s="130"/>
    </row>
    <row r="9" spans="1:14" ht="22.5" x14ac:dyDescent="0.2">
      <c r="A9" s="122">
        <v>2</v>
      </c>
      <c r="B9" s="123" t="s">
        <v>269</v>
      </c>
      <c r="C9" s="124">
        <f t="shared" ref="C9:C73" si="0">D9+J9</f>
        <v>6000</v>
      </c>
      <c r="D9" s="125">
        <f t="shared" ref="D9:D73" si="1">E9+F9+G9+H9+I9</f>
        <v>0</v>
      </c>
      <c r="E9" s="131">
        <v>0</v>
      </c>
      <c r="F9" s="131">
        <v>0</v>
      </c>
      <c r="G9" s="131">
        <v>0</v>
      </c>
      <c r="H9" s="131">
        <v>0</v>
      </c>
      <c r="I9" s="132">
        <v>0</v>
      </c>
      <c r="J9" s="125">
        <f t="shared" ref="J9:J73" si="2">K9+L9+M9</f>
        <v>6000</v>
      </c>
      <c r="K9" s="128">
        <v>2682</v>
      </c>
      <c r="L9" s="128">
        <v>3318</v>
      </c>
      <c r="M9" s="133">
        <v>0</v>
      </c>
      <c r="N9" s="130"/>
    </row>
    <row r="10" spans="1:14" s="130" customFormat="1" x14ac:dyDescent="0.2">
      <c r="A10" s="122">
        <v>3</v>
      </c>
      <c r="B10" s="134" t="s">
        <v>2</v>
      </c>
      <c r="C10" s="124">
        <f t="shared" si="0"/>
        <v>162202</v>
      </c>
      <c r="D10" s="125">
        <f t="shared" si="1"/>
        <v>98575</v>
      </c>
      <c r="E10" s="135">
        <v>33195</v>
      </c>
      <c r="F10" s="135">
        <v>11145</v>
      </c>
      <c r="G10" s="135">
        <v>3065</v>
      </c>
      <c r="H10" s="135">
        <v>37951</v>
      </c>
      <c r="I10" s="136">
        <v>13219</v>
      </c>
      <c r="J10" s="125">
        <f t="shared" si="2"/>
        <v>63627</v>
      </c>
      <c r="K10" s="137">
        <v>43118</v>
      </c>
      <c r="L10" s="137">
        <v>4529</v>
      </c>
      <c r="M10" s="138">
        <v>15980</v>
      </c>
    </row>
    <row r="11" spans="1:14" s="130" customFormat="1" ht="22.5" x14ac:dyDescent="0.2">
      <c r="A11" s="122">
        <v>4</v>
      </c>
      <c r="B11" s="134" t="s">
        <v>270</v>
      </c>
      <c r="C11" s="124">
        <f t="shared" si="0"/>
        <v>5340</v>
      </c>
      <c r="D11" s="125">
        <f t="shared" si="1"/>
        <v>0</v>
      </c>
      <c r="E11" s="139">
        <v>0</v>
      </c>
      <c r="F11" s="139">
        <v>0</v>
      </c>
      <c r="G11" s="139">
        <v>0</v>
      </c>
      <c r="H11" s="139">
        <v>0</v>
      </c>
      <c r="I11" s="140">
        <v>0</v>
      </c>
      <c r="J11" s="125">
        <f t="shared" si="2"/>
        <v>5340</v>
      </c>
      <c r="K11" s="137">
        <v>3195</v>
      </c>
      <c r="L11" s="141">
        <v>382</v>
      </c>
      <c r="M11" s="138">
        <v>1763</v>
      </c>
    </row>
    <row r="12" spans="1:14" s="130" customFormat="1" x14ac:dyDescent="0.2">
      <c r="A12" s="427">
        <v>5</v>
      </c>
      <c r="B12" s="142" t="s">
        <v>3</v>
      </c>
      <c r="C12" s="124">
        <f t="shared" si="0"/>
        <v>382768</v>
      </c>
      <c r="D12" s="125">
        <f t="shared" si="1"/>
        <v>245462</v>
      </c>
      <c r="E12" s="135">
        <v>90833</v>
      </c>
      <c r="F12" s="135">
        <v>27036</v>
      </c>
      <c r="G12" s="135">
        <v>8202</v>
      </c>
      <c r="H12" s="135">
        <v>84996</v>
      </c>
      <c r="I12" s="136">
        <v>34395</v>
      </c>
      <c r="J12" s="125">
        <f t="shared" si="2"/>
        <v>137306</v>
      </c>
      <c r="K12" s="137">
        <v>80692</v>
      </c>
      <c r="L12" s="137">
        <v>1338</v>
      </c>
      <c r="M12" s="138">
        <v>55276</v>
      </c>
    </row>
    <row r="13" spans="1:14" s="130" customFormat="1" ht="56.25" x14ac:dyDescent="0.2">
      <c r="A13" s="427"/>
      <c r="B13" s="143" t="s">
        <v>271</v>
      </c>
      <c r="C13" s="124">
        <f t="shared" si="0"/>
        <v>48167</v>
      </c>
      <c r="D13" s="125">
        <f t="shared" si="1"/>
        <v>25468</v>
      </c>
      <c r="E13" s="135">
        <v>9882</v>
      </c>
      <c r="F13" s="135">
        <v>3536</v>
      </c>
      <c r="G13" s="135">
        <v>1094</v>
      </c>
      <c r="H13" s="135">
        <v>10956</v>
      </c>
      <c r="I13" s="140">
        <v>0</v>
      </c>
      <c r="J13" s="125">
        <f t="shared" si="2"/>
        <v>22699</v>
      </c>
      <c r="K13" s="137">
        <v>5179</v>
      </c>
      <c r="L13" s="137">
        <v>9312</v>
      </c>
      <c r="M13" s="138">
        <v>8208</v>
      </c>
    </row>
    <row r="14" spans="1:14" s="130" customFormat="1" x14ac:dyDescent="0.2">
      <c r="A14" s="122">
        <v>6</v>
      </c>
      <c r="B14" s="134" t="s">
        <v>4</v>
      </c>
      <c r="C14" s="124">
        <f t="shared" si="0"/>
        <v>115240</v>
      </c>
      <c r="D14" s="125">
        <f t="shared" si="1"/>
        <v>65378</v>
      </c>
      <c r="E14" s="135">
        <v>24521</v>
      </c>
      <c r="F14" s="135">
        <v>9671</v>
      </c>
      <c r="G14" s="135">
        <v>2741</v>
      </c>
      <c r="H14" s="135">
        <v>28445</v>
      </c>
      <c r="I14" s="140">
        <v>0</v>
      </c>
      <c r="J14" s="125">
        <f t="shared" si="2"/>
        <v>49862</v>
      </c>
      <c r="K14" s="137">
        <v>35057</v>
      </c>
      <c r="L14" s="141">
        <v>415</v>
      </c>
      <c r="M14" s="138">
        <v>14390</v>
      </c>
    </row>
    <row r="15" spans="1:14" s="130" customFormat="1" x14ac:dyDescent="0.2">
      <c r="A15" s="122">
        <v>7</v>
      </c>
      <c r="B15" s="134" t="s">
        <v>5</v>
      </c>
      <c r="C15" s="124">
        <f t="shared" si="0"/>
        <v>46702</v>
      </c>
      <c r="D15" s="125">
        <f t="shared" si="1"/>
        <v>30300</v>
      </c>
      <c r="E15" s="135">
        <v>12363</v>
      </c>
      <c r="F15" s="135">
        <v>4369</v>
      </c>
      <c r="G15" s="135">
        <v>1139</v>
      </c>
      <c r="H15" s="135">
        <v>12429</v>
      </c>
      <c r="I15" s="140">
        <v>0</v>
      </c>
      <c r="J15" s="125">
        <f t="shared" si="2"/>
        <v>16402</v>
      </c>
      <c r="K15" s="137">
        <v>11131</v>
      </c>
      <c r="L15" s="141">
        <v>0</v>
      </c>
      <c r="M15" s="138">
        <v>5271</v>
      </c>
    </row>
    <row r="16" spans="1:14" s="130" customFormat="1" x14ac:dyDescent="0.2">
      <c r="A16" s="122">
        <v>8</v>
      </c>
      <c r="B16" s="134" t="s">
        <v>6</v>
      </c>
      <c r="C16" s="124">
        <f t="shared" si="0"/>
        <v>51519</v>
      </c>
      <c r="D16" s="125">
        <f t="shared" si="1"/>
        <v>30321</v>
      </c>
      <c r="E16" s="135">
        <v>12014</v>
      </c>
      <c r="F16" s="135">
        <v>4412</v>
      </c>
      <c r="G16" s="135">
        <v>1051</v>
      </c>
      <c r="H16" s="135">
        <v>12844</v>
      </c>
      <c r="I16" s="140">
        <v>0</v>
      </c>
      <c r="J16" s="125">
        <f>K16+L16+M16</f>
        <v>21198</v>
      </c>
      <c r="K16" s="137">
        <v>15010</v>
      </c>
      <c r="L16" s="141">
        <v>0</v>
      </c>
      <c r="M16" s="138">
        <v>6188</v>
      </c>
    </row>
    <row r="17" spans="1:13" s="130" customFormat="1" x14ac:dyDescent="0.2">
      <c r="A17" s="122">
        <v>9</v>
      </c>
      <c r="B17" s="134" t="s">
        <v>7</v>
      </c>
      <c r="C17" s="124">
        <f t="shared" si="0"/>
        <v>57051</v>
      </c>
      <c r="D17" s="125">
        <f t="shared" si="1"/>
        <v>33266</v>
      </c>
      <c r="E17" s="135">
        <v>12997</v>
      </c>
      <c r="F17" s="135">
        <v>4917</v>
      </c>
      <c r="G17" s="135">
        <v>1465</v>
      </c>
      <c r="H17" s="135">
        <v>13887</v>
      </c>
      <c r="I17" s="140">
        <v>0</v>
      </c>
      <c r="J17" s="125">
        <f t="shared" si="2"/>
        <v>23785</v>
      </c>
      <c r="K17" s="137">
        <v>15312</v>
      </c>
      <c r="L17" s="141">
        <v>0</v>
      </c>
      <c r="M17" s="138">
        <v>8473</v>
      </c>
    </row>
    <row r="18" spans="1:13" s="130" customFormat="1" ht="22.5" x14ac:dyDescent="0.2">
      <c r="A18" s="122">
        <v>10</v>
      </c>
      <c r="B18" s="134" t="s">
        <v>8</v>
      </c>
      <c r="C18" s="124">
        <f t="shared" si="0"/>
        <v>57875</v>
      </c>
      <c r="D18" s="125">
        <f t="shared" si="1"/>
        <v>34921</v>
      </c>
      <c r="E18" s="135">
        <v>13948</v>
      </c>
      <c r="F18" s="135">
        <v>4962</v>
      </c>
      <c r="G18" s="135">
        <v>1316</v>
      </c>
      <c r="H18" s="135">
        <v>14695</v>
      </c>
      <c r="I18" s="140">
        <v>0</v>
      </c>
      <c r="J18" s="125">
        <f t="shared" si="2"/>
        <v>22954</v>
      </c>
      <c r="K18" s="137">
        <v>16376</v>
      </c>
      <c r="L18" s="137">
        <v>1426</v>
      </c>
      <c r="M18" s="138">
        <v>5152</v>
      </c>
    </row>
    <row r="19" spans="1:13" s="130" customFormat="1" x14ac:dyDescent="0.2">
      <c r="A19" s="122">
        <v>11</v>
      </c>
      <c r="B19" s="142" t="s">
        <v>9</v>
      </c>
      <c r="C19" s="124">
        <f t="shared" si="0"/>
        <v>61045</v>
      </c>
      <c r="D19" s="125">
        <f t="shared" si="1"/>
        <v>35393</v>
      </c>
      <c r="E19" s="135">
        <v>13670</v>
      </c>
      <c r="F19" s="135">
        <v>4729</v>
      </c>
      <c r="G19" s="135">
        <v>1321</v>
      </c>
      <c r="H19" s="135">
        <v>15673</v>
      </c>
      <c r="I19" s="140">
        <v>0</v>
      </c>
      <c r="J19" s="125">
        <f t="shared" si="2"/>
        <v>25652</v>
      </c>
      <c r="K19" s="137">
        <v>13371</v>
      </c>
      <c r="L19" s="141">
        <v>0</v>
      </c>
      <c r="M19" s="138">
        <v>12281</v>
      </c>
    </row>
    <row r="20" spans="1:13" s="130" customFormat="1" x14ac:dyDescent="0.2">
      <c r="A20" s="122">
        <v>12</v>
      </c>
      <c r="B20" s="134" t="s">
        <v>10</v>
      </c>
      <c r="C20" s="124">
        <f t="shared" si="0"/>
        <v>55894</v>
      </c>
      <c r="D20" s="125">
        <f t="shared" si="1"/>
        <v>35183</v>
      </c>
      <c r="E20" s="135">
        <v>14571</v>
      </c>
      <c r="F20" s="135">
        <v>4823</v>
      </c>
      <c r="G20" s="135">
        <v>1220</v>
      </c>
      <c r="H20" s="135">
        <v>14569</v>
      </c>
      <c r="I20" s="140">
        <v>0</v>
      </c>
      <c r="J20" s="125">
        <f t="shared" si="2"/>
        <v>20711</v>
      </c>
      <c r="K20" s="137">
        <v>10091</v>
      </c>
      <c r="L20" s="141">
        <v>0</v>
      </c>
      <c r="M20" s="138">
        <v>10620</v>
      </c>
    </row>
    <row r="21" spans="1:13" s="130" customFormat="1" x14ac:dyDescent="0.2">
      <c r="A21" s="122">
        <v>13</v>
      </c>
      <c r="B21" s="142" t="s">
        <v>54</v>
      </c>
      <c r="C21" s="124">
        <f t="shared" si="0"/>
        <v>71231</v>
      </c>
      <c r="D21" s="125">
        <f t="shared" si="1"/>
        <v>45033</v>
      </c>
      <c r="E21" s="135">
        <v>18705</v>
      </c>
      <c r="F21" s="135">
        <v>6002</v>
      </c>
      <c r="G21" s="135">
        <v>3276</v>
      </c>
      <c r="H21" s="135">
        <v>17050</v>
      </c>
      <c r="I21" s="140">
        <v>0</v>
      </c>
      <c r="J21" s="125">
        <f t="shared" si="2"/>
        <v>26198</v>
      </c>
      <c r="K21" s="137">
        <v>10668</v>
      </c>
      <c r="L21" s="137">
        <v>3222</v>
      </c>
      <c r="M21" s="138">
        <v>12308</v>
      </c>
    </row>
    <row r="22" spans="1:13" s="130" customFormat="1" x14ac:dyDescent="0.2">
      <c r="A22" s="122">
        <v>14</v>
      </c>
      <c r="B22" s="134" t="s">
        <v>11</v>
      </c>
      <c r="C22" s="124">
        <f t="shared" si="0"/>
        <v>52965</v>
      </c>
      <c r="D22" s="125">
        <f t="shared" si="1"/>
        <v>33787</v>
      </c>
      <c r="E22" s="135">
        <v>13287</v>
      </c>
      <c r="F22" s="135">
        <v>4782</v>
      </c>
      <c r="G22" s="135">
        <v>1341</v>
      </c>
      <c r="H22" s="135">
        <v>14377</v>
      </c>
      <c r="I22" s="140">
        <v>0</v>
      </c>
      <c r="J22" s="125">
        <f t="shared" si="2"/>
        <v>19178</v>
      </c>
      <c r="K22" s="137">
        <v>7508</v>
      </c>
      <c r="L22" s="141">
        <v>0</v>
      </c>
      <c r="M22" s="138">
        <v>11670</v>
      </c>
    </row>
    <row r="23" spans="1:13" s="130" customFormat="1" x14ac:dyDescent="0.2">
      <c r="A23" s="122">
        <v>16</v>
      </c>
      <c r="B23" s="134" t="s">
        <v>371</v>
      </c>
      <c r="C23" s="124">
        <f t="shared" si="0"/>
        <v>25</v>
      </c>
      <c r="D23" s="125">
        <f t="shared" si="1"/>
        <v>0</v>
      </c>
      <c r="E23" s="139">
        <v>0</v>
      </c>
      <c r="F23" s="139">
        <v>0</v>
      </c>
      <c r="G23" s="139">
        <v>0</v>
      </c>
      <c r="H23" s="139">
        <v>0</v>
      </c>
      <c r="I23" s="140">
        <v>0</v>
      </c>
      <c r="J23" s="125">
        <f t="shared" si="2"/>
        <v>25</v>
      </c>
      <c r="K23" s="141">
        <v>16</v>
      </c>
      <c r="L23" s="141">
        <v>0</v>
      </c>
      <c r="M23" s="144">
        <v>9</v>
      </c>
    </row>
    <row r="24" spans="1:13" s="130" customFormat="1" x14ac:dyDescent="0.2">
      <c r="A24" s="122">
        <v>17</v>
      </c>
      <c r="B24" s="134" t="s">
        <v>274</v>
      </c>
      <c r="C24" s="124">
        <f t="shared" si="0"/>
        <v>25</v>
      </c>
      <c r="D24" s="125">
        <f t="shared" si="1"/>
        <v>0</v>
      </c>
      <c r="E24" s="139">
        <v>0</v>
      </c>
      <c r="F24" s="139">
        <v>0</v>
      </c>
      <c r="G24" s="139">
        <v>0</v>
      </c>
      <c r="H24" s="139">
        <v>0</v>
      </c>
      <c r="I24" s="140">
        <v>0</v>
      </c>
      <c r="J24" s="125">
        <f t="shared" si="2"/>
        <v>25</v>
      </c>
      <c r="K24" s="141">
        <v>25</v>
      </c>
      <c r="L24" s="141">
        <v>0</v>
      </c>
      <c r="M24" s="144">
        <v>0</v>
      </c>
    </row>
    <row r="25" spans="1:13" s="130" customFormat="1" x14ac:dyDescent="0.2">
      <c r="A25" s="122">
        <v>19</v>
      </c>
      <c r="B25" s="134" t="s">
        <v>276</v>
      </c>
      <c r="C25" s="124">
        <f t="shared" si="0"/>
        <v>100</v>
      </c>
      <c r="D25" s="125">
        <f t="shared" si="1"/>
        <v>0</v>
      </c>
      <c r="E25" s="139">
        <v>0</v>
      </c>
      <c r="F25" s="139">
        <v>0</v>
      </c>
      <c r="G25" s="139">
        <v>0</v>
      </c>
      <c r="H25" s="139">
        <v>0</v>
      </c>
      <c r="I25" s="140">
        <v>0</v>
      </c>
      <c r="J25" s="125">
        <f t="shared" si="2"/>
        <v>100</v>
      </c>
      <c r="K25" s="141">
        <v>100</v>
      </c>
      <c r="L25" s="141">
        <v>0</v>
      </c>
      <c r="M25" s="144">
        <v>0</v>
      </c>
    </row>
    <row r="26" spans="1:13" s="130" customFormat="1" x14ac:dyDescent="0.2">
      <c r="A26" s="122">
        <v>20</v>
      </c>
      <c r="B26" s="134" t="s">
        <v>72</v>
      </c>
      <c r="C26" s="124">
        <f t="shared" si="0"/>
        <v>159804</v>
      </c>
      <c r="D26" s="125">
        <f t="shared" si="1"/>
        <v>102898</v>
      </c>
      <c r="E26" s="135">
        <v>34033</v>
      </c>
      <c r="F26" s="135">
        <v>10617</v>
      </c>
      <c r="G26" s="135">
        <v>2472</v>
      </c>
      <c r="H26" s="135">
        <v>38990</v>
      </c>
      <c r="I26" s="136">
        <v>16786</v>
      </c>
      <c r="J26" s="125">
        <f t="shared" si="2"/>
        <v>56906</v>
      </c>
      <c r="K26" s="137">
        <v>32542</v>
      </c>
      <c r="L26" s="137">
        <v>3128</v>
      </c>
      <c r="M26" s="138">
        <v>21236</v>
      </c>
    </row>
    <row r="27" spans="1:13" s="130" customFormat="1" ht="22.5" x14ac:dyDescent="0.2">
      <c r="A27" s="122">
        <v>21</v>
      </c>
      <c r="B27" s="145" t="s">
        <v>277</v>
      </c>
      <c r="C27" s="124">
        <f t="shared" si="0"/>
        <v>9821</v>
      </c>
      <c r="D27" s="125">
        <f t="shared" si="1"/>
        <v>0</v>
      </c>
      <c r="E27" s="139">
        <v>0</v>
      </c>
      <c r="F27" s="139">
        <v>0</v>
      </c>
      <c r="G27" s="139">
        <v>0</v>
      </c>
      <c r="H27" s="139">
        <v>0</v>
      </c>
      <c r="I27" s="140">
        <v>0</v>
      </c>
      <c r="J27" s="125">
        <f t="shared" si="2"/>
        <v>9821</v>
      </c>
      <c r="K27" s="137">
        <v>5461</v>
      </c>
      <c r="L27" s="137">
        <v>3844</v>
      </c>
      <c r="M27" s="144">
        <v>516</v>
      </c>
    </row>
    <row r="28" spans="1:13" s="130" customFormat="1" x14ac:dyDescent="0.2">
      <c r="A28" s="122">
        <v>22</v>
      </c>
      <c r="B28" s="134" t="s">
        <v>12</v>
      </c>
      <c r="C28" s="124">
        <f t="shared" si="0"/>
        <v>136272</v>
      </c>
      <c r="D28" s="125">
        <f t="shared" si="1"/>
        <v>79793</v>
      </c>
      <c r="E28" s="135">
        <v>30965</v>
      </c>
      <c r="F28" s="135">
        <v>10116</v>
      </c>
      <c r="G28" s="135">
        <v>2461</v>
      </c>
      <c r="H28" s="135">
        <v>36251</v>
      </c>
      <c r="I28" s="140">
        <v>0</v>
      </c>
      <c r="J28" s="125">
        <f t="shared" si="2"/>
        <v>56479</v>
      </c>
      <c r="K28" s="137">
        <v>31209</v>
      </c>
      <c r="L28" s="137">
        <v>6976</v>
      </c>
      <c r="M28" s="138">
        <v>18294</v>
      </c>
    </row>
    <row r="29" spans="1:13" s="130" customFormat="1" x14ac:dyDescent="0.2">
      <c r="A29" s="122">
        <v>23</v>
      </c>
      <c r="B29" s="134" t="s">
        <v>13</v>
      </c>
      <c r="C29" s="124">
        <f t="shared" si="0"/>
        <v>282030</v>
      </c>
      <c r="D29" s="125">
        <f t="shared" si="1"/>
        <v>172724</v>
      </c>
      <c r="E29" s="135">
        <v>58755</v>
      </c>
      <c r="F29" s="135">
        <v>20316</v>
      </c>
      <c r="G29" s="135">
        <v>4203</v>
      </c>
      <c r="H29" s="135">
        <v>64950</v>
      </c>
      <c r="I29" s="136">
        <v>24500</v>
      </c>
      <c r="J29" s="125">
        <f t="shared" si="2"/>
        <v>109306</v>
      </c>
      <c r="K29" s="137">
        <v>33967</v>
      </c>
      <c r="L29" s="137">
        <v>20800</v>
      </c>
      <c r="M29" s="138">
        <v>54539</v>
      </c>
    </row>
    <row r="30" spans="1:13" s="130" customFormat="1" x14ac:dyDescent="0.2">
      <c r="A30" s="122">
        <v>24</v>
      </c>
      <c r="B30" s="134" t="s">
        <v>14</v>
      </c>
      <c r="C30" s="124">
        <f t="shared" si="0"/>
        <v>179113</v>
      </c>
      <c r="D30" s="125">
        <f t="shared" si="1"/>
        <v>109127</v>
      </c>
      <c r="E30" s="135">
        <v>41837</v>
      </c>
      <c r="F30" s="135">
        <v>14789</v>
      </c>
      <c r="G30" s="135">
        <v>6711</v>
      </c>
      <c r="H30" s="135">
        <v>45698</v>
      </c>
      <c r="I30" s="140">
        <v>92</v>
      </c>
      <c r="J30" s="125">
        <f t="shared" si="2"/>
        <v>69986</v>
      </c>
      <c r="K30" s="137">
        <v>36308</v>
      </c>
      <c r="L30" s="137">
        <v>13655</v>
      </c>
      <c r="M30" s="138">
        <v>20023</v>
      </c>
    </row>
    <row r="31" spans="1:13" s="130" customFormat="1" ht="22.5" x14ac:dyDescent="0.2">
      <c r="A31" s="122">
        <v>25</v>
      </c>
      <c r="B31" s="134" t="s">
        <v>278</v>
      </c>
      <c r="C31" s="124">
        <f t="shared" si="0"/>
        <v>39889</v>
      </c>
      <c r="D31" s="125">
        <f t="shared" si="1"/>
        <v>20701</v>
      </c>
      <c r="E31" s="135">
        <v>8266</v>
      </c>
      <c r="F31" s="135">
        <v>2975</v>
      </c>
      <c r="G31" s="139">
        <v>884</v>
      </c>
      <c r="H31" s="135">
        <v>8576</v>
      </c>
      <c r="I31" s="140">
        <v>0</v>
      </c>
      <c r="J31" s="125">
        <f t="shared" si="2"/>
        <v>19188</v>
      </c>
      <c r="K31" s="137">
        <v>11444</v>
      </c>
      <c r="L31" s="137">
        <v>3141</v>
      </c>
      <c r="M31" s="138">
        <v>4603</v>
      </c>
    </row>
    <row r="32" spans="1:13" s="130" customFormat="1" x14ac:dyDescent="0.2">
      <c r="A32" s="122">
        <v>26</v>
      </c>
      <c r="B32" s="134" t="s">
        <v>15</v>
      </c>
      <c r="C32" s="124">
        <f t="shared" si="0"/>
        <v>69438</v>
      </c>
      <c r="D32" s="125">
        <f t="shared" si="1"/>
        <v>44781</v>
      </c>
      <c r="E32" s="135">
        <v>18408</v>
      </c>
      <c r="F32" s="135">
        <v>5866</v>
      </c>
      <c r="G32" s="135">
        <v>1568</v>
      </c>
      <c r="H32" s="135">
        <v>18939</v>
      </c>
      <c r="I32" s="140">
        <v>0</v>
      </c>
      <c r="J32" s="125">
        <f t="shared" si="2"/>
        <v>24657</v>
      </c>
      <c r="K32" s="137">
        <v>13836</v>
      </c>
      <c r="L32" s="137">
        <v>2897</v>
      </c>
      <c r="M32" s="138">
        <v>7924</v>
      </c>
    </row>
    <row r="33" spans="1:13" s="130" customFormat="1" x14ac:dyDescent="0.2">
      <c r="A33" s="122">
        <v>27</v>
      </c>
      <c r="B33" s="134" t="s">
        <v>16</v>
      </c>
      <c r="C33" s="124">
        <f t="shared" si="0"/>
        <v>88050</v>
      </c>
      <c r="D33" s="125">
        <f t="shared" si="1"/>
        <v>61257</v>
      </c>
      <c r="E33" s="135">
        <v>25681</v>
      </c>
      <c r="F33" s="135">
        <v>7788</v>
      </c>
      <c r="G33" s="135">
        <v>2355</v>
      </c>
      <c r="H33" s="135">
        <v>24996</v>
      </c>
      <c r="I33" s="140">
        <v>437</v>
      </c>
      <c r="J33" s="125">
        <f t="shared" si="2"/>
        <v>26793</v>
      </c>
      <c r="K33" s="137">
        <v>14293</v>
      </c>
      <c r="L33" s="137">
        <v>1000</v>
      </c>
      <c r="M33" s="138">
        <v>11500</v>
      </c>
    </row>
    <row r="34" spans="1:13" s="130" customFormat="1" x14ac:dyDescent="0.2">
      <c r="A34" s="122">
        <v>28</v>
      </c>
      <c r="B34" s="134" t="s">
        <v>17</v>
      </c>
      <c r="C34" s="124">
        <f t="shared" si="0"/>
        <v>37348</v>
      </c>
      <c r="D34" s="125">
        <f t="shared" si="1"/>
        <v>25560</v>
      </c>
      <c r="E34" s="135">
        <v>10485</v>
      </c>
      <c r="F34" s="135">
        <v>3101</v>
      </c>
      <c r="G34" s="139">
        <v>890</v>
      </c>
      <c r="H34" s="135">
        <v>10731</v>
      </c>
      <c r="I34" s="140">
        <v>353</v>
      </c>
      <c r="J34" s="125">
        <f t="shared" si="2"/>
        <v>11788</v>
      </c>
      <c r="K34" s="137">
        <v>4929</v>
      </c>
      <c r="L34" s="137">
        <v>3723</v>
      </c>
      <c r="M34" s="138">
        <v>3136</v>
      </c>
    </row>
    <row r="35" spans="1:13" s="130" customFormat="1" x14ac:dyDescent="0.2">
      <c r="A35" s="122">
        <v>29</v>
      </c>
      <c r="B35" s="134" t="s">
        <v>18</v>
      </c>
      <c r="C35" s="124">
        <f t="shared" si="0"/>
        <v>31596</v>
      </c>
      <c r="D35" s="125">
        <f t="shared" si="1"/>
        <v>22505</v>
      </c>
      <c r="E35" s="135">
        <v>9409</v>
      </c>
      <c r="F35" s="135">
        <v>3253</v>
      </c>
      <c r="G35" s="139">
        <v>891</v>
      </c>
      <c r="H35" s="135">
        <v>8952</v>
      </c>
      <c r="I35" s="140">
        <v>0</v>
      </c>
      <c r="J35" s="125">
        <f t="shared" si="2"/>
        <v>9091</v>
      </c>
      <c r="K35" s="137">
        <v>4616</v>
      </c>
      <c r="L35" s="141">
        <v>211</v>
      </c>
      <c r="M35" s="138">
        <v>4264</v>
      </c>
    </row>
    <row r="36" spans="1:13" s="130" customFormat="1" ht="22.5" x14ac:dyDescent="0.2">
      <c r="A36" s="122">
        <v>30</v>
      </c>
      <c r="B36" s="134" t="s">
        <v>279</v>
      </c>
      <c r="C36" s="124">
        <f t="shared" si="0"/>
        <v>2</v>
      </c>
      <c r="D36" s="125">
        <f t="shared" si="1"/>
        <v>0</v>
      </c>
      <c r="E36" s="139">
        <v>0</v>
      </c>
      <c r="F36" s="139">
        <v>0</v>
      </c>
      <c r="G36" s="139">
        <v>0</v>
      </c>
      <c r="H36" s="139">
        <v>0</v>
      </c>
      <c r="I36" s="140">
        <v>0</v>
      </c>
      <c r="J36" s="125">
        <f t="shared" si="2"/>
        <v>2</v>
      </c>
      <c r="K36" s="141">
        <v>1</v>
      </c>
      <c r="L36" s="141">
        <v>0</v>
      </c>
      <c r="M36" s="144">
        <v>1</v>
      </c>
    </row>
    <row r="37" spans="1:13" s="130" customFormat="1" x14ac:dyDescent="0.2">
      <c r="A37" s="122">
        <v>31</v>
      </c>
      <c r="B37" s="134" t="s">
        <v>280</v>
      </c>
      <c r="C37" s="124">
        <f t="shared" si="0"/>
        <v>125895</v>
      </c>
      <c r="D37" s="125">
        <f t="shared" si="1"/>
        <v>73810</v>
      </c>
      <c r="E37" s="135">
        <v>22135</v>
      </c>
      <c r="F37" s="135">
        <v>13140</v>
      </c>
      <c r="G37" s="135">
        <v>3879</v>
      </c>
      <c r="H37" s="135">
        <v>34656</v>
      </c>
      <c r="I37" s="140">
        <v>0</v>
      </c>
      <c r="J37" s="125">
        <f t="shared" si="2"/>
        <v>52085</v>
      </c>
      <c r="K37" s="137">
        <v>38001</v>
      </c>
      <c r="L37" s="137">
        <v>2502</v>
      </c>
      <c r="M37" s="138">
        <v>11582</v>
      </c>
    </row>
    <row r="38" spans="1:13" s="130" customFormat="1" ht="22.5" x14ac:dyDescent="0.2">
      <c r="A38" s="122">
        <v>32</v>
      </c>
      <c r="B38" s="134" t="s">
        <v>281</v>
      </c>
      <c r="C38" s="124">
        <f t="shared" si="0"/>
        <v>164471</v>
      </c>
      <c r="D38" s="125">
        <f t="shared" si="1"/>
        <v>118009</v>
      </c>
      <c r="E38" s="135">
        <v>26843</v>
      </c>
      <c r="F38" s="135">
        <v>13837</v>
      </c>
      <c r="G38" s="135">
        <v>4163</v>
      </c>
      <c r="H38" s="135">
        <v>36526</v>
      </c>
      <c r="I38" s="136">
        <v>36640</v>
      </c>
      <c r="J38" s="125">
        <f t="shared" si="2"/>
        <v>46462</v>
      </c>
      <c r="K38" s="137">
        <v>28926</v>
      </c>
      <c r="L38" s="137">
        <v>1672</v>
      </c>
      <c r="M38" s="138">
        <v>15864</v>
      </c>
    </row>
    <row r="39" spans="1:13" s="130" customFormat="1" ht="22.5" x14ac:dyDescent="0.2">
      <c r="A39" s="122">
        <v>33</v>
      </c>
      <c r="B39" s="134" t="s">
        <v>282</v>
      </c>
      <c r="C39" s="124">
        <f t="shared" si="0"/>
        <v>146341</v>
      </c>
      <c r="D39" s="125">
        <f t="shared" si="1"/>
        <v>92608</v>
      </c>
      <c r="E39" s="135">
        <v>36744</v>
      </c>
      <c r="F39" s="135">
        <v>13614</v>
      </c>
      <c r="G39" s="135">
        <v>3679</v>
      </c>
      <c r="H39" s="135">
        <v>38571</v>
      </c>
      <c r="I39" s="140">
        <v>0</v>
      </c>
      <c r="J39" s="125">
        <f t="shared" si="2"/>
        <v>53733</v>
      </c>
      <c r="K39" s="137">
        <v>24766</v>
      </c>
      <c r="L39" s="137">
        <v>11591</v>
      </c>
      <c r="M39" s="138">
        <v>17376</v>
      </c>
    </row>
    <row r="40" spans="1:13" s="130" customFormat="1" ht="22.5" x14ac:dyDescent="0.2">
      <c r="A40" s="427">
        <v>34</v>
      </c>
      <c r="B40" s="134" t="s">
        <v>283</v>
      </c>
      <c r="C40" s="124">
        <f t="shared" si="0"/>
        <v>83042</v>
      </c>
      <c r="D40" s="125">
        <f t="shared" si="1"/>
        <v>47570</v>
      </c>
      <c r="E40" s="135">
        <v>20117</v>
      </c>
      <c r="F40" s="135">
        <v>5538</v>
      </c>
      <c r="G40" s="135">
        <v>1708</v>
      </c>
      <c r="H40" s="135">
        <v>20207</v>
      </c>
      <c r="I40" s="140">
        <v>0</v>
      </c>
      <c r="J40" s="125">
        <f t="shared" si="2"/>
        <v>35472</v>
      </c>
      <c r="K40" s="137">
        <v>10371</v>
      </c>
      <c r="L40" s="137">
        <v>6543</v>
      </c>
      <c r="M40" s="138">
        <v>18558</v>
      </c>
    </row>
    <row r="41" spans="1:13" s="130" customFormat="1" ht="56.25" x14ac:dyDescent="0.2">
      <c r="A41" s="427"/>
      <c r="B41" s="143" t="s">
        <v>284</v>
      </c>
      <c r="C41" s="124">
        <f t="shared" si="0"/>
        <v>102385</v>
      </c>
      <c r="D41" s="125">
        <f t="shared" si="1"/>
        <v>59018</v>
      </c>
      <c r="E41" s="135">
        <v>23709</v>
      </c>
      <c r="F41" s="135">
        <v>7627</v>
      </c>
      <c r="G41" s="135">
        <v>2496</v>
      </c>
      <c r="H41" s="135">
        <v>25186</v>
      </c>
      <c r="I41" s="140">
        <v>0</v>
      </c>
      <c r="J41" s="125">
        <f t="shared" si="2"/>
        <v>43367</v>
      </c>
      <c r="K41" s="137">
        <v>12267</v>
      </c>
      <c r="L41" s="137">
        <v>11282</v>
      </c>
      <c r="M41" s="138">
        <v>19818</v>
      </c>
    </row>
    <row r="42" spans="1:13" s="130" customFormat="1" ht="33.75" x14ac:dyDescent="0.2">
      <c r="A42" s="122">
        <v>35</v>
      </c>
      <c r="B42" s="134" t="s">
        <v>285</v>
      </c>
      <c r="C42" s="124">
        <f t="shared" si="0"/>
        <v>1600</v>
      </c>
      <c r="D42" s="125">
        <f t="shared" si="1"/>
        <v>0</v>
      </c>
      <c r="E42" s="139">
        <v>0</v>
      </c>
      <c r="F42" s="139">
        <v>0</v>
      </c>
      <c r="G42" s="139">
        <v>0</v>
      </c>
      <c r="H42" s="139">
        <v>0</v>
      </c>
      <c r="I42" s="140">
        <v>0</v>
      </c>
      <c r="J42" s="125">
        <f t="shared" si="2"/>
        <v>1600</v>
      </c>
      <c r="K42" s="137">
        <v>1600</v>
      </c>
      <c r="L42" s="141">
        <v>0</v>
      </c>
      <c r="M42" s="144">
        <v>0</v>
      </c>
    </row>
    <row r="43" spans="1:13" s="130" customFormat="1" ht="22.5" x14ac:dyDescent="0.2">
      <c r="A43" s="122">
        <v>36</v>
      </c>
      <c r="B43" s="134" t="s">
        <v>286</v>
      </c>
      <c r="C43" s="124">
        <f t="shared" si="0"/>
        <v>156916</v>
      </c>
      <c r="D43" s="125">
        <f t="shared" si="1"/>
        <v>107309</v>
      </c>
      <c r="E43" s="135">
        <v>67686</v>
      </c>
      <c r="F43" s="139">
        <v>295</v>
      </c>
      <c r="G43" s="139">
        <v>0</v>
      </c>
      <c r="H43" s="135">
        <v>28113</v>
      </c>
      <c r="I43" s="136">
        <v>11215</v>
      </c>
      <c r="J43" s="125">
        <f t="shared" si="2"/>
        <v>49607</v>
      </c>
      <c r="K43" s="137">
        <v>6952</v>
      </c>
      <c r="L43" s="137">
        <v>4500</v>
      </c>
      <c r="M43" s="138">
        <v>38155</v>
      </c>
    </row>
    <row r="44" spans="1:13" s="130" customFormat="1" ht="22.5" x14ac:dyDescent="0.2">
      <c r="A44" s="122">
        <v>37</v>
      </c>
      <c r="B44" s="134" t="s">
        <v>287</v>
      </c>
      <c r="C44" s="124">
        <f t="shared" si="0"/>
        <v>12000</v>
      </c>
      <c r="D44" s="125">
        <f t="shared" si="1"/>
        <v>0</v>
      </c>
      <c r="E44" s="139">
        <v>0</v>
      </c>
      <c r="F44" s="139">
        <v>0</v>
      </c>
      <c r="G44" s="139">
        <v>0</v>
      </c>
      <c r="H44" s="139">
        <v>0</v>
      </c>
      <c r="I44" s="140">
        <v>0</v>
      </c>
      <c r="J44" s="125">
        <f t="shared" si="2"/>
        <v>12000</v>
      </c>
      <c r="K44" s="137">
        <v>9900</v>
      </c>
      <c r="L44" s="137">
        <v>2000</v>
      </c>
      <c r="M44" s="144">
        <v>100</v>
      </c>
    </row>
    <row r="45" spans="1:13" s="130" customFormat="1" x14ac:dyDescent="0.2">
      <c r="A45" s="122">
        <v>38</v>
      </c>
      <c r="B45" s="134" t="s">
        <v>288</v>
      </c>
      <c r="C45" s="124">
        <f t="shared" si="0"/>
        <v>10266</v>
      </c>
      <c r="D45" s="125">
        <f t="shared" si="1"/>
        <v>0</v>
      </c>
      <c r="E45" s="139">
        <v>0</v>
      </c>
      <c r="F45" s="139">
        <v>0</v>
      </c>
      <c r="G45" s="139">
        <v>0</v>
      </c>
      <c r="H45" s="139">
        <v>0</v>
      </c>
      <c r="I45" s="140">
        <v>0</v>
      </c>
      <c r="J45" s="125">
        <f t="shared" si="2"/>
        <v>10266</v>
      </c>
      <c r="K45" s="137">
        <v>8306</v>
      </c>
      <c r="L45" s="141">
        <v>0</v>
      </c>
      <c r="M45" s="138">
        <v>1960</v>
      </c>
    </row>
    <row r="46" spans="1:13" s="130" customFormat="1" x14ac:dyDescent="0.2">
      <c r="A46" s="429">
        <v>39</v>
      </c>
      <c r="B46" s="134" t="s">
        <v>73</v>
      </c>
      <c r="C46" s="124">
        <f t="shared" si="0"/>
        <v>234702</v>
      </c>
      <c r="D46" s="125">
        <f t="shared" si="1"/>
        <v>161698</v>
      </c>
      <c r="E46" s="135">
        <v>41808</v>
      </c>
      <c r="F46" s="135">
        <v>26907</v>
      </c>
      <c r="G46" s="135">
        <v>7156</v>
      </c>
      <c r="H46" s="135">
        <v>63695</v>
      </c>
      <c r="I46" s="136">
        <v>22132</v>
      </c>
      <c r="J46" s="125">
        <f t="shared" si="2"/>
        <v>73004</v>
      </c>
      <c r="K46" s="137">
        <v>46524</v>
      </c>
      <c r="L46" s="137">
        <v>9684</v>
      </c>
      <c r="M46" s="138">
        <v>16796</v>
      </c>
    </row>
    <row r="47" spans="1:13" s="130" customFormat="1" ht="56.25" x14ac:dyDescent="0.2">
      <c r="A47" s="430"/>
      <c r="B47" s="143" t="s">
        <v>289</v>
      </c>
      <c r="C47" s="124">
        <f t="shared" si="0"/>
        <v>77338</v>
      </c>
      <c r="D47" s="125">
        <f t="shared" si="1"/>
        <v>58533</v>
      </c>
      <c r="E47" s="135">
        <v>43201</v>
      </c>
      <c r="F47" s="139">
        <v>200</v>
      </c>
      <c r="G47" s="139">
        <v>0</v>
      </c>
      <c r="H47" s="135">
        <v>15132</v>
      </c>
      <c r="I47" s="140">
        <v>0</v>
      </c>
      <c r="J47" s="125">
        <f t="shared" si="2"/>
        <v>18805</v>
      </c>
      <c r="K47" s="137">
        <v>2009</v>
      </c>
      <c r="L47" s="137">
        <v>1000</v>
      </c>
      <c r="M47" s="138">
        <v>15796</v>
      </c>
    </row>
    <row r="48" spans="1:13" s="130" customFormat="1" ht="33.75" x14ac:dyDescent="0.2">
      <c r="A48" s="431"/>
      <c r="B48" s="146" t="s">
        <v>290</v>
      </c>
      <c r="C48" s="124">
        <f t="shared" si="0"/>
        <v>11000</v>
      </c>
      <c r="D48" s="125">
        <f t="shared" si="1"/>
        <v>0</v>
      </c>
      <c r="E48" s="139">
        <v>0</v>
      </c>
      <c r="F48" s="139">
        <v>0</v>
      </c>
      <c r="G48" s="139">
        <v>0</v>
      </c>
      <c r="H48" s="139">
        <v>0</v>
      </c>
      <c r="I48" s="140">
        <v>0</v>
      </c>
      <c r="J48" s="125">
        <f t="shared" si="2"/>
        <v>11000</v>
      </c>
      <c r="K48" s="137">
        <v>8443</v>
      </c>
      <c r="L48" s="141">
        <v>0</v>
      </c>
      <c r="M48" s="138">
        <v>2557</v>
      </c>
    </row>
    <row r="49" spans="1:14" s="98" customFormat="1" ht="22.5" x14ac:dyDescent="0.2">
      <c r="A49" s="122">
        <v>40</v>
      </c>
      <c r="B49" s="134" t="s">
        <v>291</v>
      </c>
      <c r="C49" s="124">
        <f t="shared" si="0"/>
        <v>16800</v>
      </c>
      <c r="D49" s="125">
        <f t="shared" si="1"/>
        <v>0</v>
      </c>
      <c r="E49" s="139">
        <v>0</v>
      </c>
      <c r="F49" s="139">
        <v>0</v>
      </c>
      <c r="G49" s="139">
        <v>0</v>
      </c>
      <c r="H49" s="139">
        <v>0</v>
      </c>
      <c r="I49" s="140">
        <v>0</v>
      </c>
      <c r="J49" s="125">
        <f t="shared" si="2"/>
        <v>16800</v>
      </c>
      <c r="K49" s="137">
        <v>5737</v>
      </c>
      <c r="L49" s="137">
        <v>8456</v>
      </c>
      <c r="M49" s="138">
        <v>2607</v>
      </c>
      <c r="N49" s="130"/>
    </row>
    <row r="50" spans="1:14" s="130" customFormat="1" x14ac:dyDescent="0.2">
      <c r="A50" s="122">
        <v>41</v>
      </c>
      <c r="B50" s="134" t="s">
        <v>292</v>
      </c>
      <c r="C50" s="124">
        <f t="shared" si="0"/>
        <v>11900</v>
      </c>
      <c r="D50" s="125">
        <f t="shared" si="1"/>
        <v>0</v>
      </c>
      <c r="E50" s="139">
        <v>0</v>
      </c>
      <c r="F50" s="139">
        <v>0</v>
      </c>
      <c r="G50" s="139">
        <v>0</v>
      </c>
      <c r="H50" s="139">
        <v>0</v>
      </c>
      <c r="I50" s="140">
        <v>0</v>
      </c>
      <c r="J50" s="125">
        <f t="shared" si="2"/>
        <v>11900</v>
      </c>
      <c r="K50" s="137">
        <v>8089</v>
      </c>
      <c r="L50" s="141">
        <v>0</v>
      </c>
      <c r="M50" s="138">
        <v>3811</v>
      </c>
    </row>
    <row r="51" spans="1:14" s="130" customFormat="1" x14ac:dyDescent="0.2">
      <c r="A51" s="427">
        <v>42</v>
      </c>
      <c r="B51" s="134" t="s">
        <v>74</v>
      </c>
      <c r="C51" s="124">
        <f t="shared" si="0"/>
        <v>177604</v>
      </c>
      <c r="D51" s="125">
        <f t="shared" si="1"/>
        <v>110214</v>
      </c>
      <c r="E51" s="135">
        <v>35147</v>
      </c>
      <c r="F51" s="135">
        <v>13441</v>
      </c>
      <c r="G51" s="135">
        <v>2983</v>
      </c>
      <c r="H51" s="135">
        <v>38595</v>
      </c>
      <c r="I51" s="136">
        <v>20048</v>
      </c>
      <c r="J51" s="125">
        <f t="shared" si="2"/>
        <v>67390</v>
      </c>
      <c r="K51" s="137">
        <v>43627</v>
      </c>
      <c r="L51" s="137">
        <v>4107</v>
      </c>
      <c r="M51" s="138">
        <v>19656</v>
      </c>
    </row>
    <row r="52" spans="1:14" s="130" customFormat="1" ht="56.25" x14ac:dyDescent="0.2">
      <c r="A52" s="427"/>
      <c r="B52" s="143" t="s">
        <v>293</v>
      </c>
      <c r="C52" s="124">
        <f t="shared" si="0"/>
        <v>60867</v>
      </c>
      <c r="D52" s="125">
        <f t="shared" si="1"/>
        <v>34066</v>
      </c>
      <c r="E52" s="135">
        <v>12894</v>
      </c>
      <c r="F52" s="135">
        <v>4658</v>
      </c>
      <c r="G52" s="135">
        <v>1336</v>
      </c>
      <c r="H52" s="135">
        <v>15178</v>
      </c>
      <c r="I52" s="140">
        <v>0</v>
      </c>
      <c r="J52" s="125">
        <f t="shared" si="2"/>
        <v>26801</v>
      </c>
      <c r="K52" s="137">
        <v>19888</v>
      </c>
      <c r="L52" s="141">
        <v>50</v>
      </c>
      <c r="M52" s="138">
        <v>6863</v>
      </c>
    </row>
    <row r="53" spans="1:14" s="130" customFormat="1" x14ac:dyDescent="0.2">
      <c r="A53" s="122">
        <v>43</v>
      </c>
      <c r="B53" s="134" t="s">
        <v>19</v>
      </c>
      <c r="C53" s="124">
        <f t="shared" si="0"/>
        <v>224091</v>
      </c>
      <c r="D53" s="125">
        <f t="shared" si="1"/>
        <v>131587</v>
      </c>
      <c r="E53" s="135">
        <v>47565</v>
      </c>
      <c r="F53" s="135">
        <v>18134</v>
      </c>
      <c r="G53" s="135">
        <v>4767</v>
      </c>
      <c r="H53" s="135">
        <v>53992</v>
      </c>
      <c r="I53" s="136">
        <v>7129</v>
      </c>
      <c r="J53" s="125">
        <f t="shared" si="2"/>
        <v>92504</v>
      </c>
      <c r="K53" s="137">
        <v>41706</v>
      </c>
      <c r="L53" s="137">
        <v>23045</v>
      </c>
      <c r="M53" s="138">
        <v>27753</v>
      </c>
    </row>
    <row r="54" spans="1:14" s="130" customFormat="1" x14ac:dyDescent="0.2">
      <c r="A54" s="122">
        <v>44</v>
      </c>
      <c r="B54" s="134" t="s">
        <v>20</v>
      </c>
      <c r="C54" s="124">
        <f t="shared" si="0"/>
        <v>215012</v>
      </c>
      <c r="D54" s="125">
        <f t="shared" si="1"/>
        <v>127277</v>
      </c>
      <c r="E54" s="135">
        <v>52263</v>
      </c>
      <c r="F54" s="135">
        <v>17814</v>
      </c>
      <c r="G54" s="135">
        <v>4435</v>
      </c>
      <c r="H54" s="135">
        <v>52765</v>
      </c>
      <c r="I54" s="140">
        <v>0</v>
      </c>
      <c r="J54" s="125">
        <f t="shared" si="2"/>
        <v>87735</v>
      </c>
      <c r="K54" s="137">
        <v>56894</v>
      </c>
      <c r="L54" s="137">
        <v>1650</v>
      </c>
      <c r="M54" s="138">
        <v>29191</v>
      </c>
    </row>
    <row r="55" spans="1:14" s="130" customFormat="1" x14ac:dyDescent="0.2">
      <c r="A55" s="122">
        <v>45</v>
      </c>
      <c r="B55" s="134" t="s">
        <v>21</v>
      </c>
      <c r="C55" s="124">
        <f t="shared" si="0"/>
        <v>60584</v>
      </c>
      <c r="D55" s="125">
        <f t="shared" si="1"/>
        <v>40020</v>
      </c>
      <c r="E55" s="135">
        <v>16792</v>
      </c>
      <c r="F55" s="135">
        <v>5451</v>
      </c>
      <c r="G55" s="135">
        <v>1395</v>
      </c>
      <c r="H55" s="135">
        <v>16382</v>
      </c>
      <c r="I55" s="140">
        <v>0</v>
      </c>
      <c r="J55" s="125">
        <f t="shared" si="2"/>
        <v>20564</v>
      </c>
      <c r="K55" s="137">
        <v>9493</v>
      </c>
      <c r="L55" s="137">
        <v>2031</v>
      </c>
      <c r="M55" s="138">
        <v>9040</v>
      </c>
    </row>
    <row r="56" spans="1:14" s="130" customFormat="1" x14ac:dyDescent="0.2">
      <c r="A56" s="122">
        <v>46</v>
      </c>
      <c r="B56" s="134" t="s">
        <v>22</v>
      </c>
      <c r="C56" s="124">
        <f t="shared" si="0"/>
        <v>78778</v>
      </c>
      <c r="D56" s="125">
        <f t="shared" si="1"/>
        <v>45632</v>
      </c>
      <c r="E56" s="135">
        <v>18913</v>
      </c>
      <c r="F56" s="135">
        <v>5509</v>
      </c>
      <c r="G56" s="135">
        <v>1109</v>
      </c>
      <c r="H56" s="135">
        <v>20101</v>
      </c>
      <c r="I56" s="140">
        <v>0</v>
      </c>
      <c r="J56" s="125">
        <f t="shared" si="2"/>
        <v>33146</v>
      </c>
      <c r="K56" s="137">
        <v>17586</v>
      </c>
      <c r="L56" s="141">
        <v>525</v>
      </c>
      <c r="M56" s="138">
        <v>15035</v>
      </c>
    </row>
    <row r="57" spans="1:14" s="98" customFormat="1" x14ac:dyDescent="0.2">
      <c r="A57" s="122">
        <v>47</v>
      </c>
      <c r="B57" s="134" t="s">
        <v>23</v>
      </c>
      <c r="C57" s="124">
        <f t="shared" si="0"/>
        <v>70792</v>
      </c>
      <c r="D57" s="125">
        <f t="shared" si="1"/>
        <v>41993</v>
      </c>
      <c r="E57" s="135">
        <v>16393</v>
      </c>
      <c r="F57" s="135">
        <v>5998</v>
      </c>
      <c r="G57" s="135">
        <v>1201</v>
      </c>
      <c r="H57" s="135">
        <v>18401</v>
      </c>
      <c r="I57" s="140">
        <v>0</v>
      </c>
      <c r="J57" s="125">
        <f t="shared" si="2"/>
        <v>28799</v>
      </c>
      <c r="K57" s="137">
        <v>16050</v>
      </c>
      <c r="L57" s="137">
        <v>3869</v>
      </c>
      <c r="M57" s="138">
        <v>8880</v>
      </c>
      <c r="N57" s="130"/>
    </row>
    <row r="58" spans="1:14" s="130" customFormat="1" x14ac:dyDescent="0.2">
      <c r="A58" s="122">
        <v>48</v>
      </c>
      <c r="B58" s="134" t="s">
        <v>24</v>
      </c>
      <c r="C58" s="124">
        <f t="shared" si="0"/>
        <v>46223</v>
      </c>
      <c r="D58" s="125">
        <f t="shared" si="1"/>
        <v>29545</v>
      </c>
      <c r="E58" s="135">
        <v>11752</v>
      </c>
      <c r="F58" s="135">
        <v>4589</v>
      </c>
      <c r="G58" s="135">
        <v>1122</v>
      </c>
      <c r="H58" s="135">
        <v>12082</v>
      </c>
      <c r="I58" s="140">
        <v>0</v>
      </c>
      <c r="J58" s="125">
        <f t="shared" si="2"/>
        <v>16678</v>
      </c>
      <c r="K58" s="137">
        <v>9271</v>
      </c>
      <c r="L58" s="141">
        <v>262</v>
      </c>
      <c r="M58" s="138">
        <v>7145</v>
      </c>
    </row>
    <row r="59" spans="1:14" s="130" customFormat="1" x14ac:dyDescent="0.2">
      <c r="A59" s="122">
        <v>49</v>
      </c>
      <c r="B59" s="134" t="s">
        <v>25</v>
      </c>
      <c r="C59" s="124">
        <f t="shared" si="0"/>
        <v>85085</v>
      </c>
      <c r="D59" s="125">
        <f t="shared" si="1"/>
        <v>48203</v>
      </c>
      <c r="E59" s="135">
        <v>17881</v>
      </c>
      <c r="F59" s="135">
        <v>7378</v>
      </c>
      <c r="G59" s="135">
        <v>1993</v>
      </c>
      <c r="H59" s="135">
        <v>20951</v>
      </c>
      <c r="I59" s="140">
        <v>0</v>
      </c>
      <c r="J59" s="125">
        <f t="shared" si="2"/>
        <v>36882</v>
      </c>
      <c r="K59" s="137">
        <v>25063</v>
      </c>
      <c r="L59" s="141">
        <v>0</v>
      </c>
      <c r="M59" s="138">
        <v>11819</v>
      </c>
    </row>
    <row r="60" spans="1:14" s="98" customFormat="1" x14ac:dyDescent="0.2">
      <c r="A60" s="122">
        <v>50</v>
      </c>
      <c r="B60" s="134" t="s">
        <v>26</v>
      </c>
      <c r="C60" s="124">
        <f t="shared" si="0"/>
        <v>38800</v>
      </c>
      <c r="D60" s="125">
        <f t="shared" si="1"/>
        <v>22613</v>
      </c>
      <c r="E60" s="135">
        <v>8620</v>
      </c>
      <c r="F60" s="135">
        <v>3589</v>
      </c>
      <c r="G60" s="139">
        <v>821</v>
      </c>
      <c r="H60" s="135">
        <v>9583</v>
      </c>
      <c r="I60" s="140">
        <v>0</v>
      </c>
      <c r="J60" s="125">
        <f t="shared" si="2"/>
        <v>16187</v>
      </c>
      <c r="K60" s="137">
        <v>10860</v>
      </c>
      <c r="L60" s="137">
        <v>1000</v>
      </c>
      <c r="M60" s="138">
        <v>4327</v>
      </c>
      <c r="N60" s="130"/>
    </row>
    <row r="61" spans="1:14" s="130" customFormat="1" ht="22.5" x14ac:dyDescent="0.2">
      <c r="A61" s="122">
        <v>51</v>
      </c>
      <c r="B61" s="134" t="s">
        <v>294</v>
      </c>
      <c r="C61" s="124">
        <f t="shared" si="0"/>
        <v>17094</v>
      </c>
      <c r="D61" s="125">
        <f t="shared" si="1"/>
        <v>11298</v>
      </c>
      <c r="E61" s="135">
        <v>3475</v>
      </c>
      <c r="F61" s="135">
        <v>2189</v>
      </c>
      <c r="G61" s="139">
        <v>515</v>
      </c>
      <c r="H61" s="135">
        <v>5119</v>
      </c>
      <c r="I61" s="140">
        <v>0</v>
      </c>
      <c r="J61" s="125">
        <f t="shared" si="2"/>
        <v>5796</v>
      </c>
      <c r="K61" s="137">
        <v>3342</v>
      </c>
      <c r="L61" s="141">
        <v>520</v>
      </c>
      <c r="M61" s="138">
        <v>1934</v>
      </c>
    </row>
    <row r="62" spans="1:14" s="130" customFormat="1" ht="22.5" x14ac:dyDescent="0.2">
      <c r="A62" s="122">
        <v>52</v>
      </c>
      <c r="B62" s="134" t="s">
        <v>57</v>
      </c>
      <c r="C62" s="124">
        <f t="shared" si="0"/>
        <v>11000</v>
      </c>
      <c r="D62" s="125">
        <f t="shared" si="1"/>
        <v>0</v>
      </c>
      <c r="E62" s="139">
        <v>0</v>
      </c>
      <c r="F62" s="139">
        <v>0</v>
      </c>
      <c r="G62" s="139">
        <v>0</v>
      </c>
      <c r="H62" s="139">
        <v>0</v>
      </c>
      <c r="I62" s="140">
        <v>0</v>
      </c>
      <c r="J62" s="125">
        <f t="shared" si="2"/>
        <v>11000</v>
      </c>
      <c r="K62" s="137">
        <v>8443</v>
      </c>
      <c r="L62" s="141">
        <v>0</v>
      </c>
      <c r="M62" s="138">
        <v>2557</v>
      </c>
    </row>
    <row r="63" spans="1:14" s="130" customFormat="1" x14ac:dyDescent="0.2">
      <c r="A63" s="122">
        <v>53</v>
      </c>
      <c r="B63" s="134" t="s">
        <v>295</v>
      </c>
      <c r="C63" s="124">
        <f t="shared" si="0"/>
        <v>31724</v>
      </c>
      <c r="D63" s="125">
        <f t="shared" si="1"/>
        <v>10138</v>
      </c>
      <c r="E63" s="139">
        <v>0</v>
      </c>
      <c r="F63" s="139">
        <v>0</v>
      </c>
      <c r="G63" s="139">
        <v>0</v>
      </c>
      <c r="H63" s="135">
        <v>10138</v>
      </c>
      <c r="I63" s="140">
        <v>0</v>
      </c>
      <c r="J63" s="125">
        <f t="shared" si="2"/>
        <v>21586</v>
      </c>
      <c r="K63" s="137">
        <v>15148</v>
      </c>
      <c r="L63" s="137">
        <v>1000</v>
      </c>
      <c r="M63" s="138">
        <v>5438</v>
      </c>
    </row>
    <row r="64" spans="1:14" s="130" customFormat="1" x14ac:dyDescent="0.2">
      <c r="A64" s="122">
        <v>54</v>
      </c>
      <c r="B64" s="123" t="s">
        <v>27</v>
      </c>
      <c r="C64" s="124">
        <f t="shared" si="0"/>
        <v>332134</v>
      </c>
      <c r="D64" s="125">
        <f t="shared" si="1"/>
        <v>205015</v>
      </c>
      <c r="E64" s="135">
        <v>85154</v>
      </c>
      <c r="F64" s="135">
        <v>26118</v>
      </c>
      <c r="G64" s="135">
        <v>7380</v>
      </c>
      <c r="H64" s="135">
        <v>81642</v>
      </c>
      <c r="I64" s="136">
        <v>4721</v>
      </c>
      <c r="J64" s="125">
        <f t="shared" si="2"/>
        <v>127119</v>
      </c>
      <c r="K64" s="137">
        <v>78162</v>
      </c>
      <c r="L64" s="137">
        <v>12112</v>
      </c>
      <c r="M64" s="138">
        <v>36845</v>
      </c>
    </row>
    <row r="65" spans="1:13" s="130" customFormat="1" x14ac:dyDescent="0.2">
      <c r="A65" s="122">
        <v>55</v>
      </c>
      <c r="B65" s="134" t="s">
        <v>28</v>
      </c>
      <c r="C65" s="124">
        <f t="shared" si="0"/>
        <v>238257</v>
      </c>
      <c r="D65" s="125">
        <f t="shared" si="1"/>
        <v>133184</v>
      </c>
      <c r="E65" s="135">
        <v>52963</v>
      </c>
      <c r="F65" s="135">
        <v>18461</v>
      </c>
      <c r="G65" s="135">
        <v>3858</v>
      </c>
      <c r="H65" s="135">
        <v>57902</v>
      </c>
      <c r="I65" s="140">
        <v>0</v>
      </c>
      <c r="J65" s="125">
        <f t="shared" si="2"/>
        <v>105073</v>
      </c>
      <c r="K65" s="137">
        <v>66557</v>
      </c>
      <c r="L65" s="137">
        <v>2699</v>
      </c>
      <c r="M65" s="138">
        <v>35817</v>
      </c>
    </row>
    <row r="66" spans="1:13" s="130" customFormat="1" x14ac:dyDescent="0.2">
      <c r="A66" s="122">
        <v>56</v>
      </c>
      <c r="B66" s="123" t="s">
        <v>296</v>
      </c>
      <c r="C66" s="124">
        <f t="shared" si="0"/>
        <v>302146</v>
      </c>
      <c r="D66" s="125">
        <f t="shared" si="1"/>
        <v>199900</v>
      </c>
      <c r="E66" s="135">
        <v>69350</v>
      </c>
      <c r="F66" s="135">
        <v>20041</v>
      </c>
      <c r="G66" s="135">
        <v>5846</v>
      </c>
      <c r="H66" s="135">
        <v>65696</v>
      </c>
      <c r="I66" s="136">
        <v>38967</v>
      </c>
      <c r="J66" s="125">
        <f t="shared" si="2"/>
        <v>102246</v>
      </c>
      <c r="K66" s="137">
        <v>60935</v>
      </c>
      <c r="L66" s="137">
        <v>2729</v>
      </c>
      <c r="M66" s="138">
        <v>38582</v>
      </c>
    </row>
    <row r="67" spans="1:13" s="130" customFormat="1" ht="22.5" x14ac:dyDescent="0.2">
      <c r="A67" s="122">
        <v>57</v>
      </c>
      <c r="B67" s="123" t="s">
        <v>297</v>
      </c>
      <c r="C67" s="124">
        <f t="shared" si="0"/>
        <v>11200</v>
      </c>
      <c r="D67" s="125">
        <f t="shared" si="1"/>
        <v>0</v>
      </c>
      <c r="E67" s="139">
        <v>0</v>
      </c>
      <c r="F67" s="139">
        <v>0</v>
      </c>
      <c r="G67" s="139">
        <v>0</v>
      </c>
      <c r="H67" s="139">
        <v>0</v>
      </c>
      <c r="I67" s="140">
        <v>0</v>
      </c>
      <c r="J67" s="125">
        <f t="shared" si="2"/>
        <v>11200</v>
      </c>
      <c r="K67" s="137">
        <v>6279</v>
      </c>
      <c r="L67" s="137">
        <v>3844</v>
      </c>
      <c r="M67" s="138">
        <v>1077</v>
      </c>
    </row>
    <row r="68" spans="1:13" s="130" customFormat="1" x14ac:dyDescent="0.2">
      <c r="A68" s="122">
        <v>58</v>
      </c>
      <c r="B68" s="134" t="s">
        <v>29</v>
      </c>
      <c r="C68" s="124">
        <f t="shared" si="0"/>
        <v>102212</v>
      </c>
      <c r="D68" s="125">
        <f t="shared" si="1"/>
        <v>57289</v>
      </c>
      <c r="E68" s="135">
        <v>21912</v>
      </c>
      <c r="F68" s="135">
        <v>8040</v>
      </c>
      <c r="G68" s="135">
        <v>2149</v>
      </c>
      <c r="H68" s="135">
        <v>25188</v>
      </c>
      <c r="I68" s="140">
        <v>0</v>
      </c>
      <c r="J68" s="125">
        <f t="shared" si="2"/>
        <v>44923</v>
      </c>
      <c r="K68" s="137">
        <v>28217</v>
      </c>
      <c r="L68" s="141">
        <v>20</v>
      </c>
      <c r="M68" s="138">
        <v>16686</v>
      </c>
    </row>
    <row r="69" spans="1:13" s="130" customFormat="1" x14ac:dyDescent="0.2">
      <c r="A69" s="122">
        <v>59</v>
      </c>
      <c r="B69" s="123" t="s">
        <v>30</v>
      </c>
      <c r="C69" s="124">
        <f t="shared" si="0"/>
        <v>68573</v>
      </c>
      <c r="D69" s="125">
        <f t="shared" si="1"/>
        <v>39685</v>
      </c>
      <c r="E69" s="135">
        <v>15007</v>
      </c>
      <c r="F69" s="135">
        <v>6041</v>
      </c>
      <c r="G69" s="135">
        <v>1758</v>
      </c>
      <c r="H69" s="135">
        <v>16879</v>
      </c>
      <c r="I69" s="140">
        <v>0</v>
      </c>
      <c r="J69" s="125">
        <f t="shared" si="2"/>
        <v>28888</v>
      </c>
      <c r="K69" s="137">
        <v>16319</v>
      </c>
      <c r="L69" s="137">
        <v>2272</v>
      </c>
      <c r="M69" s="138">
        <v>10297</v>
      </c>
    </row>
    <row r="70" spans="1:13" s="130" customFormat="1" x14ac:dyDescent="0.2">
      <c r="A70" s="122">
        <v>60</v>
      </c>
      <c r="B70" s="134" t="s">
        <v>31</v>
      </c>
      <c r="C70" s="124">
        <f t="shared" si="0"/>
        <v>51765</v>
      </c>
      <c r="D70" s="125">
        <f t="shared" si="1"/>
        <v>32645</v>
      </c>
      <c r="E70" s="135">
        <v>12737</v>
      </c>
      <c r="F70" s="135">
        <v>5145</v>
      </c>
      <c r="G70" s="135">
        <v>1135</v>
      </c>
      <c r="H70" s="135">
        <v>13628</v>
      </c>
      <c r="I70" s="140">
        <v>0</v>
      </c>
      <c r="J70" s="125">
        <f t="shared" si="2"/>
        <v>19120</v>
      </c>
      <c r="K70" s="137">
        <v>14304</v>
      </c>
      <c r="L70" s="141">
        <v>0</v>
      </c>
      <c r="M70" s="138">
        <v>4816</v>
      </c>
    </row>
    <row r="71" spans="1:13" s="130" customFormat="1" x14ac:dyDescent="0.2">
      <c r="A71" s="122">
        <v>61</v>
      </c>
      <c r="B71" s="123" t="s">
        <v>32</v>
      </c>
      <c r="C71" s="124">
        <f t="shared" si="0"/>
        <v>75176</v>
      </c>
      <c r="D71" s="125">
        <f t="shared" si="1"/>
        <v>41493</v>
      </c>
      <c r="E71" s="135">
        <v>13439</v>
      </c>
      <c r="F71" s="135">
        <v>6350</v>
      </c>
      <c r="G71" s="135">
        <v>1848</v>
      </c>
      <c r="H71" s="135">
        <v>19856</v>
      </c>
      <c r="I71" s="140">
        <v>0</v>
      </c>
      <c r="J71" s="125">
        <f t="shared" si="2"/>
        <v>33683</v>
      </c>
      <c r="K71" s="137">
        <v>17438</v>
      </c>
      <c r="L71" s="141">
        <v>150</v>
      </c>
      <c r="M71" s="138">
        <v>16095</v>
      </c>
    </row>
    <row r="72" spans="1:13" s="130" customFormat="1" x14ac:dyDescent="0.2">
      <c r="A72" s="122">
        <v>62</v>
      </c>
      <c r="B72" s="134" t="s">
        <v>33</v>
      </c>
      <c r="C72" s="124">
        <f t="shared" si="0"/>
        <v>35336</v>
      </c>
      <c r="D72" s="125">
        <f t="shared" si="1"/>
        <v>21223</v>
      </c>
      <c r="E72" s="135">
        <v>8253</v>
      </c>
      <c r="F72" s="135">
        <v>3235</v>
      </c>
      <c r="G72" s="135">
        <v>1048</v>
      </c>
      <c r="H72" s="135">
        <v>8687</v>
      </c>
      <c r="I72" s="140">
        <v>0</v>
      </c>
      <c r="J72" s="125">
        <f t="shared" si="2"/>
        <v>14113</v>
      </c>
      <c r="K72" s="137">
        <v>10230</v>
      </c>
      <c r="L72" s="141">
        <v>760</v>
      </c>
      <c r="M72" s="138">
        <v>3123</v>
      </c>
    </row>
    <row r="73" spans="1:13" s="130" customFormat="1" x14ac:dyDescent="0.2">
      <c r="A73" s="122">
        <v>63</v>
      </c>
      <c r="B73" s="134" t="s">
        <v>34</v>
      </c>
      <c r="C73" s="124">
        <f t="shared" si="0"/>
        <v>68611</v>
      </c>
      <c r="D73" s="125">
        <f t="shared" si="1"/>
        <v>40496</v>
      </c>
      <c r="E73" s="135">
        <v>16156</v>
      </c>
      <c r="F73" s="135">
        <v>5993</v>
      </c>
      <c r="G73" s="135">
        <v>1847</v>
      </c>
      <c r="H73" s="135">
        <v>16500</v>
      </c>
      <c r="I73" s="140">
        <v>0</v>
      </c>
      <c r="J73" s="125">
        <f t="shared" si="2"/>
        <v>28115</v>
      </c>
      <c r="K73" s="137">
        <v>16122</v>
      </c>
      <c r="L73" s="137">
        <v>3037</v>
      </c>
      <c r="M73" s="138">
        <v>8956</v>
      </c>
    </row>
    <row r="74" spans="1:13" s="130" customFormat="1" x14ac:dyDescent="0.2">
      <c r="A74" s="122">
        <v>64</v>
      </c>
      <c r="B74" s="134" t="s">
        <v>35</v>
      </c>
      <c r="C74" s="124">
        <f t="shared" ref="C74:C137" si="3">D74+J74</f>
        <v>98859</v>
      </c>
      <c r="D74" s="125">
        <f t="shared" ref="D74:D137" si="4">E74+F74+G74+H74+I74</f>
        <v>59507</v>
      </c>
      <c r="E74" s="135">
        <v>23936</v>
      </c>
      <c r="F74" s="135">
        <v>8864</v>
      </c>
      <c r="G74" s="135">
        <v>2114</v>
      </c>
      <c r="H74" s="135">
        <v>24593</v>
      </c>
      <c r="I74" s="140">
        <v>0</v>
      </c>
      <c r="J74" s="125">
        <f t="shared" ref="J74:J137" si="5">K74+L74+M74</f>
        <v>39352</v>
      </c>
      <c r="K74" s="137">
        <v>28467</v>
      </c>
      <c r="L74" s="137">
        <v>2861</v>
      </c>
      <c r="M74" s="138">
        <v>8024</v>
      </c>
    </row>
    <row r="75" spans="1:13" s="130" customFormat="1" x14ac:dyDescent="0.2">
      <c r="A75" s="122">
        <v>65</v>
      </c>
      <c r="B75" s="123" t="s">
        <v>36</v>
      </c>
      <c r="C75" s="124">
        <f t="shared" si="3"/>
        <v>51511</v>
      </c>
      <c r="D75" s="125">
        <f t="shared" si="4"/>
        <v>31906</v>
      </c>
      <c r="E75" s="135">
        <v>12790</v>
      </c>
      <c r="F75" s="135">
        <v>4615</v>
      </c>
      <c r="G75" s="139">
        <v>998</v>
      </c>
      <c r="H75" s="135">
        <v>13503</v>
      </c>
      <c r="I75" s="140">
        <v>0</v>
      </c>
      <c r="J75" s="125">
        <f t="shared" si="5"/>
        <v>19605</v>
      </c>
      <c r="K75" s="137">
        <v>10499</v>
      </c>
      <c r="L75" s="137">
        <v>1000</v>
      </c>
      <c r="M75" s="138">
        <v>8106</v>
      </c>
    </row>
    <row r="76" spans="1:13" s="130" customFormat="1" ht="22.5" x14ac:dyDescent="0.2">
      <c r="A76" s="122">
        <v>66</v>
      </c>
      <c r="B76" s="134" t="s">
        <v>298</v>
      </c>
      <c r="C76" s="124">
        <f t="shared" si="3"/>
        <v>107</v>
      </c>
      <c r="D76" s="125">
        <f t="shared" si="4"/>
        <v>0</v>
      </c>
      <c r="E76" s="139">
        <v>0</v>
      </c>
      <c r="F76" s="139">
        <v>0</v>
      </c>
      <c r="G76" s="139">
        <v>0</v>
      </c>
      <c r="H76" s="139">
        <v>0</v>
      </c>
      <c r="I76" s="140">
        <v>0</v>
      </c>
      <c r="J76" s="125">
        <f t="shared" si="5"/>
        <v>107</v>
      </c>
      <c r="K76" s="141">
        <v>97</v>
      </c>
      <c r="L76" s="141">
        <v>0</v>
      </c>
      <c r="M76" s="144">
        <v>10</v>
      </c>
    </row>
    <row r="77" spans="1:13" s="130" customFormat="1" ht="22.5" x14ac:dyDescent="0.2">
      <c r="A77" s="122">
        <v>67</v>
      </c>
      <c r="B77" s="134" t="s">
        <v>299</v>
      </c>
      <c r="C77" s="124">
        <f t="shared" si="3"/>
        <v>100</v>
      </c>
      <c r="D77" s="125">
        <f t="shared" si="4"/>
        <v>0</v>
      </c>
      <c r="E77" s="139">
        <v>0</v>
      </c>
      <c r="F77" s="139">
        <v>0</v>
      </c>
      <c r="G77" s="139">
        <v>0</v>
      </c>
      <c r="H77" s="139">
        <v>0</v>
      </c>
      <c r="I77" s="140">
        <v>0</v>
      </c>
      <c r="J77" s="125">
        <f t="shared" si="5"/>
        <v>100</v>
      </c>
      <c r="K77" s="141">
        <v>63</v>
      </c>
      <c r="L77" s="141">
        <v>0</v>
      </c>
      <c r="M77" s="144">
        <v>37</v>
      </c>
    </row>
    <row r="78" spans="1:13" s="130" customFormat="1" x14ac:dyDescent="0.2">
      <c r="A78" s="122">
        <v>68</v>
      </c>
      <c r="B78" s="134" t="s">
        <v>300</v>
      </c>
      <c r="C78" s="124">
        <f t="shared" si="3"/>
        <v>85</v>
      </c>
      <c r="D78" s="125">
        <f t="shared" si="4"/>
        <v>0</v>
      </c>
      <c r="E78" s="139">
        <v>0</v>
      </c>
      <c r="F78" s="139">
        <v>0</v>
      </c>
      <c r="G78" s="139">
        <v>0</v>
      </c>
      <c r="H78" s="139">
        <v>0</v>
      </c>
      <c r="I78" s="140">
        <v>0</v>
      </c>
      <c r="J78" s="125">
        <f t="shared" si="5"/>
        <v>85</v>
      </c>
      <c r="K78" s="141">
        <v>79</v>
      </c>
      <c r="L78" s="141">
        <v>0</v>
      </c>
      <c r="M78" s="144">
        <v>6</v>
      </c>
    </row>
    <row r="79" spans="1:13" s="130" customFormat="1" ht="22.5" x14ac:dyDescent="0.2">
      <c r="A79" s="122">
        <v>69</v>
      </c>
      <c r="B79" s="134" t="s">
        <v>301</v>
      </c>
      <c r="C79" s="124">
        <f t="shared" si="3"/>
        <v>25</v>
      </c>
      <c r="D79" s="125">
        <f t="shared" si="4"/>
        <v>0</v>
      </c>
      <c r="E79" s="139">
        <v>0</v>
      </c>
      <c r="F79" s="139">
        <v>0</v>
      </c>
      <c r="G79" s="139">
        <v>0</v>
      </c>
      <c r="H79" s="139">
        <v>0</v>
      </c>
      <c r="I79" s="140">
        <v>0</v>
      </c>
      <c r="J79" s="125">
        <f t="shared" si="5"/>
        <v>25</v>
      </c>
      <c r="K79" s="141">
        <v>17</v>
      </c>
      <c r="L79" s="141">
        <v>0</v>
      </c>
      <c r="M79" s="144">
        <v>8</v>
      </c>
    </row>
    <row r="80" spans="1:13" s="130" customFormat="1" ht="22.5" x14ac:dyDescent="0.2">
      <c r="A80" s="122">
        <v>70</v>
      </c>
      <c r="B80" s="147" t="s">
        <v>302</v>
      </c>
      <c r="C80" s="124">
        <f t="shared" si="3"/>
        <v>136422</v>
      </c>
      <c r="D80" s="125">
        <f t="shared" si="4"/>
        <v>82501</v>
      </c>
      <c r="E80" s="135">
        <v>58418</v>
      </c>
      <c r="F80" s="139">
        <v>270</v>
      </c>
      <c r="G80" s="139">
        <v>0</v>
      </c>
      <c r="H80" s="135">
        <v>23813</v>
      </c>
      <c r="I80" s="140">
        <v>0</v>
      </c>
      <c r="J80" s="125">
        <f t="shared" si="5"/>
        <v>53921</v>
      </c>
      <c r="K80" s="137">
        <v>28840</v>
      </c>
      <c r="L80" s="141">
        <v>0</v>
      </c>
      <c r="M80" s="138">
        <v>25081</v>
      </c>
    </row>
    <row r="81" spans="1:13" s="130" customFormat="1" ht="22.5" x14ac:dyDescent="0.2">
      <c r="A81" s="122">
        <v>71</v>
      </c>
      <c r="B81" s="147" t="s">
        <v>303</v>
      </c>
      <c r="C81" s="124">
        <f t="shared" si="3"/>
        <v>122959</v>
      </c>
      <c r="D81" s="125">
        <f t="shared" si="4"/>
        <v>72812</v>
      </c>
      <c r="E81" s="135">
        <v>51948</v>
      </c>
      <c r="F81" s="139">
        <v>418</v>
      </c>
      <c r="G81" s="139">
        <v>0</v>
      </c>
      <c r="H81" s="135">
        <v>20446</v>
      </c>
      <c r="I81" s="140">
        <v>0</v>
      </c>
      <c r="J81" s="125">
        <f t="shared" si="5"/>
        <v>50147</v>
      </c>
      <c r="K81" s="137">
        <v>34239</v>
      </c>
      <c r="L81" s="141">
        <v>0</v>
      </c>
      <c r="M81" s="138">
        <v>15908</v>
      </c>
    </row>
    <row r="82" spans="1:13" s="130" customFormat="1" ht="22.5" x14ac:dyDescent="0.2">
      <c r="A82" s="122">
        <v>72</v>
      </c>
      <c r="B82" s="147" t="s">
        <v>304</v>
      </c>
      <c r="C82" s="124">
        <f t="shared" si="3"/>
        <v>163683</v>
      </c>
      <c r="D82" s="125">
        <f t="shared" si="4"/>
        <v>99572</v>
      </c>
      <c r="E82" s="135">
        <v>72103</v>
      </c>
      <c r="F82" s="139">
        <v>75</v>
      </c>
      <c r="G82" s="139">
        <v>0</v>
      </c>
      <c r="H82" s="135">
        <v>27394</v>
      </c>
      <c r="I82" s="140">
        <v>0</v>
      </c>
      <c r="J82" s="125">
        <f t="shared" si="5"/>
        <v>64111</v>
      </c>
      <c r="K82" s="137">
        <v>38294</v>
      </c>
      <c r="L82" s="141">
        <v>415</v>
      </c>
      <c r="M82" s="138">
        <v>25402</v>
      </c>
    </row>
    <row r="83" spans="1:13" s="130" customFormat="1" ht="22.5" x14ac:dyDescent="0.2">
      <c r="A83" s="122">
        <v>73</v>
      </c>
      <c r="B83" s="147" t="s">
        <v>305</v>
      </c>
      <c r="C83" s="124">
        <f t="shared" si="3"/>
        <v>191932</v>
      </c>
      <c r="D83" s="125">
        <f t="shared" si="4"/>
        <v>134273</v>
      </c>
      <c r="E83" s="135">
        <v>86765</v>
      </c>
      <c r="F83" s="139">
        <v>352</v>
      </c>
      <c r="G83" s="139">
        <v>0</v>
      </c>
      <c r="H83" s="135">
        <v>33512</v>
      </c>
      <c r="I83" s="136">
        <v>13644</v>
      </c>
      <c r="J83" s="125">
        <f t="shared" si="5"/>
        <v>57659</v>
      </c>
      <c r="K83" s="137">
        <v>8186</v>
      </c>
      <c r="L83" s="141">
        <v>0</v>
      </c>
      <c r="M83" s="138">
        <v>49473</v>
      </c>
    </row>
    <row r="84" spans="1:13" s="130" customFormat="1" ht="22.5" x14ac:dyDescent="0.2">
      <c r="A84" s="122">
        <v>74</v>
      </c>
      <c r="B84" s="147" t="s">
        <v>306</v>
      </c>
      <c r="C84" s="124">
        <f t="shared" si="3"/>
        <v>78860</v>
      </c>
      <c r="D84" s="125">
        <f t="shared" si="4"/>
        <v>44414</v>
      </c>
      <c r="E84" s="135">
        <v>31386</v>
      </c>
      <c r="F84" s="139">
        <v>105</v>
      </c>
      <c r="G84" s="139">
        <v>0</v>
      </c>
      <c r="H84" s="135">
        <v>12923</v>
      </c>
      <c r="I84" s="140">
        <v>0</v>
      </c>
      <c r="J84" s="125">
        <f t="shared" si="5"/>
        <v>34446</v>
      </c>
      <c r="K84" s="137">
        <v>19488</v>
      </c>
      <c r="L84" s="141">
        <v>0</v>
      </c>
      <c r="M84" s="138">
        <v>14958</v>
      </c>
    </row>
    <row r="85" spans="1:13" s="130" customFormat="1" ht="33.75" x14ac:dyDescent="0.2">
      <c r="A85" s="122">
        <v>75</v>
      </c>
      <c r="B85" s="147" t="s">
        <v>307</v>
      </c>
      <c r="C85" s="124">
        <f t="shared" si="3"/>
        <v>29413</v>
      </c>
      <c r="D85" s="125">
        <f t="shared" si="4"/>
        <v>0</v>
      </c>
      <c r="E85" s="139">
        <v>0</v>
      </c>
      <c r="F85" s="139">
        <v>0</v>
      </c>
      <c r="G85" s="139">
        <v>0</v>
      </c>
      <c r="H85" s="139">
        <v>0</v>
      </c>
      <c r="I85" s="140">
        <v>0</v>
      </c>
      <c r="J85" s="125">
        <f t="shared" si="5"/>
        <v>29413</v>
      </c>
      <c r="K85" s="137">
        <v>20313</v>
      </c>
      <c r="L85" s="137">
        <v>9000</v>
      </c>
      <c r="M85" s="144">
        <v>100</v>
      </c>
    </row>
    <row r="86" spans="1:13" s="130" customFormat="1" ht="33.75" x14ac:dyDescent="0.2">
      <c r="A86" s="122">
        <v>76</v>
      </c>
      <c r="B86" s="147" t="s">
        <v>308</v>
      </c>
      <c r="C86" s="124">
        <f t="shared" si="3"/>
        <v>31369</v>
      </c>
      <c r="D86" s="125">
        <f t="shared" si="4"/>
        <v>0</v>
      </c>
      <c r="E86" s="139">
        <v>0</v>
      </c>
      <c r="F86" s="139">
        <v>0</v>
      </c>
      <c r="G86" s="139">
        <v>0</v>
      </c>
      <c r="H86" s="139">
        <v>0</v>
      </c>
      <c r="I86" s="140">
        <v>0</v>
      </c>
      <c r="J86" s="125">
        <f t="shared" si="5"/>
        <v>31369</v>
      </c>
      <c r="K86" s="137">
        <v>16156</v>
      </c>
      <c r="L86" s="137">
        <v>14504</v>
      </c>
      <c r="M86" s="144">
        <v>709</v>
      </c>
    </row>
    <row r="87" spans="1:13" s="130" customFormat="1" ht="22.5" x14ac:dyDescent="0.2">
      <c r="A87" s="122">
        <v>77</v>
      </c>
      <c r="B87" s="147" t="s">
        <v>309</v>
      </c>
      <c r="C87" s="124">
        <f t="shared" si="3"/>
        <v>112167</v>
      </c>
      <c r="D87" s="125">
        <f t="shared" si="4"/>
        <v>77525</v>
      </c>
      <c r="E87" s="135">
        <v>15810</v>
      </c>
      <c r="F87" s="135">
        <v>13167</v>
      </c>
      <c r="G87" s="135">
        <v>1852</v>
      </c>
      <c r="H87" s="135">
        <v>46696</v>
      </c>
      <c r="I87" s="140">
        <v>0</v>
      </c>
      <c r="J87" s="125">
        <f t="shared" si="5"/>
        <v>34642</v>
      </c>
      <c r="K87" s="137">
        <v>24487</v>
      </c>
      <c r="L87" s="141">
        <v>350</v>
      </c>
      <c r="M87" s="138">
        <v>9805</v>
      </c>
    </row>
    <row r="88" spans="1:13" s="130" customFormat="1" ht="22.5" x14ac:dyDescent="0.2">
      <c r="A88" s="122">
        <v>78</v>
      </c>
      <c r="B88" s="147" t="s">
        <v>310</v>
      </c>
      <c r="C88" s="124">
        <f t="shared" si="3"/>
        <v>97129</v>
      </c>
      <c r="D88" s="125">
        <f t="shared" si="4"/>
        <v>73558</v>
      </c>
      <c r="E88" s="135">
        <v>18706</v>
      </c>
      <c r="F88" s="135">
        <v>10125</v>
      </c>
      <c r="G88" s="135">
        <v>2996</v>
      </c>
      <c r="H88" s="135">
        <v>26128</v>
      </c>
      <c r="I88" s="136">
        <v>15603</v>
      </c>
      <c r="J88" s="125">
        <f t="shared" si="5"/>
        <v>23571</v>
      </c>
      <c r="K88" s="137">
        <v>16773</v>
      </c>
      <c r="L88" s="141">
        <v>0</v>
      </c>
      <c r="M88" s="138">
        <v>6798</v>
      </c>
    </row>
    <row r="89" spans="1:13" s="130" customFormat="1" ht="22.5" x14ac:dyDescent="0.2">
      <c r="A89" s="122">
        <v>79</v>
      </c>
      <c r="B89" s="147" t="s">
        <v>311</v>
      </c>
      <c r="C89" s="124">
        <f t="shared" si="3"/>
        <v>79478</v>
      </c>
      <c r="D89" s="125">
        <f t="shared" si="4"/>
        <v>54017</v>
      </c>
      <c r="E89" s="135">
        <v>16247</v>
      </c>
      <c r="F89" s="135">
        <v>9919</v>
      </c>
      <c r="G89" s="135">
        <v>2729</v>
      </c>
      <c r="H89" s="135">
        <v>25122</v>
      </c>
      <c r="I89" s="140">
        <v>0</v>
      </c>
      <c r="J89" s="125">
        <f t="shared" si="5"/>
        <v>25461</v>
      </c>
      <c r="K89" s="137">
        <v>20143</v>
      </c>
      <c r="L89" s="141">
        <v>0</v>
      </c>
      <c r="M89" s="138">
        <v>5318</v>
      </c>
    </row>
    <row r="90" spans="1:13" s="130" customFormat="1" ht="22.5" x14ac:dyDescent="0.2">
      <c r="A90" s="122">
        <v>80</v>
      </c>
      <c r="B90" s="147" t="s">
        <v>312</v>
      </c>
      <c r="C90" s="124">
        <f t="shared" si="3"/>
        <v>83724</v>
      </c>
      <c r="D90" s="125">
        <f t="shared" si="4"/>
        <v>64033</v>
      </c>
      <c r="E90" s="135">
        <v>11524</v>
      </c>
      <c r="F90" s="135">
        <v>7249</v>
      </c>
      <c r="G90" s="135">
        <v>1751</v>
      </c>
      <c r="H90" s="135">
        <v>19557</v>
      </c>
      <c r="I90" s="136">
        <v>23952</v>
      </c>
      <c r="J90" s="125">
        <f t="shared" si="5"/>
        <v>19691</v>
      </c>
      <c r="K90" s="137">
        <v>12124</v>
      </c>
      <c r="L90" s="141">
        <v>0</v>
      </c>
      <c r="M90" s="138">
        <v>7567</v>
      </c>
    </row>
    <row r="91" spans="1:13" s="130" customFormat="1" ht="22.5" x14ac:dyDescent="0.2">
      <c r="A91" s="122">
        <v>81</v>
      </c>
      <c r="B91" s="147" t="s">
        <v>75</v>
      </c>
      <c r="C91" s="124">
        <f t="shared" si="3"/>
        <v>175906</v>
      </c>
      <c r="D91" s="125">
        <f t="shared" si="4"/>
        <v>100916</v>
      </c>
      <c r="E91" s="135">
        <v>31053</v>
      </c>
      <c r="F91" s="135">
        <v>16887</v>
      </c>
      <c r="G91" s="135">
        <v>4848</v>
      </c>
      <c r="H91" s="135">
        <v>48128</v>
      </c>
      <c r="I91" s="140">
        <v>0</v>
      </c>
      <c r="J91" s="125">
        <f t="shared" si="5"/>
        <v>74990</v>
      </c>
      <c r="K91" s="137">
        <v>47223</v>
      </c>
      <c r="L91" s="141">
        <v>0</v>
      </c>
      <c r="M91" s="138">
        <v>27767</v>
      </c>
    </row>
    <row r="92" spans="1:13" s="130" customFormat="1" ht="22.5" x14ac:dyDescent="0.2">
      <c r="A92" s="122">
        <v>82</v>
      </c>
      <c r="B92" s="147" t="s">
        <v>313</v>
      </c>
      <c r="C92" s="124">
        <f t="shared" si="3"/>
        <v>94201</v>
      </c>
      <c r="D92" s="125">
        <f t="shared" si="4"/>
        <v>56993</v>
      </c>
      <c r="E92" s="135">
        <v>18936</v>
      </c>
      <c r="F92" s="135">
        <v>9613</v>
      </c>
      <c r="G92" s="135">
        <v>2794</v>
      </c>
      <c r="H92" s="135">
        <v>25650</v>
      </c>
      <c r="I92" s="140">
        <v>0</v>
      </c>
      <c r="J92" s="125">
        <f t="shared" si="5"/>
        <v>37208</v>
      </c>
      <c r="K92" s="137">
        <v>25876</v>
      </c>
      <c r="L92" s="141">
        <v>0</v>
      </c>
      <c r="M92" s="138">
        <v>11332</v>
      </c>
    </row>
    <row r="93" spans="1:13" s="130" customFormat="1" ht="22.5" x14ac:dyDescent="0.2">
      <c r="A93" s="122">
        <v>83</v>
      </c>
      <c r="B93" s="147" t="s">
        <v>76</v>
      </c>
      <c r="C93" s="124">
        <f t="shared" si="3"/>
        <v>105791</v>
      </c>
      <c r="D93" s="125">
        <f t="shared" si="4"/>
        <v>74777</v>
      </c>
      <c r="E93" s="135">
        <v>16465</v>
      </c>
      <c r="F93" s="135">
        <v>10776</v>
      </c>
      <c r="G93" s="135">
        <v>2720</v>
      </c>
      <c r="H93" s="135">
        <v>29005</v>
      </c>
      <c r="I93" s="136">
        <v>15811</v>
      </c>
      <c r="J93" s="125">
        <f t="shared" si="5"/>
        <v>31014</v>
      </c>
      <c r="K93" s="137">
        <v>21232</v>
      </c>
      <c r="L93" s="141">
        <v>0</v>
      </c>
      <c r="M93" s="138">
        <v>9782</v>
      </c>
    </row>
    <row r="94" spans="1:13" s="130" customFormat="1" ht="22.5" x14ac:dyDescent="0.2">
      <c r="A94" s="122">
        <v>84</v>
      </c>
      <c r="B94" s="147" t="s">
        <v>314</v>
      </c>
      <c r="C94" s="124">
        <f t="shared" si="3"/>
        <v>54395</v>
      </c>
      <c r="D94" s="125">
        <f t="shared" si="4"/>
        <v>36932</v>
      </c>
      <c r="E94" s="135">
        <v>10882</v>
      </c>
      <c r="F94" s="135">
        <v>6544</v>
      </c>
      <c r="G94" s="135">
        <v>1802</v>
      </c>
      <c r="H94" s="135">
        <v>17704</v>
      </c>
      <c r="I94" s="140">
        <v>0</v>
      </c>
      <c r="J94" s="125">
        <f t="shared" si="5"/>
        <v>17463</v>
      </c>
      <c r="K94" s="137">
        <v>12320</v>
      </c>
      <c r="L94" s="141">
        <v>0</v>
      </c>
      <c r="M94" s="138">
        <v>5143</v>
      </c>
    </row>
    <row r="95" spans="1:13" s="130" customFormat="1" ht="22.5" x14ac:dyDescent="0.2">
      <c r="A95" s="122">
        <v>85</v>
      </c>
      <c r="B95" s="147" t="s">
        <v>315</v>
      </c>
      <c r="C95" s="124">
        <f t="shared" si="3"/>
        <v>182971</v>
      </c>
      <c r="D95" s="125">
        <f t="shared" si="4"/>
        <v>105917</v>
      </c>
      <c r="E95" s="135">
        <v>31925</v>
      </c>
      <c r="F95" s="135">
        <v>19313</v>
      </c>
      <c r="G95" s="135">
        <v>5991</v>
      </c>
      <c r="H95" s="135">
        <v>48688</v>
      </c>
      <c r="I95" s="140">
        <v>0</v>
      </c>
      <c r="J95" s="125">
        <f t="shared" si="5"/>
        <v>77054</v>
      </c>
      <c r="K95" s="137">
        <v>48441</v>
      </c>
      <c r="L95" s="141">
        <v>0</v>
      </c>
      <c r="M95" s="138">
        <v>28613</v>
      </c>
    </row>
    <row r="96" spans="1:13" s="130" customFormat="1" ht="22.5" x14ac:dyDescent="0.2">
      <c r="A96" s="122">
        <v>86</v>
      </c>
      <c r="B96" s="147" t="s">
        <v>316</v>
      </c>
      <c r="C96" s="124">
        <f t="shared" si="3"/>
        <v>68146</v>
      </c>
      <c r="D96" s="125">
        <f t="shared" si="4"/>
        <v>46673</v>
      </c>
      <c r="E96" s="135">
        <v>14529</v>
      </c>
      <c r="F96" s="135">
        <v>8077</v>
      </c>
      <c r="G96" s="135">
        <v>1909</v>
      </c>
      <c r="H96" s="135">
        <v>22158</v>
      </c>
      <c r="I96" s="140">
        <v>0</v>
      </c>
      <c r="J96" s="125">
        <f t="shared" si="5"/>
        <v>21473</v>
      </c>
      <c r="K96" s="137">
        <v>14468</v>
      </c>
      <c r="L96" s="141">
        <v>0</v>
      </c>
      <c r="M96" s="138">
        <v>7005</v>
      </c>
    </row>
    <row r="97" spans="1:13" s="130" customFormat="1" ht="22.5" x14ac:dyDescent="0.2">
      <c r="A97" s="122">
        <v>87</v>
      </c>
      <c r="B97" s="147" t="s">
        <v>317</v>
      </c>
      <c r="C97" s="124">
        <f t="shared" si="3"/>
        <v>66646</v>
      </c>
      <c r="D97" s="125">
        <f t="shared" si="4"/>
        <v>41220</v>
      </c>
      <c r="E97" s="135">
        <v>10017</v>
      </c>
      <c r="F97" s="135">
        <v>7672</v>
      </c>
      <c r="G97" s="135">
        <v>2106</v>
      </c>
      <c r="H97" s="135">
        <v>21425</v>
      </c>
      <c r="I97" s="140">
        <v>0</v>
      </c>
      <c r="J97" s="125">
        <f t="shared" si="5"/>
        <v>25426</v>
      </c>
      <c r="K97" s="137">
        <v>14270</v>
      </c>
      <c r="L97" s="141">
        <v>0</v>
      </c>
      <c r="M97" s="138">
        <v>11156</v>
      </c>
    </row>
    <row r="98" spans="1:13" s="130" customFormat="1" ht="22.5" x14ac:dyDescent="0.2">
      <c r="A98" s="122">
        <v>88</v>
      </c>
      <c r="B98" s="147" t="s">
        <v>318</v>
      </c>
      <c r="C98" s="124">
        <f t="shared" si="3"/>
        <v>2646</v>
      </c>
      <c r="D98" s="125">
        <f t="shared" si="4"/>
        <v>0</v>
      </c>
      <c r="E98" s="139">
        <v>0</v>
      </c>
      <c r="F98" s="139">
        <v>0</v>
      </c>
      <c r="G98" s="139">
        <v>0</v>
      </c>
      <c r="H98" s="139">
        <v>0</v>
      </c>
      <c r="I98" s="140">
        <v>0</v>
      </c>
      <c r="J98" s="125">
        <f t="shared" si="5"/>
        <v>2646</v>
      </c>
      <c r="K98" s="137">
        <v>2252</v>
      </c>
      <c r="L98" s="141">
        <v>0</v>
      </c>
      <c r="M98" s="144">
        <v>394</v>
      </c>
    </row>
    <row r="99" spans="1:13" s="130" customFormat="1" ht="22.5" x14ac:dyDescent="0.2">
      <c r="A99" s="122">
        <v>89</v>
      </c>
      <c r="B99" s="147" t="s">
        <v>319</v>
      </c>
      <c r="C99" s="124">
        <f t="shared" si="3"/>
        <v>3086</v>
      </c>
      <c r="D99" s="125">
        <f t="shared" si="4"/>
        <v>0</v>
      </c>
      <c r="E99" s="139">
        <v>0</v>
      </c>
      <c r="F99" s="139">
        <v>0</v>
      </c>
      <c r="G99" s="139">
        <v>0</v>
      </c>
      <c r="H99" s="139">
        <v>0</v>
      </c>
      <c r="I99" s="140">
        <v>0</v>
      </c>
      <c r="J99" s="125">
        <f t="shared" si="5"/>
        <v>3086</v>
      </c>
      <c r="K99" s="137">
        <v>2106</v>
      </c>
      <c r="L99" s="141">
        <v>0</v>
      </c>
      <c r="M99" s="144">
        <v>980</v>
      </c>
    </row>
    <row r="100" spans="1:13" s="130" customFormat="1" ht="22.5" x14ac:dyDescent="0.2">
      <c r="A100" s="122">
        <v>90</v>
      </c>
      <c r="B100" s="147" t="s">
        <v>320</v>
      </c>
      <c r="C100" s="124">
        <f t="shared" si="3"/>
        <v>3661</v>
      </c>
      <c r="D100" s="125">
        <f t="shared" si="4"/>
        <v>0</v>
      </c>
      <c r="E100" s="139">
        <v>0</v>
      </c>
      <c r="F100" s="139">
        <v>0</v>
      </c>
      <c r="G100" s="139">
        <v>0</v>
      </c>
      <c r="H100" s="139">
        <v>0</v>
      </c>
      <c r="I100" s="140">
        <v>0</v>
      </c>
      <c r="J100" s="125">
        <f t="shared" si="5"/>
        <v>3661</v>
      </c>
      <c r="K100" s="137">
        <v>3564</v>
      </c>
      <c r="L100" s="141">
        <v>0</v>
      </c>
      <c r="M100" s="144">
        <v>97</v>
      </c>
    </row>
    <row r="101" spans="1:13" s="130" customFormat="1" ht="22.5" x14ac:dyDescent="0.2">
      <c r="A101" s="122">
        <v>91</v>
      </c>
      <c r="B101" s="147" t="s">
        <v>321</v>
      </c>
      <c r="C101" s="124">
        <f t="shared" si="3"/>
        <v>2971</v>
      </c>
      <c r="D101" s="125">
        <f t="shared" si="4"/>
        <v>0</v>
      </c>
      <c r="E101" s="139">
        <v>0</v>
      </c>
      <c r="F101" s="139">
        <v>0</v>
      </c>
      <c r="G101" s="139">
        <v>0</v>
      </c>
      <c r="H101" s="139">
        <v>0</v>
      </c>
      <c r="I101" s="140">
        <v>0</v>
      </c>
      <c r="J101" s="125">
        <f t="shared" si="5"/>
        <v>2971</v>
      </c>
      <c r="K101" s="137">
        <v>2830</v>
      </c>
      <c r="L101" s="141">
        <v>0</v>
      </c>
      <c r="M101" s="144">
        <v>141</v>
      </c>
    </row>
    <row r="102" spans="1:13" s="130" customFormat="1" ht="22.5" x14ac:dyDescent="0.2">
      <c r="A102" s="122">
        <v>92</v>
      </c>
      <c r="B102" s="147" t="s">
        <v>322</v>
      </c>
      <c r="C102" s="124">
        <f t="shared" si="3"/>
        <v>13089</v>
      </c>
      <c r="D102" s="125">
        <f t="shared" si="4"/>
        <v>0</v>
      </c>
      <c r="E102" s="139">
        <v>0</v>
      </c>
      <c r="F102" s="139">
        <v>0</v>
      </c>
      <c r="G102" s="139">
        <v>0</v>
      </c>
      <c r="H102" s="139">
        <v>0</v>
      </c>
      <c r="I102" s="140">
        <v>0</v>
      </c>
      <c r="J102" s="125">
        <f t="shared" si="5"/>
        <v>13089</v>
      </c>
      <c r="K102" s="137">
        <v>5926</v>
      </c>
      <c r="L102" s="137">
        <v>6434</v>
      </c>
      <c r="M102" s="144">
        <v>729</v>
      </c>
    </row>
    <row r="103" spans="1:13" s="130" customFormat="1" ht="22.5" x14ac:dyDescent="0.2">
      <c r="A103" s="122">
        <v>93</v>
      </c>
      <c r="B103" s="147" t="s">
        <v>323</v>
      </c>
      <c r="C103" s="124">
        <f t="shared" si="3"/>
        <v>2707</v>
      </c>
      <c r="D103" s="125">
        <f t="shared" si="4"/>
        <v>0</v>
      </c>
      <c r="E103" s="139">
        <v>0</v>
      </c>
      <c r="F103" s="139">
        <v>0</v>
      </c>
      <c r="G103" s="139">
        <v>0</v>
      </c>
      <c r="H103" s="139">
        <v>0</v>
      </c>
      <c r="I103" s="140">
        <v>0</v>
      </c>
      <c r="J103" s="125">
        <f t="shared" si="5"/>
        <v>2707</v>
      </c>
      <c r="K103" s="137">
        <v>2030</v>
      </c>
      <c r="L103" s="141">
        <v>499</v>
      </c>
      <c r="M103" s="144">
        <v>178</v>
      </c>
    </row>
    <row r="104" spans="1:13" s="130" customFormat="1" ht="22.5" x14ac:dyDescent="0.2">
      <c r="A104" s="122">
        <v>94</v>
      </c>
      <c r="B104" s="147" t="s">
        <v>324</v>
      </c>
      <c r="C104" s="124">
        <f t="shared" si="3"/>
        <v>2344</v>
      </c>
      <c r="D104" s="125">
        <f t="shared" si="4"/>
        <v>0</v>
      </c>
      <c r="E104" s="139">
        <v>0</v>
      </c>
      <c r="F104" s="139">
        <v>0</v>
      </c>
      <c r="G104" s="139">
        <v>0</v>
      </c>
      <c r="H104" s="139">
        <v>0</v>
      </c>
      <c r="I104" s="140">
        <v>0</v>
      </c>
      <c r="J104" s="125">
        <f t="shared" si="5"/>
        <v>2344</v>
      </c>
      <c r="K104" s="137">
        <v>2296</v>
      </c>
      <c r="L104" s="141">
        <v>0</v>
      </c>
      <c r="M104" s="144">
        <v>48</v>
      </c>
    </row>
    <row r="105" spans="1:13" s="130" customFormat="1" ht="22.5" x14ac:dyDescent="0.2">
      <c r="A105" s="122">
        <v>95</v>
      </c>
      <c r="B105" s="147" t="s">
        <v>325</v>
      </c>
      <c r="C105" s="124">
        <f t="shared" si="3"/>
        <v>159063</v>
      </c>
      <c r="D105" s="125">
        <f t="shared" si="4"/>
        <v>113382</v>
      </c>
      <c r="E105" s="135">
        <v>46486</v>
      </c>
      <c r="F105" s="135">
        <v>11082</v>
      </c>
      <c r="G105" s="135">
        <v>2790</v>
      </c>
      <c r="H105" s="135">
        <v>40636</v>
      </c>
      <c r="I105" s="136">
        <v>12388</v>
      </c>
      <c r="J105" s="125">
        <f t="shared" si="5"/>
        <v>45681</v>
      </c>
      <c r="K105" s="137">
        <v>24914</v>
      </c>
      <c r="L105" s="141">
        <v>20</v>
      </c>
      <c r="M105" s="138">
        <v>20747</v>
      </c>
    </row>
    <row r="106" spans="1:13" s="130" customFormat="1" x14ac:dyDescent="0.2">
      <c r="A106" s="122">
        <v>96</v>
      </c>
      <c r="B106" s="147" t="s">
        <v>326</v>
      </c>
      <c r="C106" s="124">
        <f t="shared" si="3"/>
        <v>117716</v>
      </c>
      <c r="D106" s="125">
        <f t="shared" si="4"/>
        <v>65347</v>
      </c>
      <c r="E106" s="135">
        <v>23214</v>
      </c>
      <c r="F106" s="135">
        <v>12001</v>
      </c>
      <c r="G106" s="135">
        <v>2036</v>
      </c>
      <c r="H106" s="135">
        <v>28096</v>
      </c>
      <c r="I106" s="140">
        <v>0</v>
      </c>
      <c r="J106" s="125">
        <f t="shared" si="5"/>
        <v>52369</v>
      </c>
      <c r="K106" s="137">
        <v>46454</v>
      </c>
      <c r="L106" s="141">
        <v>360</v>
      </c>
      <c r="M106" s="138">
        <v>5555</v>
      </c>
    </row>
    <row r="107" spans="1:13" s="130" customFormat="1" x14ac:dyDescent="0.2">
      <c r="A107" s="122">
        <v>97</v>
      </c>
      <c r="B107" s="147" t="s">
        <v>77</v>
      </c>
      <c r="C107" s="124">
        <f t="shared" si="3"/>
        <v>93720</v>
      </c>
      <c r="D107" s="125">
        <f t="shared" si="4"/>
        <v>53478</v>
      </c>
      <c r="E107" s="135">
        <v>16527</v>
      </c>
      <c r="F107" s="135">
        <v>9275</v>
      </c>
      <c r="G107" s="135">
        <v>2961</v>
      </c>
      <c r="H107" s="135">
        <v>24715</v>
      </c>
      <c r="I107" s="140">
        <v>0</v>
      </c>
      <c r="J107" s="125">
        <f t="shared" si="5"/>
        <v>40242</v>
      </c>
      <c r="K107" s="137">
        <v>23014</v>
      </c>
      <c r="L107" s="137">
        <v>4633</v>
      </c>
      <c r="M107" s="138">
        <v>12595</v>
      </c>
    </row>
    <row r="108" spans="1:13" s="130" customFormat="1" x14ac:dyDescent="0.2">
      <c r="A108" s="122">
        <v>98</v>
      </c>
      <c r="B108" s="147" t="s">
        <v>327</v>
      </c>
      <c r="C108" s="124">
        <f t="shared" si="3"/>
        <v>49348</v>
      </c>
      <c r="D108" s="125">
        <f t="shared" si="4"/>
        <v>27475</v>
      </c>
      <c r="E108" s="135">
        <v>6563</v>
      </c>
      <c r="F108" s="135">
        <v>5336</v>
      </c>
      <c r="G108" s="135">
        <v>1566</v>
      </c>
      <c r="H108" s="135">
        <v>14010</v>
      </c>
      <c r="I108" s="140">
        <v>0</v>
      </c>
      <c r="J108" s="125">
        <f t="shared" si="5"/>
        <v>21873</v>
      </c>
      <c r="K108" s="137">
        <v>18155</v>
      </c>
      <c r="L108" s="141">
        <v>0</v>
      </c>
      <c r="M108" s="138">
        <v>3718</v>
      </c>
    </row>
    <row r="109" spans="1:13" s="130" customFormat="1" x14ac:dyDescent="0.2">
      <c r="A109" s="122">
        <v>99</v>
      </c>
      <c r="B109" s="147" t="s">
        <v>328</v>
      </c>
      <c r="C109" s="124">
        <f t="shared" si="3"/>
        <v>34571</v>
      </c>
      <c r="D109" s="125">
        <f t="shared" si="4"/>
        <v>26152</v>
      </c>
      <c r="E109" s="135">
        <v>3435</v>
      </c>
      <c r="F109" s="135">
        <v>2108</v>
      </c>
      <c r="G109" s="139">
        <v>523</v>
      </c>
      <c r="H109" s="135">
        <v>6378</v>
      </c>
      <c r="I109" s="136">
        <v>13708</v>
      </c>
      <c r="J109" s="125">
        <f t="shared" si="5"/>
        <v>8419</v>
      </c>
      <c r="K109" s="137">
        <v>5244</v>
      </c>
      <c r="L109" s="141">
        <v>25</v>
      </c>
      <c r="M109" s="138">
        <v>3150</v>
      </c>
    </row>
    <row r="110" spans="1:13" s="130" customFormat="1" x14ac:dyDescent="0.2">
      <c r="A110" s="122">
        <v>100</v>
      </c>
      <c r="B110" s="147" t="s">
        <v>329</v>
      </c>
      <c r="C110" s="124">
        <f t="shared" si="3"/>
        <v>40306</v>
      </c>
      <c r="D110" s="125">
        <f t="shared" si="4"/>
        <v>19537</v>
      </c>
      <c r="E110" s="135">
        <v>3394</v>
      </c>
      <c r="F110" s="135">
        <v>3534</v>
      </c>
      <c r="G110" s="139">
        <v>681</v>
      </c>
      <c r="H110" s="135">
        <v>11928</v>
      </c>
      <c r="I110" s="140">
        <v>0</v>
      </c>
      <c r="J110" s="125">
        <f t="shared" si="5"/>
        <v>20769</v>
      </c>
      <c r="K110" s="137">
        <v>9039</v>
      </c>
      <c r="L110" s="137">
        <v>4224</v>
      </c>
      <c r="M110" s="138">
        <v>7506</v>
      </c>
    </row>
    <row r="111" spans="1:13" s="130" customFormat="1" x14ac:dyDescent="0.2">
      <c r="A111" s="122">
        <v>101</v>
      </c>
      <c r="B111" s="147" t="s">
        <v>78</v>
      </c>
      <c r="C111" s="124">
        <f t="shared" si="3"/>
        <v>286837</v>
      </c>
      <c r="D111" s="125">
        <f t="shared" si="4"/>
        <v>148392</v>
      </c>
      <c r="E111" s="135">
        <v>43588</v>
      </c>
      <c r="F111" s="135">
        <v>25723</v>
      </c>
      <c r="G111" s="135">
        <v>5859</v>
      </c>
      <c r="H111" s="135">
        <v>73222</v>
      </c>
      <c r="I111" s="140">
        <v>0</v>
      </c>
      <c r="J111" s="125">
        <f t="shared" si="5"/>
        <v>138445</v>
      </c>
      <c r="K111" s="137">
        <v>108573</v>
      </c>
      <c r="L111" s="137">
        <v>3056</v>
      </c>
      <c r="M111" s="138">
        <v>26816</v>
      </c>
    </row>
    <row r="112" spans="1:13" s="130" customFormat="1" x14ac:dyDescent="0.2">
      <c r="A112" s="122">
        <v>102</v>
      </c>
      <c r="B112" s="147" t="s">
        <v>330</v>
      </c>
      <c r="C112" s="124">
        <f t="shared" si="3"/>
        <v>120791</v>
      </c>
      <c r="D112" s="125">
        <f t="shared" si="4"/>
        <v>82372</v>
      </c>
      <c r="E112" s="135">
        <v>53219</v>
      </c>
      <c r="F112" s="139">
        <v>482</v>
      </c>
      <c r="G112" s="139">
        <v>0</v>
      </c>
      <c r="H112" s="135">
        <v>19988</v>
      </c>
      <c r="I112" s="136">
        <v>8683</v>
      </c>
      <c r="J112" s="125">
        <f t="shared" si="5"/>
        <v>38419</v>
      </c>
      <c r="K112" s="137">
        <v>13066</v>
      </c>
      <c r="L112" s="141">
        <v>0</v>
      </c>
      <c r="M112" s="138">
        <v>25353</v>
      </c>
    </row>
    <row r="113" spans="1:13" s="130" customFormat="1" x14ac:dyDescent="0.2">
      <c r="A113" s="122">
        <v>103</v>
      </c>
      <c r="B113" s="147" t="s">
        <v>71</v>
      </c>
      <c r="C113" s="124">
        <f t="shared" si="3"/>
        <v>114841</v>
      </c>
      <c r="D113" s="125">
        <f t="shared" si="4"/>
        <v>62996</v>
      </c>
      <c r="E113" s="135">
        <v>9971</v>
      </c>
      <c r="F113" s="135">
        <v>7150</v>
      </c>
      <c r="G113" s="135">
        <v>1607</v>
      </c>
      <c r="H113" s="135">
        <v>27501</v>
      </c>
      <c r="I113" s="136">
        <v>16767</v>
      </c>
      <c r="J113" s="125">
        <f t="shared" si="5"/>
        <v>51845</v>
      </c>
      <c r="K113" s="137">
        <v>43358</v>
      </c>
      <c r="L113" s="141">
        <v>0</v>
      </c>
      <c r="M113" s="138">
        <v>8487</v>
      </c>
    </row>
    <row r="114" spans="1:13" s="130" customFormat="1" x14ac:dyDescent="0.2">
      <c r="A114" s="122">
        <v>104</v>
      </c>
      <c r="B114" s="147" t="s">
        <v>79</v>
      </c>
      <c r="C114" s="124">
        <f t="shared" si="3"/>
        <v>44588</v>
      </c>
      <c r="D114" s="125">
        <f t="shared" si="4"/>
        <v>20184</v>
      </c>
      <c r="E114" s="139">
        <v>0</v>
      </c>
      <c r="F114" s="139">
        <v>0</v>
      </c>
      <c r="G114" s="139">
        <v>0</v>
      </c>
      <c r="H114" s="135">
        <v>20184</v>
      </c>
      <c r="I114" s="140">
        <v>0</v>
      </c>
      <c r="J114" s="125">
        <f t="shared" si="5"/>
        <v>24404</v>
      </c>
      <c r="K114" s="137">
        <v>15301</v>
      </c>
      <c r="L114" s="141">
        <v>0</v>
      </c>
      <c r="M114" s="138">
        <v>9103</v>
      </c>
    </row>
    <row r="115" spans="1:13" s="130" customFormat="1" ht="22.5" x14ac:dyDescent="0.2">
      <c r="A115" s="427">
        <v>105</v>
      </c>
      <c r="B115" s="147" t="s">
        <v>58</v>
      </c>
      <c r="C115" s="124">
        <f t="shared" si="3"/>
        <v>28235</v>
      </c>
      <c r="D115" s="125">
        <f t="shared" si="4"/>
        <v>5892</v>
      </c>
      <c r="E115" s="139">
        <v>243</v>
      </c>
      <c r="F115" s="139">
        <v>904</v>
      </c>
      <c r="G115" s="139">
        <v>38</v>
      </c>
      <c r="H115" s="135">
        <v>4707</v>
      </c>
      <c r="I115" s="140">
        <v>0</v>
      </c>
      <c r="J115" s="125">
        <f t="shared" si="5"/>
        <v>22343</v>
      </c>
      <c r="K115" s="137">
        <v>22246</v>
      </c>
      <c r="L115" s="141">
        <v>0</v>
      </c>
      <c r="M115" s="144">
        <v>97</v>
      </c>
    </row>
    <row r="116" spans="1:13" s="130" customFormat="1" ht="22.5" x14ac:dyDescent="0.2">
      <c r="A116" s="427"/>
      <c r="B116" s="147" t="s">
        <v>331</v>
      </c>
      <c r="C116" s="124">
        <f t="shared" si="3"/>
        <v>3600</v>
      </c>
      <c r="D116" s="125">
        <f t="shared" si="4"/>
        <v>0</v>
      </c>
      <c r="E116" s="139">
        <v>0</v>
      </c>
      <c r="F116" s="139">
        <v>0</v>
      </c>
      <c r="G116" s="139">
        <v>0</v>
      </c>
      <c r="H116" s="139">
        <v>0</v>
      </c>
      <c r="I116" s="140">
        <v>0</v>
      </c>
      <c r="J116" s="125">
        <f t="shared" si="5"/>
        <v>3600</v>
      </c>
      <c r="K116" s="137">
        <v>2843</v>
      </c>
      <c r="L116" s="141">
        <v>0</v>
      </c>
      <c r="M116" s="144">
        <v>757</v>
      </c>
    </row>
    <row r="117" spans="1:13" s="130" customFormat="1" ht="22.5" x14ac:dyDescent="0.2">
      <c r="A117" s="122">
        <v>106</v>
      </c>
      <c r="B117" s="147" t="s">
        <v>332</v>
      </c>
      <c r="C117" s="124">
        <f t="shared" si="3"/>
        <v>8362</v>
      </c>
      <c r="D117" s="125">
        <f t="shared" si="4"/>
        <v>0</v>
      </c>
      <c r="E117" s="139">
        <v>0</v>
      </c>
      <c r="F117" s="139">
        <v>0</v>
      </c>
      <c r="G117" s="139">
        <v>0</v>
      </c>
      <c r="H117" s="139">
        <v>0</v>
      </c>
      <c r="I117" s="140">
        <v>0</v>
      </c>
      <c r="J117" s="125">
        <f t="shared" si="5"/>
        <v>8362</v>
      </c>
      <c r="K117" s="137">
        <v>7413</v>
      </c>
      <c r="L117" s="141">
        <v>0</v>
      </c>
      <c r="M117" s="144">
        <v>949</v>
      </c>
    </row>
    <row r="118" spans="1:13" s="130" customFormat="1" x14ac:dyDescent="0.2">
      <c r="A118" s="122">
        <v>107</v>
      </c>
      <c r="B118" s="134" t="s">
        <v>333</v>
      </c>
      <c r="C118" s="124">
        <f t="shared" si="3"/>
        <v>12468</v>
      </c>
      <c r="D118" s="125">
        <f t="shared" si="4"/>
        <v>8604</v>
      </c>
      <c r="E118" s="135">
        <v>2895</v>
      </c>
      <c r="F118" s="135">
        <v>1444</v>
      </c>
      <c r="G118" s="139">
        <v>233</v>
      </c>
      <c r="H118" s="135">
        <v>4032</v>
      </c>
      <c r="I118" s="140">
        <v>0</v>
      </c>
      <c r="J118" s="125">
        <f t="shared" si="5"/>
        <v>3864</v>
      </c>
      <c r="K118" s="137">
        <v>2075</v>
      </c>
      <c r="L118" s="141">
        <v>0</v>
      </c>
      <c r="M118" s="138">
        <v>1789</v>
      </c>
    </row>
    <row r="119" spans="1:13" s="130" customFormat="1" x14ac:dyDescent="0.2">
      <c r="A119" s="122">
        <v>108</v>
      </c>
      <c r="B119" s="123" t="s">
        <v>37</v>
      </c>
      <c r="C119" s="124">
        <f t="shared" si="3"/>
        <v>43143</v>
      </c>
      <c r="D119" s="125">
        <f t="shared" si="4"/>
        <v>28019</v>
      </c>
      <c r="E119" s="135">
        <v>11553</v>
      </c>
      <c r="F119" s="135">
        <v>3490</v>
      </c>
      <c r="G119" s="139">
        <v>749</v>
      </c>
      <c r="H119" s="135">
        <v>11057</v>
      </c>
      <c r="I119" s="136">
        <v>1170</v>
      </c>
      <c r="J119" s="125">
        <f t="shared" si="5"/>
        <v>15124</v>
      </c>
      <c r="K119" s="137">
        <v>8007</v>
      </c>
      <c r="L119" s="141">
        <v>0</v>
      </c>
      <c r="M119" s="138">
        <v>7117</v>
      </c>
    </row>
    <row r="120" spans="1:13" s="130" customFormat="1" x14ac:dyDescent="0.2">
      <c r="A120" s="122">
        <v>109</v>
      </c>
      <c r="B120" s="134" t="s">
        <v>38</v>
      </c>
      <c r="C120" s="124">
        <f t="shared" si="3"/>
        <v>41576</v>
      </c>
      <c r="D120" s="125">
        <f t="shared" si="4"/>
        <v>27803</v>
      </c>
      <c r="E120" s="135">
        <v>12003</v>
      </c>
      <c r="F120" s="135">
        <v>3724</v>
      </c>
      <c r="G120" s="139">
        <v>855</v>
      </c>
      <c r="H120" s="135">
        <v>11221</v>
      </c>
      <c r="I120" s="140">
        <v>0</v>
      </c>
      <c r="J120" s="125">
        <f t="shared" si="5"/>
        <v>13773</v>
      </c>
      <c r="K120" s="137">
        <v>7715</v>
      </c>
      <c r="L120" s="141">
        <v>690</v>
      </c>
      <c r="M120" s="138">
        <v>5368</v>
      </c>
    </row>
    <row r="121" spans="1:13" s="130" customFormat="1" x14ac:dyDescent="0.2">
      <c r="A121" s="122">
        <v>110</v>
      </c>
      <c r="B121" s="123" t="s">
        <v>39</v>
      </c>
      <c r="C121" s="124">
        <f t="shared" si="3"/>
        <v>126844</v>
      </c>
      <c r="D121" s="125">
        <f t="shared" si="4"/>
        <v>71325</v>
      </c>
      <c r="E121" s="135">
        <v>29308</v>
      </c>
      <c r="F121" s="135">
        <v>8379</v>
      </c>
      <c r="G121" s="135">
        <v>1795</v>
      </c>
      <c r="H121" s="135">
        <v>31843</v>
      </c>
      <c r="I121" s="140">
        <v>0</v>
      </c>
      <c r="J121" s="125">
        <f t="shared" si="5"/>
        <v>55519</v>
      </c>
      <c r="K121" s="137">
        <v>31315</v>
      </c>
      <c r="L121" s="137">
        <v>4521</v>
      </c>
      <c r="M121" s="138">
        <v>19683</v>
      </c>
    </row>
    <row r="122" spans="1:13" s="130" customFormat="1" ht="22.5" x14ac:dyDescent="0.2">
      <c r="A122" s="122">
        <v>111</v>
      </c>
      <c r="B122" s="134" t="s">
        <v>40</v>
      </c>
      <c r="C122" s="124">
        <f t="shared" si="3"/>
        <v>54226</v>
      </c>
      <c r="D122" s="125">
        <f t="shared" si="4"/>
        <v>32611</v>
      </c>
      <c r="E122" s="135">
        <v>13314</v>
      </c>
      <c r="F122" s="135">
        <v>4625</v>
      </c>
      <c r="G122" s="139">
        <v>911</v>
      </c>
      <c r="H122" s="135">
        <v>13761</v>
      </c>
      <c r="I122" s="140">
        <v>0</v>
      </c>
      <c r="J122" s="125">
        <f t="shared" si="5"/>
        <v>21615</v>
      </c>
      <c r="K122" s="137">
        <v>11585</v>
      </c>
      <c r="L122" s="137">
        <v>2260</v>
      </c>
      <c r="M122" s="138">
        <v>7770</v>
      </c>
    </row>
    <row r="123" spans="1:13" s="130" customFormat="1" x14ac:dyDescent="0.2">
      <c r="A123" s="122">
        <v>112</v>
      </c>
      <c r="B123" s="134" t="s">
        <v>41</v>
      </c>
      <c r="C123" s="124">
        <f t="shared" si="3"/>
        <v>70993</v>
      </c>
      <c r="D123" s="125">
        <f t="shared" si="4"/>
        <v>39304</v>
      </c>
      <c r="E123" s="135">
        <v>14824</v>
      </c>
      <c r="F123" s="135">
        <v>6064</v>
      </c>
      <c r="G123" s="135">
        <v>1574</v>
      </c>
      <c r="H123" s="135">
        <v>16842</v>
      </c>
      <c r="I123" s="140">
        <v>0</v>
      </c>
      <c r="J123" s="125">
        <f t="shared" si="5"/>
        <v>31689</v>
      </c>
      <c r="K123" s="137">
        <v>12037</v>
      </c>
      <c r="L123" s="137">
        <v>7755</v>
      </c>
      <c r="M123" s="138">
        <v>11897</v>
      </c>
    </row>
    <row r="124" spans="1:13" s="130" customFormat="1" x14ac:dyDescent="0.2">
      <c r="A124" s="122">
        <v>113</v>
      </c>
      <c r="B124" s="123" t="s">
        <v>42</v>
      </c>
      <c r="C124" s="124">
        <f t="shared" si="3"/>
        <v>127064</v>
      </c>
      <c r="D124" s="125">
        <f t="shared" si="4"/>
        <v>72556</v>
      </c>
      <c r="E124" s="135">
        <v>27635</v>
      </c>
      <c r="F124" s="135">
        <v>9739</v>
      </c>
      <c r="G124" s="135">
        <v>2502</v>
      </c>
      <c r="H124" s="135">
        <v>32680</v>
      </c>
      <c r="I124" s="140">
        <v>0</v>
      </c>
      <c r="J124" s="125">
        <f t="shared" si="5"/>
        <v>54508</v>
      </c>
      <c r="K124" s="137">
        <v>25827</v>
      </c>
      <c r="L124" s="137">
        <v>6392</v>
      </c>
      <c r="M124" s="138">
        <v>22289</v>
      </c>
    </row>
    <row r="125" spans="1:13" s="130" customFormat="1" x14ac:dyDescent="0.2">
      <c r="A125" s="122">
        <v>114</v>
      </c>
      <c r="B125" s="123" t="s">
        <v>43</v>
      </c>
      <c r="C125" s="124">
        <f t="shared" si="3"/>
        <v>123108</v>
      </c>
      <c r="D125" s="125">
        <f t="shared" si="4"/>
        <v>63178</v>
      </c>
      <c r="E125" s="135">
        <v>24023</v>
      </c>
      <c r="F125" s="135">
        <v>8449</v>
      </c>
      <c r="G125" s="135">
        <v>2153</v>
      </c>
      <c r="H125" s="135">
        <v>28553</v>
      </c>
      <c r="I125" s="140">
        <v>0</v>
      </c>
      <c r="J125" s="125">
        <f t="shared" si="5"/>
        <v>59930</v>
      </c>
      <c r="K125" s="137">
        <v>37864</v>
      </c>
      <c r="L125" s="137">
        <v>2957</v>
      </c>
      <c r="M125" s="138">
        <v>19109</v>
      </c>
    </row>
    <row r="126" spans="1:13" s="130" customFormat="1" x14ac:dyDescent="0.2">
      <c r="A126" s="122">
        <v>115</v>
      </c>
      <c r="B126" s="134" t="s">
        <v>44</v>
      </c>
      <c r="C126" s="124">
        <f t="shared" si="3"/>
        <v>38453</v>
      </c>
      <c r="D126" s="125">
        <f t="shared" si="4"/>
        <v>23134</v>
      </c>
      <c r="E126" s="135">
        <v>8308</v>
      </c>
      <c r="F126" s="135">
        <v>3550</v>
      </c>
      <c r="G126" s="139">
        <v>918</v>
      </c>
      <c r="H126" s="135">
        <v>10358</v>
      </c>
      <c r="I126" s="140">
        <v>0</v>
      </c>
      <c r="J126" s="125">
        <f t="shared" si="5"/>
        <v>15319</v>
      </c>
      <c r="K126" s="137">
        <v>5165</v>
      </c>
      <c r="L126" s="137">
        <v>1211</v>
      </c>
      <c r="M126" s="138">
        <v>8943</v>
      </c>
    </row>
    <row r="127" spans="1:13" s="130" customFormat="1" x14ac:dyDescent="0.2">
      <c r="A127" s="122">
        <v>116</v>
      </c>
      <c r="B127" s="123" t="s">
        <v>45</v>
      </c>
      <c r="C127" s="124">
        <f t="shared" si="3"/>
        <v>63390</v>
      </c>
      <c r="D127" s="125">
        <f t="shared" si="4"/>
        <v>37196</v>
      </c>
      <c r="E127" s="135">
        <v>13636</v>
      </c>
      <c r="F127" s="135">
        <v>5803</v>
      </c>
      <c r="G127" s="135">
        <v>1481</v>
      </c>
      <c r="H127" s="135">
        <v>16276</v>
      </c>
      <c r="I127" s="140">
        <v>0</v>
      </c>
      <c r="J127" s="125">
        <f t="shared" si="5"/>
        <v>26194</v>
      </c>
      <c r="K127" s="137">
        <v>20496</v>
      </c>
      <c r="L127" s="141">
        <v>17</v>
      </c>
      <c r="M127" s="138">
        <v>5681</v>
      </c>
    </row>
    <row r="128" spans="1:13" s="130" customFormat="1" x14ac:dyDescent="0.2">
      <c r="A128" s="122">
        <v>117</v>
      </c>
      <c r="B128" s="134" t="s">
        <v>46</v>
      </c>
      <c r="C128" s="124">
        <f t="shared" si="3"/>
        <v>61010</v>
      </c>
      <c r="D128" s="125">
        <f t="shared" si="4"/>
        <v>37085</v>
      </c>
      <c r="E128" s="135">
        <v>14890</v>
      </c>
      <c r="F128" s="135">
        <v>5279</v>
      </c>
      <c r="G128" s="135">
        <v>1396</v>
      </c>
      <c r="H128" s="135">
        <v>15520</v>
      </c>
      <c r="I128" s="140">
        <v>0</v>
      </c>
      <c r="J128" s="125">
        <f t="shared" si="5"/>
        <v>23925</v>
      </c>
      <c r="K128" s="137">
        <v>9102</v>
      </c>
      <c r="L128" s="137">
        <v>4427</v>
      </c>
      <c r="M128" s="138">
        <v>10396</v>
      </c>
    </row>
    <row r="129" spans="1:14" s="130" customFormat="1" x14ac:dyDescent="0.2">
      <c r="A129" s="122">
        <v>118</v>
      </c>
      <c r="B129" s="134" t="s">
        <v>47</v>
      </c>
      <c r="C129" s="124">
        <f t="shared" si="3"/>
        <v>89323</v>
      </c>
      <c r="D129" s="125">
        <f t="shared" si="4"/>
        <v>57674</v>
      </c>
      <c r="E129" s="135">
        <v>17451</v>
      </c>
      <c r="F129" s="135">
        <v>5309</v>
      </c>
      <c r="G129" s="135">
        <v>1339</v>
      </c>
      <c r="H129" s="135">
        <v>18780</v>
      </c>
      <c r="I129" s="136">
        <v>14795</v>
      </c>
      <c r="J129" s="125">
        <f t="shared" si="5"/>
        <v>31649</v>
      </c>
      <c r="K129" s="137">
        <v>19786</v>
      </c>
      <c r="L129" s="137">
        <v>1967</v>
      </c>
      <c r="M129" s="138">
        <v>9896</v>
      </c>
    </row>
    <row r="130" spans="1:14" s="130" customFormat="1" x14ac:dyDescent="0.2">
      <c r="A130" s="122">
        <v>119</v>
      </c>
      <c r="B130" s="123" t="s">
        <v>48</v>
      </c>
      <c r="C130" s="124">
        <f t="shared" si="3"/>
        <v>47030</v>
      </c>
      <c r="D130" s="125">
        <f t="shared" si="4"/>
        <v>28769</v>
      </c>
      <c r="E130" s="135">
        <v>11295</v>
      </c>
      <c r="F130" s="135">
        <v>4274</v>
      </c>
      <c r="G130" s="135">
        <v>1201</v>
      </c>
      <c r="H130" s="135">
        <v>11999</v>
      </c>
      <c r="I130" s="140">
        <v>0</v>
      </c>
      <c r="J130" s="125">
        <f t="shared" si="5"/>
        <v>18261</v>
      </c>
      <c r="K130" s="137">
        <v>7199</v>
      </c>
      <c r="L130" s="137">
        <v>7009</v>
      </c>
      <c r="M130" s="138">
        <v>4053</v>
      </c>
    </row>
    <row r="131" spans="1:14" s="130" customFormat="1" x14ac:dyDescent="0.2">
      <c r="A131" s="122">
        <v>120</v>
      </c>
      <c r="B131" s="134" t="s">
        <v>49</v>
      </c>
      <c r="C131" s="124">
        <f t="shared" si="3"/>
        <v>70875</v>
      </c>
      <c r="D131" s="125">
        <f t="shared" si="4"/>
        <v>41878</v>
      </c>
      <c r="E131" s="135">
        <v>16147</v>
      </c>
      <c r="F131" s="135">
        <v>6304</v>
      </c>
      <c r="G131" s="135">
        <v>1685</v>
      </c>
      <c r="H131" s="135">
        <v>17742</v>
      </c>
      <c r="I131" s="140">
        <v>0</v>
      </c>
      <c r="J131" s="125">
        <f t="shared" si="5"/>
        <v>28997</v>
      </c>
      <c r="K131" s="137">
        <v>18934</v>
      </c>
      <c r="L131" s="141">
        <v>0</v>
      </c>
      <c r="M131" s="138">
        <v>10063</v>
      </c>
    </row>
    <row r="132" spans="1:14" s="130" customFormat="1" x14ac:dyDescent="0.2">
      <c r="A132" s="122">
        <v>121</v>
      </c>
      <c r="B132" s="134" t="s">
        <v>50</v>
      </c>
      <c r="C132" s="124">
        <f t="shared" si="3"/>
        <v>114911</v>
      </c>
      <c r="D132" s="125">
        <f t="shared" si="4"/>
        <v>73110</v>
      </c>
      <c r="E132" s="135">
        <v>30931</v>
      </c>
      <c r="F132" s="135">
        <v>10044</v>
      </c>
      <c r="G132" s="135">
        <v>2463</v>
      </c>
      <c r="H132" s="135">
        <v>29652</v>
      </c>
      <c r="I132" s="140">
        <v>20</v>
      </c>
      <c r="J132" s="125">
        <f t="shared" si="5"/>
        <v>41801</v>
      </c>
      <c r="K132" s="137">
        <v>11706</v>
      </c>
      <c r="L132" s="137">
        <v>11524</v>
      </c>
      <c r="M132" s="138">
        <v>18571</v>
      </c>
    </row>
    <row r="133" spans="1:14" s="130" customFormat="1" x14ac:dyDescent="0.2">
      <c r="A133" s="122">
        <v>122</v>
      </c>
      <c r="B133" s="134" t="s">
        <v>51</v>
      </c>
      <c r="C133" s="124">
        <f t="shared" si="3"/>
        <v>54994</v>
      </c>
      <c r="D133" s="125">
        <f t="shared" si="4"/>
        <v>34439</v>
      </c>
      <c r="E133" s="135">
        <v>14161</v>
      </c>
      <c r="F133" s="135">
        <v>4905</v>
      </c>
      <c r="G133" s="135">
        <v>1199</v>
      </c>
      <c r="H133" s="135">
        <v>14174</v>
      </c>
      <c r="I133" s="140">
        <v>0</v>
      </c>
      <c r="J133" s="125">
        <f t="shared" si="5"/>
        <v>20555</v>
      </c>
      <c r="K133" s="137">
        <v>8238</v>
      </c>
      <c r="L133" s="137">
        <v>5359</v>
      </c>
      <c r="M133" s="138">
        <v>6958</v>
      </c>
    </row>
    <row r="134" spans="1:14" s="130" customFormat="1" ht="33.75" x14ac:dyDescent="0.2">
      <c r="A134" s="122">
        <v>123</v>
      </c>
      <c r="B134" s="147" t="s">
        <v>59</v>
      </c>
      <c r="C134" s="124">
        <f t="shared" si="3"/>
        <v>49782</v>
      </c>
      <c r="D134" s="125">
        <f t="shared" si="4"/>
        <v>21330</v>
      </c>
      <c r="E134" s="135">
        <v>4252</v>
      </c>
      <c r="F134" s="135">
        <v>3994</v>
      </c>
      <c r="G134" s="139">
        <v>989</v>
      </c>
      <c r="H134" s="135">
        <v>12095</v>
      </c>
      <c r="I134" s="140">
        <v>0</v>
      </c>
      <c r="J134" s="125">
        <f t="shared" si="5"/>
        <v>28452</v>
      </c>
      <c r="K134" s="137">
        <v>26779</v>
      </c>
      <c r="L134" s="141">
        <v>0</v>
      </c>
      <c r="M134" s="138">
        <v>1673</v>
      </c>
    </row>
    <row r="135" spans="1:14" s="130" customFormat="1" ht="22.5" x14ac:dyDescent="0.2">
      <c r="A135" s="122">
        <v>124</v>
      </c>
      <c r="B135" s="147" t="s">
        <v>335</v>
      </c>
      <c r="C135" s="124">
        <f t="shared" si="3"/>
        <v>25</v>
      </c>
      <c r="D135" s="125">
        <f t="shared" si="4"/>
        <v>0</v>
      </c>
      <c r="E135" s="139">
        <v>0</v>
      </c>
      <c r="F135" s="139">
        <v>0</v>
      </c>
      <c r="G135" s="139">
        <v>0</v>
      </c>
      <c r="H135" s="139">
        <v>0</v>
      </c>
      <c r="I135" s="140">
        <v>0</v>
      </c>
      <c r="J135" s="125">
        <f t="shared" si="5"/>
        <v>25</v>
      </c>
      <c r="K135" s="141">
        <v>25</v>
      </c>
      <c r="L135" s="141">
        <v>0</v>
      </c>
      <c r="M135" s="144">
        <v>0</v>
      </c>
    </row>
    <row r="136" spans="1:14" s="130" customFormat="1" x14ac:dyDescent="0.2">
      <c r="A136" s="122">
        <v>125</v>
      </c>
      <c r="B136" s="134" t="s">
        <v>337</v>
      </c>
      <c r="C136" s="124">
        <f t="shared" si="3"/>
        <v>1</v>
      </c>
      <c r="D136" s="125">
        <f t="shared" si="4"/>
        <v>0</v>
      </c>
      <c r="E136" s="139">
        <v>0</v>
      </c>
      <c r="F136" s="139">
        <v>0</v>
      </c>
      <c r="G136" s="139">
        <v>0</v>
      </c>
      <c r="H136" s="139">
        <v>0</v>
      </c>
      <c r="I136" s="140">
        <v>0</v>
      </c>
      <c r="J136" s="125">
        <f t="shared" si="5"/>
        <v>1</v>
      </c>
      <c r="K136" s="141">
        <v>0</v>
      </c>
      <c r="L136" s="141">
        <v>0</v>
      </c>
      <c r="M136" s="144">
        <v>1</v>
      </c>
    </row>
    <row r="137" spans="1:14" s="148" customFormat="1" ht="22.5" x14ac:dyDescent="0.2">
      <c r="A137" s="122">
        <v>126</v>
      </c>
      <c r="B137" s="123" t="s">
        <v>339</v>
      </c>
      <c r="C137" s="124">
        <f t="shared" si="3"/>
        <v>100</v>
      </c>
      <c r="D137" s="125">
        <f t="shared" si="4"/>
        <v>0</v>
      </c>
      <c r="E137" s="139">
        <v>0</v>
      </c>
      <c r="F137" s="139">
        <v>0</v>
      </c>
      <c r="G137" s="139">
        <v>0</v>
      </c>
      <c r="H137" s="139">
        <v>0</v>
      </c>
      <c r="I137" s="140">
        <v>0</v>
      </c>
      <c r="J137" s="125">
        <f t="shared" si="5"/>
        <v>100</v>
      </c>
      <c r="K137" s="141">
        <v>94</v>
      </c>
      <c r="L137" s="141">
        <v>0</v>
      </c>
      <c r="M137" s="144">
        <v>6</v>
      </c>
      <c r="N137" s="130"/>
    </row>
    <row r="138" spans="1:14" x14ac:dyDescent="0.2">
      <c r="A138" s="122">
        <v>127</v>
      </c>
      <c r="B138" s="134" t="s">
        <v>341</v>
      </c>
      <c r="C138" s="124">
        <f t="shared" ref="C138:C165" si="6">D138+J138</f>
        <v>50</v>
      </c>
      <c r="D138" s="125">
        <f t="shared" ref="D138:D165" si="7">E138+F138+G138+H138+I138</f>
        <v>0</v>
      </c>
      <c r="E138" s="139">
        <v>0</v>
      </c>
      <c r="F138" s="139">
        <v>0</v>
      </c>
      <c r="G138" s="139">
        <v>0</v>
      </c>
      <c r="H138" s="139">
        <v>0</v>
      </c>
      <c r="I138" s="140">
        <v>0</v>
      </c>
      <c r="J138" s="125">
        <f t="shared" ref="J138:J165" si="8">K138+L138+M138</f>
        <v>50</v>
      </c>
      <c r="K138" s="141">
        <v>50</v>
      </c>
      <c r="L138" s="141">
        <v>0</v>
      </c>
      <c r="M138" s="144">
        <v>0</v>
      </c>
      <c r="N138" s="130"/>
    </row>
    <row r="139" spans="1:14" ht="22.5" x14ac:dyDescent="0.2">
      <c r="A139" s="122">
        <v>128</v>
      </c>
      <c r="B139" s="134" t="s">
        <v>342</v>
      </c>
      <c r="C139" s="124">
        <f t="shared" si="6"/>
        <v>40</v>
      </c>
      <c r="D139" s="125">
        <f t="shared" si="7"/>
        <v>0</v>
      </c>
      <c r="E139" s="139">
        <v>0</v>
      </c>
      <c r="F139" s="139">
        <v>0</v>
      </c>
      <c r="G139" s="139">
        <v>0</v>
      </c>
      <c r="H139" s="139">
        <v>0</v>
      </c>
      <c r="I139" s="140">
        <v>0</v>
      </c>
      <c r="J139" s="125">
        <f t="shared" si="8"/>
        <v>40</v>
      </c>
      <c r="K139" s="141">
        <v>40</v>
      </c>
      <c r="L139" s="141">
        <v>0</v>
      </c>
      <c r="M139" s="144">
        <v>0</v>
      </c>
      <c r="N139" s="130"/>
    </row>
    <row r="140" spans="1:14" x14ac:dyDescent="0.2">
      <c r="A140" s="122">
        <v>129</v>
      </c>
      <c r="B140" s="134" t="s">
        <v>343</v>
      </c>
      <c r="C140" s="124">
        <f t="shared" si="6"/>
        <v>32</v>
      </c>
      <c r="D140" s="125">
        <f t="shared" si="7"/>
        <v>0</v>
      </c>
      <c r="E140" s="139">
        <v>0</v>
      </c>
      <c r="F140" s="139">
        <v>0</v>
      </c>
      <c r="G140" s="139">
        <v>0</v>
      </c>
      <c r="H140" s="139">
        <v>0</v>
      </c>
      <c r="I140" s="140">
        <v>0</v>
      </c>
      <c r="J140" s="125">
        <f t="shared" si="8"/>
        <v>32</v>
      </c>
      <c r="K140" s="141">
        <v>22</v>
      </c>
      <c r="L140" s="141">
        <v>0</v>
      </c>
      <c r="M140" s="144">
        <v>10</v>
      </c>
      <c r="N140" s="130"/>
    </row>
    <row r="141" spans="1:14" ht="22.5" x14ac:dyDescent="0.2">
      <c r="A141" s="122">
        <v>130</v>
      </c>
      <c r="B141" s="134" t="s">
        <v>345</v>
      </c>
      <c r="C141" s="124">
        <f t="shared" si="6"/>
        <v>25</v>
      </c>
      <c r="D141" s="125">
        <f t="shared" si="7"/>
        <v>0</v>
      </c>
      <c r="E141" s="139">
        <v>0</v>
      </c>
      <c r="F141" s="139">
        <v>0</v>
      </c>
      <c r="G141" s="139">
        <v>0</v>
      </c>
      <c r="H141" s="139">
        <v>0</v>
      </c>
      <c r="I141" s="140">
        <v>0</v>
      </c>
      <c r="J141" s="125">
        <f t="shared" si="8"/>
        <v>25</v>
      </c>
      <c r="K141" s="141">
        <v>17</v>
      </c>
      <c r="L141" s="141">
        <v>0</v>
      </c>
      <c r="M141" s="144">
        <v>8</v>
      </c>
      <c r="N141" s="130"/>
    </row>
    <row r="142" spans="1:14" x14ac:dyDescent="0.2">
      <c r="A142" s="122">
        <v>131</v>
      </c>
      <c r="B142" s="134" t="s">
        <v>60</v>
      </c>
      <c r="C142" s="124">
        <f t="shared" si="6"/>
        <v>382</v>
      </c>
      <c r="D142" s="125">
        <f t="shared" si="7"/>
        <v>0</v>
      </c>
      <c r="E142" s="139">
        <v>0</v>
      </c>
      <c r="F142" s="139">
        <v>0</v>
      </c>
      <c r="G142" s="139">
        <v>0</v>
      </c>
      <c r="H142" s="139">
        <v>0</v>
      </c>
      <c r="I142" s="140">
        <v>0</v>
      </c>
      <c r="J142" s="125">
        <f t="shared" si="8"/>
        <v>382</v>
      </c>
      <c r="K142" s="141">
        <v>330</v>
      </c>
      <c r="L142" s="141">
        <v>0</v>
      </c>
      <c r="M142" s="144">
        <v>52</v>
      </c>
      <c r="N142" s="130"/>
    </row>
    <row r="143" spans="1:14" ht="22.5" x14ac:dyDescent="0.2">
      <c r="A143" s="122">
        <v>132</v>
      </c>
      <c r="B143" s="134" t="s">
        <v>346</v>
      </c>
      <c r="C143" s="124">
        <f t="shared" si="6"/>
        <v>46</v>
      </c>
      <c r="D143" s="125">
        <f t="shared" si="7"/>
        <v>0</v>
      </c>
      <c r="E143" s="139">
        <v>0</v>
      </c>
      <c r="F143" s="139">
        <v>0</v>
      </c>
      <c r="G143" s="139">
        <v>0</v>
      </c>
      <c r="H143" s="139">
        <v>0</v>
      </c>
      <c r="I143" s="140">
        <v>0</v>
      </c>
      <c r="J143" s="125">
        <f t="shared" si="8"/>
        <v>46</v>
      </c>
      <c r="K143" s="141">
        <v>0</v>
      </c>
      <c r="L143" s="141">
        <v>29</v>
      </c>
      <c r="M143" s="144">
        <v>17</v>
      </c>
      <c r="N143" s="130"/>
    </row>
    <row r="144" spans="1:14" x14ac:dyDescent="0.2">
      <c r="A144" s="122">
        <v>133</v>
      </c>
      <c r="B144" s="134" t="s">
        <v>347</v>
      </c>
      <c r="C144" s="124">
        <f t="shared" si="6"/>
        <v>82</v>
      </c>
      <c r="D144" s="125">
        <f t="shared" si="7"/>
        <v>0</v>
      </c>
      <c r="E144" s="139">
        <v>0</v>
      </c>
      <c r="F144" s="139">
        <v>0</v>
      </c>
      <c r="G144" s="139">
        <v>0</v>
      </c>
      <c r="H144" s="139">
        <v>0</v>
      </c>
      <c r="I144" s="140">
        <v>0</v>
      </c>
      <c r="J144" s="125">
        <f t="shared" si="8"/>
        <v>82</v>
      </c>
      <c r="K144" s="141">
        <v>82</v>
      </c>
      <c r="L144" s="141">
        <v>0</v>
      </c>
      <c r="M144" s="144">
        <v>0</v>
      </c>
      <c r="N144" s="130"/>
    </row>
    <row r="145" spans="1:14" ht="22.5" x14ac:dyDescent="0.2">
      <c r="A145" s="122">
        <v>134</v>
      </c>
      <c r="B145" s="134" t="s">
        <v>348</v>
      </c>
      <c r="C145" s="124">
        <f t="shared" si="6"/>
        <v>32</v>
      </c>
      <c r="D145" s="125">
        <f t="shared" si="7"/>
        <v>0</v>
      </c>
      <c r="E145" s="139">
        <v>0</v>
      </c>
      <c r="F145" s="139">
        <v>0</v>
      </c>
      <c r="G145" s="139">
        <v>0</v>
      </c>
      <c r="H145" s="139">
        <v>0</v>
      </c>
      <c r="I145" s="140">
        <v>0</v>
      </c>
      <c r="J145" s="125">
        <f t="shared" si="8"/>
        <v>32</v>
      </c>
      <c r="K145" s="141">
        <v>32</v>
      </c>
      <c r="L145" s="141">
        <v>0</v>
      </c>
      <c r="M145" s="144">
        <v>0</v>
      </c>
      <c r="N145" s="130"/>
    </row>
    <row r="146" spans="1:14" x14ac:dyDescent="0.2">
      <c r="A146" s="122">
        <v>135</v>
      </c>
      <c r="B146" s="134" t="s">
        <v>349</v>
      </c>
      <c r="C146" s="124">
        <f t="shared" si="6"/>
        <v>25</v>
      </c>
      <c r="D146" s="125">
        <f t="shared" si="7"/>
        <v>0</v>
      </c>
      <c r="E146" s="139">
        <v>0</v>
      </c>
      <c r="F146" s="139">
        <v>0</v>
      </c>
      <c r="G146" s="139">
        <v>0</v>
      </c>
      <c r="H146" s="139">
        <v>0</v>
      </c>
      <c r="I146" s="140">
        <v>0</v>
      </c>
      <c r="J146" s="125">
        <f t="shared" si="8"/>
        <v>25</v>
      </c>
      <c r="K146" s="141">
        <v>25</v>
      </c>
      <c r="L146" s="141">
        <v>0</v>
      </c>
      <c r="M146" s="144">
        <v>0</v>
      </c>
      <c r="N146" s="130"/>
    </row>
    <row r="147" spans="1:14" ht="22.5" x14ac:dyDescent="0.2">
      <c r="A147" s="122">
        <v>136</v>
      </c>
      <c r="B147" s="134" t="s">
        <v>350</v>
      </c>
      <c r="C147" s="124">
        <f t="shared" si="6"/>
        <v>32</v>
      </c>
      <c r="D147" s="125">
        <f t="shared" si="7"/>
        <v>0</v>
      </c>
      <c r="E147" s="139">
        <v>0</v>
      </c>
      <c r="F147" s="139">
        <v>0</v>
      </c>
      <c r="G147" s="139">
        <v>0</v>
      </c>
      <c r="H147" s="139">
        <v>0</v>
      </c>
      <c r="I147" s="140">
        <v>0</v>
      </c>
      <c r="J147" s="125">
        <f t="shared" si="8"/>
        <v>32</v>
      </c>
      <c r="K147" s="141">
        <v>32</v>
      </c>
      <c r="L147" s="141">
        <v>0</v>
      </c>
      <c r="M147" s="144">
        <v>0</v>
      </c>
      <c r="N147" s="130"/>
    </row>
    <row r="148" spans="1:14" ht="22.5" x14ac:dyDescent="0.2">
      <c r="A148" s="122">
        <v>137</v>
      </c>
      <c r="B148" s="134" t="s">
        <v>351</v>
      </c>
      <c r="C148" s="124">
        <f t="shared" si="6"/>
        <v>32</v>
      </c>
      <c r="D148" s="125">
        <f t="shared" si="7"/>
        <v>0</v>
      </c>
      <c r="E148" s="139">
        <v>0</v>
      </c>
      <c r="F148" s="139">
        <v>0</v>
      </c>
      <c r="G148" s="139">
        <v>0</v>
      </c>
      <c r="H148" s="139">
        <v>0</v>
      </c>
      <c r="I148" s="140">
        <v>0</v>
      </c>
      <c r="J148" s="125">
        <f t="shared" si="8"/>
        <v>32</v>
      </c>
      <c r="K148" s="141">
        <v>32</v>
      </c>
      <c r="L148" s="141">
        <v>0</v>
      </c>
      <c r="M148" s="144">
        <v>0</v>
      </c>
      <c r="N148" s="130"/>
    </row>
    <row r="149" spans="1:14" x14ac:dyDescent="0.2">
      <c r="A149" s="122">
        <v>138</v>
      </c>
      <c r="B149" s="134" t="s">
        <v>352</v>
      </c>
      <c r="C149" s="124">
        <f t="shared" si="6"/>
        <v>32</v>
      </c>
      <c r="D149" s="125">
        <f t="shared" si="7"/>
        <v>0</v>
      </c>
      <c r="E149" s="139">
        <v>0</v>
      </c>
      <c r="F149" s="139">
        <v>0</v>
      </c>
      <c r="G149" s="139">
        <v>0</v>
      </c>
      <c r="H149" s="139">
        <v>0</v>
      </c>
      <c r="I149" s="140">
        <v>0</v>
      </c>
      <c r="J149" s="125">
        <f t="shared" si="8"/>
        <v>32</v>
      </c>
      <c r="K149" s="141">
        <v>32</v>
      </c>
      <c r="L149" s="141">
        <v>0</v>
      </c>
      <c r="M149" s="144">
        <v>0</v>
      </c>
      <c r="N149" s="130"/>
    </row>
    <row r="150" spans="1:14" x14ac:dyDescent="0.2">
      <c r="A150" s="122">
        <v>139</v>
      </c>
      <c r="B150" s="134" t="s">
        <v>81</v>
      </c>
      <c r="C150" s="124">
        <f t="shared" si="6"/>
        <v>229358</v>
      </c>
      <c r="D150" s="125">
        <f t="shared" si="7"/>
        <v>0</v>
      </c>
      <c r="E150" s="139">
        <v>0</v>
      </c>
      <c r="F150" s="139">
        <v>0</v>
      </c>
      <c r="G150" s="139">
        <v>0</v>
      </c>
      <c r="H150" s="139">
        <v>0</v>
      </c>
      <c r="I150" s="140">
        <v>0</v>
      </c>
      <c r="J150" s="125">
        <f t="shared" si="8"/>
        <v>229358</v>
      </c>
      <c r="K150" s="137">
        <v>229358</v>
      </c>
      <c r="L150" s="141">
        <v>0</v>
      </c>
      <c r="M150" s="144">
        <v>0</v>
      </c>
      <c r="N150" s="130"/>
    </row>
    <row r="151" spans="1:14" x14ac:dyDescent="0.2">
      <c r="A151" s="122">
        <v>140</v>
      </c>
      <c r="B151" s="134" t="s">
        <v>355</v>
      </c>
      <c r="C151" s="124">
        <f t="shared" si="6"/>
        <v>124000</v>
      </c>
      <c r="D151" s="125">
        <f t="shared" si="7"/>
        <v>0</v>
      </c>
      <c r="E151" s="139">
        <v>0</v>
      </c>
      <c r="F151" s="139">
        <v>0</v>
      </c>
      <c r="G151" s="139">
        <v>0</v>
      </c>
      <c r="H151" s="139">
        <v>0</v>
      </c>
      <c r="I151" s="140">
        <v>0</v>
      </c>
      <c r="J151" s="125">
        <f t="shared" si="8"/>
        <v>124000</v>
      </c>
      <c r="K151" s="137">
        <v>124000</v>
      </c>
      <c r="L151" s="141">
        <v>0</v>
      </c>
      <c r="M151" s="144">
        <v>0</v>
      </c>
      <c r="N151" s="130"/>
    </row>
    <row r="152" spans="1:14" x14ac:dyDescent="0.2">
      <c r="A152" s="122">
        <v>141</v>
      </c>
      <c r="B152" s="134" t="s">
        <v>61</v>
      </c>
      <c r="C152" s="124">
        <f t="shared" si="6"/>
        <v>85000</v>
      </c>
      <c r="D152" s="125">
        <f t="shared" si="7"/>
        <v>0</v>
      </c>
      <c r="E152" s="139">
        <v>0</v>
      </c>
      <c r="F152" s="139">
        <v>0</v>
      </c>
      <c r="G152" s="139">
        <v>0</v>
      </c>
      <c r="H152" s="139">
        <v>0</v>
      </c>
      <c r="I152" s="140">
        <v>0</v>
      </c>
      <c r="J152" s="125">
        <f t="shared" si="8"/>
        <v>85000</v>
      </c>
      <c r="K152" s="137">
        <v>85000</v>
      </c>
      <c r="L152" s="141">
        <v>0</v>
      </c>
      <c r="M152" s="144">
        <v>0</v>
      </c>
      <c r="N152" s="130"/>
    </row>
    <row r="153" spans="1:14" x14ac:dyDescent="0.2">
      <c r="A153" s="122">
        <v>142</v>
      </c>
      <c r="B153" s="134" t="s">
        <v>69</v>
      </c>
      <c r="C153" s="124">
        <f t="shared" si="6"/>
        <v>113000</v>
      </c>
      <c r="D153" s="125">
        <f t="shared" si="7"/>
        <v>0</v>
      </c>
      <c r="E153" s="139">
        <v>0</v>
      </c>
      <c r="F153" s="139">
        <v>0</v>
      </c>
      <c r="G153" s="139">
        <v>0</v>
      </c>
      <c r="H153" s="139">
        <v>0</v>
      </c>
      <c r="I153" s="140">
        <v>0</v>
      </c>
      <c r="J153" s="125">
        <f t="shared" si="8"/>
        <v>113000</v>
      </c>
      <c r="K153" s="137">
        <v>113000</v>
      </c>
      <c r="L153" s="141">
        <v>0</v>
      </c>
      <c r="M153" s="144">
        <v>0</v>
      </c>
      <c r="N153" s="130"/>
    </row>
    <row r="154" spans="1:14" x14ac:dyDescent="0.2">
      <c r="A154" s="122">
        <v>143</v>
      </c>
      <c r="B154" s="134" t="s">
        <v>62</v>
      </c>
      <c r="C154" s="124">
        <f t="shared" si="6"/>
        <v>7873</v>
      </c>
      <c r="D154" s="125">
        <f t="shared" si="7"/>
        <v>0</v>
      </c>
      <c r="E154" s="139">
        <v>0</v>
      </c>
      <c r="F154" s="139">
        <v>0</v>
      </c>
      <c r="G154" s="139">
        <v>0</v>
      </c>
      <c r="H154" s="139">
        <v>0</v>
      </c>
      <c r="I154" s="140">
        <v>0</v>
      </c>
      <c r="J154" s="125">
        <f t="shared" si="8"/>
        <v>7873</v>
      </c>
      <c r="K154" s="137">
        <v>7873</v>
      </c>
      <c r="L154" s="141">
        <v>0</v>
      </c>
      <c r="M154" s="144">
        <v>0</v>
      </c>
      <c r="N154" s="130"/>
    </row>
    <row r="155" spans="1:14" x14ac:dyDescent="0.2">
      <c r="A155" s="122">
        <v>144</v>
      </c>
      <c r="B155" s="134" t="s">
        <v>356</v>
      </c>
      <c r="C155" s="124">
        <f t="shared" si="6"/>
        <v>65356</v>
      </c>
      <c r="D155" s="125">
        <f t="shared" si="7"/>
        <v>0</v>
      </c>
      <c r="E155" s="139">
        <v>0</v>
      </c>
      <c r="F155" s="139">
        <v>0</v>
      </c>
      <c r="G155" s="139">
        <v>0</v>
      </c>
      <c r="H155" s="139">
        <v>0</v>
      </c>
      <c r="I155" s="140">
        <v>0</v>
      </c>
      <c r="J155" s="125">
        <f t="shared" si="8"/>
        <v>65356</v>
      </c>
      <c r="K155" s="137">
        <v>65356</v>
      </c>
      <c r="L155" s="141">
        <v>0</v>
      </c>
      <c r="M155" s="144">
        <v>0</v>
      </c>
      <c r="N155" s="130"/>
    </row>
    <row r="156" spans="1:14" x14ac:dyDescent="0.2">
      <c r="A156" s="122">
        <v>145</v>
      </c>
      <c r="B156" s="134" t="s">
        <v>357</v>
      </c>
      <c r="C156" s="124">
        <f t="shared" si="6"/>
        <v>54704</v>
      </c>
      <c r="D156" s="125">
        <f t="shared" si="7"/>
        <v>21567</v>
      </c>
      <c r="E156" s="139">
        <v>0</v>
      </c>
      <c r="F156" s="139">
        <v>0</v>
      </c>
      <c r="G156" s="139">
        <v>0</v>
      </c>
      <c r="H156" s="135">
        <v>21567</v>
      </c>
      <c r="I156" s="140">
        <v>0</v>
      </c>
      <c r="J156" s="125">
        <f t="shared" si="8"/>
        <v>33137</v>
      </c>
      <c r="K156" s="137">
        <v>26772</v>
      </c>
      <c r="L156" s="141">
        <v>0</v>
      </c>
      <c r="M156" s="138">
        <v>6365</v>
      </c>
      <c r="N156" s="130"/>
    </row>
    <row r="157" spans="1:14" x14ac:dyDescent="0.2">
      <c r="A157" s="122">
        <v>146</v>
      </c>
      <c r="B157" s="134" t="s">
        <v>80</v>
      </c>
      <c r="C157" s="124">
        <f t="shared" si="6"/>
        <v>68000</v>
      </c>
      <c r="D157" s="125">
        <f t="shared" si="7"/>
        <v>0</v>
      </c>
      <c r="E157" s="139">
        <v>0</v>
      </c>
      <c r="F157" s="139">
        <v>0</v>
      </c>
      <c r="G157" s="139">
        <v>0</v>
      </c>
      <c r="H157" s="139">
        <v>0</v>
      </c>
      <c r="I157" s="140">
        <v>0</v>
      </c>
      <c r="J157" s="125">
        <f t="shared" si="8"/>
        <v>68000</v>
      </c>
      <c r="K157" s="137">
        <v>68000</v>
      </c>
      <c r="L157" s="141">
        <v>0</v>
      </c>
      <c r="M157" s="144">
        <v>0</v>
      </c>
      <c r="N157" s="130"/>
    </row>
    <row r="158" spans="1:14" x14ac:dyDescent="0.2">
      <c r="A158" s="122">
        <v>147</v>
      </c>
      <c r="B158" s="134" t="s">
        <v>63</v>
      </c>
      <c r="C158" s="124">
        <f t="shared" si="6"/>
        <v>18984</v>
      </c>
      <c r="D158" s="125">
        <f t="shared" si="7"/>
        <v>18984</v>
      </c>
      <c r="E158" s="139">
        <v>0</v>
      </c>
      <c r="F158" s="139">
        <v>0</v>
      </c>
      <c r="G158" s="139">
        <v>0</v>
      </c>
      <c r="H158" s="139">
        <v>0</v>
      </c>
      <c r="I158" s="136">
        <v>18984</v>
      </c>
      <c r="J158" s="125">
        <f t="shared" si="8"/>
        <v>0</v>
      </c>
      <c r="K158" s="141">
        <v>0</v>
      </c>
      <c r="L158" s="141">
        <v>0</v>
      </c>
      <c r="M158" s="144">
        <v>0</v>
      </c>
      <c r="N158" s="130"/>
    </row>
    <row r="159" spans="1:14" x14ac:dyDescent="0.2">
      <c r="A159" s="122">
        <v>148</v>
      </c>
      <c r="B159" s="134" t="s">
        <v>64</v>
      </c>
      <c r="C159" s="124">
        <f t="shared" si="6"/>
        <v>57392</v>
      </c>
      <c r="D159" s="125">
        <f t="shared" si="7"/>
        <v>0</v>
      </c>
      <c r="E159" s="139">
        <v>0</v>
      </c>
      <c r="F159" s="139">
        <v>0</v>
      </c>
      <c r="G159" s="139">
        <v>0</v>
      </c>
      <c r="H159" s="139">
        <v>0</v>
      </c>
      <c r="I159" s="140">
        <v>0</v>
      </c>
      <c r="J159" s="125">
        <f t="shared" si="8"/>
        <v>57392</v>
      </c>
      <c r="K159" s="137">
        <v>57392</v>
      </c>
      <c r="L159" s="141">
        <v>0</v>
      </c>
      <c r="M159" s="144">
        <v>0</v>
      </c>
      <c r="N159" s="130"/>
    </row>
    <row r="160" spans="1:14" x14ac:dyDescent="0.2">
      <c r="A160" s="122">
        <v>149</v>
      </c>
      <c r="B160" s="134" t="s">
        <v>70</v>
      </c>
      <c r="C160" s="124">
        <f t="shared" si="6"/>
        <v>800</v>
      </c>
      <c r="D160" s="125">
        <f t="shared" si="7"/>
        <v>0</v>
      </c>
      <c r="E160" s="139">
        <v>0</v>
      </c>
      <c r="F160" s="139">
        <v>0</v>
      </c>
      <c r="G160" s="139">
        <v>0</v>
      </c>
      <c r="H160" s="139">
        <v>0</v>
      </c>
      <c r="I160" s="140">
        <v>0</v>
      </c>
      <c r="J160" s="125">
        <f t="shared" si="8"/>
        <v>800</v>
      </c>
      <c r="K160" s="141">
        <v>800</v>
      </c>
      <c r="L160" s="141">
        <v>0</v>
      </c>
      <c r="M160" s="144">
        <v>0</v>
      </c>
      <c r="N160" s="130"/>
    </row>
    <row r="161" spans="1:14" x14ac:dyDescent="0.2">
      <c r="A161" s="427">
        <v>150</v>
      </c>
      <c r="B161" s="134" t="s">
        <v>358</v>
      </c>
      <c r="C161" s="124">
        <f t="shared" si="6"/>
        <v>98677</v>
      </c>
      <c r="D161" s="125">
        <f t="shared" si="7"/>
        <v>37535</v>
      </c>
      <c r="E161" s="135">
        <v>4190</v>
      </c>
      <c r="F161" s="135">
        <v>7870</v>
      </c>
      <c r="G161" s="135">
        <v>2117</v>
      </c>
      <c r="H161" s="135">
        <v>23358</v>
      </c>
      <c r="I161" s="140">
        <v>0</v>
      </c>
      <c r="J161" s="125">
        <f t="shared" si="8"/>
        <v>61142</v>
      </c>
      <c r="K161" s="137">
        <v>44086</v>
      </c>
      <c r="L161" s="137">
        <v>2255</v>
      </c>
      <c r="M161" s="138">
        <v>14801</v>
      </c>
      <c r="N161" s="130"/>
    </row>
    <row r="162" spans="1:14" ht="28.5" customHeight="1" x14ac:dyDescent="0.2">
      <c r="A162" s="427"/>
      <c r="B162" s="149" t="s">
        <v>65</v>
      </c>
      <c r="C162" s="124">
        <f t="shared" si="6"/>
        <v>176994</v>
      </c>
      <c r="D162" s="125">
        <f t="shared" si="7"/>
        <v>119838</v>
      </c>
      <c r="E162" s="135">
        <v>56334</v>
      </c>
      <c r="F162" s="135">
        <v>12605</v>
      </c>
      <c r="G162" s="135">
        <v>3394</v>
      </c>
      <c r="H162" s="135">
        <v>47505</v>
      </c>
      <c r="I162" s="140">
        <v>0</v>
      </c>
      <c r="J162" s="125">
        <f t="shared" si="8"/>
        <v>57156</v>
      </c>
      <c r="K162" s="137">
        <v>34531</v>
      </c>
      <c r="L162" s="137">
        <v>6063</v>
      </c>
      <c r="M162" s="138">
        <v>16562</v>
      </c>
      <c r="N162" s="130"/>
    </row>
    <row r="163" spans="1:14" x14ac:dyDescent="0.2">
      <c r="A163" s="122">
        <v>151</v>
      </c>
      <c r="B163" s="134" t="s">
        <v>359</v>
      </c>
      <c r="C163" s="124">
        <f t="shared" si="6"/>
        <v>3000</v>
      </c>
      <c r="D163" s="125">
        <f t="shared" si="7"/>
        <v>0</v>
      </c>
      <c r="E163" s="139">
        <v>0</v>
      </c>
      <c r="F163" s="139">
        <v>0</v>
      </c>
      <c r="G163" s="139">
        <v>0</v>
      </c>
      <c r="H163" s="139">
        <v>0</v>
      </c>
      <c r="I163" s="140">
        <v>0</v>
      </c>
      <c r="J163" s="125">
        <f t="shared" si="8"/>
        <v>3000</v>
      </c>
      <c r="K163" s="137">
        <v>3000</v>
      </c>
      <c r="L163" s="141">
        <v>0</v>
      </c>
      <c r="M163" s="144">
        <v>0</v>
      </c>
      <c r="N163" s="130"/>
    </row>
    <row r="164" spans="1:14" x14ac:dyDescent="0.2">
      <c r="A164" s="122">
        <v>152</v>
      </c>
      <c r="B164" s="134" t="s">
        <v>360</v>
      </c>
      <c r="C164" s="124">
        <f t="shared" si="6"/>
        <v>9430</v>
      </c>
      <c r="D164" s="125">
        <f t="shared" si="7"/>
        <v>0</v>
      </c>
      <c r="E164" s="139">
        <v>0</v>
      </c>
      <c r="F164" s="139">
        <v>0</v>
      </c>
      <c r="G164" s="139">
        <v>0</v>
      </c>
      <c r="H164" s="139">
        <v>0</v>
      </c>
      <c r="I164" s="140">
        <v>0</v>
      </c>
      <c r="J164" s="125">
        <f t="shared" si="8"/>
        <v>9430</v>
      </c>
      <c r="K164" s="137">
        <v>9430</v>
      </c>
      <c r="L164" s="141">
        <v>0</v>
      </c>
      <c r="M164" s="144">
        <v>0</v>
      </c>
      <c r="N164" s="130"/>
    </row>
    <row r="165" spans="1:14" ht="22.5" x14ac:dyDescent="0.2">
      <c r="A165" s="150"/>
      <c r="B165" s="134" t="s">
        <v>66</v>
      </c>
      <c r="C165" s="124">
        <f t="shared" si="6"/>
        <v>303236</v>
      </c>
      <c r="D165" s="125">
        <f t="shared" si="7"/>
        <v>0</v>
      </c>
      <c r="E165" s="139">
        <v>0</v>
      </c>
      <c r="F165" s="139">
        <v>0</v>
      </c>
      <c r="G165" s="139">
        <v>0</v>
      </c>
      <c r="H165" s="139">
        <v>0</v>
      </c>
      <c r="I165" s="140">
        <v>0</v>
      </c>
      <c r="J165" s="125">
        <f t="shared" si="8"/>
        <v>303236</v>
      </c>
      <c r="K165" s="137">
        <v>285521</v>
      </c>
      <c r="L165" s="137">
        <v>17715</v>
      </c>
      <c r="M165" s="144">
        <v>0</v>
      </c>
      <c r="N165" s="130"/>
    </row>
    <row r="166" spans="1:14" ht="12" thickBot="1" x14ac:dyDescent="0.25">
      <c r="A166" s="151"/>
      <c r="B166" s="152" t="s">
        <v>52</v>
      </c>
      <c r="C166" s="153">
        <f>SUM(C8:C165)</f>
        <v>11685416</v>
      </c>
      <c r="D166" s="154">
        <f t="shared" ref="D166:L166" si="9">SUM(D8:D165)</f>
        <v>6377356</v>
      </c>
      <c r="E166" s="155">
        <f t="shared" si="9"/>
        <v>2428682</v>
      </c>
      <c r="F166" s="155">
        <f t="shared" si="9"/>
        <v>776692</v>
      </c>
      <c r="G166" s="156">
        <f t="shared" si="9"/>
        <v>204950</v>
      </c>
      <c r="H166" s="157">
        <f t="shared" si="9"/>
        <v>2561288</v>
      </c>
      <c r="I166" s="158">
        <f t="shared" si="9"/>
        <v>405744</v>
      </c>
      <c r="J166" s="154">
        <f t="shared" si="9"/>
        <v>5308060</v>
      </c>
      <c r="K166" s="155">
        <f t="shared" si="9"/>
        <v>3522837</v>
      </c>
      <c r="L166" s="156">
        <f t="shared" si="9"/>
        <v>348951</v>
      </c>
      <c r="M166" s="158">
        <f>SUM(M8:M165)</f>
        <v>1436272</v>
      </c>
      <c r="N166" s="130"/>
    </row>
    <row r="167" spans="1:14" x14ac:dyDescent="0.2"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</row>
    <row r="168" spans="1:14" x14ac:dyDescent="0.2">
      <c r="B168" s="160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61"/>
    </row>
    <row r="169" spans="1:14" x14ac:dyDescent="0.2">
      <c r="B169" s="111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</row>
    <row r="170" spans="1:14" x14ac:dyDescent="0.2">
      <c r="H170" s="162"/>
      <c r="I170" s="162"/>
      <c r="J170" s="162"/>
      <c r="K170" s="162"/>
      <c r="L170" s="162"/>
      <c r="M170" s="162"/>
      <c r="N170" s="162"/>
    </row>
    <row r="171" spans="1:14" x14ac:dyDescent="0.2">
      <c r="H171" s="162"/>
      <c r="I171" s="162"/>
      <c r="J171" s="162"/>
      <c r="K171" s="161"/>
      <c r="L171" s="161"/>
      <c r="M171" s="161"/>
      <c r="N171" s="162"/>
    </row>
    <row r="172" spans="1:14" x14ac:dyDescent="0.2">
      <c r="H172" s="162"/>
      <c r="I172" s="162"/>
      <c r="J172" s="162"/>
      <c r="K172" s="162"/>
      <c r="L172" s="162"/>
      <c r="M172" s="162"/>
      <c r="N172" s="162"/>
    </row>
    <row r="173" spans="1:14" x14ac:dyDescent="0.2">
      <c r="H173" s="162"/>
      <c r="I173" s="162"/>
      <c r="J173" s="162"/>
      <c r="K173" s="162"/>
      <c r="L173" s="162"/>
      <c r="M173" s="162"/>
      <c r="N173" s="162"/>
    </row>
  </sheetData>
  <mergeCells count="23">
    <mergeCell ref="A1:M1"/>
    <mergeCell ref="A3:A6"/>
    <mergeCell ref="B3:B6"/>
    <mergeCell ref="C3:C6"/>
    <mergeCell ref="D3:I3"/>
    <mergeCell ref="J3:M3"/>
    <mergeCell ref="D4:D6"/>
    <mergeCell ref="E4:I4"/>
    <mergeCell ref="J4:J6"/>
    <mergeCell ref="K4:M4"/>
    <mergeCell ref="A161:A162"/>
    <mergeCell ref="M5:M6"/>
    <mergeCell ref="A12:A13"/>
    <mergeCell ref="A40:A41"/>
    <mergeCell ref="A46:A48"/>
    <mergeCell ref="A51:A52"/>
    <mergeCell ref="A115:A116"/>
    <mergeCell ref="E5:F5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pane xSplit="2" ySplit="8" topLeftCell="C97" activePane="bottomRight" state="frozen"/>
      <selection pane="topRight" activeCell="C1" sqref="C1"/>
      <selection pane="bottomLeft" activeCell="A9" sqref="A9"/>
      <selection pane="bottomRight" activeCell="J115" sqref="J115"/>
    </sheetView>
  </sheetViews>
  <sheetFormatPr defaultColWidth="32.85546875" defaultRowHeight="15" x14ac:dyDescent="0.25"/>
  <cols>
    <col min="1" max="1" width="4.85546875" style="163" customWidth="1"/>
    <col min="2" max="2" width="37.5703125" style="163" customWidth="1"/>
    <col min="3" max="8" width="14.7109375" style="163" customWidth="1"/>
    <col min="9" max="9" width="15.5703125" style="163" customWidth="1"/>
    <col min="10" max="10" width="20.5703125" style="163" customWidth="1"/>
    <col min="11" max="16384" width="32.85546875" style="163"/>
  </cols>
  <sheetData>
    <row r="1" spans="1:10" ht="33" customHeight="1" x14ac:dyDescent="0.25">
      <c r="A1" s="459" t="s">
        <v>372</v>
      </c>
      <c r="B1" s="459"/>
      <c r="C1" s="459"/>
      <c r="D1" s="459"/>
      <c r="E1" s="459"/>
      <c r="F1" s="459"/>
      <c r="G1" s="459"/>
      <c r="H1" s="459"/>
    </row>
    <row r="2" spans="1:10" ht="15.75" thickBot="1" x14ac:dyDescent="0.3"/>
    <row r="3" spans="1:10" x14ac:dyDescent="0.25">
      <c r="A3" s="460" t="s">
        <v>0</v>
      </c>
      <c r="B3" s="460" t="s">
        <v>254</v>
      </c>
      <c r="C3" s="463" t="s">
        <v>380</v>
      </c>
      <c r="D3" s="464"/>
      <c r="E3" s="465"/>
      <c r="F3" s="463" t="s">
        <v>373</v>
      </c>
      <c r="G3" s="464"/>
      <c r="H3" s="465"/>
      <c r="I3" s="474"/>
    </row>
    <row r="4" spans="1:10" ht="25.5" customHeight="1" thickBot="1" x14ac:dyDescent="0.3">
      <c r="A4" s="461"/>
      <c r="B4" s="461"/>
      <c r="C4" s="466"/>
      <c r="D4" s="467"/>
      <c r="E4" s="468"/>
      <c r="F4" s="466" t="s">
        <v>374</v>
      </c>
      <c r="G4" s="467"/>
      <c r="H4" s="468"/>
      <c r="I4" s="474"/>
    </row>
    <row r="5" spans="1:10" ht="15.75" thickBot="1" x14ac:dyDescent="0.3">
      <c r="A5" s="461"/>
      <c r="B5" s="461"/>
      <c r="C5" s="460" t="s">
        <v>375</v>
      </c>
      <c r="D5" s="469" t="s">
        <v>363</v>
      </c>
      <c r="E5" s="470"/>
      <c r="F5" s="460" t="s">
        <v>375</v>
      </c>
      <c r="G5" s="469" t="s">
        <v>363</v>
      </c>
      <c r="H5" s="470"/>
      <c r="I5" s="164"/>
    </row>
    <row r="6" spans="1:10" x14ac:dyDescent="0.25">
      <c r="A6" s="461"/>
      <c r="B6" s="461"/>
      <c r="C6" s="461"/>
      <c r="D6" s="165" t="s">
        <v>376</v>
      </c>
      <c r="E6" s="165" t="s">
        <v>376</v>
      </c>
      <c r="F6" s="461"/>
      <c r="G6" s="165" t="s">
        <v>376</v>
      </c>
      <c r="H6" s="165" t="s">
        <v>376</v>
      </c>
      <c r="I6" s="164"/>
    </row>
    <row r="7" spans="1:10" ht="33.75" customHeight="1" thickBot="1" x14ac:dyDescent="0.3">
      <c r="A7" s="462"/>
      <c r="B7" s="462"/>
      <c r="C7" s="475"/>
      <c r="D7" s="166" t="s">
        <v>377</v>
      </c>
      <c r="E7" s="166" t="s">
        <v>378</v>
      </c>
      <c r="F7" s="475"/>
      <c r="G7" s="166" t="s">
        <v>377</v>
      </c>
      <c r="H7" s="166" t="s">
        <v>378</v>
      </c>
      <c r="I7" s="164"/>
    </row>
    <row r="8" spans="1:10" ht="15.75" thickBot="1" x14ac:dyDescent="0.3">
      <c r="A8" s="167">
        <v>1</v>
      </c>
      <c r="B8" s="166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4"/>
    </row>
    <row r="9" spans="1:10" ht="15.75" thickBot="1" x14ac:dyDescent="0.3">
      <c r="A9" s="169">
        <v>1</v>
      </c>
      <c r="B9" s="170" t="s">
        <v>1</v>
      </c>
      <c r="C9" s="171">
        <v>14212</v>
      </c>
      <c r="D9" s="171">
        <v>1838</v>
      </c>
      <c r="E9" s="171">
        <v>12374</v>
      </c>
      <c r="F9" s="171">
        <v>20506</v>
      </c>
      <c r="G9" s="172">
        <v>8455</v>
      </c>
      <c r="H9" s="172">
        <v>12051</v>
      </c>
      <c r="I9" s="173"/>
      <c r="J9" s="174"/>
    </row>
    <row r="10" spans="1:10" ht="15.75" thickBot="1" x14ac:dyDescent="0.3">
      <c r="A10" s="169">
        <v>2</v>
      </c>
      <c r="B10" s="170" t="s">
        <v>2</v>
      </c>
      <c r="C10" s="171">
        <v>14811</v>
      </c>
      <c r="D10" s="171">
        <v>1935</v>
      </c>
      <c r="E10" s="171">
        <v>12876</v>
      </c>
      <c r="F10" s="171">
        <v>18384</v>
      </c>
      <c r="G10" s="172">
        <v>5807</v>
      </c>
      <c r="H10" s="172">
        <v>12577</v>
      </c>
      <c r="I10" s="164"/>
    </row>
    <row r="11" spans="1:10" ht="15.75" thickBot="1" x14ac:dyDescent="0.3">
      <c r="A11" s="457">
        <v>3</v>
      </c>
      <c r="B11" s="170" t="s">
        <v>3</v>
      </c>
      <c r="C11" s="171">
        <v>38416</v>
      </c>
      <c r="D11" s="171">
        <v>7114</v>
      </c>
      <c r="E11" s="171">
        <v>31302</v>
      </c>
      <c r="F11" s="171">
        <v>52417</v>
      </c>
      <c r="G11" s="172">
        <v>19079</v>
      </c>
      <c r="H11" s="172">
        <v>33338</v>
      </c>
      <c r="I11" s="164"/>
    </row>
    <row r="12" spans="1:10" ht="34.5" thickBot="1" x14ac:dyDescent="0.3">
      <c r="A12" s="458"/>
      <c r="B12" s="175" t="s">
        <v>271</v>
      </c>
      <c r="C12" s="171">
        <v>5772</v>
      </c>
      <c r="D12" s="168">
        <v>630</v>
      </c>
      <c r="E12" s="171">
        <v>5142</v>
      </c>
      <c r="F12" s="171">
        <v>4110</v>
      </c>
      <c r="G12" s="172">
        <v>1777</v>
      </c>
      <c r="H12" s="172">
        <v>2333</v>
      </c>
      <c r="I12" s="164"/>
    </row>
    <row r="13" spans="1:10" ht="15.75" thickBot="1" x14ac:dyDescent="0.3">
      <c r="A13" s="169">
        <v>4</v>
      </c>
      <c r="B13" s="170" t="s">
        <v>4</v>
      </c>
      <c r="C13" s="171">
        <v>10557</v>
      </c>
      <c r="D13" s="171">
        <v>1560</v>
      </c>
      <c r="E13" s="171">
        <v>8997</v>
      </c>
      <c r="F13" s="171">
        <v>13964</v>
      </c>
      <c r="G13" s="172">
        <v>5563</v>
      </c>
      <c r="H13" s="172">
        <v>8401</v>
      </c>
      <c r="I13" s="164"/>
    </row>
    <row r="14" spans="1:10" ht="15.75" thickBot="1" x14ac:dyDescent="0.3">
      <c r="A14" s="169">
        <v>5</v>
      </c>
      <c r="B14" s="170" t="s">
        <v>5</v>
      </c>
      <c r="C14" s="171">
        <v>6286</v>
      </c>
      <c r="D14" s="168">
        <v>673</v>
      </c>
      <c r="E14" s="171">
        <v>5613</v>
      </c>
      <c r="F14" s="171">
        <v>6077</v>
      </c>
      <c r="G14" s="172">
        <v>3058</v>
      </c>
      <c r="H14" s="172">
        <v>3019</v>
      </c>
      <c r="I14" s="164"/>
    </row>
    <row r="15" spans="1:10" ht="15.75" thickBot="1" x14ac:dyDescent="0.3">
      <c r="A15" s="169">
        <v>6</v>
      </c>
      <c r="B15" s="170" t="s">
        <v>6</v>
      </c>
      <c r="C15" s="171">
        <v>6602</v>
      </c>
      <c r="D15" s="171">
        <v>1274</v>
      </c>
      <c r="E15" s="171">
        <v>5328</v>
      </c>
      <c r="F15" s="171">
        <v>5412</v>
      </c>
      <c r="G15" s="172">
        <v>2519</v>
      </c>
      <c r="H15" s="172">
        <v>2893</v>
      </c>
      <c r="I15" s="164"/>
    </row>
    <row r="16" spans="1:10" ht="15.75" thickBot="1" x14ac:dyDescent="0.3">
      <c r="A16" s="169">
        <v>7</v>
      </c>
      <c r="B16" s="170" t="s">
        <v>7</v>
      </c>
      <c r="C16" s="171">
        <v>7735</v>
      </c>
      <c r="D16" s="171">
        <v>1122</v>
      </c>
      <c r="E16" s="171">
        <v>6613</v>
      </c>
      <c r="F16" s="171">
        <v>5262</v>
      </c>
      <c r="G16" s="172">
        <v>2364</v>
      </c>
      <c r="H16" s="172">
        <v>2898</v>
      </c>
      <c r="I16" s="164"/>
    </row>
    <row r="17" spans="1:9" ht="15.75" thickBot="1" x14ac:dyDescent="0.3">
      <c r="A17" s="169">
        <v>8</v>
      </c>
      <c r="B17" s="170" t="s">
        <v>8</v>
      </c>
      <c r="C17" s="171">
        <v>6536</v>
      </c>
      <c r="D17" s="168">
        <v>958</v>
      </c>
      <c r="E17" s="171">
        <v>5578</v>
      </c>
      <c r="F17" s="171">
        <v>7412</v>
      </c>
      <c r="G17" s="172">
        <v>2843</v>
      </c>
      <c r="H17" s="172">
        <v>4569</v>
      </c>
      <c r="I17" s="164"/>
    </row>
    <row r="18" spans="1:9" ht="15.75" thickBot="1" x14ac:dyDescent="0.3">
      <c r="A18" s="169">
        <v>9</v>
      </c>
      <c r="B18" s="170" t="s">
        <v>9</v>
      </c>
      <c r="C18" s="171">
        <v>6431</v>
      </c>
      <c r="D18" s="168">
        <v>816</v>
      </c>
      <c r="E18" s="171">
        <v>5615</v>
      </c>
      <c r="F18" s="171">
        <v>7239</v>
      </c>
      <c r="G18" s="172">
        <v>3248</v>
      </c>
      <c r="H18" s="172">
        <v>3991</v>
      </c>
      <c r="I18" s="164"/>
    </row>
    <row r="19" spans="1:9" ht="15.75" thickBot="1" x14ac:dyDescent="0.3">
      <c r="A19" s="169">
        <v>10</v>
      </c>
      <c r="B19" s="170" t="s">
        <v>10</v>
      </c>
      <c r="C19" s="171">
        <v>8106</v>
      </c>
      <c r="D19" s="168">
        <v>794</v>
      </c>
      <c r="E19" s="171">
        <v>7312</v>
      </c>
      <c r="F19" s="171">
        <v>6465</v>
      </c>
      <c r="G19" s="172">
        <v>2914</v>
      </c>
      <c r="H19" s="172">
        <v>3551</v>
      </c>
      <c r="I19" s="164"/>
    </row>
    <row r="20" spans="1:9" ht="15.75" thickBot="1" x14ac:dyDescent="0.3">
      <c r="A20" s="169">
        <v>11</v>
      </c>
      <c r="B20" s="170" t="s">
        <v>54</v>
      </c>
      <c r="C20" s="171">
        <v>11364</v>
      </c>
      <c r="D20" s="171">
        <v>1442</v>
      </c>
      <c r="E20" s="171">
        <v>9922</v>
      </c>
      <c r="F20" s="171">
        <v>7341</v>
      </c>
      <c r="G20" s="172">
        <v>3343</v>
      </c>
      <c r="H20" s="172">
        <v>3998</v>
      </c>
      <c r="I20" s="164"/>
    </row>
    <row r="21" spans="1:9" ht="15.75" thickBot="1" x14ac:dyDescent="0.3">
      <c r="A21" s="169">
        <v>12</v>
      </c>
      <c r="B21" s="170" t="s">
        <v>11</v>
      </c>
      <c r="C21" s="171">
        <v>6089</v>
      </c>
      <c r="D21" s="168">
        <v>729</v>
      </c>
      <c r="E21" s="171">
        <v>5360</v>
      </c>
      <c r="F21" s="171">
        <v>7198</v>
      </c>
      <c r="G21" s="172">
        <v>2157</v>
      </c>
      <c r="H21" s="172">
        <v>5041</v>
      </c>
      <c r="I21" s="164"/>
    </row>
    <row r="22" spans="1:9" ht="15.75" thickBot="1" x14ac:dyDescent="0.3">
      <c r="A22" s="169">
        <v>13</v>
      </c>
      <c r="B22" s="170" t="s">
        <v>72</v>
      </c>
      <c r="C22" s="171">
        <v>9939</v>
      </c>
      <c r="D22" s="171">
        <v>2625</v>
      </c>
      <c r="E22" s="171">
        <v>7314</v>
      </c>
      <c r="F22" s="171">
        <v>24094</v>
      </c>
      <c r="G22" s="172">
        <v>7790</v>
      </c>
      <c r="H22" s="172">
        <v>16304</v>
      </c>
      <c r="I22" s="164"/>
    </row>
    <row r="23" spans="1:9" ht="15.75" thickBot="1" x14ac:dyDescent="0.3">
      <c r="A23" s="169">
        <v>14</v>
      </c>
      <c r="B23" s="170" t="s">
        <v>12</v>
      </c>
      <c r="C23" s="171">
        <v>10031</v>
      </c>
      <c r="D23" s="171">
        <v>1429</v>
      </c>
      <c r="E23" s="171">
        <v>8602</v>
      </c>
      <c r="F23" s="171">
        <v>20934</v>
      </c>
      <c r="G23" s="172">
        <v>8736</v>
      </c>
      <c r="H23" s="172">
        <v>12198</v>
      </c>
      <c r="I23" s="164"/>
    </row>
    <row r="24" spans="1:9" ht="15.75" thickBot="1" x14ac:dyDescent="0.3">
      <c r="A24" s="169">
        <v>15</v>
      </c>
      <c r="B24" s="170" t="s">
        <v>13</v>
      </c>
      <c r="C24" s="171">
        <v>25112</v>
      </c>
      <c r="D24" s="171">
        <v>3770</v>
      </c>
      <c r="E24" s="171">
        <v>21342</v>
      </c>
      <c r="F24" s="171">
        <v>33643</v>
      </c>
      <c r="G24" s="172">
        <v>13820</v>
      </c>
      <c r="H24" s="172">
        <v>19823</v>
      </c>
      <c r="I24" s="164"/>
    </row>
    <row r="25" spans="1:9" ht="15.75" thickBot="1" x14ac:dyDescent="0.3">
      <c r="A25" s="169">
        <v>16</v>
      </c>
      <c r="B25" s="170" t="s">
        <v>14</v>
      </c>
      <c r="C25" s="171">
        <v>17155</v>
      </c>
      <c r="D25" s="171">
        <v>2452</v>
      </c>
      <c r="E25" s="171">
        <v>14703</v>
      </c>
      <c r="F25" s="171">
        <v>24682</v>
      </c>
      <c r="G25" s="172">
        <v>10127</v>
      </c>
      <c r="H25" s="172">
        <v>14555</v>
      </c>
      <c r="I25" s="164"/>
    </row>
    <row r="26" spans="1:9" ht="15.75" thickBot="1" x14ac:dyDescent="0.3">
      <c r="A26" s="169">
        <v>17</v>
      </c>
      <c r="B26" s="170" t="s">
        <v>278</v>
      </c>
      <c r="C26" s="171">
        <v>4222</v>
      </c>
      <c r="D26" s="168">
        <v>586</v>
      </c>
      <c r="E26" s="171">
        <v>3636</v>
      </c>
      <c r="F26" s="171">
        <v>4044</v>
      </c>
      <c r="G26" s="172">
        <v>2286</v>
      </c>
      <c r="H26" s="172">
        <v>1758</v>
      </c>
      <c r="I26" s="164"/>
    </row>
    <row r="27" spans="1:9" ht="15.75" thickBot="1" x14ac:dyDescent="0.3">
      <c r="A27" s="169">
        <v>18</v>
      </c>
      <c r="B27" s="170" t="s">
        <v>15</v>
      </c>
      <c r="C27" s="171">
        <v>7693</v>
      </c>
      <c r="D27" s="168">
        <v>410</v>
      </c>
      <c r="E27" s="171">
        <v>7283</v>
      </c>
      <c r="F27" s="171">
        <v>10715</v>
      </c>
      <c r="G27" s="172">
        <v>4802</v>
      </c>
      <c r="H27" s="172">
        <v>5913</v>
      </c>
      <c r="I27" s="164"/>
    </row>
    <row r="28" spans="1:9" ht="15.75" thickBot="1" x14ac:dyDescent="0.3">
      <c r="A28" s="169">
        <v>19</v>
      </c>
      <c r="B28" s="170" t="s">
        <v>16</v>
      </c>
      <c r="C28" s="171">
        <v>9477</v>
      </c>
      <c r="D28" s="171">
        <v>1415</v>
      </c>
      <c r="E28" s="171">
        <v>8062</v>
      </c>
      <c r="F28" s="171">
        <v>16204</v>
      </c>
      <c r="G28" s="172">
        <v>7364</v>
      </c>
      <c r="H28" s="172">
        <v>8840</v>
      </c>
      <c r="I28" s="164"/>
    </row>
    <row r="29" spans="1:9" ht="15.75" thickBot="1" x14ac:dyDescent="0.3">
      <c r="A29" s="169">
        <v>20</v>
      </c>
      <c r="B29" s="170" t="s">
        <v>17</v>
      </c>
      <c r="C29" s="171">
        <v>3705</v>
      </c>
      <c r="D29" s="168">
        <v>498</v>
      </c>
      <c r="E29" s="171">
        <v>3207</v>
      </c>
      <c r="F29" s="171">
        <v>6780</v>
      </c>
      <c r="G29" s="172">
        <v>3204</v>
      </c>
      <c r="H29" s="172">
        <v>3576</v>
      </c>
      <c r="I29" s="164"/>
    </row>
    <row r="30" spans="1:9" ht="15.75" thickBot="1" x14ac:dyDescent="0.3">
      <c r="A30" s="169">
        <v>21</v>
      </c>
      <c r="B30" s="170" t="s">
        <v>18</v>
      </c>
      <c r="C30" s="171">
        <v>4828</v>
      </c>
      <c r="D30" s="168">
        <v>619</v>
      </c>
      <c r="E30" s="171">
        <v>4209</v>
      </c>
      <c r="F30" s="171">
        <v>4581</v>
      </c>
      <c r="G30" s="172">
        <v>2421</v>
      </c>
      <c r="H30" s="172">
        <v>2160</v>
      </c>
      <c r="I30" s="164"/>
    </row>
    <row r="31" spans="1:9" ht="15.75" thickBot="1" x14ac:dyDescent="0.3">
      <c r="A31" s="169">
        <v>22</v>
      </c>
      <c r="B31" s="170" t="s">
        <v>280</v>
      </c>
      <c r="C31" s="171">
        <v>22135</v>
      </c>
      <c r="D31" s="171">
        <v>2763</v>
      </c>
      <c r="E31" s="171">
        <v>19372</v>
      </c>
      <c r="F31" s="168">
        <v>0</v>
      </c>
      <c r="G31" s="176">
        <v>0</v>
      </c>
      <c r="H31" s="176">
        <v>0</v>
      </c>
      <c r="I31" s="164"/>
    </row>
    <row r="32" spans="1:9" ht="15.75" thickBot="1" x14ac:dyDescent="0.3">
      <c r="A32" s="169">
        <v>23</v>
      </c>
      <c r="B32" s="170" t="s">
        <v>281</v>
      </c>
      <c r="C32" s="171">
        <v>26843</v>
      </c>
      <c r="D32" s="171">
        <v>4045</v>
      </c>
      <c r="E32" s="171">
        <v>22798</v>
      </c>
      <c r="F32" s="168">
        <v>0</v>
      </c>
      <c r="G32" s="176">
        <v>0</v>
      </c>
      <c r="H32" s="176">
        <v>0</v>
      </c>
      <c r="I32" s="164"/>
    </row>
    <row r="33" spans="1:9" ht="15.75" thickBot="1" x14ac:dyDescent="0.3">
      <c r="A33" s="169">
        <v>24</v>
      </c>
      <c r="B33" s="170" t="s">
        <v>282</v>
      </c>
      <c r="C33" s="171">
        <v>23681</v>
      </c>
      <c r="D33" s="171">
        <v>2327</v>
      </c>
      <c r="E33" s="171">
        <v>21354</v>
      </c>
      <c r="F33" s="171">
        <v>13063</v>
      </c>
      <c r="G33" s="172">
        <v>3561</v>
      </c>
      <c r="H33" s="172">
        <v>9502</v>
      </c>
      <c r="I33" s="164"/>
    </row>
    <row r="34" spans="1:9" ht="15.75" thickBot="1" x14ac:dyDescent="0.3">
      <c r="A34" s="457">
        <v>25</v>
      </c>
      <c r="B34" s="170" t="s">
        <v>283</v>
      </c>
      <c r="C34" s="171">
        <v>7132</v>
      </c>
      <c r="D34" s="171">
        <v>1382</v>
      </c>
      <c r="E34" s="171">
        <v>5750</v>
      </c>
      <c r="F34" s="171">
        <v>12985</v>
      </c>
      <c r="G34" s="172">
        <v>4634</v>
      </c>
      <c r="H34" s="172">
        <v>8351</v>
      </c>
      <c r="I34" s="164"/>
    </row>
    <row r="35" spans="1:9" ht="34.5" thickBot="1" x14ac:dyDescent="0.3">
      <c r="A35" s="458"/>
      <c r="B35" s="175" t="s">
        <v>284</v>
      </c>
      <c r="C35" s="171">
        <v>11916</v>
      </c>
      <c r="D35" s="171">
        <v>1532</v>
      </c>
      <c r="E35" s="171">
        <v>10384</v>
      </c>
      <c r="F35" s="171">
        <v>11793</v>
      </c>
      <c r="G35" s="172">
        <v>5690</v>
      </c>
      <c r="H35" s="172">
        <v>6103</v>
      </c>
      <c r="I35" s="164"/>
    </row>
    <row r="36" spans="1:9" ht="15.75" thickBot="1" x14ac:dyDescent="0.3">
      <c r="A36" s="169">
        <v>26</v>
      </c>
      <c r="B36" s="170" t="s">
        <v>286</v>
      </c>
      <c r="C36" s="168">
        <v>0</v>
      </c>
      <c r="D36" s="168">
        <v>0</v>
      </c>
      <c r="E36" s="168">
        <v>0</v>
      </c>
      <c r="F36" s="171">
        <v>67686</v>
      </c>
      <c r="G36" s="172">
        <v>15912</v>
      </c>
      <c r="H36" s="172">
        <v>51774</v>
      </c>
      <c r="I36" s="164"/>
    </row>
    <row r="37" spans="1:9" ht="15.75" thickBot="1" x14ac:dyDescent="0.3">
      <c r="A37" s="457">
        <v>27</v>
      </c>
      <c r="B37" s="170" t="s">
        <v>73</v>
      </c>
      <c r="C37" s="171">
        <v>41808</v>
      </c>
      <c r="D37" s="171">
        <v>6638</v>
      </c>
      <c r="E37" s="171">
        <v>35170</v>
      </c>
      <c r="F37" s="168">
        <v>0</v>
      </c>
      <c r="G37" s="176">
        <v>0</v>
      </c>
      <c r="H37" s="176">
        <v>0</v>
      </c>
      <c r="I37" s="164"/>
    </row>
    <row r="38" spans="1:9" ht="34.5" thickBot="1" x14ac:dyDescent="0.3">
      <c r="A38" s="471"/>
      <c r="B38" s="175" t="s">
        <v>289</v>
      </c>
      <c r="C38" s="168">
        <v>0</v>
      </c>
      <c r="D38" s="168">
        <v>0</v>
      </c>
      <c r="E38" s="168">
        <v>0</v>
      </c>
      <c r="F38" s="171">
        <v>43201</v>
      </c>
      <c r="G38" s="172">
        <v>18234</v>
      </c>
      <c r="H38" s="172">
        <v>24967</v>
      </c>
      <c r="I38" s="164"/>
    </row>
    <row r="39" spans="1:9" ht="23.25" thickBot="1" x14ac:dyDescent="0.3">
      <c r="A39" s="472"/>
      <c r="B39" s="175" t="s">
        <v>290</v>
      </c>
      <c r="C39" s="168">
        <v>0</v>
      </c>
      <c r="D39" s="168">
        <v>0</v>
      </c>
      <c r="E39" s="168">
        <v>0</v>
      </c>
      <c r="F39" s="168">
        <v>0</v>
      </c>
      <c r="G39" s="176">
        <v>0</v>
      </c>
      <c r="H39" s="176">
        <v>0</v>
      </c>
      <c r="I39" s="164"/>
    </row>
    <row r="40" spans="1:9" ht="15.75" thickBot="1" x14ac:dyDescent="0.3">
      <c r="A40" s="473">
        <v>28</v>
      </c>
      <c r="B40" s="170" t="s">
        <v>74</v>
      </c>
      <c r="C40" s="171">
        <v>14994</v>
      </c>
      <c r="D40" s="171">
        <v>1982</v>
      </c>
      <c r="E40" s="171">
        <v>13012</v>
      </c>
      <c r="F40" s="171">
        <v>20153</v>
      </c>
      <c r="G40" s="172">
        <v>6929</v>
      </c>
      <c r="H40" s="172">
        <v>13224</v>
      </c>
      <c r="I40" s="164"/>
    </row>
    <row r="41" spans="1:9" ht="34.5" thickBot="1" x14ac:dyDescent="0.3">
      <c r="A41" s="458"/>
      <c r="B41" s="175" t="s">
        <v>293</v>
      </c>
      <c r="C41" s="171">
        <v>6238</v>
      </c>
      <c r="D41" s="168">
        <v>619</v>
      </c>
      <c r="E41" s="171">
        <v>5619</v>
      </c>
      <c r="F41" s="171">
        <v>6656</v>
      </c>
      <c r="G41" s="172">
        <v>2274</v>
      </c>
      <c r="H41" s="172">
        <v>4382</v>
      </c>
      <c r="I41" s="164"/>
    </row>
    <row r="42" spans="1:9" ht="15.75" thickBot="1" x14ac:dyDescent="0.3">
      <c r="A42" s="169">
        <v>29</v>
      </c>
      <c r="B42" s="170" t="s">
        <v>19</v>
      </c>
      <c r="C42" s="171">
        <v>19283</v>
      </c>
      <c r="D42" s="171">
        <v>3545</v>
      </c>
      <c r="E42" s="171">
        <v>15738</v>
      </c>
      <c r="F42" s="171">
        <v>28282</v>
      </c>
      <c r="G42" s="172">
        <v>10366</v>
      </c>
      <c r="H42" s="172">
        <v>17916</v>
      </c>
      <c r="I42" s="164"/>
    </row>
    <row r="43" spans="1:9" ht="15.75" thickBot="1" x14ac:dyDescent="0.3">
      <c r="A43" s="169">
        <v>30</v>
      </c>
      <c r="B43" s="170" t="s">
        <v>20</v>
      </c>
      <c r="C43" s="171">
        <v>24064</v>
      </c>
      <c r="D43" s="171">
        <v>3254</v>
      </c>
      <c r="E43" s="171">
        <v>20810</v>
      </c>
      <c r="F43" s="171">
        <v>28199</v>
      </c>
      <c r="G43" s="172">
        <v>8389</v>
      </c>
      <c r="H43" s="172">
        <v>19810</v>
      </c>
      <c r="I43" s="164"/>
    </row>
    <row r="44" spans="1:9" ht="15.75" thickBot="1" x14ac:dyDescent="0.3">
      <c r="A44" s="169">
        <v>31</v>
      </c>
      <c r="B44" s="170" t="s">
        <v>21</v>
      </c>
      <c r="C44" s="171">
        <v>8073</v>
      </c>
      <c r="D44" s="168">
        <v>961</v>
      </c>
      <c r="E44" s="171">
        <v>7112</v>
      </c>
      <c r="F44" s="171">
        <v>8719</v>
      </c>
      <c r="G44" s="172">
        <v>3534</v>
      </c>
      <c r="H44" s="172">
        <v>5185</v>
      </c>
      <c r="I44" s="164"/>
    </row>
    <row r="45" spans="1:9" ht="15.75" thickBot="1" x14ac:dyDescent="0.3">
      <c r="A45" s="169">
        <v>32</v>
      </c>
      <c r="B45" s="170" t="s">
        <v>22</v>
      </c>
      <c r="C45" s="171">
        <v>8351</v>
      </c>
      <c r="D45" s="168">
        <v>649</v>
      </c>
      <c r="E45" s="171">
        <v>7702</v>
      </c>
      <c r="F45" s="171">
        <v>10562</v>
      </c>
      <c r="G45" s="172">
        <v>3956</v>
      </c>
      <c r="H45" s="172">
        <v>6606</v>
      </c>
      <c r="I45" s="164"/>
    </row>
    <row r="46" spans="1:9" ht="15.75" thickBot="1" x14ac:dyDescent="0.3">
      <c r="A46" s="169">
        <v>33</v>
      </c>
      <c r="B46" s="170" t="s">
        <v>23</v>
      </c>
      <c r="C46" s="171">
        <v>6910</v>
      </c>
      <c r="D46" s="168">
        <v>871</v>
      </c>
      <c r="E46" s="171">
        <v>6039</v>
      </c>
      <c r="F46" s="171">
        <v>9483</v>
      </c>
      <c r="G46" s="172">
        <v>3944</v>
      </c>
      <c r="H46" s="172">
        <v>5539</v>
      </c>
      <c r="I46" s="164"/>
    </row>
    <row r="47" spans="1:9" ht="15.75" thickBot="1" x14ac:dyDescent="0.3">
      <c r="A47" s="169">
        <v>34</v>
      </c>
      <c r="B47" s="170" t="s">
        <v>24</v>
      </c>
      <c r="C47" s="171">
        <v>6659</v>
      </c>
      <c r="D47" s="168">
        <v>720</v>
      </c>
      <c r="E47" s="171">
        <v>5939</v>
      </c>
      <c r="F47" s="171">
        <v>5093</v>
      </c>
      <c r="G47" s="172">
        <v>1886</v>
      </c>
      <c r="H47" s="172">
        <v>3207</v>
      </c>
      <c r="I47" s="164"/>
    </row>
    <row r="48" spans="1:9" ht="15.75" thickBot="1" x14ac:dyDescent="0.3">
      <c r="A48" s="169">
        <v>35</v>
      </c>
      <c r="B48" s="170" t="s">
        <v>25</v>
      </c>
      <c r="C48" s="171">
        <v>9359</v>
      </c>
      <c r="D48" s="171">
        <v>1148</v>
      </c>
      <c r="E48" s="171">
        <v>8211</v>
      </c>
      <c r="F48" s="171">
        <v>8522</v>
      </c>
      <c r="G48" s="172">
        <v>3679</v>
      </c>
      <c r="H48" s="172">
        <v>4843</v>
      </c>
      <c r="I48" s="164"/>
    </row>
    <row r="49" spans="1:9" ht="15.75" thickBot="1" x14ac:dyDescent="0.3">
      <c r="A49" s="169">
        <v>36</v>
      </c>
      <c r="B49" s="170" t="s">
        <v>26</v>
      </c>
      <c r="C49" s="171">
        <v>5010</v>
      </c>
      <c r="D49" s="168">
        <v>717</v>
      </c>
      <c r="E49" s="171">
        <v>4293</v>
      </c>
      <c r="F49" s="171">
        <v>3610</v>
      </c>
      <c r="G49" s="172">
        <v>1657</v>
      </c>
      <c r="H49" s="172">
        <v>1953</v>
      </c>
      <c r="I49" s="164"/>
    </row>
    <row r="50" spans="1:9" ht="23.25" thickBot="1" x14ac:dyDescent="0.3">
      <c r="A50" s="169">
        <v>37</v>
      </c>
      <c r="B50" s="170" t="s">
        <v>294</v>
      </c>
      <c r="C50" s="171">
        <v>3475</v>
      </c>
      <c r="D50" s="168">
        <v>581</v>
      </c>
      <c r="E50" s="171">
        <v>2894</v>
      </c>
      <c r="F50" s="168">
        <v>0</v>
      </c>
      <c r="G50" s="176">
        <v>0</v>
      </c>
      <c r="H50" s="176">
        <v>0</v>
      </c>
      <c r="I50" s="164"/>
    </row>
    <row r="51" spans="1:9" ht="15.75" thickBot="1" x14ac:dyDescent="0.3">
      <c r="A51" s="169">
        <v>38</v>
      </c>
      <c r="B51" s="170" t="s">
        <v>27</v>
      </c>
      <c r="C51" s="171">
        <v>39481</v>
      </c>
      <c r="D51" s="171">
        <v>5591</v>
      </c>
      <c r="E51" s="171">
        <v>33890</v>
      </c>
      <c r="F51" s="171">
        <v>45673</v>
      </c>
      <c r="G51" s="172">
        <v>14243</v>
      </c>
      <c r="H51" s="172">
        <v>31430</v>
      </c>
      <c r="I51" s="164"/>
    </row>
    <row r="52" spans="1:9" ht="15.75" thickBot="1" x14ac:dyDescent="0.3">
      <c r="A52" s="169">
        <v>39</v>
      </c>
      <c r="B52" s="170" t="s">
        <v>28</v>
      </c>
      <c r="C52" s="171">
        <v>25310</v>
      </c>
      <c r="D52" s="171">
        <v>3527</v>
      </c>
      <c r="E52" s="171">
        <v>21783</v>
      </c>
      <c r="F52" s="171">
        <v>27653</v>
      </c>
      <c r="G52" s="172">
        <v>11502</v>
      </c>
      <c r="H52" s="172">
        <v>16151</v>
      </c>
      <c r="I52" s="164"/>
    </row>
    <row r="53" spans="1:9" ht="15.75" thickBot="1" x14ac:dyDescent="0.3">
      <c r="A53" s="169">
        <v>40</v>
      </c>
      <c r="B53" s="170" t="s">
        <v>296</v>
      </c>
      <c r="C53" s="171">
        <v>31594</v>
      </c>
      <c r="D53" s="171">
        <v>4662</v>
      </c>
      <c r="E53" s="171">
        <v>26932</v>
      </c>
      <c r="F53" s="171">
        <v>37756</v>
      </c>
      <c r="G53" s="172">
        <v>14293</v>
      </c>
      <c r="H53" s="172">
        <v>23463</v>
      </c>
      <c r="I53" s="164"/>
    </row>
    <row r="54" spans="1:9" ht="15.75" thickBot="1" x14ac:dyDescent="0.3">
      <c r="A54" s="169">
        <v>41</v>
      </c>
      <c r="B54" s="170" t="s">
        <v>29</v>
      </c>
      <c r="C54" s="171">
        <v>10205</v>
      </c>
      <c r="D54" s="171">
        <v>1485</v>
      </c>
      <c r="E54" s="171">
        <v>8720</v>
      </c>
      <c r="F54" s="171">
        <v>11707</v>
      </c>
      <c r="G54" s="172">
        <v>5702</v>
      </c>
      <c r="H54" s="172">
        <v>6005</v>
      </c>
      <c r="I54" s="164"/>
    </row>
    <row r="55" spans="1:9" ht="15.75" thickBot="1" x14ac:dyDescent="0.3">
      <c r="A55" s="169">
        <v>42</v>
      </c>
      <c r="B55" s="170" t="s">
        <v>30</v>
      </c>
      <c r="C55" s="171">
        <v>6667</v>
      </c>
      <c r="D55" s="171">
        <v>1039</v>
      </c>
      <c r="E55" s="171">
        <v>5628</v>
      </c>
      <c r="F55" s="171">
        <v>8340</v>
      </c>
      <c r="G55" s="172">
        <v>2923</v>
      </c>
      <c r="H55" s="172">
        <v>5417</v>
      </c>
      <c r="I55" s="164"/>
    </row>
    <row r="56" spans="1:9" ht="15.75" thickBot="1" x14ac:dyDescent="0.3">
      <c r="A56" s="169">
        <v>43</v>
      </c>
      <c r="B56" s="170" t="s">
        <v>31</v>
      </c>
      <c r="C56" s="171">
        <v>6585</v>
      </c>
      <c r="D56" s="168">
        <v>483</v>
      </c>
      <c r="E56" s="171">
        <v>6102</v>
      </c>
      <c r="F56" s="171">
        <v>6152</v>
      </c>
      <c r="G56" s="172">
        <v>2206</v>
      </c>
      <c r="H56" s="172">
        <v>3946</v>
      </c>
      <c r="I56" s="164"/>
    </row>
    <row r="57" spans="1:9" ht="15.75" thickBot="1" x14ac:dyDescent="0.3">
      <c r="A57" s="169">
        <v>44</v>
      </c>
      <c r="B57" s="170" t="s">
        <v>32</v>
      </c>
      <c r="C57" s="171">
        <v>4024</v>
      </c>
      <c r="D57" s="168">
        <v>601</v>
      </c>
      <c r="E57" s="171">
        <v>3423</v>
      </c>
      <c r="F57" s="171">
        <v>9415</v>
      </c>
      <c r="G57" s="172">
        <v>3937</v>
      </c>
      <c r="H57" s="172">
        <v>5478</v>
      </c>
      <c r="I57" s="164"/>
    </row>
    <row r="58" spans="1:9" ht="15.75" thickBot="1" x14ac:dyDescent="0.3">
      <c r="A58" s="169">
        <v>45</v>
      </c>
      <c r="B58" s="170" t="s">
        <v>33</v>
      </c>
      <c r="C58" s="171">
        <v>5317</v>
      </c>
      <c r="D58" s="168">
        <v>616</v>
      </c>
      <c r="E58" s="171">
        <v>4701</v>
      </c>
      <c r="F58" s="171">
        <v>2936</v>
      </c>
      <c r="G58" s="172">
        <v>1095</v>
      </c>
      <c r="H58" s="172">
        <v>1841</v>
      </c>
      <c r="I58" s="164"/>
    </row>
    <row r="59" spans="1:9" ht="15.75" thickBot="1" x14ac:dyDescent="0.3">
      <c r="A59" s="169">
        <v>46</v>
      </c>
      <c r="B59" s="170" t="s">
        <v>34</v>
      </c>
      <c r="C59" s="171">
        <v>8539</v>
      </c>
      <c r="D59" s="171">
        <v>1091</v>
      </c>
      <c r="E59" s="171">
        <v>7448</v>
      </c>
      <c r="F59" s="171">
        <v>7617</v>
      </c>
      <c r="G59" s="172">
        <v>2890</v>
      </c>
      <c r="H59" s="172">
        <v>4727</v>
      </c>
      <c r="I59" s="164"/>
    </row>
    <row r="60" spans="1:9" ht="15.75" thickBot="1" x14ac:dyDescent="0.3">
      <c r="A60" s="169">
        <v>47</v>
      </c>
      <c r="B60" s="170" t="s">
        <v>35</v>
      </c>
      <c r="C60" s="171">
        <v>12264</v>
      </c>
      <c r="D60" s="171">
        <v>1598</v>
      </c>
      <c r="E60" s="171">
        <v>10666</v>
      </c>
      <c r="F60" s="171">
        <v>11672</v>
      </c>
      <c r="G60" s="172">
        <v>4150</v>
      </c>
      <c r="H60" s="172">
        <v>7522</v>
      </c>
      <c r="I60" s="164"/>
    </row>
    <row r="61" spans="1:9" ht="15.75" thickBot="1" x14ac:dyDescent="0.3">
      <c r="A61" s="169">
        <v>48</v>
      </c>
      <c r="B61" s="170" t="s">
        <v>36</v>
      </c>
      <c r="C61" s="171">
        <v>6625</v>
      </c>
      <c r="D61" s="168">
        <v>616</v>
      </c>
      <c r="E61" s="171">
        <v>6009</v>
      </c>
      <c r="F61" s="171">
        <v>6165</v>
      </c>
      <c r="G61" s="172">
        <v>1662</v>
      </c>
      <c r="H61" s="172">
        <v>4503</v>
      </c>
      <c r="I61" s="164"/>
    </row>
    <row r="62" spans="1:9" ht="15.75" thickBot="1" x14ac:dyDescent="0.3">
      <c r="A62" s="169">
        <v>49</v>
      </c>
      <c r="B62" s="170" t="s">
        <v>302</v>
      </c>
      <c r="C62" s="168">
        <v>0</v>
      </c>
      <c r="D62" s="168">
        <v>0</v>
      </c>
      <c r="E62" s="168">
        <v>0</v>
      </c>
      <c r="F62" s="171">
        <v>58418</v>
      </c>
      <c r="G62" s="172">
        <v>25935</v>
      </c>
      <c r="H62" s="172">
        <v>32483</v>
      </c>
      <c r="I62" s="164"/>
    </row>
    <row r="63" spans="1:9" ht="15.75" thickBot="1" x14ac:dyDescent="0.3">
      <c r="A63" s="169">
        <v>50</v>
      </c>
      <c r="B63" s="170" t="s">
        <v>303</v>
      </c>
      <c r="C63" s="168">
        <v>0</v>
      </c>
      <c r="D63" s="168">
        <v>0</v>
      </c>
      <c r="E63" s="168">
        <v>0</v>
      </c>
      <c r="F63" s="171">
        <v>51948</v>
      </c>
      <c r="G63" s="172">
        <v>19138</v>
      </c>
      <c r="H63" s="172">
        <v>32810</v>
      </c>
      <c r="I63" s="164"/>
    </row>
    <row r="64" spans="1:9" ht="15.75" thickBot="1" x14ac:dyDescent="0.3">
      <c r="A64" s="169">
        <v>51</v>
      </c>
      <c r="B64" s="170" t="s">
        <v>304</v>
      </c>
      <c r="C64" s="168">
        <v>0</v>
      </c>
      <c r="D64" s="168">
        <v>0</v>
      </c>
      <c r="E64" s="168">
        <v>0</v>
      </c>
      <c r="F64" s="171">
        <v>72103</v>
      </c>
      <c r="G64" s="172">
        <v>28122</v>
      </c>
      <c r="H64" s="172">
        <v>43981</v>
      </c>
      <c r="I64" s="164"/>
    </row>
    <row r="65" spans="1:9" ht="15.75" thickBot="1" x14ac:dyDescent="0.3">
      <c r="A65" s="169">
        <v>52</v>
      </c>
      <c r="B65" s="170" t="s">
        <v>305</v>
      </c>
      <c r="C65" s="168">
        <v>0</v>
      </c>
      <c r="D65" s="168">
        <v>0</v>
      </c>
      <c r="E65" s="168">
        <v>0</v>
      </c>
      <c r="F65" s="171">
        <v>86765</v>
      </c>
      <c r="G65" s="172">
        <v>45064</v>
      </c>
      <c r="H65" s="172">
        <v>41701</v>
      </c>
      <c r="I65" s="164"/>
    </row>
    <row r="66" spans="1:9" ht="15.75" thickBot="1" x14ac:dyDescent="0.3">
      <c r="A66" s="169">
        <v>53</v>
      </c>
      <c r="B66" s="170" t="s">
        <v>306</v>
      </c>
      <c r="C66" s="168">
        <v>0</v>
      </c>
      <c r="D66" s="168">
        <v>0</v>
      </c>
      <c r="E66" s="168">
        <v>0</v>
      </c>
      <c r="F66" s="171">
        <v>31386</v>
      </c>
      <c r="G66" s="172">
        <v>12066</v>
      </c>
      <c r="H66" s="172">
        <v>19320</v>
      </c>
      <c r="I66" s="164"/>
    </row>
    <row r="67" spans="1:9" ht="15.75" thickBot="1" x14ac:dyDescent="0.3">
      <c r="A67" s="169">
        <v>54</v>
      </c>
      <c r="B67" s="170" t="s">
        <v>309</v>
      </c>
      <c r="C67" s="171">
        <v>12758</v>
      </c>
      <c r="D67" s="171">
        <v>2211</v>
      </c>
      <c r="E67" s="171">
        <v>10547</v>
      </c>
      <c r="F67" s="171">
        <v>3052</v>
      </c>
      <c r="G67" s="172">
        <v>1663</v>
      </c>
      <c r="H67" s="172">
        <v>1389</v>
      </c>
      <c r="I67" s="164"/>
    </row>
    <row r="68" spans="1:9" ht="15.75" thickBot="1" x14ac:dyDescent="0.3">
      <c r="A68" s="169">
        <v>55</v>
      </c>
      <c r="B68" s="170" t="s">
        <v>310</v>
      </c>
      <c r="C68" s="171">
        <v>18706</v>
      </c>
      <c r="D68" s="171">
        <v>2223</v>
      </c>
      <c r="E68" s="171">
        <v>16483</v>
      </c>
      <c r="F68" s="168">
        <v>0</v>
      </c>
      <c r="G68" s="176">
        <v>0</v>
      </c>
      <c r="H68" s="176">
        <v>0</v>
      </c>
      <c r="I68" s="164"/>
    </row>
    <row r="69" spans="1:9" ht="15.75" thickBot="1" x14ac:dyDescent="0.3">
      <c r="A69" s="169">
        <v>56</v>
      </c>
      <c r="B69" s="170" t="s">
        <v>311</v>
      </c>
      <c r="C69" s="171">
        <v>16247</v>
      </c>
      <c r="D69" s="171">
        <v>3096</v>
      </c>
      <c r="E69" s="171">
        <v>13151</v>
      </c>
      <c r="F69" s="168">
        <v>0</v>
      </c>
      <c r="G69" s="176">
        <v>0</v>
      </c>
      <c r="H69" s="176">
        <v>0</v>
      </c>
      <c r="I69" s="164"/>
    </row>
    <row r="70" spans="1:9" ht="15.75" thickBot="1" x14ac:dyDescent="0.3">
      <c r="A70" s="169">
        <v>57</v>
      </c>
      <c r="B70" s="170" t="s">
        <v>312</v>
      </c>
      <c r="C70" s="171">
        <v>11524</v>
      </c>
      <c r="D70" s="171">
        <v>1800</v>
      </c>
      <c r="E70" s="171">
        <v>9724</v>
      </c>
      <c r="F70" s="168">
        <v>0</v>
      </c>
      <c r="G70" s="176">
        <v>0</v>
      </c>
      <c r="H70" s="176">
        <v>0</v>
      </c>
      <c r="I70" s="164"/>
    </row>
    <row r="71" spans="1:9" ht="15.75" thickBot="1" x14ac:dyDescent="0.3">
      <c r="A71" s="169">
        <v>58</v>
      </c>
      <c r="B71" s="170" t="s">
        <v>75</v>
      </c>
      <c r="C71" s="171">
        <v>31053</v>
      </c>
      <c r="D71" s="171">
        <v>4126</v>
      </c>
      <c r="E71" s="171">
        <v>26927</v>
      </c>
      <c r="F71" s="168">
        <v>0</v>
      </c>
      <c r="G71" s="176">
        <v>0</v>
      </c>
      <c r="H71" s="176">
        <v>0</v>
      </c>
      <c r="I71" s="164"/>
    </row>
    <row r="72" spans="1:9" ht="15.75" thickBot="1" x14ac:dyDescent="0.3">
      <c r="A72" s="169">
        <v>59</v>
      </c>
      <c r="B72" s="170" t="s">
        <v>313</v>
      </c>
      <c r="C72" s="171">
        <v>18936</v>
      </c>
      <c r="D72" s="171">
        <v>2456</v>
      </c>
      <c r="E72" s="171">
        <v>16480</v>
      </c>
      <c r="F72" s="168">
        <v>0</v>
      </c>
      <c r="G72" s="176">
        <v>0</v>
      </c>
      <c r="H72" s="176">
        <v>0</v>
      </c>
      <c r="I72" s="164"/>
    </row>
    <row r="73" spans="1:9" ht="15.75" thickBot="1" x14ac:dyDescent="0.3">
      <c r="A73" s="169">
        <v>60</v>
      </c>
      <c r="B73" s="170" t="s">
        <v>76</v>
      </c>
      <c r="C73" s="171">
        <v>16465</v>
      </c>
      <c r="D73" s="171">
        <v>2219</v>
      </c>
      <c r="E73" s="171">
        <v>14246</v>
      </c>
      <c r="F73" s="168">
        <v>0</v>
      </c>
      <c r="G73" s="176">
        <v>0</v>
      </c>
      <c r="H73" s="176">
        <v>0</v>
      </c>
      <c r="I73" s="164"/>
    </row>
    <row r="74" spans="1:9" ht="15.75" thickBot="1" x14ac:dyDescent="0.3">
      <c r="A74" s="169">
        <v>61</v>
      </c>
      <c r="B74" s="170" t="s">
        <v>314</v>
      </c>
      <c r="C74" s="171">
        <v>10882</v>
      </c>
      <c r="D74" s="171">
        <v>1723</v>
      </c>
      <c r="E74" s="171">
        <v>9159</v>
      </c>
      <c r="F74" s="168">
        <v>0</v>
      </c>
      <c r="G74" s="176">
        <v>0</v>
      </c>
      <c r="H74" s="176">
        <v>0</v>
      </c>
      <c r="I74" s="164"/>
    </row>
    <row r="75" spans="1:9" ht="15.75" thickBot="1" x14ac:dyDescent="0.3">
      <c r="A75" s="169">
        <v>62</v>
      </c>
      <c r="B75" s="170" t="s">
        <v>315</v>
      </c>
      <c r="C75" s="171">
        <v>31925</v>
      </c>
      <c r="D75" s="171">
        <v>4768</v>
      </c>
      <c r="E75" s="171">
        <v>27157</v>
      </c>
      <c r="F75" s="168">
        <v>0</v>
      </c>
      <c r="G75" s="176">
        <v>0</v>
      </c>
      <c r="H75" s="176">
        <v>0</v>
      </c>
      <c r="I75" s="164"/>
    </row>
    <row r="76" spans="1:9" ht="15.75" thickBot="1" x14ac:dyDescent="0.3">
      <c r="A76" s="169">
        <v>63</v>
      </c>
      <c r="B76" s="170" t="s">
        <v>316</v>
      </c>
      <c r="C76" s="171">
        <v>14529</v>
      </c>
      <c r="D76" s="171">
        <v>1759</v>
      </c>
      <c r="E76" s="171">
        <v>12770</v>
      </c>
      <c r="F76" s="168">
        <v>0</v>
      </c>
      <c r="G76" s="176">
        <v>0</v>
      </c>
      <c r="H76" s="176">
        <v>0</v>
      </c>
      <c r="I76" s="164"/>
    </row>
    <row r="77" spans="1:9" ht="15.75" thickBot="1" x14ac:dyDescent="0.3">
      <c r="A77" s="169">
        <v>64</v>
      </c>
      <c r="B77" s="170" t="s">
        <v>317</v>
      </c>
      <c r="C77" s="171">
        <v>10017</v>
      </c>
      <c r="D77" s="171">
        <v>1461</v>
      </c>
      <c r="E77" s="171">
        <v>8556</v>
      </c>
      <c r="F77" s="168">
        <v>0</v>
      </c>
      <c r="G77" s="176">
        <v>0</v>
      </c>
      <c r="H77" s="176">
        <v>0</v>
      </c>
      <c r="I77" s="164"/>
    </row>
    <row r="78" spans="1:9" ht="15.75" thickBot="1" x14ac:dyDescent="0.3">
      <c r="A78" s="169">
        <v>65</v>
      </c>
      <c r="B78" s="170" t="s">
        <v>325</v>
      </c>
      <c r="C78" s="171">
        <v>14812</v>
      </c>
      <c r="D78" s="171">
        <v>2777</v>
      </c>
      <c r="E78" s="171">
        <v>12035</v>
      </c>
      <c r="F78" s="171">
        <v>31674</v>
      </c>
      <c r="G78" s="172">
        <v>12180</v>
      </c>
      <c r="H78" s="172">
        <v>19494</v>
      </c>
      <c r="I78" s="164"/>
    </row>
    <row r="79" spans="1:9" ht="15.75" thickBot="1" x14ac:dyDescent="0.3">
      <c r="A79" s="169">
        <v>66</v>
      </c>
      <c r="B79" s="170" t="s">
        <v>326</v>
      </c>
      <c r="C79" s="171">
        <v>23214</v>
      </c>
      <c r="D79" s="171">
        <v>3168</v>
      </c>
      <c r="E79" s="171">
        <v>20046</v>
      </c>
      <c r="F79" s="168">
        <v>0</v>
      </c>
      <c r="G79" s="176">
        <v>0</v>
      </c>
      <c r="H79" s="176">
        <v>0</v>
      </c>
      <c r="I79" s="164"/>
    </row>
    <row r="80" spans="1:9" ht="15.75" thickBot="1" x14ac:dyDescent="0.3">
      <c r="A80" s="169">
        <v>67</v>
      </c>
      <c r="B80" s="170" t="s">
        <v>77</v>
      </c>
      <c r="C80" s="171">
        <v>16527</v>
      </c>
      <c r="D80" s="171">
        <v>2245</v>
      </c>
      <c r="E80" s="171">
        <v>14282</v>
      </c>
      <c r="F80" s="168">
        <v>0</v>
      </c>
      <c r="G80" s="176">
        <v>0</v>
      </c>
      <c r="H80" s="176">
        <v>0</v>
      </c>
      <c r="I80" s="164"/>
    </row>
    <row r="81" spans="1:9" ht="15.75" thickBot="1" x14ac:dyDescent="0.3">
      <c r="A81" s="169">
        <v>68</v>
      </c>
      <c r="B81" s="170" t="s">
        <v>327</v>
      </c>
      <c r="C81" s="171">
        <v>6563</v>
      </c>
      <c r="D81" s="171">
        <v>1178</v>
      </c>
      <c r="E81" s="171">
        <v>5385</v>
      </c>
      <c r="F81" s="168">
        <v>0</v>
      </c>
      <c r="G81" s="176">
        <v>0</v>
      </c>
      <c r="H81" s="176">
        <v>0</v>
      </c>
      <c r="I81" s="164"/>
    </row>
    <row r="82" spans="1:9" ht="15.75" thickBot="1" x14ac:dyDescent="0.3">
      <c r="A82" s="169">
        <v>69</v>
      </c>
      <c r="B82" s="170" t="s">
        <v>328</v>
      </c>
      <c r="C82" s="171">
        <v>3435</v>
      </c>
      <c r="D82" s="168">
        <v>548</v>
      </c>
      <c r="E82" s="171">
        <v>2887</v>
      </c>
      <c r="F82" s="168">
        <v>0</v>
      </c>
      <c r="G82" s="176">
        <v>0</v>
      </c>
      <c r="H82" s="176">
        <v>0</v>
      </c>
      <c r="I82" s="164"/>
    </row>
    <row r="83" spans="1:9" ht="15.75" thickBot="1" x14ac:dyDescent="0.3">
      <c r="A83" s="169">
        <v>70</v>
      </c>
      <c r="B83" s="170" t="s">
        <v>329</v>
      </c>
      <c r="C83" s="171">
        <v>3394</v>
      </c>
      <c r="D83" s="168">
        <v>549</v>
      </c>
      <c r="E83" s="171">
        <v>2845</v>
      </c>
      <c r="F83" s="168">
        <v>0</v>
      </c>
      <c r="G83" s="176">
        <v>0</v>
      </c>
      <c r="H83" s="176">
        <v>0</v>
      </c>
      <c r="I83" s="164"/>
    </row>
    <row r="84" spans="1:9" ht="15.75" thickBot="1" x14ac:dyDescent="0.3">
      <c r="A84" s="169">
        <v>71</v>
      </c>
      <c r="B84" s="170" t="s">
        <v>78</v>
      </c>
      <c r="C84" s="171">
        <v>43588</v>
      </c>
      <c r="D84" s="171">
        <v>5491</v>
      </c>
      <c r="E84" s="171">
        <v>38097</v>
      </c>
      <c r="F84" s="168">
        <v>0</v>
      </c>
      <c r="G84" s="176">
        <v>0</v>
      </c>
      <c r="H84" s="176">
        <v>0</v>
      </c>
      <c r="I84" s="164"/>
    </row>
    <row r="85" spans="1:9" ht="15.75" thickBot="1" x14ac:dyDescent="0.3">
      <c r="A85" s="169">
        <v>72</v>
      </c>
      <c r="B85" s="170" t="s">
        <v>330</v>
      </c>
      <c r="C85" s="168">
        <v>0</v>
      </c>
      <c r="D85" s="168">
        <v>0</v>
      </c>
      <c r="E85" s="168">
        <v>0</v>
      </c>
      <c r="F85" s="171">
        <v>53219</v>
      </c>
      <c r="G85" s="172">
        <v>28191</v>
      </c>
      <c r="H85" s="172">
        <v>25028</v>
      </c>
      <c r="I85" s="164"/>
    </row>
    <row r="86" spans="1:9" ht="15.75" thickBot="1" x14ac:dyDescent="0.3">
      <c r="A86" s="169">
        <v>73</v>
      </c>
      <c r="B86" s="170" t="s">
        <v>71</v>
      </c>
      <c r="C86" s="171">
        <v>9971</v>
      </c>
      <c r="D86" s="171">
        <v>1787</v>
      </c>
      <c r="E86" s="171">
        <v>8184</v>
      </c>
      <c r="F86" s="168">
        <v>0</v>
      </c>
      <c r="G86" s="176">
        <v>0</v>
      </c>
      <c r="H86" s="176">
        <v>0</v>
      </c>
      <c r="I86" s="164"/>
    </row>
    <row r="87" spans="1:9" ht="15.75" thickBot="1" x14ac:dyDescent="0.3">
      <c r="A87" s="457">
        <v>74</v>
      </c>
      <c r="B87" s="170" t="s">
        <v>58</v>
      </c>
      <c r="C87" s="168">
        <v>243</v>
      </c>
      <c r="D87" s="168">
        <v>23</v>
      </c>
      <c r="E87" s="168">
        <v>220</v>
      </c>
      <c r="F87" s="168">
        <v>0</v>
      </c>
      <c r="G87" s="176">
        <v>0</v>
      </c>
      <c r="H87" s="176">
        <v>0</v>
      </c>
      <c r="I87" s="164"/>
    </row>
    <row r="88" spans="1:9" ht="23.25" thickBot="1" x14ac:dyDescent="0.3">
      <c r="A88" s="458"/>
      <c r="B88" s="170" t="s">
        <v>331</v>
      </c>
      <c r="C88" s="168">
        <v>0</v>
      </c>
      <c r="D88" s="168">
        <v>0</v>
      </c>
      <c r="E88" s="168">
        <v>0</v>
      </c>
      <c r="F88" s="168">
        <v>0</v>
      </c>
      <c r="G88" s="176">
        <v>0</v>
      </c>
      <c r="H88" s="176">
        <v>0</v>
      </c>
      <c r="I88" s="164"/>
    </row>
    <row r="89" spans="1:9" ht="15.75" thickBot="1" x14ac:dyDescent="0.3">
      <c r="A89" s="169">
        <v>75</v>
      </c>
      <c r="B89" s="170" t="s">
        <v>333</v>
      </c>
      <c r="C89" s="171">
        <v>2895</v>
      </c>
      <c r="D89" s="168">
        <v>420</v>
      </c>
      <c r="E89" s="171">
        <v>2475</v>
      </c>
      <c r="F89" s="168">
        <v>0</v>
      </c>
      <c r="G89" s="176">
        <v>0</v>
      </c>
      <c r="H89" s="176">
        <v>0</v>
      </c>
      <c r="I89" s="164"/>
    </row>
    <row r="90" spans="1:9" ht="15.75" thickBot="1" x14ac:dyDescent="0.3">
      <c r="A90" s="169">
        <v>76</v>
      </c>
      <c r="B90" s="170" t="s">
        <v>37</v>
      </c>
      <c r="C90" s="171">
        <v>6054</v>
      </c>
      <c r="D90" s="168">
        <v>294</v>
      </c>
      <c r="E90" s="171">
        <v>5760</v>
      </c>
      <c r="F90" s="171">
        <v>5499</v>
      </c>
      <c r="G90" s="172">
        <v>2396</v>
      </c>
      <c r="H90" s="172">
        <v>3103</v>
      </c>
      <c r="I90" s="164"/>
    </row>
    <row r="91" spans="1:9" ht="15.75" thickBot="1" x14ac:dyDescent="0.3">
      <c r="A91" s="169">
        <v>77</v>
      </c>
      <c r="B91" s="170" t="s">
        <v>38</v>
      </c>
      <c r="C91" s="171">
        <v>6175</v>
      </c>
      <c r="D91" s="171">
        <v>1249</v>
      </c>
      <c r="E91" s="171">
        <v>4926</v>
      </c>
      <c r="F91" s="171">
        <v>5828</v>
      </c>
      <c r="G91" s="172">
        <v>2751</v>
      </c>
      <c r="H91" s="172">
        <v>3077</v>
      </c>
      <c r="I91" s="164"/>
    </row>
    <row r="92" spans="1:9" ht="15.75" thickBot="1" x14ac:dyDescent="0.3">
      <c r="A92" s="177">
        <v>78</v>
      </c>
      <c r="B92" s="170" t="s">
        <v>39</v>
      </c>
      <c r="C92" s="171">
        <v>12391</v>
      </c>
      <c r="D92" s="171">
        <v>1419</v>
      </c>
      <c r="E92" s="171">
        <v>10972</v>
      </c>
      <c r="F92" s="171">
        <v>16917</v>
      </c>
      <c r="G92" s="172">
        <v>6064</v>
      </c>
      <c r="H92" s="172">
        <v>10853</v>
      </c>
      <c r="I92" s="164"/>
    </row>
    <row r="93" spans="1:9" ht="15.75" thickBot="1" x14ac:dyDescent="0.3">
      <c r="A93" s="169">
        <v>79</v>
      </c>
      <c r="B93" s="170" t="s">
        <v>40</v>
      </c>
      <c r="C93" s="171">
        <v>6365</v>
      </c>
      <c r="D93" s="168">
        <v>952</v>
      </c>
      <c r="E93" s="171">
        <v>5413</v>
      </c>
      <c r="F93" s="171">
        <v>6949</v>
      </c>
      <c r="G93" s="172">
        <v>3145</v>
      </c>
      <c r="H93" s="172">
        <v>3804</v>
      </c>
      <c r="I93" s="164"/>
    </row>
    <row r="94" spans="1:9" ht="15.75" thickBot="1" x14ac:dyDescent="0.3">
      <c r="A94" s="169">
        <v>80</v>
      </c>
      <c r="B94" s="170" t="s">
        <v>41</v>
      </c>
      <c r="C94" s="171">
        <v>7237</v>
      </c>
      <c r="D94" s="171">
        <v>1217</v>
      </c>
      <c r="E94" s="171">
        <v>6020</v>
      </c>
      <c r="F94" s="171">
        <v>7587</v>
      </c>
      <c r="G94" s="172">
        <v>2951</v>
      </c>
      <c r="H94" s="172">
        <v>4636</v>
      </c>
      <c r="I94" s="164"/>
    </row>
    <row r="95" spans="1:9" ht="15.75" thickBot="1" x14ac:dyDescent="0.3">
      <c r="A95" s="169">
        <v>81</v>
      </c>
      <c r="B95" s="170" t="s">
        <v>42</v>
      </c>
      <c r="C95" s="171">
        <v>6553</v>
      </c>
      <c r="D95" s="171">
        <v>1725</v>
      </c>
      <c r="E95" s="171">
        <v>4828</v>
      </c>
      <c r="F95" s="171">
        <v>21082</v>
      </c>
      <c r="G95" s="172">
        <v>8191</v>
      </c>
      <c r="H95" s="172">
        <v>12891</v>
      </c>
      <c r="I95" s="164"/>
    </row>
    <row r="96" spans="1:9" ht="15.75" thickBot="1" x14ac:dyDescent="0.3">
      <c r="A96" s="169">
        <v>82</v>
      </c>
      <c r="B96" s="170" t="s">
        <v>43</v>
      </c>
      <c r="C96" s="171">
        <v>8109</v>
      </c>
      <c r="D96" s="171">
        <v>1633</v>
      </c>
      <c r="E96" s="171">
        <v>6476</v>
      </c>
      <c r="F96" s="171">
        <v>15914</v>
      </c>
      <c r="G96" s="172">
        <v>4875</v>
      </c>
      <c r="H96" s="172">
        <v>11039</v>
      </c>
      <c r="I96" s="164"/>
    </row>
    <row r="97" spans="1:9" ht="15.75" thickBot="1" x14ac:dyDescent="0.3">
      <c r="A97" s="169">
        <v>83</v>
      </c>
      <c r="B97" s="170" t="s">
        <v>44</v>
      </c>
      <c r="C97" s="171">
        <v>2993</v>
      </c>
      <c r="D97" s="168">
        <v>359</v>
      </c>
      <c r="E97" s="171">
        <v>2634</v>
      </c>
      <c r="F97" s="171">
        <v>5315</v>
      </c>
      <c r="G97" s="172">
        <v>2043</v>
      </c>
      <c r="H97" s="172">
        <v>3272</v>
      </c>
      <c r="I97" s="164"/>
    </row>
    <row r="98" spans="1:9" ht="15.75" thickBot="1" x14ac:dyDescent="0.3">
      <c r="A98" s="169">
        <v>84</v>
      </c>
      <c r="B98" s="170" t="s">
        <v>45</v>
      </c>
      <c r="C98" s="171">
        <v>6063</v>
      </c>
      <c r="D98" s="168">
        <v>862</v>
      </c>
      <c r="E98" s="171">
        <v>5201</v>
      </c>
      <c r="F98" s="171">
        <v>7573</v>
      </c>
      <c r="G98" s="172">
        <v>3547</v>
      </c>
      <c r="H98" s="172">
        <v>4026</v>
      </c>
      <c r="I98" s="164"/>
    </row>
    <row r="99" spans="1:9" ht="15.75" thickBot="1" x14ac:dyDescent="0.3">
      <c r="A99" s="169">
        <v>85</v>
      </c>
      <c r="B99" s="170" t="s">
        <v>46</v>
      </c>
      <c r="C99" s="171">
        <v>6076</v>
      </c>
      <c r="D99" s="168">
        <v>945</v>
      </c>
      <c r="E99" s="171">
        <v>5131</v>
      </c>
      <c r="F99" s="171">
        <v>8814</v>
      </c>
      <c r="G99" s="172">
        <v>3618</v>
      </c>
      <c r="H99" s="172">
        <v>5196</v>
      </c>
      <c r="I99" s="164"/>
    </row>
    <row r="100" spans="1:9" ht="15.75" thickBot="1" x14ac:dyDescent="0.3">
      <c r="A100" s="169">
        <v>86</v>
      </c>
      <c r="B100" s="170" t="s">
        <v>47</v>
      </c>
      <c r="C100" s="171">
        <v>6958</v>
      </c>
      <c r="D100" s="168">
        <v>714</v>
      </c>
      <c r="E100" s="171">
        <v>6244</v>
      </c>
      <c r="F100" s="171">
        <v>10493</v>
      </c>
      <c r="G100" s="172">
        <v>4600</v>
      </c>
      <c r="H100" s="172">
        <v>5893</v>
      </c>
      <c r="I100" s="164"/>
    </row>
    <row r="101" spans="1:9" ht="15.75" thickBot="1" x14ac:dyDescent="0.3">
      <c r="A101" s="169">
        <v>87</v>
      </c>
      <c r="B101" s="170" t="s">
        <v>48</v>
      </c>
      <c r="C101" s="171">
        <v>4861</v>
      </c>
      <c r="D101" s="168">
        <v>676</v>
      </c>
      <c r="E101" s="171">
        <v>4185</v>
      </c>
      <c r="F101" s="171">
        <v>6434</v>
      </c>
      <c r="G101" s="172">
        <v>2319</v>
      </c>
      <c r="H101" s="172">
        <v>4115</v>
      </c>
      <c r="I101" s="164"/>
    </row>
    <row r="102" spans="1:9" ht="15.75" thickBot="1" x14ac:dyDescent="0.3">
      <c r="A102" s="169">
        <v>88</v>
      </c>
      <c r="B102" s="170" t="s">
        <v>49</v>
      </c>
      <c r="C102" s="171">
        <v>7852</v>
      </c>
      <c r="D102" s="171">
        <v>1061</v>
      </c>
      <c r="E102" s="171">
        <v>6791</v>
      </c>
      <c r="F102" s="171">
        <v>8295</v>
      </c>
      <c r="G102" s="172">
        <v>3454</v>
      </c>
      <c r="H102" s="172">
        <v>4841</v>
      </c>
      <c r="I102" s="164"/>
    </row>
    <row r="103" spans="1:9" ht="15.75" thickBot="1" x14ac:dyDescent="0.3">
      <c r="A103" s="169">
        <v>89</v>
      </c>
      <c r="B103" s="170" t="s">
        <v>50</v>
      </c>
      <c r="C103" s="171">
        <v>15491</v>
      </c>
      <c r="D103" s="171">
        <v>2095</v>
      </c>
      <c r="E103" s="171">
        <v>13396</v>
      </c>
      <c r="F103" s="171">
        <v>15440</v>
      </c>
      <c r="G103" s="172">
        <v>7047</v>
      </c>
      <c r="H103" s="172">
        <v>8393</v>
      </c>
      <c r="I103" s="164"/>
    </row>
    <row r="104" spans="1:9" ht="15.75" thickBot="1" x14ac:dyDescent="0.3">
      <c r="A104" s="169">
        <v>90</v>
      </c>
      <c r="B104" s="170" t="s">
        <v>51</v>
      </c>
      <c r="C104" s="171">
        <v>7657</v>
      </c>
      <c r="D104" s="168">
        <v>662</v>
      </c>
      <c r="E104" s="171">
        <v>6995</v>
      </c>
      <c r="F104" s="171">
        <v>6504</v>
      </c>
      <c r="G104" s="172">
        <v>2923</v>
      </c>
      <c r="H104" s="172">
        <v>3581</v>
      </c>
      <c r="I104" s="164"/>
    </row>
    <row r="105" spans="1:9" ht="23.25" thickBot="1" x14ac:dyDescent="0.3">
      <c r="A105" s="169">
        <v>91</v>
      </c>
      <c r="B105" s="170" t="s">
        <v>59</v>
      </c>
      <c r="C105" s="171">
        <v>4252</v>
      </c>
      <c r="D105" s="168">
        <v>838</v>
      </c>
      <c r="E105" s="171">
        <v>3414</v>
      </c>
      <c r="F105" s="168">
        <v>0</v>
      </c>
      <c r="G105" s="176">
        <v>0</v>
      </c>
      <c r="H105" s="176">
        <v>0</v>
      </c>
      <c r="I105" s="164"/>
    </row>
    <row r="106" spans="1:9" ht="15.75" thickBot="1" x14ac:dyDescent="0.3">
      <c r="A106" s="169">
        <v>92</v>
      </c>
      <c r="B106" s="170" t="s">
        <v>358</v>
      </c>
      <c r="C106" s="171">
        <v>4190</v>
      </c>
      <c r="D106" s="171">
        <v>2255</v>
      </c>
      <c r="E106" s="171">
        <v>1935</v>
      </c>
      <c r="F106" s="168">
        <v>0</v>
      </c>
      <c r="G106" s="176">
        <v>0</v>
      </c>
      <c r="H106" s="176">
        <v>0</v>
      </c>
      <c r="I106" s="164"/>
    </row>
    <row r="107" spans="1:9" ht="34.5" thickBot="1" x14ac:dyDescent="0.3">
      <c r="A107" s="169">
        <v>93</v>
      </c>
      <c r="B107" s="175" t="s">
        <v>65</v>
      </c>
      <c r="C107" s="171">
        <v>20482</v>
      </c>
      <c r="D107" s="171">
        <v>2129</v>
      </c>
      <c r="E107" s="171">
        <v>18353</v>
      </c>
      <c r="F107" s="171">
        <v>35852</v>
      </c>
      <c r="G107" s="172">
        <v>11145</v>
      </c>
      <c r="H107" s="172">
        <v>24707</v>
      </c>
      <c r="I107" s="164"/>
    </row>
    <row r="108" spans="1:9" ht="15.75" thickBot="1" x14ac:dyDescent="0.3">
      <c r="A108" s="178"/>
      <c r="B108" s="179" t="s">
        <v>52</v>
      </c>
      <c r="C108" s="180">
        <v>1095064</v>
      </c>
      <c r="D108" s="180">
        <v>156845</v>
      </c>
      <c r="E108" s="180">
        <v>938219</v>
      </c>
      <c r="F108" s="180">
        <v>1333618</v>
      </c>
      <c r="G108" s="180">
        <v>526353</v>
      </c>
      <c r="H108" s="180">
        <v>807265</v>
      </c>
      <c r="I108" s="164"/>
    </row>
  </sheetData>
  <mergeCells count="16">
    <mergeCell ref="I3:I4"/>
    <mergeCell ref="F4:H4"/>
    <mergeCell ref="C5:C7"/>
    <mergeCell ref="D5:E5"/>
    <mergeCell ref="F5:F7"/>
    <mergeCell ref="A87:A88"/>
    <mergeCell ref="A1:H1"/>
    <mergeCell ref="A3:A7"/>
    <mergeCell ref="B3:B7"/>
    <mergeCell ref="C3:E4"/>
    <mergeCell ref="F3:H3"/>
    <mergeCell ref="G5:H5"/>
    <mergeCell ref="A11:A12"/>
    <mergeCell ref="A34:A35"/>
    <mergeCell ref="A37:A39"/>
    <mergeCell ref="A40:A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L40" sqref="L40"/>
    </sheetView>
  </sheetViews>
  <sheetFormatPr defaultRowHeight="12" x14ac:dyDescent="0.2"/>
  <cols>
    <col min="1" max="1" width="29.42578125" style="181" customWidth="1"/>
    <col min="2" max="2" width="7.85546875" style="181" customWidth="1"/>
    <col min="3" max="3" width="9.42578125" style="181" customWidth="1"/>
    <col min="4" max="4" width="9.140625" style="181" customWidth="1"/>
    <col min="5" max="5" width="9.42578125" style="181" customWidth="1"/>
    <col min="6" max="6" width="10.5703125" style="181" customWidth="1"/>
    <col min="7" max="7" width="9.7109375" style="181" customWidth="1"/>
    <col min="8" max="8" width="8.85546875" style="181" customWidth="1"/>
    <col min="9" max="9" width="9.42578125" style="181" customWidth="1"/>
    <col min="10" max="10" width="11.28515625" style="181" customWidth="1"/>
    <col min="11" max="11" width="10" style="181" customWidth="1"/>
    <col min="12" max="12" width="9.28515625" style="181" customWidth="1"/>
    <col min="13" max="13" width="11.42578125" style="181" customWidth="1"/>
    <col min="14" max="16384" width="9.140625" style="181"/>
  </cols>
  <sheetData>
    <row r="1" spans="1:13" ht="18.75" x14ac:dyDescent="0.2">
      <c r="A1" s="479" t="s">
        <v>383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x14ac:dyDescent="0.2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/>
      <c r="L2" s="183"/>
      <c r="M2" s="184" t="s">
        <v>384</v>
      </c>
    </row>
    <row r="3" spans="1:13" s="185" customFormat="1" ht="11.25" customHeight="1" x14ac:dyDescent="0.2">
      <c r="A3" s="478" t="s">
        <v>53</v>
      </c>
      <c r="B3" s="476" t="s">
        <v>68</v>
      </c>
      <c r="C3" s="481" t="s">
        <v>68</v>
      </c>
      <c r="D3" s="482"/>
      <c r="E3" s="482"/>
      <c r="F3" s="483"/>
      <c r="G3" s="484" t="s">
        <v>385</v>
      </c>
      <c r="H3" s="485"/>
      <c r="I3" s="485"/>
      <c r="J3" s="486"/>
      <c r="K3" s="487" t="s">
        <v>386</v>
      </c>
      <c r="L3" s="487"/>
      <c r="M3" s="487"/>
    </row>
    <row r="4" spans="1:13" s="185" customFormat="1" ht="12.75" customHeight="1" x14ac:dyDescent="0.2">
      <c r="A4" s="478"/>
      <c r="B4" s="480"/>
      <c r="C4" s="488" t="s">
        <v>387</v>
      </c>
      <c r="D4" s="489"/>
      <c r="E4" s="490"/>
      <c r="F4" s="478" t="s">
        <v>388</v>
      </c>
      <c r="G4" s="491" t="s">
        <v>387</v>
      </c>
      <c r="H4" s="491"/>
      <c r="I4" s="491"/>
      <c r="J4" s="478" t="s">
        <v>388</v>
      </c>
      <c r="K4" s="491" t="s">
        <v>387</v>
      </c>
      <c r="L4" s="491"/>
      <c r="M4" s="478" t="s">
        <v>388</v>
      </c>
    </row>
    <row r="5" spans="1:13" s="185" customFormat="1" ht="12.75" customHeight="1" x14ac:dyDescent="0.2">
      <c r="A5" s="478"/>
      <c r="B5" s="480"/>
      <c r="C5" s="478" t="s">
        <v>389</v>
      </c>
      <c r="D5" s="478" t="s">
        <v>390</v>
      </c>
      <c r="E5" s="478" t="s">
        <v>391</v>
      </c>
      <c r="F5" s="478"/>
      <c r="G5" s="478" t="s">
        <v>389</v>
      </c>
      <c r="H5" s="476" t="s">
        <v>390</v>
      </c>
      <c r="I5" s="476" t="s">
        <v>391</v>
      </c>
      <c r="J5" s="478"/>
      <c r="K5" s="478" t="s">
        <v>389</v>
      </c>
      <c r="L5" s="478" t="s">
        <v>390</v>
      </c>
      <c r="M5" s="478"/>
    </row>
    <row r="6" spans="1:13" s="185" customFormat="1" ht="38.25" customHeight="1" x14ac:dyDescent="0.2">
      <c r="A6" s="478"/>
      <c r="B6" s="477"/>
      <c r="C6" s="478"/>
      <c r="D6" s="478"/>
      <c r="E6" s="478"/>
      <c r="F6" s="478"/>
      <c r="G6" s="478"/>
      <c r="H6" s="477"/>
      <c r="I6" s="477"/>
      <c r="J6" s="478"/>
      <c r="K6" s="478"/>
      <c r="L6" s="478"/>
      <c r="M6" s="478"/>
    </row>
    <row r="7" spans="1:13" x14ac:dyDescent="0.2">
      <c r="A7" s="186" t="s">
        <v>13</v>
      </c>
      <c r="B7" s="187">
        <f>C7+D7+E7+F7</f>
        <v>24500</v>
      </c>
      <c r="C7" s="187">
        <f t="shared" ref="C7:D22" si="0">G7+K7</f>
        <v>7337</v>
      </c>
      <c r="D7" s="187">
        <f t="shared" si="0"/>
        <v>7337</v>
      </c>
      <c r="E7" s="187">
        <f t="shared" ref="E7:E33" si="1">I7</f>
        <v>4925</v>
      </c>
      <c r="F7" s="187">
        <f t="shared" ref="F7:F33" si="2">J7+M7</f>
        <v>4901</v>
      </c>
      <c r="G7" s="188">
        <v>4925</v>
      </c>
      <c r="H7" s="188">
        <v>4925</v>
      </c>
      <c r="I7" s="188">
        <v>4925</v>
      </c>
      <c r="J7" s="188">
        <v>3695</v>
      </c>
      <c r="K7" s="188">
        <v>2412</v>
      </c>
      <c r="L7" s="188">
        <v>2412</v>
      </c>
      <c r="M7" s="188">
        <v>1206</v>
      </c>
    </row>
    <row r="8" spans="1:13" x14ac:dyDescent="0.2">
      <c r="A8" s="186" t="s">
        <v>1</v>
      </c>
      <c r="B8" s="187">
        <f t="shared" ref="B8:B33" si="3">C8+D8+E8+F8</f>
        <v>19585</v>
      </c>
      <c r="C8" s="187">
        <f t="shared" si="0"/>
        <v>5925</v>
      </c>
      <c r="D8" s="187">
        <f t="shared" si="0"/>
        <v>5925</v>
      </c>
      <c r="E8" s="187">
        <f t="shared" si="1"/>
        <v>4345</v>
      </c>
      <c r="F8" s="187">
        <f t="shared" si="2"/>
        <v>3390</v>
      </c>
      <c r="G8" s="188">
        <v>4345</v>
      </c>
      <c r="H8" s="188">
        <v>4345</v>
      </c>
      <c r="I8" s="188">
        <v>4345</v>
      </c>
      <c r="J8" s="188">
        <v>2600</v>
      </c>
      <c r="K8" s="188">
        <v>1580</v>
      </c>
      <c r="L8" s="188">
        <v>1580</v>
      </c>
      <c r="M8" s="189">
        <v>790</v>
      </c>
    </row>
    <row r="9" spans="1:13" x14ac:dyDescent="0.2">
      <c r="A9" s="186" t="s">
        <v>2</v>
      </c>
      <c r="B9" s="187">
        <f t="shared" si="3"/>
        <v>13219</v>
      </c>
      <c r="C9" s="187">
        <f t="shared" si="0"/>
        <v>3946</v>
      </c>
      <c r="D9" s="187">
        <f t="shared" si="0"/>
        <v>3946</v>
      </c>
      <c r="E9" s="187">
        <f t="shared" si="1"/>
        <v>2684</v>
      </c>
      <c r="F9" s="187">
        <f t="shared" si="2"/>
        <v>2643</v>
      </c>
      <c r="G9" s="188">
        <v>2684</v>
      </c>
      <c r="H9" s="188">
        <v>2684</v>
      </c>
      <c r="I9" s="188">
        <v>2684</v>
      </c>
      <c r="J9" s="188">
        <v>2013</v>
      </c>
      <c r="K9" s="188">
        <v>1262</v>
      </c>
      <c r="L9" s="188">
        <v>1262</v>
      </c>
      <c r="M9" s="189">
        <v>630</v>
      </c>
    </row>
    <row r="10" spans="1:13" x14ac:dyDescent="0.2">
      <c r="A10" s="186" t="s">
        <v>19</v>
      </c>
      <c r="B10" s="187">
        <f t="shared" si="3"/>
        <v>7129</v>
      </c>
      <c r="C10" s="187">
        <f t="shared" si="0"/>
        <v>1609</v>
      </c>
      <c r="D10" s="187">
        <f t="shared" si="0"/>
        <v>2536</v>
      </c>
      <c r="E10" s="187">
        <f t="shared" si="1"/>
        <v>1245</v>
      </c>
      <c r="F10" s="187">
        <f t="shared" si="2"/>
        <v>1739</v>
      </c>
      <c r="G10" s="188">
        <v>1243</v>
      </c>
      <c r="H10" s="188">
        <v>1884</v>
      </c>
      <c r="I10" s="188">
        <v>1245</v>
      </c>
      <c r="J10" s="188">
        <v>1414</v>
      </c>
      <c r="K10" s="189">
        <v>366</v>
      </c>
      <c r="L10" s="189">
        <v>652</v>
      </c>
      <c r="M10" s="189">
        <v>325</v>
      </c>
    </row>
    <row r="11" spans="1:13" x14ac:dyDescent="0.2">
      <c r="A11" s="186" t="s">
        <v>74</v>
      </c>
      <c r="B11" s="187">
        <f t="shared" si="3"/>
        <v>20048</v>
      </c>
      <c r="C11" s="187">
        <f t="shared" si="0"/>
        <v>7139</v>
      </c>
      <c r="D11" s="187">
        <f t="shared" si="0"/>
        <v>4245</v>
      </c>
      <c r="E11" s="187">
        <f t="shared" si="1"/>
        <v>5811</v>
      </c>
      <c r="F11" s="187">
        <f t="shared" si="2"/>
        <v>2853</v>
      </c>
      <c r="G11" s="188">
        <v>5811</v>
      </c>
      <c r="H11" s="188">
        <v>2917</v>
      </c>
      <c r="I11" s="188">
        <v>5811</v>
      </c>
      <c r="J11" s="188">
        <v>2189</v>
      </c>
      <c r="K11" s="188">
        <v>1328</v>
      </c>
      <c r="L11" s="188">
        <v>1328</v>
      </c>
      <c r="M11" s="189">
        <v>664</v>
      </c>
    </row>
    <row r="12" spans="1:13" x14ac:dyDescent="0.2">
      <c r="A12" s="186" t="s">
        <v>47</v>
      </c>
      <c r="B12" s="187">
        <f>C12+D12+E12+F12</f>
        <v>14795</v>
      </c>
      <c r="C12" s="187">
        <f t="shared" si="0"/>
        <v>4694</v>
      </c>
      <c r="D12" s="187">
        <f t="shared" si="0"/>
        <v>4528</v>
      </c>
      <c r="E12" s="187">
        <f t="shared" si="1"/>
        <v>3331</v>
      </c>
      <c r="F12" s="187">
        <f t="shared" si="2"/>
        <v>2242</v>
      </c>
      <c r="G12" s="188">
        <v>3415</v>
      </c>
      <c r="H12" s="188">
        <v>3249</v>
      </c>
      <c r="I12" s="188">
        <v>3331</v>
      </c>
      <c r="J12" s="188">
        <v>1646</v>
      </c>
      <c r="K12" s="188">
        <v>1279</v>
      </c>
      <c r="L12" s="188">
        <v>1279</v>
      </c>
      <c r="M12" s="189">
        <v>596</v>
      </c>
    </row>
    <row r="13" spans="1:13" x14ac:dyDescent="0.2">
      <c r="A13" s="186" t="s">
        <v>392</v>
      </c>
      <c r="B13" s="187">
        <f t="shared" si="3"/>
        <v>34395</v>
      </c>
      <c r="C13" s="187">
        <f t="shared" si="0"/>
        <v>10580</v>
      </c>
      <c r="D13" s="187">
        <f t="shared" si="0"/>
        <v>10386</v>
      </c>
      <c r="E13" s="187">
        <f t="shared" si="1"/>
        <v>7895</v>
      </c>
      <c r="F13" s="187">
        <f t="shared" si="2"/>
        <v>5534</v>
      </c>
      <c r="G13" s="188">
        <v>8089</v>
      </c>
      <c r="H13" s="188">
        <v>7895</v>
      </c>
      <c r="I13" s="188">
        <v>7895</v>
      </c>
      <c r="J13" s="188">
        <v>4288</v>
      </c>
      <c r="K13" s="188">
        <v>2491</v>
      </c>
      <c r="L13" s="188">
        <v>2491</v>
      </c>
      <c r="M13" s="188">
        <v>1246</v>
      </c>
    </row>
    <row r="14" spans="1:13" x14ac:dyDescent="0.2">
      <c r="A14" s="186" t="s">
        <v>73</v>
      </c>
      <c r="B14" s="187">
        <f t="shared" si="3"/>
        <v>22132</v>
      </c>
      <c r="C14" s="187">
        <f t="shared" si="0"/>
        <v>5521</v>
      </c>
      <c r="D14" s="187">
        <f t="shared" si="0"/>
        <v>7123</v>
      </c>
      <c r="E14" s="187">
        <f t="shared" si="1"/>
        <v>4616</v>
      </c>
      <c r="F14" s="187">
        <f t="shared" si="2"/>
        <v>4872</v>
      </c>
      <c r="G14" s="188">
        <v>3924</v>
      </c>
      <c r="H14" s="188">
        <v>5248</v>
      </c>
      <c r="I14" s="188">
        <v>4616</v>
      </c>
      <c r="J14" s="188">
        <v>3936</v>
      </c>
      <c r="K14" s="188">
        <v>1597</v>
      </c>
      <c r="L14" s="188">
        <v>1875</v>
      </c>
      <c r="M14" s="189">
        <v>936</v>
      </c>
    </row>
    <row r="15" spans="1:13" x14ac:dyDescent="0.2">
      <c r="A15" s="186" t="s">
        <v>72</v>
      </c>
      <c r="B15" s="187">
        <f t="shared" si="3"/>
        <v>16786</v>
      </c>
      <c r="C15" s="187">
        <f t="shared" si="0"/>
        <v>5179</v>
      </c>
      <c r="D15" s="187">
        <f t="shared" si="0"/>
        <v>5001</v>
      </c>
      <c r="E15" s="187">
        <f t="shared" si="1"/>
        <v>3285</v>
      </c>
      <c r="F15" s="187">
        <f t="shared" si="2"/>
        <v>3321</v>
      </c>
      <c r="G15" s="188">
        <v>3463</v>
      </c>
      <c r="H15" s="188">
        <v>3285</v>
      </c>
      <c r="I15" s="188">
        <v>3285</v>
      </c>
      <c r="J15" s="188">
        <v>2463</v>
      </c>
      <c r="K15" s="188">
        <v>1716</v>
      </c>
      <c r="L15" s="188">
        <v>1716</v>
      </c>
      <c r="M15" s="189">
        <v>858</v>
      </c>
    </row>
    <row r="16" spans="1:13" ht="24" x14ac:dyDescent="0.2">
      <c r="A16" s="190" t="s">
        <v>281</v>
      </c>
      <c r="B16" s="187">
        <f t="shared" si="3"/>
        <v>36640</v>
      </c>
      <c r="C16" s="187">
        <f t="shared" si="0"/>
        <v>10156</v>
      </c>
      <c r="D16" s="187">
        <f t="shared" si="0"/>
        <v>9331</v>
      </c>
      <c r="E16" s="187">
        <f t="shared" si="1"/>
        <v>10156</v>
      </c>
      <c r="F16" s="187">
        <f t="shared" si="2"/>
        <v>6997</v>
      </c>
      <c r="G16" s="188">
        <v>10156</v>
      </c>
      <c r="H16" s="188">
        <v>9331</v>
      </c>
      <c r="I16" s="188">
        <v>10156</v>
      </c>
      <c r="J16" s="188">
        <v>6997</v>
      </c>
      <c r="K16" s="189">
        <v>0</v>
      </c>
      <c r="L16" s="189">
        <v>0</v>
      </c>
      <c r="M16" s="189">
        <v>0</v>
      </c>
    </row>
    <row r="17" spans="1:13" x14ac:dyDescent="0.2">
      <c r="A17" s="186" t="s">
        <v>393</v>
      </c>
      <c r="B17" s="187">
        <f t="shared" si="3"/>
        <v>11215</v>
      </c>
      <c r="C17" s="187">
        <f t="shared" si="0"/>
        <v>4903</v>
      </c>
      <c r="D17" s="187">
        <f t="shared" si="0"/>
        <v>4208</v>
      </c>
      <c r="E17" s="187">
        <f t="shared" si="1"/>
        <v>0</v>
      </c>
      <c r="F17" s="187">
        <f t="shared" si="2"/>
        <v>2104</v>
      </c>
      <c r="G17" s="189">
        <v>0</v>
      </c>
      <c r="H17" s="189">
        <v>0</v>
      </c>
      <c r="I17" s="189">
        <v>0</v>
      </c>
      <c r="J17" s="189">
        <v>0</v>
      </c>
      <c r="K17" s="188">
        <v>4903</v>
      </c>
      <c r="L17" s="188">
        <v>4208</v>
      </c>
      <c r="M17" s="188">
        <v>2104</v>
      </c>
    </row>
    <row r="18" spans="1:13" x14ac:dyDescent="0.2">
      <c r="A18" s="186" t="s">
        <v>394</v>
      </c>
      <c r="B18" s="187">
        <f t="shared" si="3"/>
        <v>38967</v>
      </c>
      <c r="C18" s="187">
        <f t="shared" si="0"/>
        <v>10998</v>
      </c>
      <c r="D18" s="187">
        <f t="shared" si="0"/>
        <v>10998</v>
      </c>
      <c r="E18" s="187">
        <f t="shared" si="1"/>
        <v>9177</v>
      </c>
      <c r="F18" s="187">
        <f t="shared" si="2"/>
        <v>7794</v>
      </c>
      <c r="G18" s="188">
        <v>9177</v>
      </c>
      <c r="H18" s="188">
        <v>9177</v>
      </c>
      <c r="I18" s="188">
        <v>9177</v>
      </c>
      <c r="J18" s="188">
        <v>6884</v>
      </c>
      <c r="K18" s="188">
        <v>1821</v>
      </c>
      <c r="L18" s="188">
        <v>1821</v>
      </c>
      <c r="M18" s="189">
        <v>910</v>
      </c>
    </row>
    <row r="19" spans="1:13" x14ac:dyDescent="0.2">
      <c r="A19" s="186" t="s">
        <v>27</v>
      </c>
      <c r="B19" s="187">
        <f t="shared" si="3"/>
        <v>4721</v>
      </c>
      <c r="C19" s="187">
        <f t="shared" si="0"/>
        <v>1888</v>
      </c>
      <c r="D19" s="187">
        <f t="shared" si="0"/>
        <v>1888</v>
      </c>
      <c r="E19" s="187">
        <f t="shared" si="1"/>
        <v>0</v>
      </c>
      <c r="F19" s="187">
        <f t="shared" si="2"/>
        <v>945</v>
      </c>
      <c r="G19" s="189">
        <v>0</v>
      </c>
      <c r="H19" s="189">
        <v>0</v>
      </c>
      <c r="I19" s="189">
        <v>0</v>
      </c>
      <c r="J19" s="189">
        <v>0</v>
      </c>
      <c r="K19" s="188">
        <v>1888</v>
      </c>
      <c r="L19" s="188">
        <v>1888</v>
      </c>
      <c r="M19" s="189">
        <v>945</v>
      </c>
    </row>
    <row r="20" spans="1:13" ht="24.75" customHeight="1" x14ac:dyDescent="0.2">
      <c r="A20" s="190" t="s">
        <v>305</v>
      </c>
      <c r="B20" s="187">
        <f t="shared" si="3"/>
        <v>13644</v>
      </c>
      <c r="C20" s="187">
        <f>G20+K20</f>
        <v>5457</v>
      </c>
      <c r="D20" s="187">
        <f>H20+L20</f>
        <v>5457</v>
      </c>
      <c r="E20" s="187">
        <f>I20</f>
        <v>0</v>
      </c>
      <c r="F20" s="187">
        <f>J20+M20</f>
        <v>2730</v>
      </c>
      <c r="G20" s="189">
        <v>0</v>
      </c>
      <c r="H20" s="189">
        <v>0</v>
      </c>
      <c r="I20" s="189">
        <v>0</v>
      </c>
      <c r="J20" s="189">
        <v>0</v>
      </c>
      <c r="K20" s="188">
        <v>5457</v>
      </c>
      <c r="L20" s="188">
        <v>5457</v>
      </c>
      <c r="M20" s="188">
        <v>2730</v>
      </c>
    </row>
    <row r="21" spans="1:13" ht="12.75" customHeight="1" x14ac:dyDescent="0.2">
      <c r="A21" s="190" t="s">
        <v>310</v>
      </c>
      <c r="B21" s="187">
        <f t="shared" si="3"/>
        <v>15603</v>
      </c>
      <c r="C21" s="187">
        <f t="shared" si="0"/>
        <v>4161</v>
      </c>
      <c r="D21" s="187">
        <f t="shared" si="0"/>
        <v>4161</v>
      </c>
      <c r="E21" s="187">
        <f t="shared" si="1"/>
        <v>4161</v>
      </c>
      <c r="F21" s="187">
        <f t="shared" si="2"/>
        <v>3120</v>
      </c>
      <c r="G21" s="188">
        <v>4161</v>
      </c>
      <c r="H21" s="188">
        <v>4161</v>
      </c>
      <c r="I21" s="188">
        <v>4161</v>
      </c>
      <c r="J21" s="188">
        <v>3120</v>
      </c>
      <c r="K21" s="189">
        <v>0</v>
      </c>
      <c r="L21" s="189">
        <v>0</v>
      </c>
      <c r="M21" s="189">
        <v>0</v>
      </c>
    </row>
    <row r="22" spans="1:13" ht="13.5" customHeight="1" x14ac:dyDescent="0.2">
      <c r="A22" s="190" t="s">
        <v>312</v>
      </c>
      <c r="B22" s="187">
        <f t="shared" si="3"/>
        <v>23952</v>
      </c>
      <c r="C22" s="187">
        <f t="shared" si="0"/>
        <v>6388</v>
      </c>
      <c r="D22" s="187">
        <f t="shared" si="0"/>
        <v>6388</v>
      </c>
      <c r="E22" s="187">
        <f t="shared" si="1"/>
        <v>6388</v>
      </c>
      <c r="F22" s="187">
        <f t="shared" si="2"/>
        <v>4788</v>
      </c>
      <c r="G22" s="188">
        <v>6388</v>
      </c>
      <c r="H22" s="188">
        <v>6388</v>
      </c>
      <c r="I22" s="188">
        <v>6388</v>
      </c>
      <c r="J22" s="188">
        <v>4788</v>
      </c>
      <c r="K22" s="189">
        <v>0</v>
      </c>
      <c r="L22" s="189">
        <v>0</v>
      </c>
      <c r="M22" s="189">
        <v>0</v>
      </c>
    </row>
    <row r="23" spans="1:13" x14ac:dyDescent="0.2">
      <c r="A23" s="190" t="s">
        <v>76</v>
      </c>
      <c r="B23" s="187">
        <f t="shared" si="3"/>
        <v>15811</v>
      </c>
      <c r="C23" s="187">
        <f t="shared" ref="C23:D33" si="4">G23+K23</f>
        <v>4216</v>
      </c>
      <c r="D23" s="187">
        <f t="shared" si="4"/>
        <v>4216</v>
      </c>
      <c r="E23" s="187">
        <f t="shared" si="1"/>
        <v>4216</v>
      </c>
      <c r="F23" s="187">
        <f t="shared" si="2"/>
        <v>3163</v>
      </c>
      <c r="G23" s="188">
        <v>4216</v>
      </c>
      <c r="H23" s="188">
        <v>4216</v>
      </c>
      <c r="I23" s="188">
        <v>4216</v>
      </c>
      <c r="J23" s="188">
        <v>3163</v>
      </c>
      <c r="K23" s="189">
        <v>0</v>
      </c>
      <c r="L23" s="189">
        <v>0</v>
      </c>
      <c r="M23" s="189">
        <v>0</v>
      </c>
    </row>
    <row r="24" spans="1:13" ht="15" customHeight="1" x14ac:dyDescent="0.2">
      <c r="A24" s="190" t="s">
        <v>395</v>
      </c>
      <c r="B24" s="187">
        <f t="shared" si="3"/>
        <v>12388</v>
      </c>
      <c r="C24" s="187">
        <f>G24+K24</f>
        <v>3646</v>
      </c>
      <c r="D24" s="187">
        <f>H24+L24</f>
        <v>3666</v>
      </c>
      <c r="E24" s="187">
        <f>I24</f>
        <v>2596</v>
      </c>
      <c r="F24" s="187">
        <f>J24+M24</f>
        <v>2480</v>
      </c>
      <c r="G24" s="188">
        <v>2576</v>
      </c>
      <c r="H24" s="188">
        <v>2596</v>
      </c>
      <c r="I24" s="188">
        <v>2596</v>
      </c>
      <c r="J24" s="188">
        <v>1948</v>
      </c>
      <c r="K24" s="188">
        <v>1070</v>
      </c>
      <c r="L24" s="188">
        <v>1070</v>
      </c>
      <c r="M24" s="189">
        <v>532</v>
      </c>
    </row>
    <row r="25" spans="1:13" x14ac:dyDescent="0.2">
      <c r="A25" s="190" t="s">
        <v>328</v>
      </c>
      <c r="B25" s="187">
        <f t="shared" si="3"/>
        <v>13708</v>
      </c>
      <c r="C25" s="187">
        <f>G25+K25</f>
        <v>4034</v>
      </c>
      <c r="D25" s="187">
        <f>H25+L25</f>
        <v>4034</v>
      </c>
      <c r="E25" s="187">
        <f>I25</f>
        <v>2896</v>
      </c>
      <c r="F25" s="187">
        <f>J25+M25</f>
        <v>2744</v>
      </c>
      <c r="G25" s="188">
        <v>2896</v>
      </c>
      <c r="H25" s="188">
        <v>2896</v>
      </c>
      <c r="I25" s="188">
        <v>2896</v>
      </c>
      <c r="J25" s="188">
        <v>2175</v>
      </c>
      <c r="K25" s="188">
        <v>1138</v>
      </c>
      <c r="L25" s="188">
        <v>1138</v>
      </c>
      <c r="M25" s="189">
        <v>569</v>
      </c>
    </row>
    <row r="26" spans="1:13" x14ac:dyDescent="0.2">
      <c r="A26" s="190" t="s">
        <v>330</v>
      </c>
      <c r="B26" s="187">
        <f t="shared" si="3"/>
        <v>8683</v>
      </c>
      <c r="C26" s="187">
        <f t="shared" si="4"/>
        <v>3472</v>
      </c>
      <c r="D26" s="187">
        <f t="shared" si="4"/>
        <v>3472</v>
      </c>
      <c r="E26" s="187">
        <f t="shared" si="1"/>
        <v>0</v>
      </c>
      <c r="F26" s="187">
        <f t="shared" si="2"/>
        <v>1739</v>
      </c>
      <c r="G26" s="189">
        <v>0</v>
      </c>
      <c r="H26" s="189">
        <v>0</v>
      </c>
      <c r="I26" s="189">
        <v>0</v>
      </c>
      <c r="J26" s="189">
        <v>0</v>
      </c>
      <c r="K26" s="188">
        <v>3472</v>
      </c>
      <c r="L26" s="188">
        <v>3472</v>
      </c>
      <c r="M26" s="188">
        <v>1739</v>
      </c>
    </row>
    <row r="27" spans="1:13" ht="15" customHeight="1" x14ac:dyDescent="0.2">
      <c r="A27" s="190" t="s">
        <v>71</v>
      </c>
      <c r="B27" s="187">
        <f t="shared" si="3"/>
        <v>16767</v>
      </c>
      <c r="C27" s="187">
        <f t="shared" si="4"/>
        <v>4472</v>
      </c>
      <c r="D27" s="187">
        <f t="shared" si="4"/>
        <v>4472</v>
      </c>
      <c r="E27" s="187">
        <f t="shared" si="1"/>
        <v>4472</v>
      </c>
      <c r="F27" s="187">
        <f t="shared" si="2"/>
        <v>3351</v>
      </c>
      <c r="G27" s="188">
        <v>4472</v>
      </c>
      <c r="H27" s="188">
        <v>4472</v>
      </c>
      <c r="I27" s="188">
        <v>4472</v>
      </c>
      <c r="J27" s="188">
        <v>3351</v>
      </c>
      <c r="K27" s="189">
        <v>0</v>
      </c>
      <c r="L27" s="189">
        <v>0</v>
      </c>
      <c r="M27" s="189">
        <v>0</v>
      </c>
    </row>
    <row r="28" spans="1:13" ht="15" customHeight="1" x14ac:dyDescent="0.2">
      <c r="A28" s="190" t="s">
        <v>63</v>
      </c>
      <c r="B28" s="187">
        <f t="shared" si="3"/>
        <v>18984</v>
      </c>
      <c r="C28" s="187">
        <f t="shared" si="4"/>
        <v>5368</v>
      </c>
      <c r="D28" s="187">
        <f t="shared" si="4"/>
        <v>5368</v>
      </c>
      <c r="E28" s="187">
        <f t="shared" si="1"/>
        <v>4452</v>
      </c>
      <c r="F28" s="187">
        <f t="shared" si="2"/>
        <v>3796</v>
      </c>
      <c r="G28" s="188">
        <v>4452</v>
      </c>
      <c r="H28" s="188">
        <v>4452</v>
      </c>
      <c r="I28" s="188">
        <v>4452</v>
      </c>
      <c r="J28" s="188">
        <v>3337</v>
      </c>
      <c r="K28" s="189">
        <v>916</v>
      </c>
      <c r="L28" s="189">
        <v>916</v>
      </c>
      <c r="M28" s="189">
        <v>459</v>
      </c>
    </row>
    <row r="29" spans="1:13" ht="15" customHeight="1" x14ac:dyDescent="0.2">
      <c r="A29" s="190" t="s">
        <v>37</v>
      </c>
      <c r="B29" s="187">
        <f t="shared" si="3"/>
        <v>1170</v>
      </c>
      <c r="C29" s="187">
        <f t="shared" si="4"/>
        <v>1170</v>
      </c>
      <c r="D29" s="187">
        <f t="shared" si="4"/>
        <v>0</v>
      </c>
      <c r="E29" s="187">
        <f t="shared" si="1"/>
        <v>0</v>
      </c>
      <c r="F29" s="187">
        <f t="shared" si="2"/>
        <v>0</v>
      </c>
      <c r="G29" s="188">
        <v>1170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</row>
    <row r="30" spans="1:13" ht="15" customHeight="1" x14ac:dyDescent="0.2">
      <c r="A30" s="190" t="s">
        <v>50</v>
      </c>
      <c r="B30" s="187">
        <f t="shared" si="3"/>
        <v>20</v>
      </c>
      <c r="C30" s="187">
        <f t="shared" si="4"/>
        <v>20</v>
      </c>
      <c r="D30" s="187">
        <f t="shared" si="4"/>
        <v>0</v>
      </c>
      <c r="E30" s="187">
        <f t="shared" si="1"/>
        <v>0</v>
      </c>
      <c r="F30" s="187">
        <f t="shared" si="2"/>
        <v>0</v>
      </c>
      <c r="G30" s="189">
        <v>20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</row>
    <row r="31" spans="1:13" ht="15" customHeight="1" x14ac:dyDescent="0.2">
      <c r="A31" s="190" t="s">
        <v>396</v>
      </c>
      <c r="B31" s="187">
        <f t="shared" si="3"/>
        <v>92</v>
      </c>
      <c r="C31" s="187">
        <f t="shared" si="4"/>
        <v>92</v>
      </c>
      <c r="D31" s="187">
        <f t="shared" si="4"/>
        <v>0</v>
      </c>
      <c r="E31" s="187">
        <f t="shared" si="1"/>
        <v>0</v>
      </c>
      <c r="F31" s="187">
        <f t="shared" si="2"/>
        <v>0</v>
      </c>
      <c r="G31" s="189">
        <v>92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</row>
    <row r="32" spans="1:13" ht="15" customHeight="1" x14ac:dyDescent="0.2">
      <c r="A32" s="190" t="s">
        <v>16</v>
      </c>
      <c r="B32" s="187">
        <f t="shared" si="3"/>
        <v>437</v>
      </c>
      <c r="C32" s="187">
        <f t="shared" si="4"/>
        <v>437</v>
      </c>
      <c r="D32" s="187">
        <f t="shared" si="4"/>
        <v>0</v>
      </c>
      <c r="E32" s="187">
        <f t="shared" si="1"/>
        <v>0</v>
      </c>
      <c r="F32" s="187">
        <f t="shared" si="2"/>
        <v>0</v>
      </c>
      <c r="G32" s="189">
        <v>437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</row>
    <row r="33" spans="1:13" ht="15" customHeight="1" x14ac:dyDescent="0.2">
      <c r="A33" s="190" t="s">
        <v>17</v>
      </c>
      <c r="B33" s="187">
        <f t="shared" si="3"/>
        <v>353</v>
      </c>
      <c r="C33" s="187">
        <f t="shared" si="4"/>
        <v>191</v>
      </c>
      <c r="D33" s="187">
        <f t="shared" si="4"/>
        <v>0</v>
      </c>
      <c r="E33" s="187">
        <f t="shared" si="1"/>
        <v>162</v>
      </c>
      <c r="F33" s="187">
        <f t="shared" si="2"/>
        <v>0</v>
      </c>
      <c r="G33" s="189">
        <v>191</v>
      </c>
      <c r="H33" s="189">
        <v>0</v>
      </c>
      <c r="I33" s="189">
        <v>162</v>
      </c>
      <c r="J33" s="189">
        <v>0</v>
      </c>
      <c r="K33" s="189">
        <v>0</v>
      </c>
      <c r="L33" s="189">
        <v>0</v>
      </c>
      <c r="M33" s="189">
        <v>0</v>
      </c>
    </row>
    <row r="34" spans="1:13" s="193" customFormat="1" ht="15.75" customHeight="1" x14ac:dyDescent="0.25">
      <c r="A34" s="191" t="s">
        <v>67</v>
      </c>
      <c r="B34" s="192">
        <f>SUM(B7:B33)</f>
        <v>405744</v>
      </c>
      <c r="C34" s="192">
        <f t="shared" ref="C34:M34" si="5">SUM(C7:C33)</f>
        <v>122999</v>
      </c>
      <c r="D34" s="192">
        <f t="shared" si="5"/>
        <v>118686</v>
      </c>
      <c r="E34" s="192">
        <f t="shared" si="5"/>
        <v>86813</v>
      </c>
      <c r="F34" s="192">
        <f t="shared" si="5"/>
        <v>77246</v>
      </c>
      <c r="G34" s="192">
        <f t="shared" si="5"/>
        <v>88303</v>
      </c>
      <c r="H34" s="192">
        <f t="shared" si="5"/>
        <v>84121</v>
      </c>
      <c r="I34" s="192">
        <f t="shared" si="5"/>
        <v>86813</v>
      </c>
      <c r="J34" s="192">
        <f t="shared" si="5"/>
        <v>60007</v>
      </c>
      <c r="K34" s="192">
        <f t="shared" si="5"/>
        <v>34696</v>
      </c>
      <c r="L34" s="192">
        <f t="shared" si="5"/>
        <v>34565</v>
      </c>
      <c r="M34" s="192">
        <f t="shared" si="5"/>
        <v>17239</v>
      </c>
    </row>
    <row r="35" spans="1:13" s="194" customFormat="1" x14ac:dyDescent="0.2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s="194" customFormat="1" x14ac:dyDescent="0.2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x14ac:dyDescent="0.2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</sheetData>
  <mergeCells count="20">
    <mergeCell ref="D5:D6"/>
    <mergeCell ref="E5:E6"/>
    <mergeCell ref="G5:G6"/>
    <mergeCell ref="H5:H6"/>
    <mergeCell ref="I5:I6"/>
    <mergeCell ref="K5:K6"/>
    <mergeCell ref="L5:L6"/>
    <mergeCell ref="A1:M1"/>
    <mergeCell ref="A3:A6"/>
    <mergeCell ref="B3:B6"/>
    <mergeCell ref="C3:F3"/>
    <mergeCell ref="G3:J3"/>
    <mergeCell ref="K3:M3"/>
    <mergeCell ref="C4:E4"/>
    <mergeCell ref="F4:F6"/>
    <mergeCell ref="G4:I4"/>
    <mergeCell ref="J4:J6"/>
    <mergeCell ref="K4:L4"/>
    <mergeCell ref="M4:M6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9" sqref="G9"/>
    </sheetView>
  </sheetViews>
  <sheetFormatPr defaultRowHeight="15" x14ac:dyDescent="0.25"/>
  <cols>
    <col min="1" max="1" width="4.42578125" style="215" customWidth="1"/>
    <col min="2" max="2" width="36" style="202" customWidth="1"/>
    <col min="3" max="3" width="10.7109375" style="203" customWidth="1"/>
    <col min="4" max="6" width="7.28515625" style="203" customWidth="1"/>
    <col min="7" max="19" width="7.28515625" style="202" customWidth="1"/>
    <col min="20" max="20" width="9.140625" style="202"/>
    <col min="21" max="16384" width="9.140625" style="203"/>
  </cols>
  <sheetData>
    <row r="1" spans="1:20" x14ac:dyDescent="0.25">
      <c r="R1" s="492"/>
      <c r="S1" s="492"/>
    </row>
    <row r="2" spans="1:20" ht="40.5" customHeight="1" x14ac:dyDescent="0.25">
      <c r="A2" s="493" t="s">
        <v>501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4" spans="1:20" ht="26.25" customHeight="1" x14ac:dyDescent="0.25">
      <c r="A4" s="478" t="s">
        <v>0</v>
      </c>
      <c r="B4" s="478" t="s">
        <v>174</v>
      </c>
      <c r="C4" s="478" t="s">
        <v>502</v>
      </c>
      <c r="D4" s="491" t="s">
        <v>399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</row>
    <row r="5" spans="1:20" s="206" customFormat="1" ht="103.5" customHeight="1" x14ac:dyDescent="0.25">
      <c r="A5" s="478"/>
      <c r="B5" s="478"/>
      <c r="C5" s="478"/>
      <c r="D5" s="196" t="s">
        <v>400</v>
      </c>
      <c r="E5" s="196" t="s">
        <v>401</v>
      </c>
      <c r="F5" s="196" t="s">
        <v>402</v>
      </c>
      <c r="G5" s="196" t="s">
        <v>403</v>
      </c>
      <c r="H5" s="196" t="s">
        <v>404</v>
      </c>
      <c r="I5" s="196" t="s">
        <v>405</v>
      </c>
      <c r="J5" s="196" t="s">
        <v>406</v>
      </c>
      <c r="K5" s="196" t="s">
        <v>407</v>
      </c>
      <c r="L5" s="196" t="s">
        <v>408</v>
      </c>
      <c r="M5" s="196" t="s">
        <v>409</v>
      </c>
      <c r="N5" s="196" t="s">
        <v>410</v>
      </c>
      <c r="O5" s="196" t="s">
        <v>411</v>
      </c>
      <c r="P5" s="196" t="s">
        <v>412</v>
      </c>
      <c r="Q5" s="196" t="s">
        <v>413</v>
      </c>
      <c r="R5" s="196" t="s">
        <v>414</v>
      </c>
      <c r="S5" s="196" t="s">
        <v>503</v>
      </c>
      <c r="T5" s="205"/>
    </row>
    <row r="6" spans="1:20" ht="30" customHeight="1" x14ac:dyDescent="0.25">
      <c r="A6" s="198">
        <v>1</v>
      </c>
      <c r="B6" s="247" t="s">
        <v>420</v>
      </c>
      <c r="C6" s="248">
        <f t="shared" ref="C6:C36" si="0">D6+E6+G6+H6+I6+J6+K6+L6+M6+N6+O6+P6+Q6+R6+F6</f>
        <v>107</v>
      </c>
      <c r="D6" s="248">
        <v>82</v>
      </c>
      <c r="E6" s="248">
        <v>25</v>
      </c>
      <c r="F6" s="198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249"/>
    </row>
    <row r="7" spans="1:20" ht="30" customHeight="1" x14ac:dyDescent="0.25">
      <c r="A7" s="198">
        <v>2</v>
      </c>
      <c r="B7" s="247" t="s">
        <v>421</v>
      </c>
      <c r="C7" s="248">
        <f t="shared" si="0"/>
        <v>100</v>
      </c>
      <c r="D7" s="248">
        <v>100</v>
      </c>
      <c r="E7" s="197"/>
      <c r="F7" s="197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249"/>
    </row>
    <row r="8" spans="1:20" ht="30" customHeight="1" x14ac:dyDescent="0.25">
      <c r="A8" s="198">
        <v>3</v>
      </c>
      <c r="B8" s="247" t="s">
        <v>504</v>
      </c>
      <c r="C8" s="248">
        <f t="shared" si="0"/>
        <v>46</v>
      </c>
      <c r="D8" s="248">
        <f>90-44</f>
        <v>46</v>
      </c>
      <c r="E8" s="197"/>
      <c r="F8" s="197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249"/>
    </row>
    <row r="9" spans="1:20" ht="30" customHeight="1" x14ac:dyDescent="0.25">
      <c r="A9" s="198">
        <v>4</v>
      </c>
      <c r="B9" s="247" t="s">
        <v>505</v>
      </c>
      <c r="C9" s="248">
        <f t="shared" si="0"/>
        <v>85</v>
      </c>
      <c r="D9" s="248">
        <v>85</v>
      </c>
      <c r="E9" s="197"/>
      <c r="F9" s="197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249"/>
    </row>
    <row r="10" spans="1:20" ht="30" customHeight="1" x14ac:dyDescent="0.25">
      <c r="A10" s="198">
        <v>5</v>
      </c>
      <c r="B10" s="247" t="s">
        <v>424</v>
      </c>
      <c r="C10" s="248">
        <f t="shared" si="0"/>
        <v>25</v>
      </c>
      <c r="D10" s="198"/>
      <c r="E10" s="250">
        <v>25</v>
      </c>
      <c r="F10" s="197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249"/>
    </row>
    <row r="11" spans="1:20" ht="30" customHeight="1" x14ac:dyDescent="0.25">
      <c r="A11" s="198">
        <v>6</v>
      </c>
      <c r="B11" s="247" t="s">
        <v>506</v>
      </c>
      <c r="C11" s="248">
        <f t="shared" si="0"/>
        <v>100</v>
      </c>
      <c r="D11" s="248">
        <v>100</v>
      </c>
      <c r="E11" s="197"/>
      <c r="F11" s="197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249"/>
    </row>
    <row r="12" spans="1:20" ht="30" customHeight="1" x14ac:dyDescent="0.25">
      <c r="A12" s="198">
        <v>7</v>
      </c>
      <c r="B12" s="247" t="s">
        <v>507</v>
      </c>
      <c r="C12" s="248">
        <f t="shared" si="0"/>
        <v>2</v>
      </c>
      <c r="D12" s="248"/>
      <c r="E12" s="250">
        <f>25-23</f>
        <v>2</v>
      </c>
      <c r="F12" s="250">
        <f>25-25</f>
        <v>0</v>
      </c>
      <c r="G12" s="251">
        <f>25-25</f>
        <v>0</v>
      </c>
      <c r="H12" s="196"/>
      <c r="I12" s="251">
        <f>16-16</f>
        <v>0</v>
      </c>
      <c r="J12" s="196"/>
      <c r="K12" s="196"/>
      <c r="L12" s="196"/>
      <c r="M12" s="196"/>
      <c r="N12" s="196"/>
      <c r="O12" s="251">
        <f>25-25</f>
        <v>0</v>
      </c>
      <c r="P12" s="196"/>
      <c r="Q12" s="196"/>
      <c r="R12" s="196"/>
      <c r="S12" s="249"/>
    </row>
    <row r="13" spans="1:20" ht="30" customHeight="1" x14ac:dyDescent="0.25">
      <c r="A13" s="198">
        <v>8</v>
      </c>
      <c r="B13" s="247" t="s">
        <v>430</v>
      </c>
      <c r="C13" s="248">
        <f t="shared" si="0"/>
        <v>25</v>
      </c>
      <c r="D13" s="248"/>
      <c r="E13" s="250">
        <v>25</v>
      </c>
      <c r="F13" s="197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249"/>
    </row>
    <row r="14" spans="1:20" ht="30" customHeight="1" x14ac:dyDescent="0.25">
      <c r="A14" s="198">
        <v>9</v>
      </c>
      <c r="B14" s="247" t="s">
        <v>434</v>
      </c>
      <c r="C14" s="248">
        <f t="shared" si="0"/>
        <v>25</v>
      </c>
      <c r="D14" s="248">
        <v>25</v>
      </c>
      <c r="E14" s="197"/>
      <c r="F14" s="197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49"/>
    </row>
    <row r="15" spans="1:20" ht="30" customHeight="1" x14ac:dyDescent="0.25">
      <c r="A15" s="198">
        <v>10</v>
      </c>
      <c r="B15" s="252" t="s">
        <v>437</v>
      </c>
      <c r="C15" s="248">
        <f t="shared" si="0"/>
        <v>100</v>
      </c>
      <c r="D15" s="248">
        <v>25</v>
      </c>
      <c r="E15" s="250">
        <v>25</v>
      </c>
      <c r="F15" s="197"/>
      <c r="G15" s="196"/>
      <c r="H15" s="196"/>
      <c r="I15" s="251">
        <v>25</v>
      </c>
      <c r="J15" s="196"/>
      <c r="K15" s="196"/>
      <c r="L15" s="196"/>
      <c r="M15" s="196"/>
      <c r="N15" s="196"/>
      <c r="O15" s="196"/>
      <c r="P15" s="251">
        <v>25</v>
      </c>
      <c r="Q15" s="196"/>
      <c r="R15" s="196"/>
      <c r="S15" s="249"/>
    </row>
    <row r="16" spans="1:20" ht="30" customHeight="1" x14ac:dyDescent="0.25">
      <c r="A16" s="198">
        <v>11</v>
      </c>
      <c r="B16" s="253" t="s">
        <v>438</v>
      </c>
      <c r="C16" s="248">
        <f t="shared" si="0"/>
        <v>0</v>
      </c>
      <c r="D16" s="248"/>
      <c r="E16" s="250">
        <f>25-25</f>
        <v>0</v>
      </c>
      <c r="F16" s="197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49"/>
    </row>
    <row r="17" spans="1:19" s="202" customFormat="1" x14ac:dyDescent="0.25">
      <c r="A17" s="198">
        <v>12</v>
      </c>
      <c r="B17" s="253" t="s">
        <v>439</v>
      </c>
      <c r="C17" s="248">
        <f>D17+E17+G17+H17+I17+J17+K17+L17+M17+N17+O17+P17+Q17+R17+F17+S17</f>
        <v>0</v>
      </c>
      <c r="D17" s="248"/>
      <c r="E17" s="250">
        <f>25-25</f>
        <v>0</v>
      </c>
      <c r="F17" s="250">
        <f>25-25</f>
        <v>0</v>
      </c>
      <c r="G17" s="196"/>
      <c r="H17" s="196"/>
      <c r="I17" s="250">
        <f>25-25</f>
        <v>0</v>
      </c>
      <c r="J17" s="196"/>
      <c r="K17" s="196"/>
      <c r="L17" s="250">
        <f>25-25</f>
        <v>0</v>
      </c>
      <c r="M17" s="196"/>
      <c r="N17" s="196"/>
      <c r="O17" s="196"/>
      <c r="P17" s="196"/>
      <c r="Q17" s="196"/>
      <c r="R17" s="250">
        <f t="shared" ref="R17:S17" si="1">25-25</f>
        <v>0</v>
      </c>
      <c r="S17" s="248">
        <f t="shared" si="1"/>
        <v>0</v>
      </c>
    </row>
    <row r="18" spans="1:19" s="202" customFormat="1" x14ac:dyDescent="0.25">
      <c r="A18" s="198">
        <v>13</v>
      </c>
      <c r="B18" s="252" t="s">
        <v>442</v>
      </c>
      <c r="C18" s="248">
        <f t="shared" si="0"/>
        <v>1</v>
      </c>
      <c r="D18" s="248">
        <f>32-31</f>
        <v>1</v>
      </c>
      <c r="E18" s="197"/>
      <c r="F18" s="197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249"/>
    </row>
    <row r="19" spans="1:19" s="202" customFormat="1" x14ac:dyDescent="0.25">
      <c r="A19" s="198">
        <v>14</v>
      </c>
      <c r="B19" s="252" t="s">
        <v>443</v>
      </c>
      <c r="C19" s="248">
        <f t="shared" si="0"/>
        <v>32</v>
      </c>
      <c r="D19" s="248">
        <v>32</v>
      </c>
      <c r="E19" s="197"/>
      <c r="F19" s="197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249"/>
    </row>
    <row r="20" spans="1:19" s="202" customFormat="1" x14ac:dyDescent="0.25">
      <c r="A20" s="198">
        <v>15</v>
      </c>
      <c r="B20" s="252" t="s">
        <v>444</v>
      </c>
      <c r="C20" s="248">
        <f t="shared" si="0"/>
        <v>25</v>
      </c>
      <c r="D20" s="198"/>
      <c r="E20" s="250">
        <v>25</v>
      </c>
      <c r="F20" s="197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249"/>
    </row>
    <row r="21" spans="1:19" s="202" customFormat="1" x14ac:dyDescent="0.25">
      <c r="A21" s="198">
        <v>16</v>
      </c>
      <c r="B21" s="252" t="s">
        <v>446</v>
      </c>
      <c r="C21" s="248">
        <f t="shared" si="0"/>
        <v>0</v>
      </c>
      <c r="D21" s="248">
        <v>0</v>
      </c>
      <c r="E21" s="250">
        <v>0</v>
      </c>
      <c r="F21" s="197"/>
      <c r="G21" s="196"/>
      <c r="H21" s="196"/>
      <c r="I21" s="251"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249"/>
    </row>
    <row r="22" spans="1:19" s="202" customFormat="1" x14ac:dyDescent="0.25">
      <c r="A22" s="198">
        <v>17</v>
      </c>
      <c r="B22" s="252" t="s">
        <v>447</v>
      </c>
      <c r="C22" s="248">
        <f t="shared" si="0"/>
        <v>0</v>
      </c>
      <c r="D22" s="248">
        <f>32-32</f>
        <v>0</v>
      </c>
      <c r="E22" s="197"/>
      <c r="F22" s="197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249"/>
    </row>
    <row r="23" spans="1:19" s="202" customFormat="1" x14ac:dyDescent="0.25">
      <c r="A23" s="198">
        <v>18</v>
      </c>
      <c r="B23" s="252" t="s">
        <v>448</v>
      </c>
      <c r="C23" s="248">
        <f t="shared" si="0"/>
        <v>382</v>
      </c>
      <c r="D23" s="248">
        <v>32</v>
      </c>
      <c r="E23" s="250">
        <v>25</v>
      </c>
      <c r="F23" s="250">
        <v>25</v>
      </c>
      <c r="G23" s="251">
        <v>25</v>
      </c>
      <c r="H23" s="251">
        <v>25</v>
      </c>
      <c r="I23" s="251">
        <v>25</v>
      </c>
      <c r="J23" s="251">
        <v>25</v>
      </c>
      <c r="K23" s="251">
        <v>25</v>
      </c>
      <c r="L23" s="251">
        <v>25</v>
      </c>
      <c r="M23" s="251">
        <v>25</v>
      </c>
      <c r="N23" s="251">
        <v>25</v>
      </c>
      <c r="O23" s="251">
        <v>25</v>
      </c>
      <c r="P23" s="251">
        <v>25</v>
      </c>
      <c r="Q23" s="251">
        <v>25</v>
      </c>
      <c r="R23" s="251">
        <v>25</v>
      </c>
      <c r="S23" s="249"/>
    </row>
    <row r="24" spans="1:19" s="202" customFormat="1" x14ac:dyDescent="0.25">
      <c r="A24" s="198">
        <v>19</v>
      </c>
      <c r="B24" s="252" t="s">
        <v>449</v>
      </c>
      <c r="C24" s="248">
        <f t="shared" si="0"/>
        <v>50</v>
      </c>
      <c r="D24" s="198"/>
      <c r="E24" s="250">
        <v>25</v>
      </c>
      <c r="F24" s="197"/>
      <c r="G24" s="196"/>
      <c r="H24" s="196"/>
      <c r="I24" s="196"/>
      <c r="J24" s="196"/>
      <c r="K24" s="196"/>
      <c r="L24" s="251">
        <v>25</v>
      </c>
      <c r="M24" s="196"/>
      <c r="N24" s="196"/>
      <c r="O24" s="196"/>
      <c r="P24" s="196"/>
      <c r="Q24" s="196"/>
      <c r="R24" s="196"/>
      <c r="S24" s="249"/>
    </row>
    <row r="25" spans="1:19" s="202" customFormat="1" x14ac:dyDescent="0.25">
      <c r="A25" s="198">
        <v>20</v>
      </c>
      <c r="B25" s="252" t="s">
        <v>450</v>
      </c>
      <c r="C25" s="248">
        <f t="shared" si="0"/>
        <v>0</v>
      </c>
      <c r="D25" s="198"/>
      <c r="E25" s="250">
        <v>0</v>
      </c>
      <c r="F25" s="197"/>
      <c r="G25" s="196"/>
      <c r="H25" s="196"/>
      <c r="I25" s="196"/>
      <c r="J25" s="196"/>
      <c r="K25" s="196"/>
      <c r="L25" s="251">
        <v>0</v>
      </c>
      <c r="M25" s="196"/>
      <c r="N25" s="196"/>
      <c r="O25" s="196"/>
      <c r="P25" s="196"/>
      <c r="Q25" s="196"/>
      <c r="R25" s="196"/>
      <c r="S25" s="249"/>
    </row>
    <row r="26" spans="1:19" s="202" customFormat="1" x14ac:dyDescent="0.25">
      <c r="A26" s="198">
        <v>21</v>
      </c>
      <c r="B26" s="252" t="s">
        <v>451</v>
      </c>
      <c r="C26" s="248">
        <f t="shared" si="0"/>
        <v>0</v>
      </c>
      <c r="D26" s="198"/>
      <c r="E26" s="250">
        <v>0</v>
      </c>
      <c r="F26" s="197"/>
      <c r="G26" s="196"/>
      <c r="H26" s="196"/>
      <c r="I26" s="251"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249"/>
    </row>
    <row r="27" spans="1:19" s="202" customFormat="1" x14ac:dyDescent="0.25">
      <c r="A27" s="198">
        <v>22</v>
      </c>
      <c r="B27" s="252" t="s">
        <v>452</v>
      </c>
      <c r="C27" s="248">
        <f t="shared" si="0"/>
        <v>0</v>
      </c>
      <c r="D27" s="198"/>
      <c r="E27" s="250">
        <v>0</v>
      </c>
      <c r="F27" s="197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249"/>
    </row>
    <row r="28" spans="1:19" s="202" customFormat="1" x14ac:dyDescent="0.25">
      <c r="A28" s="198">
        <v>23</v>
      </c>
      <c r="B28" s="252" t="s">
        <v>453</v>
      </c>
      <c r="C28" s="248">
        <f t="shared" si="0"/>
        <v>32</v>
      </c>
      <c r="D28" s="248">
        <v>32</v>
      </c>
      <c r="E28" s="197"/>
      <c r="F28" s="197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249"/>
    </row>
    <row r="29" spans="1:19" s="202" customFormat="1" x14ac:dyDescent="0.25">
      <c r="A29" s="198">
        <v>24</v>
      </c>
      <c r="B29" s="252" t="s">
        <v>454</v>
      </c>
      <c r="C29" s="248">
        <f t="shared" si="0"/>
        <v>32</v>
      </c>
      <c r="D29" s="248">
        <v>32</v>
      </c>
      <c r="E29" s="197"/>
      <c r="F29" s="197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249"/>
    </row>
    <row r="30" spans="1:19" s="202" customFormat="1" x14ac:dyDescent="0.25">
      <c r="A30" s="198">
        <v>25</v>
      </c>
      <c r="B30" s="252" t="s">
        <v>455</v>
      </c>
      <c r="C30" s="248">
        <f t="shared" si="0"/>
        <v>82</v>
      </c>
      <c r="D30" s="248">
        <v>32</v>
      </c>
      <c r="E30" s="250">
        <v>25</v>
      </c>
      <c r="F30" s="197"/>
      <c r="G30" s="196"/>
      <c r="H30" s="196"/>
      <c r="I30" s="251">
        <v>25</v>
      </c>
      <c r="J30" s="196"/>
      <c r="K30" s="196"/>
      <c r="L30" s="196"/>
      <c r="M30" s="196"/>
      <c r="N30" s="196"/>
      <c r="O30" s="196"/>
      <c r="P30" s="196"/>
      <c r="Q30" s="196"/>
      <c r="R30" s="196"/>
      <c r="S30" s="249"/>
    </row>
    <row r="31" spans="1:19" s="202" customFormat="1" x14ac:dyDescent="0.25">
      <c r="A31" s="198">
        <v>26</v>
      </c>
      <c r="B31" s="252" t="s">
        <v>456</v>
      </c>
      <c r="C31" s="248">
        <f t="shared" si="0"/>
        <v>32</v>
      </c>
      <c r="D31" s="248">
        <v>32</v>
      </c>
      <c r="E31" s="197"/>
      <c r="F31" s="197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249"/>
    </row>
    <row r="32" spans="1:19" s="202" customFormat="1" x14ac:dyDescent="0.25">
      <c r="A32" s="198">
        <v>27</v>
      </c>
      <c r="B32" s="252" t="s">
        <v>457</v>
      </c>
      <c r="C32" s="248">
        <f t="shared" si="0"/>
        <v>25</v>
      </c>
      <c r="D32" s="198"/>
      <c r="E32" s="197"/>
      <c r="F32" s="197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251">
        <v>25</v>
      </c>
      <c r="S32" s="249"/>
    </row>
    <row r="33" spans="1:19" s="202" customFormat="1" x14ac:dyDescent="0.25">
      <c r="A33" s="198">
        <v>28</v>
      </c>
      <c r="B33" s="252" t="s">
        <v>460</v>
      </c>
      <c r="C33" s="248">
        <f t="shared" si="0"/>
        <v>0</v>
      </c>
      <c r="D33" s="248">
        <v>0</v>
      </c>
      <c r="E33" s="197"/>
      <c r="F33" s="197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249"/>
    </row>
    <row r="34" spans="1:19" s="202" customFormat="1" x14ac:dyDescent="0.25">
      <c r="A34" s="198">
        <v>29</v>
      </c>
      <c r="B34" s="252" t="s">
        <v>462</v>
      </c>
      <c r="C34" s="248">
        <f t="shared" si="0"/>
        <v>25</v>
      </c>
      <c r="D34" s="248"/>
      <c r="E34" s="250">
        <v>25</v>
      </c>
      <c r="F34" s="197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249"/>
    </row>
    <row r="35" spans="1:19" s="202" customFormat="1" x14ac:dyDescent="0.25">
      <c r="A35" s="198">
        <v>30</v>
      </c>
      <c r="B35" s="252" t="s">
        <v>508</v>
      </c>
      <c r="C35" s="248">
        <f t="shared" si="0"/>
        <v>40</v>
      </c>
      <c r="D35" s="248"/>
      <c r="E35" s="250"/>
      <c r="F35" s="197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251">
        <v>40</v>
      </c>
      <c r="R35" s="196"/>
      <c r="S35" s="249"/>
    </row>
    <row r="36" spans="1:19" s="202" customFormat="1" x14ac:dyDescent="0.25">
      <c r="A36" s="198">
        <v>31</v>
      </c>
      <c r="B36" s="252" t="s">
        <v>463</v>
      </c>
      <c r="C36" s="248">
        <f t="shared" si="0"/>
        <v>32</v>
      </c>
      <c r="D36" s="248">
        <v>32</v>
      </c>
      <c r="E36" s="250"/>
      <c r="F36" s="197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249"/>
    </row>
    <row r="37" spans="1:19" s="202" customFormat="1" x14ac:dyDescent="0.25">
      <c r="A37" s="254"/>
      <c r="B37" s="255" t="s">
        <v>67</v>
      </c>
      <c r="C37" s="256">
        <f t="shared" ref="C37:S37" si="2">SUM(C6:C36)</f>
        <v>1405</v>
      </c>
      <c r="D37" s="256">
        <f t="shared" si="2"/>
        <v>688</v>
      </c>
      <c r="E37" s="256">
        <f t="shared" si="2"/>
        <v>227</v>
      </c>
      <c r="F37" s="256">
        <f t="shared" si="2"/>
        <v>25</v>
      </c>
      <c r="G37" s="256">
        <f t="shared" si="2"/>
        <v>25</v>
      </c>
      <c r="H37" s="256">
        <f t="shared" si="2"/>
        <v>25</v>
      </c>
      <c r="I37" s="256">
        <f t="shared" si="2"/>
        <v>75</v>
      </c>
      <c r="J37" s="256">
        <f t="shared" si="2"/>
        <v>25</v>
      </c>
      <c r="K37" s="256">
        <f t="shared" si="2"/>
        <v>25</v>
      </c>
      <c r="L37" s="256">
        <f t="shared" si="2"/>
        <v>50</v>
      </c>
      <c r="M37" s="256">
        <f t="shared" si="2"/>
        <v>25</v>
      </c>
      <c r="N37" s="256">
        <f t="shared" si="2"/>
        <v>25</v>
      </c>
      <c r="O37" s="256">
        <f t="shared" si="2"/>
        <v>25</v>
      </c>
      <c r="P37" s="256">
        <f t="shared" si="2"/>
        <v>50</v>
      </c>
      <c r="Q37" s="256">
        <f t="shared" si="2"/>
        <v>65</v>
      </c>
      <c r="R37" s="256">
        <f t="shared" si="2"/>
        <v>50</v>
      </c>
      <c r="S37" s="256">
        <f t="shared" si="2"/>
        <v>0</v>
      </c>
    </row>
    <row r="38" spans="1:19" s="202" customFormat="1" x14ac:dyDescent="0.25">
      <c r="A38" s="215"/>
      <c r="C38" s="216"/>
      <c r="D38" s="203"/>
      <c r="E38" s="203"/>
      <c r="F38" s="203"/>
    </row>
    <row r="39" spans="1:19" s="202" customFormat="1" x14ac:dyDescent="0.25">
      <c r="A39" s="215"/>
      <c r="C39" s="203"/>
      <c r="D39" s="203"/>
      <c r="E39" s="203"/>
      <c r="F39" s="203"/>
    </row>
    <row r="40" spans="1:19" s="202" customFormat="1" x14ac:dyDescent="0.25">
      <c r="A40" s="215"/>
      <c r="C40" s="216"/>
      <c r="D40" s="203"/>
      <c r="E40" s="203"/>
      <c r="F40" s="203"/>
    </row>
    <row r="41" spans="1:19" s="203" customFormat="1" x14ac:dyDescent="0.25">
      <c r="A41" s="215"/>
      <c r="B41" s="202"/>
      <c r="C41" s="216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</row>
    <row r="42" spans="1:19" s="203" customFormat="1" x14ac:dyDescent="0.25">
      <c r="A42" s="215"/>
      <c r="B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</row>
    <row r="43" spans="1:19" s="203" customFormat="1" x14ac:dyDescent="0.25">
      <c r="A43" s="215"/>
      <c r="B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1:19" s="203" customFormat="1" x14ac:dyDescent="0.25">
      <c r="A44" s="215"/>
      <c r="B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</row>
    <row r="45" spans="1:19" s="203" customFormat="1" x14ac:dyDescent="0.25">
      <c r="A45" s="215"/>
      <c r="B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</row>
    <row r="46" spans="1:19" s="203" customFormat="1" x14ac:dyDescent="0.25">
      <c r="A46" s="215"/>
      <c r="B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</row>
    <row r="47" spans="1:19" s="203" customFormat="1" x14ac:dyDescent="0.25">
      <c r="A47" s="215"/>
      <c r="B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</row>
    <row r="48" spans="1:19" s="203" customFormat="1" x14ac:dyDescent="0.25">
      <c r="A48" s="215"/>
      <c r="B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</row>
    <row r="49" spans="1:20" x14ac:dyDescent="0.25">
      <c r="A49" s="203"/>
      <c r="B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</row>
    <row r="50" spans="1:20" x14ac:dyDescent="0.25">
      <c r="A50" s="203"/>
      <c r="B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</row>
    <row r="51" spans="1:20" ht="30.75" customHeight="1" x14ac:dyDescent="0.25">
      <c r="A51" s="203"/>
      <c r="B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ht="36.75" customHeight="1" x14ac:dyDescent="0.25">
      <c r="A52" s="203"/>
      <c r="B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ht="36.75" customHeight="1" x14ac:dyDescent="0.25">
      <c r="A53" s="203"/>
      <c r="B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ht="36.75" customHeight="1" x14ac:dyDescent="0.25">
      <c r="A54" s="203"/>
      <c r="B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ht="30" customHeight="1" x14ac:dyDescent="0.25">
      <c r="A55" s="203"/>
      <c r="B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x14ac:dyDescent="0.25">
      <c r="A56" s="203"/>
      <c r="B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8" spans="1:20" x14ac:dyDescent="0.25">
      <c r="A58" s="203"/>
      <c r="B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64" spans="1:20" x14ac:dyDescent="0.25">
      <c r="A64" s="203"/>
      <c r="B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</sheetData>
  <mergeCells count="6">
    <mergeCell ref="R1:S1"/>
    <mergeCell ref="A2:R2"/>
    <mergeCell ref="A4:A5"/>
    <mergeCell ref="B4:B5"/>
    <mergeCell ref="C4:C5"/>
    <mergeCell ref="D4:S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workbookViewId="0">
      <pane xSplit="2" ySplit="6" topLeftCell="C179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3.5703125" style="217" customWidth="1"/>
    <col min="2" max="2" width="44.5703125" style="217" customWidth="1"/>
    <col min="3" max="3" width="9.5703125" style="245" customWidth="1"/>
    <col min="4" max="5" width="8.28515625" style="245" customWidth="1"/>
    <col min="6" max="6" width="10.42578125" style="224" customWidth="1"/>
    <col min="7" max="8" width="7.85546875" style="245" customWidth="1"/>
    <col min="9" max="9" width="8.85546875" style="245" customWidth="1"/>
    <col min="10" max="10" width="8" style="245" customWidth="1"/>
    <col min="11" max="11" width="8.7109375" style="245" customWidth="1"/>
    <col min="12" max="12" width="10.140625" style="245" customWidth="1"/>
    <col min="13" max="13" width="12.42578125" style="245" customWidth="1"/>
    <col min="14" max="14" width="13" style="245" customWidth="1"/>
    <col min="15" max="16384" width="9.140625" style="217"/>
  </cols>
  <sheetData>
    <row r="1" spans="1:16" ht="42.75" customHeight="1" x14ac:dyDescent="0.25">
      <c r="A1" s="504" t="s">
        <v>465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6" ht="16.5" customHeight="1" x14ac:dyDescent="0.25">
      <c r="A2" s="218"/>
      <c r="B2" s="218"/>
      <c r="C2" s="218"/>
      <c r="D2" s="218"/>
      <c r="E2" s="218"/>
      <c r="F2" s="219"/>
      <c r="G2" s="219"/>
      <c r="H2" s="219"/>
      <c r="I2" s="219"/>
      <c r="J2" s="219"/>
      <c r="K2" s="219"/>
      <c r="L2" s="219"/>
      <c r="M2" s="219"/>
      <c r="N2" s="219"/>
    </row>
    <row r="3" spans="1:16" s="85" customFormat="1" ht="18" customHeight="1" x14ac:dyDescent="0.2">
      <c r="A3" s="506" t="s">
        <v>0</v>
      </c>
      <c r="B3" s="506" t="s">
        <v>254</v>
      </c>
      <c r="C3" s="501" t="s">
        <v>466</v>
      </c>
      <c r="D3" s="510" t="s">
        <v>467</v>
      </c>
      <c r="E3" s="511"/>
      <c r="F3" s="500" t="s">
        <v>468</v>
      </c>
      <c r="G3" s="514" t="s">
        <v>363</v>
      </c>
      <c r="H3" s="515"/>
      <c r="I3" s="515"/>
      <c r="J3" s="515"/>
      <c r="K3" s="515"/>
      <c r="L3" s="515"/>
      <c r="M3" s="515"/>
      <c r="N3" s="516"/>
    </row>
    <row r="4" spans="1:16" s="85" customFormat="1" ht="20.25" customHeight="1" x14ac:dyDescent="0.2">
      <c r="A4" s="507"/>
      <c r="B4" s="507"/>
      <c r="C4" s="509"/>
      <c r="D4" s="512"/>
      <c r="E4" s="513"/>
      <c r="F4" s="500"/>
      <c r="G4" s="497" t="s">
        <v>469</v>
      </c>
      <c r="H4" s="497" t="s">
        <v>470</v>
      </c>
      <c r="I4" s="497" t="s">
        <v>471</v>
      </c>
      <c r="J4" s="497" t="s">
        <v>472</v>
      </c>
      <c r="K4" s="497" t="s">
        <v>473</v>
      </c>
      <c r="L4" s="500" t="s">
        <v>474</v>
      </c>
      <c r="M4" s="500"/>
      <c r="N4" s="500"/>
    </row>
    <row r="5" spans="1:16" s="85" customFormat="1" ht="24" customHeight="1" x14ac:dyDescent="0.2">
      <c r="A5" s="507"/>
      <c r="B5" s="507"/>
      <c r="C5" s="509"/>
      <c r="D5" s="501" t="s">
        <v>475</v>
      </c>
      <c r="E5" s="501" t="s">
        <v>476</v>
      </c>
      <c r="F5" s="500"/>
      <c r="G5" s="498"/>
      <c r="H5" s="498"/>
      <c r="I5" s="498"/>
      <c r="J5" s="498"/>
      <c r="K5" s="498"/>
      <c r="L5" s="500" t="s">
        <v>68</v>
      </c>
      <c r="M5" s="500" t="s">
        <v>242</v>
      </c>
      <c r="N5" s="500"/>
    </row>
    <row r="6" spans="1:16" s="85" customFormat="1" ht="91.5" customHeight="1" x14ac:dyDescent="0.2">
      <c r="A6" s="508"/>
      <c r="B6" s="508"/>
      <c r="C6" s="502"/>
      <c r="D6" s="502"/>
      <c r="E6" s="502"/>
      <c r="F6" s="500"/>
      <c r="G6" s="499"/>
      <c r="H6" s="499"/>
      <c r="I6" s="499"/>
      <c r="J6" s="499"/>
      <c r="K6" s="499"/>
      <c r="L6" s="500"/>
      <c r="M6" s="220" t="s">
        <v>267</v>
      </c>
      <c r="N6" s="220" t="s">
        <v>268</v>
      </c>
    </row>
    <row r="7" spans="1:16" ht="12.75" customHeight="1" x14ac:dyDescent="0.2">
      <c r="A7" s="221">
        <v>1</v>
      </c>
      <c r="B7" s="222" t="s">
        <v>1</v>
      </c>
      <c r="C7" s="223">
        <v>32260</v>
      </c>
      <c r="D7" s="223"/>
      <c r="E7" s="223"/>
      <c r="F7" s="223">
        <f>G7+I7+J7+K7+L7+H7</f>
        <v>92074</v>
      </c>
      <c r="G7" s="223">
        <v>4031</v>
      </c>
      <c r="H7" s="223"/>
      <c r="I7" s="223"/>
      <c r="J7" s="223"/>
      <c r="K7" s="223"/>
      <c r="L7" s="223">
        <f>M7+N7</f>
        <v>88043</v>
      </c>
      <c r="M7" s="223">
        <v>20998</v>
      </c>
      <c r="N7" s="223">
        <v>67045</v>
      </c>
      <c r="O7" s="224"/>
      <c r="P7" s="224"/>
    </row>
    <row r="8" spans="1:16" ht="15.75" customHeight="1" x14ac:dyDescent="0.2">
      <c r="A8" s="221">
        <v>2</v>
      </c>
      <c r="B8" s="222" t="s">
        <v>269</v>
      </c>
      <c r="C8" s="223">
        <v>1100</v>
      </c>
      <c r="D8" s="223"/>
      <c r="E8" s="223"/>
      <c r="F8" s="223">
        <f t="shared" ref="F8:F72" si="0">G8+I8+J8+K8+L8+H8</f>
        <v>14751</v>
      </c>
      <c r="G8" s="223"/>
      <c r="H8" s="223"/>
      <c r="I8" s="223">
        <v>14751</v>
      </c>
      <c r="J8" s="223"/>
      <c r="K8" s="223"/>
      <c r="L8" s="223">
        <f t="shared" ref="L8:L73" si="1">M8+N8</f>
        <v>0</v>
      </c>
      <c r="M8" s="223"/>
      <c r="N8" s="223"/>
      <c r="O8" s="224"/>
      <c r="P8" s="224"/>
    </row>
    <row r="9" spans="1:16" ht="13.5" customHeight="1" x14ac:dyDescent="0.2">
      <c r="A9" s="221">
        <v>3</v>
      </c>
      <c r="B9" s="225" t="s">
        <v>2</v>
      </c>
      <c r="C9" s="223">
        <f>32272-200-1557</f>
        <v>30515</v>
      </c>
      <c r="D9" s="223"/>
      <c r="E9" s="223"/>
      <c r="F9" s="223">
        <f t="shared" si="0"/>
        <v>96246</v>
      </c>
      <c r="G9" s="223"/>
      <c r="H9" s="223"/>
      <c r="I9" s="223"/>
      <c r="J9" s="223"/>
      <c r="K9" s="223"/>
      <c r="L9" s="223">
        <f t="shared" si="1"/>
        <v>96246</v>
      </c>
      <c r="M9" s="223">
        <v>22952</v>
      </c>
      <c r="N9" s="223">
        <v>73294</v>
      </c>
      <c r="O9" s="224"/>
      <c r="P9" s="224"/>
    </row>
    <row r="10" spans="1:16" ht="12.75" customHeight="1" x14ac:dyDescent="0.2">
      <c r="A10" s="221">
        <v>4</v>
      </c>
      <c r="B10" s="225" t="s">
        <v>270</v>
      </c>
      <c r="C10" s="223">
        <v>1800</v>
      </c>
      <c r="D10" s="223"/>
      <c r="E10" s="223"/>
      <c r="F10" s="223">
        <f t="shared" si="0"/>
        <v>8940</v>
      </c>
      <c r="G10" s="223"/>
      <c r="H10" s="223"/>
      <c r="I10" s="223">
        <v>8940</v>
      </c>
      <c r="J10" s="223"/>
      <c r="K10" s="223"/>
      <c r="L10" s="223">
        <f t="shared" si="1"/>
        <v>0</v>
      </c>
      <c r="M10" s="223"/>
      <c r="N10" s="223"/>
      <c r="O10" s="224"/>
      <c r="P10" s="224"/>
    </row>
    <row r="11" spans="1:16" ht="13.5" customHeight="1" x14ac:dyDescent="0.2">
      <c r="A11" s="495">
        <v>5</v>
      </c>
      <c r="B11" s="226" t="s">
        <v>3</v>
      </c>
      <c r="C11" s="223">
        <v>75909</v>
      </c>
      <c r="D11" s="223"/>
      <c r="E11" s="223"/>
      <c r="F11" s="223">
        <f t="shared" si="0"/>
        <v>237255</v>
      </c>
      <c r="G11" s="223">
        <f>6647-3324</f>
        <v>3323</v>
      </c>
      <c r="H11" s="223">
        <v>3324</v>
      </c>
      <c r="I11" s="223"/>
      <c r="J11" s="223"/>
      <c r="K11" s="223"/>
      <c r="L11" s="223">
        <f t="shared" si="1"/>
        <v>230608</v>
      </c>
      <c r="M11" s="223">
        <v>59601</v>
      </c>
      <c r="N11" s="223">
        <v>171007</v>
      </c>
      <c r="O11" s="224"/>
      <c r="P11" s="224"/>
    </row>
    <row r="12" spans="1:16" s="229" customFormat="1" ht="37.5" customHeight="1" x14ac:dyDescent="0.2">
      <c r="A12" s="496"/>
      <c r="B12" s="227" t="s">
        <v>271</v>
      </c>
      <c r="C12" s="228">
        <v>9837</v>
      </c>
      <c r="D12" s="228"/>
      <c r="E12" s="228"/>
      <c r="F12" s="223">
        <f t="shared" si="0"/>
        <v>30360</v>
      </c>
      <c r="G12" s="228"/>
      <c r="H12" s="228"/>
      <c r="I12" s="228"/>
      <c r="J12" s="228"/>
      <c r="K12" s="228"/>
      <c r="L12" s="228">
        <f t="shared" si="1"/>
        <v>30360</v>
      </c>
      <c r="M12" s="228">
        <v>8266</v>
      </c>
      <c r="N12" s="228">
        <v>22094</v>
      </c>
      <c r="O12" s="224"/>
      <c r="P12" s="224"/>
    </row>
    <row r="13" spans="1:16" ht="15" customHeight="1" x14ac:dyDescent="0.2">
      <c r="A13" s="221">
        <v>6</v>
      </c>
      <c r="B13" s="225" t="s">
        <v>4</v>
      </c>
      <c r="C13" s="223">
        <v>25538</v>
      </c>
      <c r="D13" s="223"/>
      <c r="E13" s="223"/>
      <c r="F13" s="223">
        <f t="shared" si="0"/>
        <v>78888</v>
      </c>
      <c r="G13" s="223"/>
      <c r="H13" s="223"/>
      <c r="I13" s="223"/>
      <c r="J13" s="223"/>
      <c r="K13" s="223"/>
      <c r="L13" s="223">
        <f t="shared" si="1"/>
        <v>78888</v>
      </c>
      <c r="M13" s="223">
        <v>24352</v>
      </c>
      <c r="N13" s="223">
        <v>54536</v>
      </c>
      <c r="O13" s="224"/>
      <c r="P13" s="224"/>
    </row>
    <row r="14" spans="1:16" ht="12.75" customHeight="1" x14ac:dyDescent="0.2">
      <c r="A14" s="221">
        <v>7</v>
      </c>
      <c r="B14" s="225" t="s">
        <v>5</v>
      </c>
      <c r="C14" s="223">
        <v>11158</v>
      </c>
      <c r="D14" s="223"/>
      <c r="E14" s="223"/>
      <c r="F14" s="223">
        <f t="shared" si="0"/>
        <v>34479</v>
      </c>
      <c r="G14" s="223"/>
      <c r="H14" s="223"/>
      <c r="I14" s="223"/>
      <c r="J14" s="223"/>
      <c r="K14" s="223"/>
      <c r="L14" s="223">
        <f t="shared" si="1"/>
        <v>34479</v>
      </c>
      <c r="M14" s="223">
        <v>7539</v>
      </c>
      <c r="N14" s="223">
        <v>26940</v>
      </c>
      <c r="O14" s="224"/>
      <c r="P14" s="224"/>
    </row>
    <row r="15" spans="1:16" ht="12.75" customHeight="1" x14ac:dyDescent="0.2">
      <c r="A15" s="221">
        <v>8</v>
      </c>
      <c r="B15" s="225" t="s">
        <v>6</v>
      </c>
      <c r="C15" s="223">
        <v>11531</v>
      </c>
      <c r="D15" s="223"/>
      <c r="E15" s="223"/>
      <c r="F15" s="223">
        <f t="shared" si="0"/>
        <v>36229</v>
      </c>
      <c r="G15" s="223"/>
      <c r="H15" s="223"/>
      <c r="I15" s="223"/>
      <c r="J15" s="223"/>
      <c r="K15" s="223"/>
      <c r="L15" s="223">
        <f t="shared" si="1"/>
        <v>36229</v>
      </c>
      <c r="M15" s="223">
        <f>7197+371+250</f>
        <v>7818</v>
      </c>
      <c r="N15" s="223">
        <v>28411</v>
      </c>
      <c r="O15" s="224"/>
      <c r="P15" s="224"/>
    </row>
    <row r="16" spans="1:16" ht="12.75" customHeight="1" x14ac:dyDescent="0.2">
      <c r="A16" s="221">
        <v>9</v>
      </c>
      <c r="B16" s="225" t="s">
        <v>7</v>
      </c>
      <c r="C16" s="223">
        <v>12468</v>
      </c>
      <c r="D16" s="223"/>
      <c r="E16" s="223"/>
      <c r="F16" s="223">
        <f t="shared" si="0"/>
        <v>38493</v>
      </c>
      <c r="G16" s="223"/>
      <c r="H16" s="223"/>
      <c r="I16" s="223"/>
      <c r="J16" s="223"/>
      <c r="K16" s="223"/>
      <c r="L16" s="223">
        <f t="shared" si="1"/>
        <v>38493</v>
      </c>
      <c r="M16" s="223">
        <v>8233</v>
      </c>
      <c r="N16" s="223">
        <v>30260</v>
      </c>
      <c r="O16" s="224"/>
      <c r="P16" s="224"/>
    </row>
    <row r="17" spans="1:16" ht="12.75" customHeight="1" x14ac:dyDescent="0.2">
      <c r="A17" s="221">
        <v>10</v>
      </c>
      <c r="B17" s="225" t="s">
        <v>8</v>
      </c>
      <c r="C17" s="223">
        <v>13193</v>
      </c>
      <c r="D17" s="223"/>
      <c r="E17" s="223"/>
      <c r="F17" s="223">
        <f t="shared" si="0"/>
        <v>40755</v>
      </c>
      <c r="G17" s="223"/>
      <c r="H17" s="223"/>
      <c r="I17" s="223"/>
      <c r="J17" s="223"/>
      <c r="K17" s="223"/>
      <c r="L17" s="223">
        <f t="shared" si="1"/>
        <v>40755</v>
      </c>
      <c r="M17" s="223">
        <v>9493</v>
      </c>
      <c r="N17" s="223">
        <v>31262</v>
      </c>
      <c r="O17" s="224"/>
      <c r="P17" s="224"/>
    </row>
    <row r="18" spans="1:16" ht="13.5" customHeight="1" x14ac:dyDescent="0.2">
      <c r="A18" s="221">
        <v>11</v>
      </c>
      <c r="B18" s="226" t="s">
        <v>9</v>
      </c>
      <c r="C18" s="223">
        <v>14071</v>
      </c>
      <c r="D18" s="223"/>
      <c r="E18" s="223"/>
      <c r="F18" s="223">
        <f t="shared" si="0"/>
        <v>43481</v>
      </c>
      <c r="G18" s="223"/>
      <c r="H18" s="223"/>
      <c r="I18" s="223"/>
      <c r="J18" s="223"/>
      <c r="K18" s="223"/>
      <c r="L18" s="223">
        <f t="shared" si="1"/>
        <v>43481</v>
      </c>
      <c r="M18" s="223">
        <v>14403</v>
      </c>
      <c r="N18" s="223">
        <v>29078</v>
      </c>
      <c r="O18" s="224"/>
      <c r="P18" s="224"/>
    </row>
    <row r="19" spans="1:16" ht="15" customHeight="1" x14ac:dyDescent="0.2">
      <c r="A19" s="221">
        <v>12</v>
      </c>
      <c r="B19" s="225" t="s">
        <v>10</v>
      </c>
      <c r="C19" s="223">
        <v>13080</v>
      </c>
      <c r="D19" s="223"/>
      <c r="E19" s="223"/>
      <c r="F19" s="223">
        <f t="shared" si="0"/>
        <v>40406</v>
      </c>
      <c r="G19" s="223"/>
      <c r="H19" s="223"/>
      <c r="I19" s="223"/>
      <c r="J19" s="223"/>
      <c r="K19" s="223"/>
      <c r="L19" s="223">
        <f t="shared" si="1"/>
        <v>40406</v>
      </c>
      <c r="M19" s="223">
        <v>9328</v>
      </c>
      <c r="N19" s="223">
        <v>31078</v>
      </c>
      <c r="O19" s="224"/>
      <c r="P19" s="224"/>
    </row>
    <row r="20" spans="1:16" ht="12.75" customHeight="1" x14ac:dyDescent="0.2">
      <c r="A20" s="221">
        <v>13</v>
      </c>
      <c r="B20" s="226" t="s">
        <v>54</v>
      </c>
      <c r="C20" s="223">
        <v>15307</v>
      </c>
      <c r="D20" s="223"/>
      <c r="E20" s="223"/>
      <c r="F20" s="223">
        <f t="shared" si="0"/>
        <v>47274</v>
      </c>
      <c r="G20" s="223"/>
      <c r="H20" s="223"/>
      <c r="I20" s="223"/>
      <c r="J20" s="223"/>
      <c r="K20" s="223"/>
      <c r="L20" s="223">
        <f t="shared" si="1"/>
        <v>47274</v>
      </c>
      <c r="M20" s="223">
        <v>11129</v>
      </c>
      <c r="N20" s="223">
        <v>36145</v>
      </c>
      <c r="O20" s="224"/>
      <c r="P20" s="224"/>
    </row>
    <row r="21" spans="1:16" ht="15" customHeight="1" x14ac:dyDescent="0.2">
      <c r="A21" s="221">
        <v>14</v>
      </c>
      <c r="B21" s="225" t="s">
        <v>11</v>
      </c>
      <c r="C21" s="223">
        <v>12907</v>
      </c>
      <c r="D21" s="223"/>
      <c r="E21" s="223"/>
      <c r="F21" s="223">
        <f t="shared" si="0"/>
        <v>39895</v>
      </c>
      <c r="G21" s="223"/>
      <c r="H21" s="223"/>
      <c r="I21" s="223"/>
      <c r="J21" s="223"/>
      <c r="K21" s="223"/>
      <c r="L21" s="223">
        <f t="shared" si="1"/>
        <v>39895</v>
      </c>
      <c r="M21" s="223">
        <v>8442</v>
      </c>
      <c r="N21" s="223">
        <v>31453</v>
      </c>
      <c r="O21" s="224"/>
      <c r="P21" s="224"/>
    </row>
    <row r="22" spans="1:16" ht="10.5" customHeight="1" x14ac:dyDescent="0.2">
      <c r="A22" s="221">
        <v>15</v>
      </c>
      <c r="B22" s="225" t="s">
        <v>272</v>
      </c>
      <c r="C22" s="223">
        <v>0</v>
      </c>
      <c r="D22" s="223"/>
      <c r="E22" s="223"/>
      <c r="F22" s="223">
        <f t="shared" si="0"/>
        <v>0</v>
      </c>
      <c r="G22" s="223"/>
      <c r="H22" s="223"/>
      <c r="I22" s="223">
        <f>150-150</f>
        <v>0</v>
      </c>
      <c r="J22" s="223"/>
      <c r="K22" s="223"/>
      <c r="L22" s="223">
        <f t="shared" si="1"/>
        <v>0</v>
      </c>
      <c r="M22" s="223"/>
      <c r="N22" s="223"/>
      <c r="O22" s="224"/>
      <c r="P22" s="224"/>
    </row>
    <row r="23" spans="1:16" ht="12" customHeight="1" x14ac:dyDescent="0.2">
      <c r="A23" s="221">
        <v>16</v>
      </c>
      <c r="B23" s="226" t="s">
        <v>55</v>
      </c>
      <c r="C23" s="223">
        <v>80</v>
      </c>
      <c r="D23" s="223"/>
      <c r="E23" s="223"/>
      <c r="F23" s="223">
        <f t="shared" si="0"/>
        <v>572</v>
      </c>
      <c r="G23" s="223"/>
      <c r="H23" s="223"/>
      <c r="I23" s="223">
        <v>572</v>
      </c>
      <c r="J23" s="223"/>
      <c r="K23" s="223"/>
      <c r="L23" s="223">
        <f t="shared" si="1"/>
        <v>0</v>
      </c>
      <c r="M23" s="223"/>
      <c r="N23" s="223"/>
      <c r="O23" s="224"/>
      <c r="P23" s="224"/>
    </row>
    <row r="24" spans="1:16" ht="13.5" customHeight="1" x14ac:dyDescent="0.2">
      <c r="A24" s="221">
        <v>17</v>
      </c>
      <c r="B24" s="225" t="s">
        <v>477</v>
      </c>
      <c r="C24" s="223">
        <v>80</v>
      </c>
      <c r="D24" s="223"/>
      <c r="E24" s="223"/>
      <c r="F24" s="223">
        <f t="shared" si="0"/>
        <v>572</v>
      </c>
      <c r="G24" s="223"/>
      <c r="H24" s="223"/>
      <c r="I24" s="223">
        <v>572</v>
      </c>
      <c r="J24" s="223"/>
      <c r="K24" s="223"/>
      <c r="L24" s="223">
        <f t="shared" si="1"/>
        <v>0</v>
      </c>
      <c r="M24" s="223"/>
      <c r="N24" s="223"/>
      <c r="O24" s="224"/>
      <c r="P24" s="224"/>
    </row>
    <row r="25" spans="1:16" ht="12.75" customHeight="1" x14ac:dyDescent="0.2">
      <c r="A25" s="221">
        <v>18</v>
      </c>
      <c r="B25" s="225" t="s">
        <v>273</v>
      </c>
      <c r="C25" s="223">
        <v>80</v>
      </c>
      <c r="D25" s="223"/>
      <c r="E25" s="223"/>
      <c r="F25" s="223">
        <f t="shared" si="0"/>
        <v>572</v>
      </c>
      <c r="G25" s="223"/>
      <c r="H25" s="223"/>
      <c r="I25" s="223">
        <v>572</v>
      </c>
      <c r="J25" s="223"/>
      <c r="K25" s="223"/>
      <c r="L25" s="223">
        <f t="shared" si="1"/>
        <v>0</v>
      </c>
      <c r="M25" s="223"/>
      <c r="N25" s="223"/>
      <c r="O25" s="224"/>
      <c r="P25" s="224"/>
    </row>
    <row r="26" spans="1:16" ht="13.5" customHeight="1" x14ac:dyDescent="0.2">
      <c r="A26" s="221">
        <v>19</v>
      </c>
      <c r="B26" s="225" t="s">
        <v>274</v>
      </c>
      <c r="C26" s="223">
        <v>0</v>
      </c>
      <c r="D26" s="223"/>
      <c r="E26" s="223"/>
      <c r="F26" s="223">
        <f t="shared" si="0"/>
        <v>597</v>
      </c>
      <c r="G26" s="223"/>
      <c r="H26" s="223"/>
      <c r="I26" s="223">
        <v>597</v>
      </c>
      <c r="J26" s="223"/>
      <c r="K26" s="223"/>
      <c r="L26" s="223">
        <f t="shared" si="1"/>
        <v>0</v>
      </c>
      <c r="M26" s="223"/>
      <c r="N26" s="223"/>
      <c r="O26" s="224"/>
      <c r="P26" s="224"/>
    </row>
    <row r="27" spans="1:16" ht="23.25" customHeight="1" x14ac:dyDescent="0.2">
      <c r="A27" s="221">
        <v>20</v>
      </c>
      <c r="B27" s="225" t="s">
        <v>478</v>
      </c>
      <c r="C27" s="223">
        <v>80</v>
      </c>
      <c r="D27" s="223"/>
      <c r="E27" s="223"/>
      <c r="F27" s="223">
        <f t="shared" si="0"/>
        <v>572</v>
      </c>
      <c r="G27" s="223"/>
      <c r="H27" s="223"/>
      <c r="I27" s="223">
        <v>572</v>
      </c>
      <c r="J27" s="223"/>
      <c r="K27" s="223"/>
      <c r="L27" s="223">
        <f t="shared" si="1"/>
        <v>0</v>
      </c>
      <c r="M27" s="223"/>
      <c r="N27" s="223"/>
      <c r="O27" s="224"/>
      <c r="P27" s="224"/>
    </row>
    <row r="28" spans="1:16" ht="23.25" customHeight="1" x14ac:dyDescent="0.2">
      <c r="A28" s="221"/>
      <c r="B28" s="225" t="s">
        <v>464</v>
      </c>
      <c r="C28" s="223"/>
      <c r="D28" s="223"/>
      <c r="E28" s="223"/>
      <c r="F28" s="223">
        <f t="shared" si="0"/>
        <v>573</v>
      </c>
      <c r="G28" s="223"/>
      <c r="H28" s="223"/>
      <c r="I28" s="223">
        <v>573</v>
      </c>
      <c r="J28" s="223"/>
      <c r="K28" s="223"/>
      <c r="L28" s="223"/>
      <c r="M28" s="223"/>
      <c r="N28" s="223"/>
      <c r="O28" s="224"/>
      <c r="P28" s="224"/>
    </row>
    <row r="29" spans="1:16" ht="10.5" customHeight="1" x14ac:dyDescent="0.2">
      <c r="A29" s="221">
        <v>21</v>
      </c>
      <c r="B29" s="225" t="s">
        <v>479</v>
      </c>
      <c r="C29" s="223">
        <v>0</v>
      </c>
      <c r="D29" s="223"/>
      <c r="E29" s="223"/>
      <c r="F29" s="223">
        <f t="shared" si="0"/>
        <v>572</v>
      </c>
      <c r="G29" s="223"/>
      <c r="H29" s="223"/>
      <c r="I29" s="223">
        <v>572</v>
      </c>
      <c r="J29" s="223"/>
      <c r="K29" s="223"/>
      <c r="L29" s="223">
        <f t="shared" si="1"/>
        <v>0</v>
      </c>
      <c r="M29" s="223"/>
      <c r="N29" s="223"/>
      <c r="O29" s="224"/>
      <c r="P29" s="224"/>
    </row>
    <row r="30" spans="1:16" ht="13.5" customHeight="1" x14ac:dyDescent="0.2">
      <c r="A30" s="221">
        <v>22</v>
      </c>
      <c r="B30" s="226" t="s">
        <v>480</v>
      </c>
      <c r="C30" s="223">
        <v>80</v>
      </c>
      <c r="D30" s="223"/>
      <c r="E30" s="223"/>
      <c r="F30" s="223">
        <f t="shared" si="0"/>
        <v>572</v>
      </c>
      <c r="G30" s="223"/>
      <c r="H30" s="223"/>
      <c r="I30" s="223">
        <v>572</v>
      </c>
      <c r="J30" s="223"/>
      <c r="K30" s="223"/>
      <c r="L30" s="223">
        <f t="shared" si="1"/>
        <v>0</v>
      </c>
      <c r="M30" s="223"/>
      <c r="N30" s="223"/>
      <c r="O30" s="224"/>
      <c r="P30" s="224"/>
    </row>
    <row r="31" spans="1:16" s="230" customFormat="1" ht="15" customHeight="1" x14ac:dyDescent="0.2">
      <c r="A31" s="221">
        <v>23</v>
      </c>
      <c r="B31" s="225" t="s">
        <v>275</v>
      </c>
      <c r="C31" s="223">
        <v>0</v>
      </c>
      <c r="D31" s="223"/>
      <c r="E31" s="223"/>
      <c r="F31" s="223">
        <f t="shared" si="0"/>
        <v>0</v>
      </c>
      <c r="G31" s="223"/>
      <c r="H31" s="223"/>
      <c r="I31" s="223">
        <f>25-25</f>
        <v>0</v>
      </c>
      <c r="J31" s="223"/>
      <c r="K31" s="223"/>
      <c r="L31" s="223">
        <f t="shared" si="1"/>
        <v>0</v>
      </c>
      <c r="M31" s="223"/>
      <c r="N31" s="223"/>
      <c r="O31" s="224"/>
      <c r="P31" s="224"/>
    </row>
    <row r="32" spans="1:16" ht="12" customHeight="1" x14ac:dyDescent="0.2">
      <c r="A32" s="221">
        <v>24</v>
      </c>
      <c r="B32" s="225" t="s">
        <v>481</v>
      </c>
      <c r="C32" s="223">
        <v>0</v>
      </c>
      <c r="D32" s="223"/>
      <c r="E32" s="223"/>
      <c r="F32" s="223">
        <f t="shared" si="0"/>
        <v>325</v>
      </c>
      <c r="G32" s="223"/>
      <c r="H32" s="223"/>
      <c r="I32" s="223">
        <v>325</v>
      </c>
      <c r="J32" s="223"/>
      <c r="K32" s="223"/>
      <c r="L32" s="223">
        <f t="shared" si="1"/>
        <v>0</v>
      </c>
      <c r="M32" s="223"/>
      <c r="N32" s="223"/>
      <c r="O32" s="224"/>
      <c r="P32" s="224"/>
    </row>
    <row r="33" spans="1:16" ht="10.5" customHeight="1" x14ac:dyDescent="0.2">
      <c r="A33" s="221">
        <v>25</v>
      </c>
      <c r="B33" s="225" t="s">
        <v>482</v>
      </c>
      <c r="C33" s="223">
        <v>0</v>
      </c>
      <c r="D33" s="223"/>
      <c r="E33" s="223"/>
      <c r="F33" s="223">
        <f t="shared" si="0"/>
        <v>572</v>
      </c>
      <c r="G33" s="223"/>
      <c r="H33" s="223"/>
      <c r="I33" s="223">
        <v>572</v>
      </c>
      <c r="J33" s="223"/>
      <c r="K33" s="223"/>
      <c r="L33" s="223">
        <f t="shared" si="1"/>
        <v>0</v>
      </c>
      <c r="M33" s="223"/>
      <c r="N33" s="223"/>
      <c r="O33" s="224"/>
      <c r="P33" s="224"/>
    </row>
    <row r="34" spans="1:16" ht="15" customHeight="1" x14ac:dyDescent="0.2">
      <c r="A34" s="221">
        <v>26</v>
      </c>
      <c r="B34" s="225" t="s">
        <v>56</v>
      </c>
      <c r="C34" s="223">
        <v>0</v>
      </c>
      <c r="D34" s="223"/>
      <c r="E34" s="223"/>
      <c r="F34" s="223">
        <f t="shared" si="0"/>
        <v>275</v>
      </c>
      <c r="G34" s="223"/>
      <c r="H34" s="223"/>
      <c r="I34" s="223">
        <v>275</v>
      </c>
      <c r="J34" s="223"/>
      <c r="K34" s="223"/>
      <c r="L34" s="223">
        <f t="shared" si="1"/>
        <v>0</v>
      </c>
      <c r="M34" s="223"/>
      <c r="N34" s="223"/>
      <c r="O34" s="224"/>
      <c r="P34" s="224"/>
    </row>
    <row r="35" spans="1:16" ht="12.75" customHeight="1" x14ac:dyDescent="0.2">
      <c r="A35" s="221">
        <v>27</v>
      </c>
      <c r="B35" s="225" t="s">
        <v>72</v>
      </c>
      <c r="C35" s="223">
        <v>33205</v>
      </c>
      <c r="D35" s="223"/>
      <c r="E35" s="223"/>
      <c r="F35" s="223">
        <f t="shared" si="0"/>
        <v>95011</v>
      </c>
      <c r="G35" s="223">
        <v>3819</v>
      </c>
      <c r="H35" s="223"/>
      <c r="I35" s="223"/>
      <c r="J35" s="223"/>
      <c r="K35" s="223"/>
      <c r="L35" s="223">
        <f t="shared" si="1"/>
        <v>91192</v>
      </c>
      <c r="M35" s="223">
        <v>20236</v>
      </c>
      <c r="N35" s="223">
        <v>70956</v>
      </c>
      <c r="O35" s="224"/>
      <c r="P35" s="224"/>
    </row>
    <row r="36" spans="1:16" ht="15" customHeight="1" x14ac:dyDescent="0.2">
      <c r="A36" s="221">
        <v>28</v>
      </c>
      <c r="B36" s="231" t="s">
        <v>277</v>
      </c>
      <c r="C36" s="223">
        <v>1800</v>
      </c>
      <c r="D36" s="223"/>
      <c r="E36" s="223"/>
      <c r="F36" s="223">
        <f t="shared" si="0"/>
        <v>16986</v>
      </c>
      <c r="G36" s="223"/>
      <c r="H36" s="223"/>
      <c r="I36" s="223">
        <v>16986</v>
      </c>
      <c r="J36" s="223"/>
      <c r="K36" s="223"/>
      <c r="L36" s="223">
        <f t="shared" si="1"/>
        <v>0</v>
      </c>
      <c r="M36" s="223"/>
      <c r="N36" s="223"/>
      <c r="O36" s="224"/>
      <c r="P36" s="224"/>
    </row>
    <row r="37" spans="1:16" ht="12.75" customHeight="1" x14ac:dyDescent="0.2">
      <c r="A37" s="221">
        <v>29</v>
      </c>
      <c r="B37" s="225" t="s">
        <v>12</v>
      </c>
      <c r="C37" s="223">
        <v>32546</v>
      </c>
      <c r="D37" s="223"/>
      <c r="E37" s="223"/>
      <c r="F37" s="223">
        <f t="shared" si="0"/>
        <v>98135</v>
      </c>
      <c r="G37" s="223"/>
      <c r="H37" s="223"/>
      <c r="I37" s="223"/>
      <c r="J37" s="223"/>
      <c r="K37" s="223"/>
      <c r="L37" s="223">
        <f t="shared" si="1"/>
        <v>98135</v>
      </c>
      <c r="M37" s="223">
        <v>28124</v>
      </c>
      <c r="N37" s="223">
        <v>70011</v>
      </c>
      <c r="O37" s="224"/>
      <c r="P37" s="224"/>
    </row>
    <row r="38" spans="1:16" ht="12.75" customHeight="1" x14ac:dyDescent="0.2">
      <c r="A38" s="221">
        <v>30</v>
      </c>
      <c r="B38" s="225" t="s">
        <v>13</v>
      </c>
      <c r="C38" s="223">
        <v>58312</v>
      </c>
      <c r="D38" s="223"/>
      <c r="E38" s="223"/>
      <c r="F38" s="223">
        <f t="shared" si="0"/>
        <v>185640</v>
      </c>
      <c r="G38" s="223">
        <v>5532</v>
      </c>
      <c r="H38" s="223"/>
      <c r="I38" s="223"/>
      <c r="J38" s="223"/>
      <c r="K38" s="223"/>
      <c r="L38" s="223">
        <f t="shared" si="1"/>
        <v>180108</v>
      </c>
      <c r="M38" s="223">
        <v>53568</v>
      </c>
      <c r="N38" s="223">
        <v>126540</v>
      </c>
      <c r="O38" s="224"/>
      <c r="P38" s="224"/>
    </row>
    <row r="39" spans="1:16" ht="12.75" customHeight="1" x14ac:dyDescent="0.2">
      <c r="A39" s="221">
        <v>31</v>
      </c>
      <c r="B39" s="225" t="s">
        <v>14</v>
      </c>
      <c r="C39" s="223">
        <v>41028</v>
      </c>
      <c r="D39" s="223"/>
      <c r="E39" s="223"/>
      <c r="F39" s="223">
        <f t="shared" si="0"/>
        <v>126735</v>
      </c>
      <c r="G39" s="223"/>
      <c r="H39" s="223"/>
      <c r="I39" s="223"/>
      <c r="J39" s="223"/>
      <c r="K39" s="223"/>
      <c r="L39" s="223">
        <f t="shared" si="1"/>
        <v>126735</v>
      </c>
      <c r="M39" s="223">
        <v>44440</v>
      </c>
      <c r="N39" s="223">
        <v>82295</v>
      </c>
      <c r="O39" s="224"/>
      <c r="P39" s="224"/>
    </row>
    <row r="40" spans="1:16" ht="12.75" customHeight="1" x14ac:dyDescent="0.2">
      <c r="A40" s="221">
        <v>32</v>
      </c>
      <c r="B40" s="225" t="s">
        <v>278</v>
      </c>
      <c r="C40" s="223">
        <v>7734</v>
      </c>
      <c r="D40" s="223"/>
      <c r="E40" s="223"/>
      <c r="F40" s="223">
        <f t="shared" si="0"/>
        <v>24445</v>
      </c>
      <c r="G40" s="223"/>
      <c r="H40" s="223"/>
      <c r="I40" s="223"/>
      <c r="J40" s="223"/>
      <c r="K40" s="223"/>
      <c r="L40" s="223">
        <f t="shared" si="1"/>
        <v>24445</v>
      </c>
      <c r="M40" s="223">
        <v>7882</v>
      </c>
      <c r="N40" s="223">
        <v>16563</v>
      </c>
      <c r="O40" s="224"/>
      <c r="P40" s="224"/>
    </row>
    <row r="41" spans="1:16" ht="13.5" customHeight="1" x14ac:dyDescent="0.2">
      <c r="A41" s="221">
        <v>33</v>
      </c>
      <c r="B41" s="225" t="s">
        <v>15</v>
      </c>
      <c r="C41" s="223">
        <v>17003</v>
      </c>
      <c r="D41" s="223"/>
      <c r="E41" s="223"/>
      <c r="F41" s="223">
        <f t="shared" si="0"/>
        <v>52562</v>
      </c>
      <c r="G41" s="223"/>
      <c r="H41" s="223"/>
      <c r="I41" s="223"/>
      <c r="J41" s="223"/>
      <c r="K41" s="223"/>
      <c r="L41" s="223">
        <f t="shared" si="1"/>
        <v>52562</v>
      </c>
      <c r="M41" s="223">
        <v>10345</v>
      </c>
      <c r="N41" s="223">
        <v>42217</v>
      </c>
      <c r="O41" s="224"/>
      <c r="P41" s="224"/>
    </row>
    <row r="42" spans="1:16" ht="12.75" customHeight="1" x14ac:dyDescent="0.2">
      <c r="A42" s="221">
        <v>34</v>
      </c>
      <c r="B42" s="225" t="s">
        <v>16</v>
      </c>
      <c r="C42" s="223">
        <v>22442</v>
      </c>
      <c r="D42" s="223"/>
      <c r="E42" s="223"/>
      <c r="F42" s="223">
        <f t="shared" si="0"/>
        <v>69198</v>
      </c>
      <c r="G42" s="223"/>
      <c r="H42" s="223"/>
      <c r="I42" s="223"/>
      <c r="J42" s="223"/>
      <c r="K42" s="223"/>
      <c r="L42" s="223">
        <f t="shared" si="1"/>
        <v>69198</v>
      </c>
      <c r="M42" s="223">
        <v>8819</v>
      </c>
      <c r="N42" s="223">
        <v>60379</v>
      </c>
      <c r="O42" s="224"/>
      <c r="P42" s="224"/>
    </row>
    <row r="43" spans="1:16" ht="15" customHeight="1" x14ac:dyDescent="0.2">
      <c r="A43" s="221">
        <v>35</v>
      </c>
      <c r="B43" s="225" t="s">
        <v>17</v>
      </c>
      <c r="C43" s="223">
        <v>9634</v>
      </c>
      <c r="D43" s="223"/>
      <c r="E43" s="223"/>
      <c r="F43" s="223">
        <f t="shared" si="0"/>
        <v>31066</v>
      </c>
      <c r="G43" s="223"/>
      <c r="H43" s="223"/>
      <c r="I43" s="223"/>
      <c r="J43" s="223"/>
      <c r="K43" s="223"/>
      <c r="L43" s="223">
        <f t="shared" si="1"/>
        <v>31066</v>
      </c>
      <c r="M43" s="223">
        <f>8932+258+1000</f>
        <v>10190</v>
      </c>
      <c r="N43" s="223">
        <v>20876</v>
      </c>
      <c r="O43" s="224"/>
      <c r="P43" s="224"/>
    </row>
    <row r="44" spans="1:16" ht="13.5" customHeight="1" x14ac:dyDescent="0.2">
      <c r="A44" s="221">
        <v>36</v>
      </c>
      <c r="B44" s="225" t="s">
        <v>18</v>
      </c>
      <c r="C44" s="223">
        <v>8036</v>
      </c>
      <c r="D44" s="223"/>
      <c r="E44" s="223"/>
      <c r="F44" s="223">
        <f t="shared" si="0"/>
        <v>24832</v>
      </c>
      <c r="G44" s="223"/>
      <c r="H44" s="223"/>
      <c r="I44" s="223"/>
      <c r="J44" s="223"/>
      <c r="K44" s="223"/>
      <c r="L44" s="223">
        <f t="shared" si="1"/>
        <v>24832</v>
      </c>
      <c r="M44" s="223">
        <v>4630</v>
      </c>
      <c r="N44" s="223">
        <v>20202</v>
      </c>
      <c r="O44" s="224"/>
      <c r="P44" s="224"/>
    </row>
    <row r="45" spans="1:16" ht="13.5" customHeight="1" x14ac:dyDescent="0.2">
      <c r="A45" s="221">
        <v>37</v>
      </c>
      <c r="B45" s="225" t="s">
        <v>483</v>
      </c>
      <c r="C45" s="223">
        <v>0</v>
      </c>
      <c r="D45" s="223"/>
      <c r="E45" s="223"/>
      <c r="F45" s="223">
        <f t="shared" si="0"/>
        <v>670</v>
      </c>
      <c r="G45" s="223"/>
      <c r="H45" s="223"/>
      <c r="I45" s="223">
        <v>670</v>
      </c>
      <c r="J45" s="223"/>
      <c r="K45" s="223"/>
      <c r="L45" s="223">
        <f t="shared" si="1"/>
        <v>0</v>
      </c>
      <c r="M45" s="223"/>
      <c r="N45" s="223"/>
      <c r="O45" s="224"/>
      <c r="P45" s="224"/>
    </row>
    <row r="46" spans="1:16" ht="12.75" customHeight="1" x14ac:dyDescent="0.2">
      <c r="A46" s="221">
        <v>38</v>
      </c>
      <c r="B46" s="225" t="s">
        <v>484</v>
      </c>
      <c r="C46" s="223">
        <v>0</v>
      </c>
      <c r="D46" s="223"/>
      <c r="E46" s="223"/>
      <c r="F46" s="223">
        <f t="shared" si="0"/>
        <v>1788</v>
      </c>
      <c r="G46" s="223"/>
      <c r="H46" s="223"/>
      <c r="I46" s="223">
        <v>1788</v>
      </c>
      <c r="J46" s="223"/>
      <c r="K46" s="223"/>
      <c r="L46" s="223">
        <f t="shared" si="1"/>
        <v>0</v>
      </c>
      <c r="M46" s="223"/>
      <c r="N46" s="223"/>
      <c r="O46" s="224"/>
      <c r="P46" s="224"/>
    </row>
    <row r="47" spans="1:16" ht="12.75" customHeight="1" x14ac:dyDescent="0.2">
      <c r="A47" s="221">
        <v>39</v>
      </c>
      <c r="B47" s="225" t="s">
        <v>279</v>
      </c>
      <c r="C47" s="223">
        <v>0</v>
      </c>
      <c r="D47" s="223"/>
      <c r="E47" s="223"/>
      <c r="F47" s="223">
        <f t="shared" si="0"/>
        <v>36</v>
      </c>
      <c r="G47" s="223"/>
      <c r="H47" s="223"/>
      <c r="I47" s="223">
        <f>200-164</f>
        <v>36</v>
      </c>
      <c r="J47" s="223"/>
      <c r="K47" s="223"/>
      <c r="L47" s="223">
        <f t="shared" si="1"/>
        <v>0</v>
      </c>
      <c r="M47" s="223"/>
      <c r="N47" s="223"/>
      <c r="O47" s="224"/>
      <c r="P47" s="224"/>
    </row>
    <row r="48" spans="1:16" ht="14.25" customHeight="1" x14ac:dyDescent="0.2">
      <c r="A48" s="221">
        <v>40</v>
      </c>
      <c r="B48" s="225" t="s">
        <v>280</v>
      </c>
      <c r="C48" s="223">
        <v>32781</v>
      </c>
      <c r="D48" s="223">
        <v>6211</v>
      </c>
      <c r="E48" s="223"/>
      <c r="F48" s="223">
        <f t="shared" si="0"/>
        <v>87834</v>
      </c>
      <c r="G48" s="223">
        <v>10096</v>
      </c>
      <c r="H48" s="223"/>
      <c r="I48" s="223"/>
      <c r="J48" s="223"/>
      <c r="K48" s="223"/>
      <c r="L48" s="223">
        <f t="shared" si="1"/>
        <v>77738</v>
      </c>
      <c r="M48" s="223">
        <v>16397</v>
      </c>
      <c r="N48" s="223">
        <v>61341</v>
      </c>
      <c r="O48" s="224"/>
      <c r="P48" s="224"/>
    </row>
    <row r="49" spans="1:16" ht="15.75" customHeight="1" x14ac:dyDescent="0.2">
      <c r="A49" s="221">
        <v>41</v>
      </c>
      <c r="B49" s="225" t="s">
        <v>281</v>
      </c>
      <c r="C49" s="223">
        <v>28004</v>
      </c>
      <c r="D49" s="223"/>
      <c r="E49" s="223"/>
      <c r="F49" s="223">
        <f t="shared" si="0"/>
        <v>81932</v>
      </c>
      <c r="G49" s="223"/>
      <c r="H49" s="223"/>
      <c r="I49" s="223"/>
      <c r="J49" s="223"/>
      <c r="K49" s="223"/>
      <c r="L49" s="223">
        <f t="shared" si="1"/>
        <v>81932</v>
      </c>
      <c r="M49" s="223">
        <v>27459</v>
      </c>
      <c r="N49" s="223">
        <v>54473</v>
      </c>
      <c r="O49" s="224"/>
      <c r="P49" s="224"/>
    </row>
    <row r="50" spans="1:16" ht="15.75" customHeight="1" x14ac:dyDescent="0.2">
      <c r="A50" s="221">
        <v>42</v>
      </c>
      <c r="B50" s="225" t="s">
        <v>282</v>
      </c>
      <c r="C50" s="223">
        <f>33192-1000-2245</f>
        <v>29947</v>
      </c>
      <c r="D50" s="223"/>
      <c r="E50" s="223"/>
      <c r="F50" s="223">
        <f t="shared" si="0"/>
        <v>88168</v>
      </c>
      <c r="G50" s="223">
        <v>658</v>
      </c>
      <c r="H50" s="223"/>
      <c r="I50" s="223"/>
      <c r="J50" s="223"/>
      <c r="K50" s="223"/>
      <c r="L50" s="223">
        <f t="shared" si="1"/>
        <v>87510</v>
      </c>
      <c r="M50" s="223">
        <f>29578-658</f>
        <v>28920</v>
      </c>
      <c r="N50" s="223">
        <v>58590</v>
      </c>
      <c r="O50" s="224"/>
      <c r="P50" s="224"/>
    </row>
    <row r="51" spans="1:16" ht="14.25" customHeight="1" x14ac:dyDescent="0.2">
      <c r="A51" s="495">
        <v>43</v>
      </c>
      <c r="B51" s="225" t="s">
        <v>283</v>
      </c>
      <c r="C51" s="223">
        <v>15621</v>
      </c>
      <c r="D51" s="223"/>
      <c r="E51" s="223"/>
      <c r="F51" s="223">
        <f t="shared" si="0"/>
        <v>46863</v>
      </c>
      <c r="G51" s="223"/>
      <c r="H51" s="223"/>
      <c r="I51" s="223"/>
      <c r="J51" s="223"/>
      <c r="K51" s="223"/>
      <c r="L51" s="223">
        <f t="shared" si="1"/>
        <v>46863</v>
      </c>
      <c r="M51" s="223">
        <v>9670</v>
      </c>
      <c r="N51" s="223">
        <v>37193</v>
      </c>
      <c r="O51" s="224"/>
      <c r="P51" s="224"/>
    </row>
    <row r="52" spans="1:16" s="229" customFormat="1" ht="36.75" customHeight="1" x14ac:dyDescent="0.2">
      <c r="A52" s="496"/>
      <c r="B52" s="227" t="s">
        <v>284</v>
      </c>
      <c r="C52" s="228">
        <v>21844</v>
      </c>
      <c r="D52" s="228"/>
      <c r="E52" s="228"/>
      <c r="F52" s="223">
        <f t="shared" si="0"/>
        <v>69842</v>
      </c>
      <c r="G52" s="228"/>
      <c r="H52" s="228"/>
      <c r="I52" s="228"/>
      <c r="J52" s="228"/>
      <c r="K52" s="228"/>
      <c r="L52" s="228">
        <f t="shared" si="1"/>
        <v>69842</v>
      </c>
      <c r="M52" s="228">
        <v>14732</v>
      </c>
      <c r="N52" s="228">
        <v>55110</v>
      </c>
      <c r="O52" s="224"/>
      <c r="P52" s="224"/>
    </row>
    <row r="53" spans="1:16" ht="16.5" customHeight="1" x14ac:dyDescent="0.2">
      <c r="A53" s="221">
        <v>44</v>
      </c>
      <c r="B53" s="225" t="s">
        <v>286</v>
      </c>
      <c r="C53" s="223">
        <v>22759</v>
      </c>
      <c r="D53" s="223"/>
      <c r="E53" s="223"/>
      <c r="F53" s="223">
        <f t="shared" si="0"/>
        <v>72292</v>
      </c>
      <c r="G53" s="223"/>
      <c r="H53" s="223"/>
      <c r="I53" s="223"/>
      <c r="J53" s="223"/>
      <c r="K53" s="223"/>
      <c r="L53" s="223">
        <f t="shared" si="1"/>
        <v>72292</v>
      </c>
      <c r="M53" s="223">
        <v>13575</v>
      </c>
      <c r="N53" s="223">
        <v>58717</v>
      </c>
      <c r="O53" s="224"/>
      <c r="P53" s="224"/>
    </row>
    <row r="54" spans="1:16" ht="27" customHeight="1" x14ac:dyDescent="0.2">
      <c r="A54" s="221">
        <v>45</v>
      </c>
      <c r="B54" s="225" t="s">
        <v>287</v>
      </c>
      <c r="C54" s="223">
        <v>11000</v>
      </c>
      <c r="D54" s="223"/>
      <c r="E54" s="223"/>
      <c r="F54" s="223">
        <f t="shared" si="0"/>
        <v>63474</v>
      </c>
      <c r="G54" s="223"/>
      <c r="H54" s="223"/>
      <c r="I54" s="223">
        <v>63474</v>
      </c>
      <c r="J54" s="223"/>
      <c r="K54" s="223"/>
      <c r="L54" s="223">
        <f t="shared" si="1"/>
        <v>0</v>
      </c>
      <c r="M54" s="223"/>
      <c r="N54" s="223"/>
      <c r="O54" s="224"/>
      <c r="P54" s="224"/>
    </row>
    <row r="55" spans="1:16" ht="12" customHeight="1" x14ac:dyDescent="0.2">
      <c r="A55" s="221">
        <v>46</v>
      </c>
      <c r="B55" s="225" t="s">
        <v>288</v>
      </c>
      <c r="C55" s="223"/>
      <c r="D55" s="223"/>
      <c r="E55" s="223"/>
      <c r="F55" s="223">
        <f t="shared" si="0"/>
        <v>10558</v>
      </c>
      <c r="G55" s="223"/>
      <c r="H55" s="223"/>
      <c r="I55" s="223">
        <v>10558</v>
      </c>
      <c r="J55" s="223"/>
      <c r="K55" s="223"/>
      <c r="L55" s="223">
        <f t="shared" si="1"/>
        <v>0</v>
      </c>
      <c r="M55" s="223"/>
      <c r="N55" s="223"/>
      <c r="O55" s="224"/>
      <c r="P55" s="224"/>
    </row>
    <row r="56" spans="1:16" ht="13.5" customHeight="1" x14ac:dyDescent="0.2">
      <c r="A56" s="495">
        <v>47</v>
      </c>
      <c r="B56" s="225" t="s">
        <v>73</v>
      </c>
      <c r="C56" s="223">
        <f>51089-1350+585-585</f>
        <v>49739</v>
      </c>
      <c r="D56" s="223"/>
      <c r="E56" s="223"/>
      <c r="F56" s="223">
        <f t="shared" si="0"/>
        <v>133129</v>
      </c>
      <c r="G56" s="223">
        <f>3686+600</f>
        <v>4286</v>
      </c>
      <c r="H56" s="223"/>
      <c r="I56" s="223"/>
      <c r="J56" s="223"/>
      <c r="K56" s="223"/>
      <c r="L56" s="223">
        <f t="shared" si="1"/>
        <v>128843</v>
      </c>
      <c r="M56" s="223">
        <f>27267+9500-9500</f>
        <v>27267</v>
      </c>
      <c r="N56" s="223">
        <v>101576</v>
      </c>
      <c r="O56" s="224"/>
      <c r="P56" s="224"/>
    </row>
    <row r="57" spans="1:16" s="229" customFormat="1" ht="38.25" customHeight="1" x14ac:dyDescent="0.2">
      <c r="A57" s="503"/>
      <c r="B57" s="227" t="s">
        <v>289</v>
      </c>
      <c r="C57" s="228">
        <f>13984+1350</f>
        <v>15334</v>
      </c>
      <c r="D57" s="228"/>
      <c r="E57" s="228"/>
      <c r="F57" s="223">
        <f t="shared" si="0"/>
        <v>42537</v>
      </c>
      <c r="G57" s="228"/>
      <c r="H57" s="228"/>
      <c r="I57" s="228"/>
      <c r="J57" s="228"/>
      <c r="K57" s="228"/>
      <c r="L57" s="228">
        <f t="shared" si="1"/>
        <v>42537</v>
      </c>
      <c r="M57" s="228">
        <v>5104</v>
      </c>
      <c r="N57" s="228">
        <v>37433</v>
      </c>
      <c r="O57" s="224"/>
      <c r="P57" s="224"/>
    </row>
    <row r="58" spans="1:16" s="229" customFormat="1" ht="31.5" customHeight="1" x14ac:dyDescent="0.2">
      <c r="A58" s="496"/>
      <c r="B58" s="232" t="s">
        <v>224</v>
      </c>
      <c r="C58" s="228">
        <v>585</v>
      </c>
      <c r="D58" s="228"/>
      <c r="E58" s="228"/>
      <c r="F58" s="223">
        <f t="shared" si="0"/>
        <v>9500</v>
      </c>
      <c r="G58" s="228"/>
      <c r="H58" s="228"/>
      <c r="I58" s="228"/>
      <c r="J58" s="228"/>
      <c r="K58" s="228"/>
      <c r="L58" s="228">
        <f t="shared" si="1"/>
        <v>9500</v>
      </c>
      <c r="M58" s="228">
        <v>9500</v>
      </c>
      <c r="N58" s="228"/>
      <c r="O58" s="224"/>
      <c r="P58" s="224"/>
    </row>
    <row r="59" spans="1:16" ht="15.75" customHeight="1" x14ac:dyDescent="0.2">
      <c r="A59" s="221">
        <v>48</v>
      </c>
      <c r="B59" s="225" t="s">
        <v>291</v>
      </c>
      <c r="C59" s="223">
        <v>5710</v>
      </c>
      <c r="D59" s="223"/>
      <c r="E59" s="223"/>
      <c r="F59" s="223">
        <f t="shared" si="0"/>
        <v>26820</v>
      </c>
      <c r="G59" s="223"/>
      <c r="H59" s="223"/>
      <c r="I59" s="223">
        <v>26820</v>
      </c>
      <c r="J59" s="223"/>
      <c r="K59" s="223"/>
      <c r="L59" s="223">
        <f t="shared" si="1"/>
        <v>0</v>
      </c>
      <c r="M59" s="223"/>
      <c r="N59" s="223"/>
      <c r="O59" s="224"/>
      <c r="P59" s="224"/>
    </row>
    <row r="60" spans="1:16" ht="13.5" customHeight="1" x14ac:dyDescent="0.2">
      <c r="A60" s="221">
        <v>49</v>
      </c>
      <c r="B60" s="225" t="s">
        <v>292</v>
      </c>
      <c r="C60" s="223">
        <v>0</v>
      </c>
      <c r="D60" s="223"/>
      <c r="E60" s="223"/>
      <c r="F60" s="223">
        <f t="shared" si="0"/>
        <v>8493</v>
      </c>
      <c r="G60" s="223"/>
      <c r="H60" s="223"/>
      <c r="I60" s="223">
        <v>8493</v>
      </c>
      <c r="J60" s="223"/>
      <c r="K60" s="223"/>
      <c r="L60" s="223">
        <f t="shared" si="1"/>
        <v>0</v>
      </c>
      <c r="M60" s="223"/>
      <c r="N60" s="223"/>
      <c r="O60" s="224"/>
      <c r="P60" s="224"/>
    </row>
    <row r="61" spans="1:16" ht="14.25" customHeight="1" x14ac:dyDescent="0.2">
      <c r="A61" s="495">
        <v>50</v>
      </c>
      <c r="B61" s="225" t="s">
        <v>74</v>
      </c>
      <c r="C61" s="223">
        <v>34650</v>
      </c>
      <c r="D61" s="223"/>
      <c r="E61" s="223"/>
      <c r="F61" s="223">
        <f t="shared" si="0"/>
        <v>112811</v>
      </c>
      <c r="G61" s="223">
        <f>5807-2904</f>
        <v>2903</v>
      </c>
      <c r="H61" s="223">
        <v>2904</v>
      </c>
      <c r="I61" s="223"/>
      <c r="J61" s="223"/>
      <c r="K61" s="223"/>
      <c r="L61" s="223">
        <f t="shared" si="1"/>
        <v>107004</v>
      </c>
      <c r="M61" s="223">
        <v>35242</v>
      </c>
      <c r="N61" s="223">
        <v>71762</v>
      </c>
      <c r="O61" s="224"/>
      <c r="P61" s="224"/>
    </row>
    <row r="62" spans="1:16" s="229" customFormat="1" ht="37.5" customHeight="1" x14ac:dyDescent="0.2">
      <c r="A62" s="496"/>
      <c r="B62" s="227" t="s">
        <v>293</v>
      </c>
      <c r="C62" s="228">
        <v>13626</v>
      </c>
      <c r="D62" s="228"/>
      <c r="E62" s="228"/>
      <c r="F62" s="223">
        <f t="shared" si="0"/>
        <v>42087</v>
      </c>
      <c r="G62" s="228"/>
      <c r="H62" s="228"/>
      <c r="I62" s="228"/>
      <c r="J62" s="228"/>
      <c r="K62" s="228"/>
      <c r="L62" s="228">
        <f t="shared" si="1"/>
        <v>42087</v>
      </c>
      <c r="M62" s="228">
        <v>14659</v>
      </c>
      <c r="N62" s="228">
        <v>27428</v>
      </c>
      <c r="O62" s="224"/>
      <c r="P62" s="224"/>
    </row>
    <row r="63" spans="1:16" ht="13.5" customHeight="1" x14ac:dyDescent="0.2">
      <c r="A63" s="221">
        <v>51</v>
      </c>
      <c r="B63" s="225" t="s">
        <v>19</v>
      </c>
      <c r="C63" s="223">
        <v>48474</v>
      </c>
      <c r="D63" s="223"/>
      <c r="E63" s="223"/>
      <c r="F63" s="223">
        <f t="shared" si="0"/>
        <v>149625</v>
      </c>
      <c r="G63" s="223"/>
      <c r="H63" s="223"/>
      <c r="I63" s="223"/>
      <c r="J63" s="223"/>
      <c r="K63" s="223"/>
      <c r="L63" s="223">
        <f t="shared" si="1"/>
        <v>149625</v>
      </c>
      <c r="M63" s="223">
        <v>45352</v>
      </c>
      <c r="N63" s="223">
        <v>104273</v>
      </c>
      <c r="O63" s="224"/>
      <c r="P63" s="224"/>
    </row>
    <row r="64" spans="1:16" s="230" customFormat="1" ht="12.75" customHeight="1" x14ac:dyDescent="0.2">
      <c r="A64" s="221">
        <v>52</v>
      </c>
      <c r="B64" s="225" t="s">
        <v>20</v>
      </c>
      <c r="C64" s="223">
        <v>47372</v>
      </c>
      <c r="D64" s="223"/>
      <c r="E64" s="223"/>
      <c r="F64" s="223">
        <f t="shared" si="0"/>
        <v>146326</v>
      </c>
      <c r="G64" s="223"/>
      <c r="H64" s="223"/>
      <c r="I64" s="223"/>
      <c r="J64" s="223"/>
      <c r="K64" s="223"/>
      <c r="L64" s="223">
        <f t="shared" si="1"/>
        <v>146326</v>
      </c>
      <c r="M64" s="223">
        <v>31957</v>
      </c>
      <c r="N64" s="223">
        <v>114369</v>
      </c>
      <c r="O64" s="224"/>
      <c r="P64" s="224"/>
    </row>
    <row r="65" spans="1:16" ht="10.5" customHeight="1" x14ac:dyDescent="0.2">
      <c r="A65" s="221">
        <v>53</v>
      </c>
      <c r="B65" s="225" t="s">
        <v>21</v>
      </c>
      <c r="C65" s="223">
        <v>14707</v>
      </c>
      <c r="D65" s="223"/>
      <c r="E65" s="223"/>
      <c r="F65" s="223">
        <f t="shared" si="0"/>
        <v>45461</v>
      </c>
      <c r="G65" s="223"/>
      <c r="H65" s="223"/>
      <c r="I65" s="223"/>
      <c r="J65" s="223"/>
      <c r="K65" s="223"/>
      <c r="L65" s="223">
        <f t="shared" si="1"/>
        <v>45461</v>
      </c>
      <c r="M65" s="223">
        <v>12564</v>
      </c>
      <c r="N65" s="223">
        <v>32897</v>
      </c>
      <c r="O65" s="224"/>
      <c r="P65" s="224"/>
    </row>
    <row r="66" spans="1:16" ht="10.5" customHeight="1" x14ac:dyDescent="0.2">
      <c r="A66" s="221">
        <v>54</v>
      </c>
      <c r="B66" s="225" t="s">
        <v>22</v>
      </c>
      <c r="C66" s="223">
        <v>18046</v>
      </c>
      <c r="D66" s="223"/>
      <c r="E66" s="223"/>
      <c r="F66" s="223">
        <f t="shared" si="0"/>
        <v>55780</v>
      </c>
      <c r="G66" s="223"/>
      <c r="H66" s="223"/>
      <c r="I66" s="223"/>
      <c r="J66" s="223"/>
      <c r="K66" s="223"/>
      <c r="L66" s="223">
        <f t="shared" si="1"/>
        <v>55780</v>
      </c>
      <c r="M66" s="223">
        <v>20154</v>
      </c>
      <c r="N66" s="223">
        <v>35626</v>
      </c>
      <c r="O66" s="224"/>
      <c r="P66" s="224"/>
    </row>
    <row r="67" spans="1:16" ht="10.5" customHeight="1" x14ac:dyDescent="0.2">
      <c r="A67" s="221">
        <v>55</v>
      </c>
      <c r="B67" s="225" t="s">
        <v>23</v>
      </c>
      <c r="C67" s="223">
        <v>16520</v>
      </c>
      <c r="D67" s="223"/>
      <c r="E67" s="223"/>
      <c r="F67" s="223">
        <f t="shared" si="0"/>
        <v>51058</v>
      </c>
      <c r="G67" s="223"/>
      <c r="H67" s="223"/>
      <c r="I67" s="223"/>
      <c r="J67" s="223"/>
      <c r="K67" s="223"/>
      <c r="L67" s="223">
        <f t="shared" si="1"/>
        <v>51058</v>
      </c>
      <c r="M67" s="223">
        <v>15317</v>
      </c>
      <c r="N67" s="223">
        <v>35741</v>
      </c>
      <c r="O67" s="224"/>
      <c r="P67" s="224"/>
    </row>
    <row r="68" spans="1:16" ht="11.25" customHeight="1" x14ac:dyDescent="0.2">
      <c r="A68" s="221">
        <v>56</v>
      </c>
      <c r="B68" s="225" t="s">
        <v>24</v>
      </c>
      <c r="C68" s="223">
        <v>10847</v>
      </c>
      <c r="D68" s="223"/>
      <c r="E68" s="223"/>
      <c r="F68" s="223">
        <f t="shared" si="0"/>
        <v>33497</v>
      </c>
      <c r="G68" s="223"/>
      <c r="H68" s="223"/>
      <c r="I68" s="223"/>
      <c r="J68" s="223"/>
      <c r="K68" s="223"/>
      <c r="L68" s="223">
        <f t="shared" si="1"/>
        <v>33497</v>
      </c>
      <c r="M68" s="223">
        <v>10049</v>
      </c>
      <c r="N68" s="223">
        <v>23448</v>
      </c>
      <c r="O68" s="224"/>
      <c r="P68" s="224"/>
    </row>
    <row r="69" spans="1:16" ht="10.5" customHeight="1" x14ac:dyDescent="0.2">
      <c r="A69" s="221">
        <v>57</v>
      </c>
      <c r="B69" s="225" t="s">
        <v>25</v>
      </c>
      <c r="C69" s="223">
        <v>18810</v>
      </c>
      <c r="D69" s="223"/>
      <c r="E69" s="223"/>
      <c r="F69" s="223">
        <f t="shared" si="0"/>
        <v>58093</v>
      </c>
      <c r="G69" s="223"/>
      <c r="H69" s="223"/>
      <c r="I69" s="223"/>
      <c r="J69" s="223"/>
      <c r="K69" s="223"/>
      <c r="L69" s="223">
        <f t="shared" si="1"/>
        <v>58093</v>
      </c>
      <c r="M69" s="223">
        <v>15070</v>
      </c>
      <c r="N69" s="223">
        <v>43023</v>
      </c>
      <c r="O69" s="224"/>
      <c r="P69" s="224"/>
    </row>
    <row r="70" spans="1:16" ht="10.5" customHeight="1" x14ac:dyDescent="0.2">
      <c r="A70" s="221">
        <v>58</v>
      </c>
      <c r="B70" s="225" t="s">
        <v>26</v>
      </c>
      <c r="C70" s="223">
        <v>8603</v>
      </c>
      <c r="D70" s="223"/>
      <c r="E70" s="223"/>
      <c r="F70" s="223">
        <f t="shared" si="0"/>
        <v>26569</v>
      </c>
      <c r="G70" s="223"/>
      <c r="H70" s="223"/>
      <c r="I70" s="223"/>
      <c r="J70" s="223"/>
      <c r="K70" s="223"/>
      <c r="L70" s="223">
        <f t="shared" si="1"/>
        <v>26569</v>
      </c>
      <c r="M70" s="223">
        <v>7269</v>
      </c>
      <c r="N70" s="223">
        <v>19300</v>
      </c>
      <c r="O70" s="224"/>
      <c r="P70" s="224"/>
    </row>
    <row r="71" spans="1:16" s="230" customFormat="1" ht="27" customHeight="1" x14ac:dyDescent="0.2">
      <c r="A71" s="221">
        <v>59</v>
      </c>
      <c r="B71" s="225" t="s">
        <v>294</v>
      </c>
      <c r="C71" s="223">
        <v>3925</v>
      </c>
      <c r="D71" s="223"/>
      <c r="E71" s="223"/>
      <c r="F71" s="223">
        <f t="shared" si="0"/>
        <v>11481</v>
      </c>
      <c r="G71" s="223"/>
      <c r="H71" s="223"/>
      <c r="I71" s="223"/>
      <c r="J71" s="223"/>
      <c r="K71" s="223"/>
      <c r="L71" s="223">
        <f t="shared" si="1"/>
        <v>11481</v>
      </c>
      <c r="M71" s="223">
        <v>4822</v>
      </c>
      <c r="N71" s="223">
        <v>6659</v>
      </c>
      <c r="O71" s="224"/>
      <c r="P71" s="224"/>
    </row>
    <row r="72" spans="1:16" ht="12.75" customHeight="1" x14ac:dyDescent="0.2">
      <c r="A72" s="221">
        <v>60</v>
      </c>
      <c r="B72" s="225" t="s">
        <v>57</v>
      </c>
      <c r="C72" s="223">
        <f>1170-585</f>
        <v>585</v>
      </c>
      <c r="D72" s="223"/>
      <c r="E72" s="223"/>
      <c r="F72" s="223">
        <f t="shared" si="0"/>
        <v>9500</v>
      </c>
      <c r="G72" s="223"/>
      <c r="H72" s="223"/>
      <c r="I72" s="223">
        <f>19000-9500</f>
        <v>9500</v>
      </c>
      <c r="J72" s="223"/>
      <c r="K72" s="223"/>
      <c r="L72" s="223">
        <f t="shared" si="1"/>
        <v>0</v>
      </c>
      <c r="M72" s="223"/>
      <c r="N72" s="223"/>
      <c r="O72" s="224"/>
      <c r="P72" s="224"/>
    </row>
    <row r="73" spans="1:16" s="230" customFormat="1" ht="15.75" customHeight="1" x14ac:dyDescent="0.2">
      <c r="A73" s="221">
        <v>61</v>
      </c>
      <c r="B73" s="225" t="s">
        <v>295</v>
      </c>
      <c r="C73" s="223">
        <v>7920</v>
      </c>
      <c r="D73" s="223"/>
      <c r="E73" s="223"/>
      <c r="F73" s="223">
        <f t="shared" ref="F73:F136" si="2">G73+I73+J73+K73+L73+H73</f>
        <v>19773</v>
      </c>
      <c r="G73" s="223"/>
      <c r="H73" s="223"/>
      <c r="I73" s="223"/>
      <c r="J73" s="223"/>
      <c r="K73" s="223"/>
      <c r="L73" s="223">
        <f t="shared" si="1"/>
        <v>19773</v>
      </c>
      <c r="M73" s="223">
        <f>7529-1000</f>
        <v>6529</v>
      </c>
      <c r="N73" s="223">
        <v>13244</v>
      </c>
      <c r="O73" s="224"/>
      <c r="P73" s="224"/>
    </row>
    <row r="74" spans="1:16" ht="14.25" customHeight="1" x14ac:dyDescent="0.2">
      <c r="A74" s="221">
        <v>62</v>
      </c>
      <c r="B74" s="225" t="s">
        <v>485</v>
      </c>
      <c r="C74" s="223">
        <v>0</v>
      </c>
      <c r="D74" s="223"/>
      <c r="E74" s="223"/>
      <c r="F74" s="223">
        <f t="shared" si="2"/>
        <v>2000</v>
      </c>
      <c r="G74" s="223">
        <v>2000</v>
      </c>
      <c r="H74" s="223"/>
      <c r="I74" s="223"/>
      <c r="J74" s="223"/>
      <c r="K74" s="223"/>
      <c r="L74" s="223">
        <f t="shared" ref="L74:L137" si="3">M74+N74</f>
        <v>0</v>
      </c>
      <c r="M74" s="223"/>
      <c r="N74" s="223"/>
      <c r="O74" s="224"/>
      <c r="P74" s="224"/>
    </row>
    <row r="75" spans="1:16" ht="13.5" customHeight="1" x14ac:dyDescent="0.2">
      <c r="A75" s="221">
        <v>63</v>
      </c>
      <c r="B75" s="225" t="s">
        <v>486</v>
      </c>
      <c r="C75" s="223">
        <v>0</v>
      </c>
      <c r="D75" s="223"/>
      <c r="E75" s="223"/>
      <c r="F75" s="223">
        <f t="shared" si="2"/>
        <v>100</v>
      </c>
      <c r="G75" s="223"/>
      <c r="H75" s="223"/>
      <c r="I75" s="223">
        <v>100</v>
      </c>
      <c r="J75" s="223"/>
      <c r="K75" s="223"/>
      <c r="L75" s="223">
        <f t="shared" si="3"/>
        <v>0</v>
      </c>
      <c r="M75" s="223"/>
      <c r="N75" s="223"/>
      <c r="O75" s="224"/>
      <c r="P75" s="224"/>
    </row>
    <row r="76" spans="1:16" ht="10.5" customHeight="1" x14ac:dyDescent="0.2">
      <c r="A76" s="221">
        <v>64</v>
      </c>
      <c r="B76" s="222" t="s">
        <v>27</v>
      </c>
      <c r="C76" s="223">
        <f>73298-815</f>
        <v>72483</v>
      </c>
      <c r="D76" s="223"/>
      <c r="E76" s="223"/>
      <c r="F76" s="223">
        <f t="shared" si="2"/>
        <v>226431</v>
      </c>
      <c r="G76" s="223"/>
      <c r="H76" s="223"/>
      <c r="I76" s="223"/>
      <c r="J76" s="223"/>
      <c r="K76" s="223"/>
      <c r="L76" s="223">
        <f t="shared" si="3"/>
        <v>226431</v>
      </c>
      <c r="M76" s="223">
        <v>48493</v>
      </c>
      <c r="N76" s="223">
        <v>177938</v>
      </c>
      <c r="O76" s="224"/>
      <c r="P76" s="224"/>
    </row>
    <row r="77" spans="1:16" ht="10.5" customHeight="1" x14ac:dyDescent="0.2">
      <c r="A77" s="221">
        <v>65</v>
      </c>
      <c r="B77" s="225" t="s">
        <v>28</v>
      </c>
      <c r="C77" s="223">
        <v>51984</v>
      </c>
      <c r="D77" s="223"/>
      <c r="E77" s="223"/>
      <c r="F77" s="223">
        <f t="shared" si="2"/>
        <v>161914</v>
      </c>
      <c r="G77" s="223">
        <v>2288</v>
      </c>
      <c r="H77" s="223"/>
      <c r="I77" s="223"/>
      <c r="J77" s="223"/>
      <c r="K77" s="223"/>
      <c r="L77" s="223">
        <f t="shared" si="3"/>
        <v>159626</v>
      </c>
      <c r="M77" s="223">
        <v>34228</v>
      </c>
      <c r="N77" s="223">
        <v>125398</v>
      </c>
      <c r="O77" s="224"/>
      <c r="P77" s="224"/>
    </row>
    <row r="78" spans="1:16" ht="10.5" customHeight="1" x14ac:dyDescent="0.2">
      <c r="A78" s="221">
        <v>66</v>
      </c>
      <c r="B78" s="222" t="s">
        <v>296</v>
      </c>
      <c r="C78" s="223">
        <v>55981</v>
      </c>
      <c r="D78" s="223"/>
      <c r="E78" s="223"/>
      <c r="F78" s="223">
        <f t="shared" si="2"/>
        <v>162006</v>
      </c>
      <c r="G78" s="223">
        <f>4587-2294</f>
        <v>2293</v>
      </c>
      <c r="H78" s="223">
        <v>2294</v>
      </c>
      <c r="I78" s="223"/>
      <c r="J78" s="223"/>
      <c r="K78" s="223"/>
      <c r="L78" s="223">
        <f t="shared" si="3"/>
        <v>157419</v>
      </c>
      <c r="M78" s="223">
        <v>32513</v>
      </c>
      <c r="N78" s="223">
        <v>124906</v>
      </c>
      <c r="O78" s="224"/>
      <c r="P78" s="224"/>
    </row>
    <row r="79" spans="1:16" ht="24" customHeight="1" x14ac:dyDescent="0.2">
      <c r="A79" s="221">
        <v>67</v>
      </c>
      <c r="B79" s="222" t="s">
        <v>297</v>
      </c>
      <c r="C79" s="223">
        <v>3000</v>
      </c>
      <c r="D79" s="223"/>
      <c r="E79" s="223"/>
      <c r="F79" s="223">
        <f t="shared" si="2"/>
        <v>24758</v>
      </c>
      <c r="G79" s="223"/>
      <c r="H79" s="223"/>
      <c r="I79" s="223">
        <v>24758</v>
      </c>
      <c r="J79" s="223"/>
      <c r="K79" s="223"/>
      <c r="L79" s="223">
        <f t="shared" si="3"/>
        <v>0</v>
      </c>
      <c r="M79" s="223"/>
      <c r="N79" s="223"/>
      <c r="O79" s="224"/>
      <c r="P79" s="224"/>
    </row>
    <row r="80" spans="1:16" ht="10.5" customHeight="1" x14ac:dyDescent="0.2">
      <c r="A80" s="221">
        <v>68</v>
      </c>
      <c r="B80" s="225" t="s">
        <v>29</v>
      </c>
      <c r="C80" s="223">
        <v>22614</v>
      </c>
      <c r="D80" s="223"/>
      <c r="E80" s="223"/>
      <c r="F80" s="223">
        <f t="shared" si="2"/>
        <v>69853</v>
      </c>
      <c r="G80" s="223"/>
      <c r="H80" s="223"/>
      <c r="I80" s="223"/>
      <c r="J80" s="223"/>
      <c r="K80" s="223"/>
      <c r="L80" s="223">
        <f t="shared" si="3"/>
        <v>69853</v>
      </c>
      <c r="M80" s="223">
        <v>15368</v>
      </c>
      <c r="N80" s="223">
        <v>54485</v>
      </c>
      <c r="O80" s="224"/>
      <c r="P80" s="224"/>
    </row>
    <row r="81" spans="1:16" ht="10.5" customHeight="1" x14ac:dyDescent="0.2">
      <c r="A81" s="221">
        <v>69</v>
      </c>
      <c r="B81" s="222" t="s">
        <v>30</v>
      </c>
      <c r="C81" s="223">
        <v>15153</v>
      </c>
      <c r="D81" s="223"/>
      <c r="E81" s="223"/>
      <c r="F81" s="223">
        <f t="shared" si="2"/>
        <v>46800</v>
      </c>
      <c r="G81" s="223"/>
      <c r="H81" s="223"/>
      <c r="I81" s="223"/>
      <c r="J81" s="223"/>
      <c r="K81" s="223"/>
      <c r="L81" s="223">
        <f t="shared" si="3"/>
        <v>46800</v>
      </c>
      <c r="M81" s="223">
        <v>9705</v>
      </c>
      <c r="N81" s="223">
        <v>37095</v>
      </c>
      <c r="O81" s="224"/>
      <c r="P81" s="224"/>
    </row>
    <row r="82" spans="1:16" ht="10.5" customHeight="1" x14ac:dyDescent="0.2">
      <c r="A82" s="221">
        <v>70</v>
      </c>
      <c r="B82" s="225" t="s">
        <v>31</v>
      </c>
      <c r="C82" s="223">
        <v>11760</v>
      </c>
      <c r="D82" s="223"/>
      <c r="E82" s="223"/>
      <c r="F82" s="223">
        <f t="shared" si="2"/>
        <v>37600</v>
      </c>
      <c r="G82" s="223"/>
      <c r="H82" s="223"/>
      <c r="I82" s="223"/>
      <c r="J82" s="223"/>
      <c r="K82" s="223"/>
      <c r="L82" s="223">
        <f t="shared" si="3"/>
        <v>37600</v>
      </c>
      <c r="M82" s="223">
        <v>8428</v>
      </c>
      <c r="N82" s="223">
        <v>29172</v>
      </c>
      <c r="O82" s="224"/>
      <c r="P82" s="224"/>
    </row>
    <row r="83" spans="1:16" ht="10.5" customHeight="1" x14ac:dyDescent="0.2">
      <c r="A83" s="221">
        <v>71</v>
      </c>
      <c r="B83" s="222" t="s">
        <v>32</v>
      </c>
      <c r="C83" s="223">
        <v>17827</v>
      </c>
      <c r="D83" s="223"/>
      <c r="E83" s="223"/>
      <c r="F83" s="223">
        <f t="shared" si="2"/>
        <v>55161</v>
      </c>
      <c r="G83" s="223"/>
      <c r="H83" s="223"/>
      <c r="I83" s="223"/>
      <c r="J83" s="223"/>
      <c r="K83" s="223"/>
      <c r="L83" s="223">
        <f t="shared" si="3"/>
        <v>55161</v>
      </c>
      <c r="M83" s="223">
        <f>12243+273</f>
        <v>12516</v>
      </c>
      <c r="N83" s="223">
        <v>42645</v>
      </c>
      <c r="O83" s="224"/>
      <c r="P83" s="224"/>
    </row>
    <row r="84" spans="1:16" ht="10.5" customHeight="1" x14ac:dyDescent="0.2">
      <c r="A84" s="221">
        <v>72</v>
      </c>
      <c r="B84" s="225" t="s">
        <v>33</v>
      </c>
      <c r="C84" s="223">
        <v>7799</v>
      </c>
      <c r="D84" s="223"/>
      <c r="E84" s="223"/>
      <c r="F84" s="223">
        <f t="shared" si="2"/>
        <v>24082</v>
      </c>
      <c r="G84" s="223"/>
      <c r="H84" s="223"/>
      <c r="I84" s="223"/>
      <c r="J84" s="223"/>
      <c r="K84" s="223"/>
      <c r="L84" s="223">
        <f t="shared" si="3"/>
        <v>24082</v>
      </c>
      <c r="M84" s="223">
        <v>7306</v>
      </c>
      <c r="N84" s="223">
        <v>16776</v>
      </c>
      <c r="O84" s="224"/>
      <c r="P84" s="224"/>
    </row>
    <row r="85" spans="1:16" ht="10.5" customHeight="1" x14ac:dyDescent="0.2">
      <c r="A85" s="221">
        <v>73</v>
      </c>
      <c r="B85" s="225" t="s">
        <v>34</v>
      </c>
      <c r="C85" s="223">
        <v>14699</v>
      </c>
      <c r="D85" s="223"/>
      <c r="E85" s="223"/>
      <c r="F85" s="223">
        <f t="shared" si="2"/>
        <v>45610</v>
      </c>
      <c r="G85" s="223"/>
      <c r="H85" s="223"/>
      <c r="I85" s="223"/>
      <c r="J85" s="223"/>
      <c r="K85" s="223"/>
      <c r="L85" s="223">
        <f t="shared" si="3"/>
        <v>45610</v>
      </c>
      <c r="M85" s="223">
        <v>11153</v>
      </c>
      <c r="N85" s="223">
        <v>34457</v>
      </c>
      <c r="O85" s="224"/>
      <c r="P85" s="224"/>
    </row>
    <row r="86" spans="1:16" ht="11.25" customHeight="1" x14ac:dyDescent="0.2">
      <c r="A86" s="221">
        <v>74</v>
      </c>
      <c r="B86" s="225" t="s">
        <v>35</v>
      </c>
      <c r="C86" s="223">
        <v>22079</v>
      </c>
      <c r="D86" s="223"/>
      <c r="E86" s="223"/>
      <c r="F86" s="223">
        <f t="shared" si="2"/>
        <v>68210</v>
      </c>
      <c r="G86" s="223"/>
      <c r="H86" s="223"/>
      <c r="I86" s="223"/>
      <c r="J86" s="223"/>
      <c r="K86" s="223"/>
      <c r="L86" s="223">
        <f t="shared" si="3"/>
        <v>68210</v>
      </c>
      <c r="M86" s="223">
        <v>18545</v>
      </c>
      <c r="N86" s="223">
        <v>49665</v>
      </c>
      <c r="O86" s="224"/>
      <c r="P86" s="224"/>
    </row>
    <row r="87" spans="1:16" ht="10.5" customHeight="1" x14ac:dyDescent="0.2">
      <c r="A87" s="221">
        <v>75</v>
      </c>
      <c r="B87" s="222" t="s">
        <v>36</v>
      </c>
      <c r="C87" s="223">
        <v>12123</v>
      </c>
      <c r="D87" s="223"/>
      <c r="E87" s="223"/>
      <c r="F87" s="223">
        <f t="shared" si="2"/>
        <v>37450</v>
      </c>
      <c r="G87" s="223"/>
      <c r="H87" s="223"/>
      <c r="I87" s="223"/>
      <c r="J87" s="223"/>
      <c r="K87" s="223"/>
      <c r="L87" s="223">
        <f t="shared" si="3"/>
        <v>37450</v>
      </c>
      <c r="M87" s="223">
        <v>8981</v>
      </c>
      <c r="N87" s="223">
        <v>28469</v>
      </c>
      <c r="O87" s="224"/>
      <c r="P87" s="224"/>
    </row>
    <row r="88" spans="1:16" ht="10.5" customHeight="1" x14ac:dyDescent="0.2">
      <c r="A88" s="221">
        <v>76</v>
      </c>
      <c r="B88" s="225" t="s">
        <v>298</v>
      </c>
      <c r="C88" s="223">
        <v>225</v>
      </c>
      <c r="D88" s="223"/>
      <c r="E88" s="223"/>
      <c r="F88" s="223">
        <f t="shared" si="2"/>
        <v>150</v>
      </c>
      <c r="G88" s="223"/>
      <c r="H88" s="223"/>
      <c r="I88" s="223">
        <v>150</v>
      </c>
      <c r="J88" s="223"/>
      <c r="K88" s="223"/>
      <c r="L88" s="223">
        <f t="shared" si="3"/>
        <v>0</v>
      </c>
      <c r="M88" s="223"/>
      <c r="N88" s="223"/>
      <c r="O88" s="224"/>
      <c r="P88" s="224"/>
    </row>
    <row r="89" spans="1:16" ht="10.5" customHeight="1" x14ac:dyDescent="0.2">
      <c r="A89" s="221">
        <v>77</v>
      </c>
      <c r="B89" s="225" t="s">
        <v>299</v>
      </c>
      <c r="C89" s="223">
        <v>250</v>
      </c>
      <c r="D89" s="223"/>
      <c r="E89" s="223"/>
      <c r="F89" s="223">
        <f t="shared" si="2"/>
        <v>50</v>
      </c>
      <c r="G89" s="223"/>
      <c r="H89" s="223"/>
      <c r="I89" s="223">
        <v>50</v>
      </c>
      <c r="J89" s="223"/>
      <c r="K89" s="223"/>
      <c r="L89" s="223">
        <f t="shared" si="3"/>
        <v>0</v>
      </c>
      <c r="M89" s="223"/>
      <c r="N89" s="223"/>
      <c r="O89" s="224"/>
      <c r="P89" s="224"/>
    </row>
    <row r="90" spans="1:16" ht="10.5" customHeight="1" x14ac:dyDescent="0.2">
      <c r="A90" s="221">
        <v>78</v>
      </c>
      <c r="B90" s="233" t="s">
        <v>487</v>
      </c>
      <c r="C90" s="223">
        <v>0</v>
      </c>
      <c r="D90" s="223"/>
      <c r="E90" s="223"/>
      <c r="F90" s="223">
        <f t="shared" si="2"/>
        <v>175</v>
      </c>
      <c r="G90" s="223"/>
      <c r="H90" s="223"/>
      <c r="I90" s="223">
        <v>175</v>
      </c>
      <c r="J90" s="223"/>
      <c r="K90" s="223"/>
      <c r="L90" s="223">
        <f t="shared" si="3"/>
        <v>0</v>
      </c>
      <c r="M90" s="223"/>
      <c r="N90" s="223"/>
      <c r="O90" s="224"/>
      <c r="P90" s="224"/>
    </row>
    <row r="91" spans="1:16" ht="10.5" customHeight="1" x14ac:dyDescent="0.2">
      <c r="A91" s="221">
        <v>79</v>
      </c>
      <c r="B91" s="225" t="s">
        <v>300</v>
      </c>
      <c r="C91" s="223">
        <v>115</v>
      </c>
      <c r="D91" s="223"/>
      <c r="E91" s="223"/>
      <c r="F91" s="223">
        <f t="shared" si="2"/>
        <v>50</v>
      </c>
      <c r="G91" s="223"/>
      <c r="H91" s="223"/>
      <c r="I91" s="223">
        <v>50</v>
      </c>
      <c r="J91" s="223"/>
      <c r="K91" s="223"/>
      <c r="L91" s="223">
        <f t="shared" si="3"/>
        <v>0</v>
      </c>
      <c r="M91" s="223"/>
      <c r="N91" s="223"/>
      <c r="O91" s="224"/>
      <c r="P91" s="224"/>
    </row>
    <row r="92" spans="1:16" ht="15" customHeight="1" x14ac:dyDescent="0.2">
      <c r="A92" s="221">
        <v>80</v>
      </c>
      <c r="B92" s="225" t="s">
        <v>301</v>
      </c>
      <c r="C92" s="223">
        <v>0</v>
      </c>
      <c r="D92" s="223"/>
      <c r="E92" s="223"/>
      <c r="F92" s="223">
        <f t="shared" si="2"/>
        <v>100</v>
      </c>
      <c r="G92" s="223"/>
      <c r="H92" s="223"/>
      <c r="I92" s="223">
        <v>100</v>
      </c>
      <c r="J92" s="223"/>
      <c r="K92" s="223"/>
      <c r="L92" s="223">
        <f t="shared" si="3"/>
        <v>0</v>
      </c>
      <c r="M92" s="223"/>
      <c r="N92" s="223"/>
      <c r="O92" s="224"/>
      <c r="P92" s="224"/>
    </row>
    <row r="93" spans="1:16" ht="10.5" customHeight="1" x14ac:dyDescent="0.2">
      <c r="A93" s="221">
        <v>81</v>
      </c>
      <c r="B93" s="234" t="s">
        <v>488</v>
      </c>
      <c r="C93" s="223">
        <v>0</v>
      </c>
      <c r="D93" s="223"/>
      <c r="E93" s="223"/>
      <c r="F93" s="223">
        <f t="shared" si="2"/>
        <v>894</v>
      </c>
      <c r="G93" s="223"/>
      <c r="H93" s="223"/>
      <c r="I93" s="223">
        <v>894</v>
      </c>
      <c r="J93" s="223"/>
      <c r="K93" s="223"/>
      <c r="L93" s="223">
        <f t="shared" si="3"/>
        <v>0</v>
      </c>
      <c r="M93" s="223"/>
      <c r="N93" s="223"/>
      <c r="O93" s="224"/>
      <c r="P93" s="224"/>
    </row>
    <row r="94" spans="1:16" ht="10.5" customHeight="1" x14ac:dyDescent="0.2">
      <c r="A94" s="221">
        <v>82</v>
      </c>
      <c r="B94" s="235" t="s">
        <v>302</v>
      </c>
      <c r="C94" s="223">
        <f>13953-430</f>
        <v>13523</v>
      </c>
      <c r="D94" s="223"/>
      <c r="E94" s="223"/>
      <c r="F94" s="223">
        <f t="shared" si="2"/>
        <v>63560</v>
      </c>
      <c r="G94" s="223"/>
      <c r="H94" s="223"/>
      <c r="I94" s="223"/>
      <c r="J94" s="223"/>
      <c r="K94" s="223"/>
      <c r="L94" s="223">
        <f t="shared" si="3"/>
        <v>63560</v>
      </c>
      <c r="M94" s="223">
        <v>13361</v>
      </c>
      <c r="N94" s="223">
        <v>50199</v>
      </c>
      <c r="O94" s="224"/>
      <c r="P94" s="224"/>
    </row>
    <row r="95" spans="1:16" ht="10.5" customHeight="1" x14ac:dyDescent="0.2">
      <c r="A95" s="221">
        <v>83</v>
      </c>
      <c r="B95" s="235" t="s">
        <v>303</v>
      </c>
      <c r="C95" s="223">
        <f>11980-290+480</f>
        <v>12170</v>
      </c>
      <c r="D95" s="223"/>
      <c r="E95" s="223"/>
      <c r="F95" s="223">
        <f t="shared" si="2"/>
        <v>54572</v>
      </c>
      <c r="G95" s="223"/>
      <c r="H95" s="223"/>
      <c r="I95" s="223"/>
      <c r="J95" s="223"/>
      <c r="K95" s="223"/>
      <c r="L95" s="223">
        <f t="shared" si="3"/>
        <v>54572</v>
      </c>
      <c r="M95" s="223">
        <v>10628</v>
      </c>
      <c r="N95" s="223">
        <v>43944</v>
      </c>
      <c r="O95" s="224"/>
      <c r="P95" s="224"/>
    </row>
    <row r="96" spans="1:16" ht="10.5" customHeight="1" x14ac:dyDescent="0.2">
      <c r="A96" s="221">
        <v>84</v>
      </c>
      <c r="B96" s="235" t="s">
        <v>304</v>
      </c>
      <c r="C96" s="223">
        <f>23443-60</f>
        <v>23383</v>
      </c>
      <c r="D96" s="223">
        <v>7392</v>
      </c>
      <c r="E96" s="223"/>
      <c r="F96" s="223">
        <f t="shared" si="2"/>
        <v>74206.047721097551</v>
      </c>
      <c r="G96" s="223"/>
      <c r="H96" s="223"/>
      <c r="I96" s="223"/>
      <c r="J96" s="223"/>
      <c r="K96" s="223">
        <v>1090</v>
      </c>
      <c r="L96" s="223">
        <f t="shared" si="3"/>
        <v>73116.047721097551</v>
      </c>
      <c r="M96" s="223">
        <v>16723.047721097548</v>
      </c>
      <c r="N96" s="223">
        <v>56393</v>
      </c>
      <c r="O96" s="224"/>
      <c r="P96" s="224"/>
    </row>
    <row r="97" spans="1:16" ht="10.5" customHeight="1" x14ac:dyDescent="0.2">
      <c r="A97" s="221">
        <v>85</v>
      </c>
      <c r="B97" s="235" t="s">
        <v>305</v>
      </c>
      <c r="C97" s="223">
        <f>26846-221</f>
        <v>26625</v>
      </c>
      <c r="D97" s="223">
        <v>7210</v>
      </c>
      <c r="E97" s="223"/>
      <c r="F97" s="223">
        <f t="shared" si="2"/>
        <v>90520</v>
      </c>
      <c r="G97" s="223"/>
      <c r="H97" s="223"/>
      <c r="I97" s="223"/>
      <c r="J97" s="223"/>
      <c r="K97" s="223">
        <v>1063</v>
      </c>
      <c r="L97" s="223">
        <f t="shared" si="3"/>
        <v>89457</v>
      </c>
      <c r="M97" s="223">
        <v>22570</v>
      </c>
      <c r="N97" s="223">
        <v>66887</v>
      </c>
      <c r="O97" s="224"/>
      <c r="P97" s="224"/>
    </row>
    <row r="98" spans="1:16" ht="10.5" customHeight="1" x14ac:dyDescent="0.2">
      <c r="A98" s="221">
        <v>86</v>
      </c>
      <c r="B98" s="235" t="s">
        <v>306</v>
      </c>
      <c r="C98" s="223">
        <f>7572-66</f>
        <v>7506</v>
      </c>
      <c r="D98" s="223"/>
      <c r="E98" s="223"/>
      <c r="F98" s="223">
        <f t="shared" si="2"/>
        <v>34493</v>
      </c>
      <c r="G98" s="223"/>
      <c r="H98" s="223"/>
      <c r="I98" s="223"/>
      <c r="J98" s="223"/>
      <c r="K98" s="223"/>
      <c r="L98" s="223">
        <f t="shared" si="3"/>
        <v>34493</v>
      </c>
      <c r="M98" s="223">
        <v>8081</v>
      </c>
      <c r="N98" s="223">
        <v>26412</v>
      </c>
      <c r="O98" s="224"/>
      <c r="P98" s="224"/>
    </row>
    <row r="99" spans="1:16" ht="22.5" customHeight="1" x14ac:dyDescent="0.2">
      <c r="A99" s="221">
        <v>87</v>
      </c>
      <c r="B99" s="235" t="s">
        <v>307</v>
      </c>
      <c r="C99" s="223">
        <v>0</v>
      </c>
      <c r="D99" s="223"/>
      <c r="E99" s="223"/>
      <c r="F99" s="223">
        <f t="shared" si="2"/>
        <v>20562</v>
      </c>
      <c r="G99" s="223"/>
      <c r="H99" s="223"/>
      <c r="I99" s="223">
        <v>20562</v>
      </c>
      <c r="J99" s="223"/>
      <c r="K99" s="223"/>
      <c r="L99" s="223">
        <f t="shared" si="3"/>
        <v>0</v>
      </c>
      <c r="M99" s="223"/>
      <c r="N99" s="223"/>
      <c r="O99" s="224"/>
      <c r="P99" s="224"/>
    </row>
    <row r="100" spans="1:16" ht="24" customHeight="1" x14ac:dyDescent="0.2">
      <c r="A100" s="221">
        <v>88</v>
      </c>
      <c r="B100" s="235" t="s">
        <v>308</v>
      </c>
      <c r="C100" s="223">
        <v>9725</v>
      </c>
      <c r="D100" s="223"/>
      <c r="E100" s="223"/>
      <c r="F100" s="223">
        <f t="shared" si="2"/>
        <v>30217</v>
      </c>
      <c r="G100" s="223"/>
      <c r="H100" s="223"/>
      <c r="I100" s="223">
        <v>30217</v>
      </c>
      <c r="J100" s="223"/>
      <c r="K100" s="223"/>
      <c r="L100" s="223">
        <f t="shared" si="3"/>
        <v>0</v>
      </c>
      <c r="M100" s="223"/>
      <c r="N100" s="223"/>
      <c r="O100" s="224"/>
      <c r="P100" s="224"/>
    </row>
    <row r="101" spans="1:16" ht="10.5" customHeight="1" x14ac:dyDescent="0.2">
      <c r="A101" s="221">
        <v>89</v>
      </c>
      <c r="B101" s="235" t="s">
        <v>309</v>
      </c>
      <c r="C101" s="223">
        <v>27360</v>
      </c>
      <c r="D101" s="223"/>
      <c r="E101" s="223"/>
      <c r="F101" s="223">
        <f t="shared" si="2"/>
        <v>96868</v>
      </c>
      <c r="G101" s="223"/>
      <c r="H101" s="223"/>
      <c r="I101" s="223"/>
      <c r="J101" s="223"/>
      <c r="K101" s="223"/>
      <c r="L101" s="223">
        <f t="shared" si="3"/>
        <v>96868</v>
      </c>
      <c r="M101" s="223">
        <v>23662</v>
      </c>
      <c r="N101" s="223">
        <v>73206</v>
      </c>
      <c r="O101" s="224"/>
      <c r="P101" s="224"/>
    </row>
    <row r="102" spans="1:16" ht="10.5" customHeight="1" x14ac:dyDescent="0.2">
      <c r="A102" s="221">
        <v>90</v>
      </c>
      <c r="B102" s="235" t="s">
        <v>310</v>
      </c>
      <c r="C102" s="223">
        <v>15309</v>
      </c>
      <c r="D102" s="223"/>
      <c r="E102" s="223"/>
      <c r="F102" s="223">
        <f t="shared" si="2"/>
        <v>52712</v>
      </c>
      <c r="G102" s="223"/>
      <c r="H102" s="223"/>
      <c r="I102" s="223"/>
      <c r="J102" s="223"/>
      <c r="K102" s="223"/>
      <c r="L102" s="223">
        <f t="shared" si="3"/>
        <v>52712</v>
      </c>
      <c r="M102" s="223">
        <v>14136</v>
      </c>
      <c r="N102" s="223">
        <v>38576</v>
      </c>
      <c r="O102" s="224"/>
      <c r="P102" s="224"/>
    </row>
    <row r="103" spans="1:16" ht="10.5" customHeight="1" x14ac:dyDescent="0.2">
      <c r="A103" s="221">
        <v>91</v>
      </c>
      <c r="B103" s="235" t="s">
        <v>311</v>
      </c>
      <c r="C103" s="223">
        <v>14721</v>
      </c>
      <c r="D103" s="223"/>
      <c r="E103" s="223"/>
      <c r="F103" s="223">
        <f t="shared" si="2"/>
        <v>64293</v>
      </c>
      <c r="G103" s="223">
        <v>4774</v>
      </c>
      <c r="H103" s="223"/>
      <c r="I103" s="223"/>
      <c r="J103" s="223"/>
      <c r="K103" s="223"/>
      <c r="L103" s="223">
        <f t="shared" si="3"/>
        <v>59519</v>
      </c>
      <c r="M103" s="223">
        <v>16945</v>
      </c>
      <c r="N103" s="223">
        <v>42574</v>
      </c>
      <c r="O103" s="224"/>
      <c r="P103" s="224"/>
    </row>
    <row r="104" spans="1:16" ht="10.5" customHeight="1" x14ac:dyDescent="0.2">
      <c r="A104" s="221">
        <v>92</v>
      </c>
      <c r="B104" s="235" t="s">
        <v>312</v>
      </c>
      <c r="C104" s="223">
        <v>11459</v>
      </c>
      <c r="D104" s="223"/>
      <c r="E104" s="223"/>
      <c r="F104" s="223">
        <f t="shared" si="2"/>
        <v>39765</v>
      </c>
      <c r="G104" s="223"/>
      <c r="H104" s="223"/>
      <c r="I104" s="223"/>
      <c r="J104" s="223"/>
      <c r="K104" s="223"/>
      <c r="L104" s="223">
        <f t="shared" si="3"/>
        <v>39765</v>
      </c>
      <c r="M104" s="223">
        <v>10507</v>
      </c>
      <c r="N104" s="223">
        <v>29258</v>
      </c>
      <c r="O104" s="224"/>
      <c r="P104" s="224"/>
    </row>
    <row r="105" spans="1:16" ht="10.5" customHeight="1" x14ac:dyDescent="0.2">
      <c r="A105" s="221">
        <v>93</v>
      </c>
      <c r="B105" s="235" t="s">
        <v>75</v>
      </c>
      <c r="C105" s="223">
        <v>28200</v>
      </c>
      <c r="D105" s="223"/>
      <c r="E105" s="223"/>
      <c r="F105" s="223">
        <f t="shared" si="2"/>
        <v>117591</v>
      </c>
      <c r="G105" s="223">
        <v>4675</v>
      </c>
      <c r="H105" s="223"/>
      <c r="I105" s="223"/>
      <c r="J105" s="223"/>
      <c r="K105" s="223"/>
      <c r="L105" s="223">
        <f t="shared" si="3"/>
        <v>112916</v>
      </c>
      <c r="M105" s="223">
        <v>28679</v>
      </c>
      <c r="N105" s="223">
        <v>84237</v>
      </c>
      <c r="O105" s="224"/>
      <c r="P105" s="224"/>
    </row>
    <row r="106" spans="1:16" ht="10.5" customHeight="1" x14ac:dyDescent="0.2">
      <c r="A106" s="221">
        <v>94</v>
      </c>
      <c r="B106" s="235" t="s">
        <v>313</v>
      </c>
      <c r="C106" s="223">
        <v>15028</v>
      </c>
      <c r="D106" s="223"/>
      <c r="E106" s="223"/>
      <c r="F106" s="223">
        <f t="shared" si="2"/>
        <v>60177</v>
      </c>
      <c r="G106" s="223"/>
      <c r="H106" s="223"/>
      <c r="I106" s="223"/>
      <c r="J106" s="223"/>
      <c r="K106" s="223"/>
      <c r="L106" s="223">
        <f t="shared" si="3"/>
        <v>60177</v>
      </c>
      <c r="M106" s="223">
        <v>20396</v>
      </c>
      <c r="N106" s="223">
        <v>39781</v>
      </c>
      <c r="O106" s="224"/>
      <c r="P106" s="224"/>
    </row>
    <row r="107" spans="1:16" ht="10.5" customHeight="1" x14ac:dyDescent="0.2">
      <c r="A107" s="221">
        <v>95</v>
      </c>
      <c r="B107" s="235" t="s">
        <v>76</v>
      </c>
      <c r="C107" s="223">
        <v>16995</v>
      </c>
      <c r="D107" s="223"/>
      <c r="E107" s="223"/>
      <c r="F107" s="223">
        <f t="shared" si="2"/>
        <v>59686</v>
      </c>
      <c r="G107" s="223"/>
      <c r="H107" s="223"/>
      <c r="I107" s="223"/>
      <c r="J107" s="223"/>
      <c r="K107" s="223"/>
      <c r="L107" s="223">
        <f t="shared" si="3"/>
        <v>59686</v>
      </c>
      <c r="M107" s="223">
        <v>17192</v>
      </c>
      <c r="N107" s="223">
        <v>42494</v>
      </c>
      <c r="O107" s="224"/>
      <c r="P107" s="224"/>
    </row>
    <row r="108" spans="1:16" ht="10.5" customHeight="1" x14ac:dyDescent="0.2">
      <c r="A108" s="221">
        <v>96</v>
      </c>
      <c r="B108" s="235" t="s">
        <v>314</v>
      </c>
      <c r="C108" s="223">
        <v>10374</v>
      </c>
      <c r="D108" s="223"/>
      <c r="E108" s="223"/>
      <c r="F108" s="223">
        <f t="shared" si="2"/>
        <v>42906</v>
      </c>
      <c r="G108" s="223">
        <v>7016</v>
      </c>
      <c r="H108" s="223"/>
      <c r="I108" s="223"/>
      <c r="J108" s="223"/>
      <c r="K108" s="223"/>
      <c r="L108" s="223">
        <f t="shared" si="3"/>
        <v>35890</v>
      </c>
      <c r="M108" s="223">
        <v>11205</v>
      </c>
      <c r="N108" s="223">
        <v>24685</v>
      </c>
      <c r="O108" s="224"/>
      <c r="P108" s="224"/>
    </row>
    <row r="109" spans="1:16" ht="10.5" customHeight="1" x14ac:dyDescent="0.2">
      <c r="A109" s="221">
        <v>97</v>
      </c>
      <c r="B109" s="235" t="s">
        <v>315</v>
      </c>
      <c r="C109" s="223">
        <v>28528</v>
      </c>
      <c r="D109" s="223"/>
      <c r="E109" s="223"/>
      <c r="F109" s="223">
        <f t="shared" si="2"/>
        <v>123377</v>
      </c>
      <c r="G109" s="223">
        <v>5815</v>
      </c>
      <c r="H109" s="223"/>
      <c r="I109" s="223"/>
      <c r="J109" s="223"/>
      <c r="K109" s="223"/>
      <c r="L109" s="223">
        <f t="shared" si="3"/>
        <v>117562</v>
      </c>
      <c r="M109" s="223">
        <v>28322</v>
      </c>
      <c r="N109" s="223">
        <v>89240</v>
      </c>
      <c r="O109" s="224"/>
      <c r="P109" s="224"/>
    </row>
    <row r="110" spans="1:16" ht="10.5" customHeight="1" x14ac:dyDescent="0.2">
      <c r="A110" s="221">
        <v>98</v>
      </c>
      <c r="B110" s="235" t="s">
        <v>316</v>
      </c>
      <c r="C110" s="223">
        <v>12983</v>
      </c>
      <c r="D110" s="223"/>
      <c r="E110" s="223"/>
      <c r="F110" s="223">
        <f t="shared" si="2"/>
        <v>45037</v>
      </c>
      <c r="G110" s="223"/>
      <c r="H110" s="223"/>
      <c r="I110" s="223"/>
      <c r="J110" s="223"/>
      <c r="K110" s="223"/>
      <c r="L110" s="223">
        <f t="shared" si="3"/>
        <v>45037</v>
      </c>
      <c r="M110" s="223">
        <v>12727</v>
      </c>
      <c r="N110" s="223">
        <v>32310</v>
      </c>
      <c r="O110" s="224"/>
      <c r="P110" s="224"/>
    </row>
    <row r="111" spans="1:16" ht="10.5" customHeight="1" x14ac:dyDescent="0.2">
      <c r="A111" s="221">
        <v>99</v>
      </c>
      <c r="B111" s="235" t="s">
        <v>317</v>
      </c>
      <c r="C111" s="223">
        <v>12553</v>
      </c>
      <c r="D111" s="223"/>
      <c r="E111" s="223"/>
      <c r="F111" s="223">
        <f t="shared" si="2"/>
        <v>44038</v>
      </c>
      <c r="G111" s="223"/>
      <c r="H111" s="223"/>
      <c r="I111" s="223"/>
      <c r="J111" s="223"/>
      <c r="K111" s="223"/>
      <c r="L111" s="223">
        <f t="shared" si="3"/>
        <v>44038</v>
      </c>
      <c r="M111" s="223">
        <f>15481+371</f>
        <v>15852</v>
      </c>
      <c r="N111" s="223">
        <v>28186</v>
      </c>
      <c r="O111" s="224"/>
      <c r="P111" s="224"/>
    </row>
    <row r="112" spans="1:16" ht="12.75" customHeight="1" x14ac:dyDescent="0.2">
      <c r="A112" s="221">
        <v>100</v>
      </c>
      <c r="B112" s="235" t="s">
        <v>318</v>
      </c>
      <c r="C112" s="223">
        <v>0</v>
      </c>
      <c r="D112" s="223"/>
      <c r="E112" s="223"/>
      <c r="F112" s="223">
        <f t="shared" si="2"/>
        <v>16487</v>
      </c>
      <c r="G112" s="223"/>
      <c r="H112" s="223"/>
      <c r="I112" s="223">
        <v>16487</v>
      </c>
      <c r="J112" s="223"/>
      <c r="K112" s="223"/>
      <c r="L112" s="223">
        <f t="shared" si="3"/>
        <v>0</v>
      </c>
      <c r="M112" s="223"/>
      <c r="N112" s="223"/>
      <c r="O112" s="224"/>
      <c r="P112" s="224"/>
    </row>
    <row r="113" spans="1:16" ht="14.25" customHeight="1" x14ac:dyDescent="0.2">
      <c r="A113" s="221">
        <v>101</v>
      </c>
      <c r="B113" s="235" t="s">
        <v>319</v>
      </c>
      <c r="C113" s="223">
        <v>23001</v>
      </c>
      <c r="D113" s="223"/>
      <c r="E113" s="223"/>
      <c r="F113" s="223">
        <f t="shared" si="2"/>
        <v>19227</v>
      </c>
      <c r="G113" s="223"/>
      <c r="H113" s="223"/>
      <c r="I113" s="223">
        <v>19227</v>
      </c>
      <c r="J113" s="223"/>
      <c r="K113" s="223"/>
      <c r="L113" s="223">
        <f t="shared" si="3"/>
        <v>0</v>
      </c>
      <c r="M113" s="223"/>
      <c r="N113" s="223"/>
      <c r="O113" s="224"/>
      <c r="P113" s="224"/>
    </row>
    <row r="114" spans="1:16" ht="13.5" customHeight="1" x14ac:dyDescent="0.2">
      <c r="A114" s="221">
        <v>102</v>
      </c>
      <c r="B114" s="235" t="s">
        <v>320</v>
      </c>
      <c r="C114" s="223">
        <v>0</v>
      </c>
      <c r="D114" s="223"/>
      <c r="E114" s="223"/>
      <c r="F114" s="223">
        <f t="shared" si="2"/>
        <v>22812</v>
      </c>
      <c r="G114" s="223"/>
      <c r="H114" s="223"/>
      <c r="I114" s="223">
        <v>22812</v>
      </c>
      <c r="J114" s="223"/>
      <c r="K114" s="223"/>
      <c r="L114" s="223">
        <f t="shared" si="3"/>
        <v>0</v>
      </c>
      <c r="M114" s="223"/>
      <c r="N114" s="223"/>
      <c r="O114" s="224"/>
      <c r="P114" s="224"/>
    </row>
    <row r="115" spans="1:16" ht="15" customHeight="1" x14ac:dyDescent="0.2">
      <c r="A115" s="221">
        <v>103</v>
      </c>
      <c r="B115" s="235" t="s">
        <v>321</v>
      </c>
      <c r="C115" s="223">
        <v>0</v>
      </c>
      <c r="D115" s="223"/>
      <c r="E115" s="223"/>
      <c r="F115" s="223">
        <f t="shared" si="2"/>
        <v>18511</v>
      </c>
      <c r="G115" s="223"/>
      <c r="H115" s="223"/>
      <c r="I115" s="223">
        <v>18511</v>
      </c>
      <c r="J115" s="223"/>
      <c r="K115" s="223"/>
      <c r="L115" s="223">
        <f t="shared" si="3"/>
        <v>0</v>
      </c>
      <c r="M115" s="223"/>
      <c r="N115" s="223"/>
      <c r="O115" s="224"/>
      <c r="P115" s="224"/>
    </row>
    <row r="116" spans="1:16" ht="15.75" customHeight="1" x14ac:dyDescent="0.2">
      <c r="A116" s="221">
        <v>104</v>
      </c>
      <c r="B116" s="235" t="s">
        <v>322</v>
      </c>
      <c r="C116" s="223">
        <v>0</v>
      </c>
      <c r="D116" s="223"/>
      <c r="E116" s="223"/>
      <c r="F116" s="223">
        <f t="shared" si="2"/>
        <v>27899</v>
      </c>
      <c r="G116" s="223"/>
      <c r="H116" s="223"/>
      <c r="I116" s="223">
        <v>27899</v>
      </c>
      <c r="J116" s="223"/>
      <c r="K116" s="223"/>
      <c r="L116" s="223">
        <f t="shared" si="3"/>
        <v>0</v>
      </c>
      <c r="M116" s="223"/>
      <c r="N116" s="223"/>
      <c r="O116" s="224"/>
      <c r="P116" s="224"/>
    </row>
    <row r="117" spans="1:16" ht="15.75" customHeight="1" x14ac:dyDescent="0.2">
      <c r="A117" s="221">
        <v>105</v>
      </c>
      <c r="B117" s="235" t="s">
        <v>323</v>
      </c>
      <c r="C117" s="223">
        <v>0</v>
      </c>
      <c r="D117" s="223"/>
      <c r="E117" s="223"/>
      <c r="F117" s="223">
        <f t="shared" si="2"/>
        <v>16867</v>
      </c>
      <c r="G117" s="223"/>
      <c r="H117" s="223"/>
      <c r="I117" s="223">
        <v>16867</v>
      </c>
      <c r="J117" s="223"/>
      <c r="K117" s="223"/>
      <c r="L117" s="223">
        <f t="shared" si="3"/>
        <v>0</v>
      </c>
      <c r="M117" s="223"/>
      <c r="N117" s="223"/>
      <c r="O117" s="224"/>
      <c r="P117" s="224"/>
    </row>
    <row r="118" spans="1:16" ht="13.5" customHeight="1" x14ac:dyDescent="0.2">
      <c r="A118" s="221">
        <v>106</v>
      </c>
      <c r="B118" s="235" t="s">
        <v>324</v>
      </c>
      <c r="C118" s="223">
        <v>0</v>
      </c>
      <c r="D118" s="223"/>
      <c r="E118" s="223"/>
      <c r="F118" s="223">
        <f t="shared" si="2"/>
        <v>14605</v>
      </c>
      <c r="G118" s="223"/>
      <c r="H118" s="223"/>
      <c r="I118" s="223">
        <v>14605</v>
      </c>
      <c r="J118" s="223"/>
      <c r="K118" s="223"/>
      <c r="L118" s="223">
        <f t="shared" si="3"/>
        <v>0</v>
      </c>
      <c r="M118" s="223"/>
      <c r="N118" s="223"/>
      <c r="O118" s="224"/>
      <c r="P118" s="224"/>
    </row>
    <row r="119" spans="1:16" ht="10.5" customHeight="1" x14ac:dyDescent="0.2">
      <c r="A119" s="221">
        <v>107</v>
      </c>
      <c r="B119" s="235" t="s">
        <v>325</v>
      </c>
      <c r="C119" s="223">
        <f>38543-60</f>
        <v>38483</v>
      </c>
      <c r="D119" s="223">
        <v>9233</v>
      </c>
      <c r="E119" s="223"/>
      <c r="F119" s="223">
        <f t="shared" si="2"/>
        <v>112484</v>
      </c>
      <c r="G119" s="223"/>
      <c r="H119" s="223"/>
      <c r="I119" s="223"/>
      <c r="J119" s="223"/>
      <c r="K119" s="223">
        <v>1361</v>
      </c>
      <c r="L119" s="223">
        <f t="shared" si="3"/>
        <v>111123</v>
      </c>
      <c r="M119" s="223">
        <f>25651+250</f>
        <v>25901</v>
      </c>
      <c r="N119" s="223">
        <v>85222</v>
      </c>
      <c r="O119" s="224"/>
      <c r="P119" s="224"/>
    </row>
    <row r="120" spans="1:16" ht="10.5" customHeight="1" x14ac:dyDescent="0.2">
      <c r="A120" s="221">
        <v>108</v>
      </c>
      <c r="B120" s="235" t="s">
        <v>326</v>
      </c>
      <c r="C120" s="223">
        <f>41087+103</f>
        <v>41190</v>
      </c>
      <c r="D120" s="223">
        <f>24625+103</f>
        <v>24728</v>
      </c>
      <c r="E120" s="223"/>
      <c r="F120" s="223">
        <f t="shared" si="2"/>
        <v>74597</v>
      </c>
      <c r="G120" s="223"/>
      <c r="H120" s="223"/>
      <c r="I120" s="223"/>
      <c r="J120" s="223"/>
      <c r="K120" s="223">
        <v>3629</v>
      </c>
      <c r="L120" s="223">
        <f t="shared" si="3"/>
        <v>70968</v>
      </c>
      <c r="M120" s="223">
        <v>26101</v>
      </c>
      <c r="N120" s="223">
        <v>44867</v>
      </c>
      <c r="O120" s="224"/>
      <c r="P120" s="224"/>
    </row>
    <row r="121" spans="1:16" ht="10.5" customHeight="1" x14ac:dyDescent="0.2">
      <c r="A121" s="221">
        <v>109</v>
      </c>
      <c r="B121" s="235" t="s">
        <v>77</v>
      </c>
      <c r="C121" s="223">
        <v>14481</v>
      </c>
      <c r="D121" s="223"/>
      <c r="E121" s="223"/>
      <c r="F121" s="223">
        <f t="shared" si="2"/>
        <v>63752</v>
      </c>
      <c r="G121" s="223"/>
      <c r="H121" s="223"/>
      <c r="I121" s="223"/>
      <c r="J121" s="223"/>
      <c r="K121" s="223"/>
      <c r="L121" s="223">
        <f t="shared" si="3"/>
        <v>63752</v>
      </c>
      <c r="M121" s="223">
        <v>12912</v>
      </c>
      <c r="N121" s="223">
        <v>50840</v>
      </c>
      <c r="O121" s="224"/>
      <c r="P121" s="224"/>
    </row>
    <row r="122" spans="1:16" ht="10.5" customHeight="1" x14ac:dyDescent="0.2">
      <c r="A122" s="221">
        <v>110</v>
      </c>
      <c r="B122" s="235" t="s">
        <v>327</v>
      </c>
      <c r="C122" s="223">
        <v>8209</v>
      </c>
      <c r="D122" s="223"/>
      <c r="E122" s="223"/>
      <c r="F122" s="223">
        <f t="shared" si="2"/>
        <v>37189</v>
      </c>
      <c r="G122" s="223"/>
      <c r="H122" s="223"/>
      <c r="I122" s="223"/>
      <c r="J122" s="223"/>
      <c r="K122" s="223"/>
      <c r="L122" s="223">
        <f t="shared" si="3"/>
        <v>37189</v>
      </c>
      <c r="M122" s="223">
        <v>11096</v>
      </c>
      <c r="N122" s="223">
        <v>26093</v>
      </c>
      <c r="O122" s="224"/>
      <c r="P122" s="224"/>
    </row>
    <row r="123" spans="1:16" ht="10.5" customHeight="1" x14ac:dyDescent="0.2">
      <c r="A123" s="221">
        <v>111</v>
      </c>
      <c r="B123" s="235" t="s">
        <v>328</v>
      </c>
      <c r="C123" s="223">
        <v>43627</v>
      </c>
      <c r="D123" s="223">
        <v>26209</v>
      </c>
      <c r="E123" s="223">
        <v>13682</v>
      </c>
      <c r="F123" s="223">
        <f t="shared" si="2"/>
        <v>16942</v>
      </c>
      <c r="G123" s="223"/>
      <c r="H123" s="223"/>
      <c r="I123" s="223"/>
      <c r="J123" s="223"/>
      <c r="K123" s="223">
        <v>3862</v>
      </c>
      <c r="L123" s="223">
        <f t="shared" si="3"/>
        <v>13080</v>
      </c>
      <c r="M123" s="223">
        <v>3059</v>
      </c>
      <c r="N123" s="223">
        <v>10021</v>
      </c>
      <c r="O123" s="224"/>
      <c r="P123" s="224"/>
    </row>
    <row r="124" spans="1:16" ht="10.5" customHeight="1" x14ac:dyDescent="0.2">
      <c r="A124" s="221">
        <v>112</v>
      </c>
      <c r="B124" s="235" t="s">
        <v>329</v>
      </c>
      <c r="C124" s="223">
        <v>6990</v>
      </c>
      <c r="D124" s="223"/>
      <c r="E124" s="223"/>
      <c r="F124" s="223">
        <f t="shared" si="2"/>
        <v>31888</v>
      </c>
      <c r="G124" s="223"/>
      <c r="H124" s="223"/>
      <c r="I124" s="223"/>
      <c r="J124" s="223"/>
      <c r="K124" s="223"/>
      <c r="L124" s="223">
        <f t="shared" si="3"/>
        <v>31888</v>
      </c>
      <c r="M124" s="223">
        <f>9892+225</f>
        <v>10117</v>
      </c>
      <c r="N124" s="223">
        <v>21771</v>
      </c>
      <c r="O124" s="224"/>
      <c r="P124" s="224"/>
    </row>
    <row r="125" spans="1:16" ht="10.5" customHeight="1" x14ac:dyDescent="0.2">
      <c r="A125" s="221">
        <v>113</v>
      </c>
      <c r="B125" s="235" t="s">
        <v>78</v>
      </c>
      <c r="C125" s="223">
        <f>42904+11+720</f>
        <v>43635</v>
      </c>
      <c r="D125" s="223"/>
      <c r="E125" s="223"/>
      <c r="F125" s="223">
        <f t="shared" si="2"/>
        <v>189430.97628965075</v>
      </c>
      <c r="G125" s="223">
        <f>5935-2968</f>
        <v>2967</v>
      </c>
      <c r="H125" s="223">
        <v>2968</v>
      </c>
      <c r="I125" s="223"/>
      <c r="J125" s="223"/>
      <c r="K125" s="223"/>
      <c r="L125" s="223">
        <f t="shared" si="3"/>
        <v>183495.97628965075</v>
      </c>
      <c r="M125" s="223">
        <v>58793.976289650753</v>
      </c>
      <c r="N125" s="223">
        <v>124702</v>
      </c>
      <c r="O125" s="224"/>
      <c r="P125" s="224"/>
    </row>
    <row r="126" spans="1:16" ht="10.5" customHeight="1" x14ac:dyDescent="0.2">
      <c r="A126" s="221">
        <v>114</v>
      </c>
      <c r="B126" s="235" t="s">
        <v>330</v>
      </c>
      <c r="C126" s="223">
        <v>28184</v>
      </c>
      <c r="D126" s="223"/>
      <c r="E126" s="223"/>
      <c r="F126" s="223">
        <f t="shared" si="2"/>
        <v>53352</v>
      </c>
      <c r="G126" s="223"/>
      <c r="H126" s="223"/>
      <c r="I126" s="223"/>
      <c r="J126" s="223"/>
      <c r="K126" s="223"/>
      <c r="L126" s="223">
        <f t="shared" si="3"/>
        <v>53352</v>
      </c>
      <c r="M126" s="223">
        <v>11225</v>
      </c>
      <c r="N126" s="223">
        <v>42127</v>
      </c>
      <c r="O126" s="224"/>
      <c r="P126" s="224"/>
    </row>
    <row r="127" spans="1:16" ht="10.5" customHeight="1" x14ac:dyDescent="0.2">
      <c r="A127" s="221">
        <v>115</v>
      </c>
      <c r="B127" s="235" t="s">
        <v>71</v>
      </c>
      <c r="C127" s="223">
        <v>16114</v>
      </c>
      <c r="D127" s="223"/>
      <c r="E127" s="223"/>
      <c r="F127" s="223">
        <f t="shared" si="2"/>
        <v>71952</v>
      </c>
      <c r="G127" s="223"/>
      <c r="H127" s="223"/>
      <c r="I127" s="223"/>
      <c r="J127" s="223"/>
      <c r="K127" s="223"/>
      <c r="L127" s="223">
        <f t="shared" si="3"/>
        <v>71952</v>
      </c>
      <c r="M127" s="223">
        <v>18708</v>
      </c>
      <c r="N127" s="223">
        <v>53244</v>
      </c>
      <c r="O127" s="224"/>
      <c r="P127" s="224"/>
    </row>
    <row r="128" spans="1:16" ht="10.5" customHeight="1" x14ac:dyDescent="0.2">
      <c r="A128" s="221">
        <v>116</v>
      </c>
      <c r="B128" s="235" t="s">
        <v>79</v>
      </c>
      <c r="C128" s="223">
        <v>0</v>
      </c>
      <c r="D128" s="223"/>
      <c r="E128" s="223"/>
      <c r="F128" s="223">
        <f t="shared" si="2"/>
        <v>34164</v>
      </c>
      <c r="G128" s="223"/>
      <c r="H128" s="223"/>
      <c r="I128" s="223">
        <v>34164</v>
      </c>
      <c r="J128" s="223"/>
      <c r="K128" s="223"/>
      <c r="L128" s="223">
        <f t="shared" si="3"/>
        <v>0</v>
      </c>
      <c r="M128" s="223"/>
      <c r="N128" s="223"/>
      <c r="O128" s="224"/>
      <c r="P128" s="224"/>
    </row>
    <row r="129" spans="1:16" ht="10.5" customHeight="1" x14ac:dyDescent="0.2">
      <c r="A129" s="495">
        <v>117</v>
      </c>
      <c r="B129" s="235" t="s">
        <v>58</v>
      </c>
      <c r="C129" s="223">
        <v>4245</v>
      </c>
      <c r="D129" s="223"/>
      <c r="E129" s="223"/>
      <c r="F129" s="223">
        <f t="shared" si="2"/>
        <v>13417</v>
      </c>
      <c r="G129" s="223"/>
      <c r="H129" s="223"/>
      <c r="I129" s="223"/>
      <c r="J129" s="223"/>
      <c r="K129" s="223"/>
      <c r="L129" s="223">
        <f t="shared" si="3"/>
        <v>13417</v>
      </c>
      <c r="M129" s="223">
        <v>2851</v>
      </c>
      <c r="N129" s="223">
        <v>10566</v>
      </c>
      <c r="O129" s="224"/>
      <c r="P129" s="224"/>
    </row>
    <row r="130" spans="1:16" ht="26.25" customHeight="1" x14ac:dyDescent="0.2">
      <c r="A130" s="496"/>
      <c r="B130" s="236" t="s">
        <v>331</v>
      </c>
      <c r="C130" s="237">
        <v>0</v>
      </c>
      <c r="D130" s="237"/>
      <c r="E130" s="237"/>
      <c r="F130" s="223">
        <f t="shared" si="2"/>
        <v>4470</v>
      </c>
      <c r="G130" s="237"/>
      <c r="H130" s="237"/>
      <c r="I130" s="237">
        <v>4470</v>
      </c>
      <c r="J130" s="237"/>
      <c r="K130" s="237"/>
      <c r="L130" s="237">
        <f t="shared" si="3"/>
        <v>0</v>
      </c>
      <c r="M130" s="237"/>
      <c r="N130" s="237"/>
      <c r="O130" s="224"/>
      <c r="P130" s="224"/>
    </row>
    <row r="131" spans="1:16" ht="23.25" customHeight="1" x14ac:dyDescent="0.2">
      <c r="A131" s="221">
        <v>118</v>
      </c>
      <c r="B131" s="235" t="s">
        <v>332</v>
      </c>
      <c r="C131" s="223">
        <v>0</v>
      </c>
      <c r="D131" s="223"/>
      <c r="E131" s="223"/>
      <c r="F131" s="223">
        <f t="shared" si="2"/>
        <v>1341</v>
      </c>
      <c r="G131" s="223"/>
      <c r="H131" s="223"/>
      <c r="I131" s="223">
        <v>1341</v>
      </c>
      <c r="J131" s="223"/>
      <c r="K131" s="223"/>
      <c r="L131" s="223">
        <f t="shared" si="3"/>
        <v>0</v>
      </c>
      <c r="M131" s="223"/>
      <c r="N131" s="223"/>
      <c r="O131" s="224"/>
      <c r="P131" s="224"/>
    </row>
    <row r="132" spans="1:16" ht="10.5" customHeight="1" x14ac:dyDescent="0.2">
      <c r="A132" s="221">
        <v>119</v>
      </c>
      <c r="B132" s="225" t="s">
        <v>333</v>
      </c>
      <c r="C132" s="223">
        <v>2365</v>
      </c>
      <c r="D132" s="223"/>
      <c r="E132" s="223"/>
      <c r="F132" s="223">
        <f t="shared" si="2"/>
        <v>8023</v>
      </c>
      <c r="G132" s="223"/>
      <c r="H132" s="223"/>
      <c r="I132" s="223"/>
      <c r="J132" s="223"/>
      <c r="K132" s="223"/>
      <c r="L132" s="223">
        <f t="shared" si="3"/>
        <v>8023</v>
      </c>
      <c r="M132" s="223">
        <f>1807</f>
        <v>1807</v>
      </c>
      <c r="N132" s="223">
        <v>6216</v>
      </c>
      <c r="O132" s="224"/>
      <c r="P132" s="224"/>
    </row>
    <row r="133" spans="1:16" ht="10.5" customHeight="1" x14ac:dyDescent="0.2">
      <c r="A133" s="221">
        <v>120</v>
      </c>
      <c r="B133" s="222" t="s">
        <v>37</v>
      </c>
      <c r="C133" s="223">
        <v>9927</v>
      </c>
      <c r="D133" s="223"/>
      <c r="E133" s="223"/>
      <c r="F133" s="223">
        <f t="shared" si="2"/>
        <v>30927</v>
      </c>
      <c r="G133" s="223"/>
      <c r="H133" s="223"/>
      <c r="I133" s="223"/>
      <c r="J133" s="223"/>
      <c r="K133" s="223"/>
      <c r="L133" s="223">
        <f t="shared" si="3"/>
        <v>30927</v>
      </c>
      <c r="M133" s="223">
        <f>9323+250</f>
        <v>9573</v>
      </c>
      <c r="N133" s="223">
        <v>21354</v>
      </c>
      <c r="O133" s="224"/>
      <c r="P133" s="224"/>
    </row>
    <row r="134" spans="1:16" ht="10.5" customHeight="1" x14ac:dyDescent="0.2">
      <c r="A134" s="221">
        <v>121</v>
      </c>
      <c r="B134" s="225" t="s">
        <v>38</v>
      </c>
      <c r="C134" s="223">
        <v>10074</v>
      </c>
      <c r="D134" s="223"/>
      <c r="E134" s="223"/>
      <c r="F134" s="223">
        <f t="shared" si="2"/>
        <v>31135</v>
      </c>
      <c r="G134" s="223"/>
      <c r="H134" s="223"/>
      <c r="I134" s="223"/>
      <c r="J134" s="223"/>
      <c r="K134" s="223"/>
      <c r="L134" s="223">
        <f t="shared" si="3"/>
        <v>31135</v>
      </c>
      <c r="M134" s="223">
        <v>9284</v>
      </c>
      <c r="N134" s="223">
        <v>21851</v>
      </c>
      <c r="O134" s="224"/>
      <c r="P134" s="224"/>
    </row>
    <row r="135" spans="1:16" ht="11.25" customHeight="1" x14ac:dyDescent="0.2">
      <c r="A135" s="221">
        <v>122</v>
      </c>
      <c r="B135" s="222" t="s">
        <v>39</v>
      </c>
      <c r="C135" s="223">
        <v>28337</v>
      </c>
      <c r="D135" s="223"/>
      <c r="E135" s="223"/>
      <c r="F135" s="223">
        <f t="shared" si="2"/>
        <v>87884</v>
      </c>
      <c r="G135" s="223"/>
      <c r="H135" s="223"/>
      <c r="I135" s="223"/>
      <c r="J135" s="223"/>
      <c r="K135" s="223"/>
      <c r="L135" s="223">
        <f t="shared" si="3"/>
        <v>87884</v>
      </c>
      <c r="M135" s="223">
        <v>21432</v>
      </c>
      <c r="N135" s="223">
        <v>66452</v>
      </c>
      <c r="O135" s="224"/>
      <c r="P135" s="224"/>
    </row>
    <row r="136" spans="1:16" ht="10.5" customHeight="1" x14ac:dyDescent="0.2">
      <c r="A136" s="221">
        <v>123</v>
      </c>
      <c r="B136" s="225" t="s">
        <v>40</v>
      </c>
      <c r="C136" s="223">
        <v>12355</v>
      </c>
      <c r="D136" s="223"/>
      <c r="E136" s="223"/>
      <c r="F136" s="223">
        <f t="shared" si="2"/>
        <v>38175</v>
      </c>
      <c r="G136" s="223"/>
      <c r="H136" s="223"/>
      <c r="I136" s="223"/>
      <c r="J136" s="223"/>
      <c r="K136" s="223"/>
      <c r="L136" s="223">
        <f t="shared" si="3"/>
        <v>38175</v>
      </c>
      <c r="M136" s="223">
        <v>9050</v>
      </c>
      <c r="N136" s="223">
        <v>29125</v>
      </c>
      <c r="O136" s="224"/>
      <c r="P136" s="224"/>
    </row>
    <row r="137" spans="1:16" ht="10.5" customHeight="1" x14ac:dyDescent="0.2">
      <c r="A137" s="221">
        <v>124</v>
      </c>
      <c r="B137" s="225" t="s">
        <v>41</v>
      </c>
      <c r="C137" s="223">
        <v>15121</v>
      </c>
      <c r="D137" s="223"/>
      <c r="E137" s="223"/>
      <c r="F137" s="223">
        <f t="shared" ref="F137:F189" si="4">G137+I137+J137+K137+L137+H137</f>
        <v>46694</v>
      </c>
      <c r="G137" s="223"/>
      <c r="H137" s="223"/>
      <c r="I137" s="223"/>
      <c r="J137" s="223"/>
      <c r="K137" s="223"/>
      <c r="L137" s="223">
        <f t="shared" si="3"/>
        <v>46694</v>
      </c>
      <c r="M137" s="223">
        <v>11207</v>
      </c>
      <c r="N137" s="223">
        <v>35487</v>
      </c>
      <c r="O137" s="224"/>
      <c r="P137" s="224"/>
    </row>
    <row r="138" spans="1:16" ht="10.5" customHeight="1" x14ac:dyDescent="0.2">
      <c r="A138" s="221">
        <v>125</v>
      </c>
      <c r="B138" s="222" t="s">
        <v>42</v>
      </c>
      <c r="C138" s="223">
        <v>29340</v>
      </c>
      <c r="D138" s="223"/>
      <c r="E138" s="223"/>
      <c r="F138" s="223">
        <f t="shared" si="4"/>
        <v>90717</v>
      </c>
      <c r="G138" s="223"/>
      <c r="H138" s="223"/>
      <c r="I138" s="223"/>
      <c r="J138" s="223"/>
      <c r="K138" s="223"/>
      <c r="L138" s="223">
        <f t="shared" ref="L138:L190" si="5">M138+N138</f>
        <v>90717</v>
      </c>
      <c r="M138" s="223">
        <v>27838</v>
      </c>
      <c r="N138" s="223">
        <v>62879</v>
      </c>
      <c r="O138" s="224"/>
      <c r="P138" s="224"/>
    </row>
    <row r="139" spans="1:16" ht="10.5" customHeight="1" x14ac:dyDescent="0.2">
      <c r="A139" s="221">
        <v>126</v>
      </c>
      <c r="B139" s="222" t="s">
        <v>43</v>
      </c>
      <c r="C139" s="223">
        <v>25635</v>
      </c>
      <c r="D139" s="223"/>
      <c r="E139" s="223"/>
      <c r="F139" s="223">
        <f t="shared" si="4"/>
        <v>79209</v>
      </c>
      <c r="G139" s="223"/>
      <c r="H139" s="223"/>
      <c r="I139" s="223"/>
      <c r="J139" s="223"/>
      <c r="K139" s="223"/>
      <c r="L139" s="223">
        <f t="shared" si="5"/>
        <v>79209</v>
      </c>
      <c r="M139" s="223">
        <v>16634</v>
      </c>
      <c r="N139" s="223">
        <v>62575</v>
      </c>
      <c r="O139" s="224"/>
      <c r="P139" s="224"/>
    </row>
    <row r="140" spans="1:16" ht="10.5" customHeight="1" x14ac:dyDescent="0.2">
      <c r="A140" s="221">
        <v>127</v>
      </c>
      <c r="B140" s="225" t="s">
        <v>44</v>
      </c>
      <c r="C140" s="223">
        <v>9300</v>
      </c>
      <c r="D140" s="223"/>
      <c r="E140" s="223"/>
      <c r="F140" s="223">
        <f t="shared" si="4"/>
        <v>28695</v>
      </c>
      <c r="G140" s="223"/>
      <c r="H140" s="223"/>
      <c r="I140" s="223"/>
      <c r="J140" s="223"/>
      <c r="K140" s="223"/>
      <c r="L140" s="223">
        <f t="shared" si="5"/>
        <v>28695</v>
      </c>
      <c r="M140" s="223">
        <v>7743</v>
      </c>
      <c r="N140" s="223">
        <v>20952</v>
      </c>
      <c r="O140" s="224"/>
      <c r="P140" s="224"/>
    </row>
    <row r="141" spans="1:16" ht="10.5" customHeight="1" x14ac:dyDescent="0.2">
      <c r="A141" s="221">
        <v>128</v>
      </c>
      <c r="B141" s="222" t="s">
        <v>45</v>
      </c>
      <c r="C141" s="223">
        <v>14613</v>
      </c>
      <c r="D141" s="223"/>
      <c r="E141" s="223"/>
      <c r="F141" s="223">
        <f t="shared" si="4"/>
        <v>45142</v>
      </c>
      <c r="G141" s="223"/>
      <c r="H141" s="223"/>
      <c r="I141" s="223"/>
      <c r="J141" s="223"/>
      <c r="K141" s="223"/>
      <c r="L141" s="223">
        <f t="shared" si="5"/>
        <v>45142</v>
      </c>
      <c r="M141" s="223">
        <v>8594</v>
      </c>
      <c r="N141" s="223">
        <v>36548</v>
      </c>
      <c r="O141" s="224"/>
      <c r="P141" s="224"/>
    </row>
    <row r="142" spans="1:16" ht="10.5" customHeight="1" x14ac:dyDescent="0.2">
      <c r="A142" s="221">
        <v>129</v>
      </c>
      <c r="B142" s="225" t="s">
        <v>46</v>
      </c>
      <c r="C142" s="223">
        <v>13934</v>
      </c>
      <c r="D142" s="223"/>
      <c r="E142" s="223"/>
      <c r="F142" s="223">
        <f t="shared" si="4"/>
        <v>43067</v>
      </c>
      <c r="G142" s="223"/>
      <c r="H142" s="223"/>
      <c r="I142" s="223"/>
      <c r="J142" s="223"/>
      <c r="K142" s="223"/>
      <c r="L142" s="223">
        <f t="shared" si="5"/>
        <v>43067</v>
      </c>
      <c r="M142" s="223">
        <v>12239</v>
      </c>
      <c r="N142" s="223">
        <v>30828</v>
      </c>
      <c r="O142" s="224"/>
      <c r="P142" s="224"/>
    </row>
    <row r="143" spans="1:16" ht="10.5" customHeight="1" x14ac:dyDescent="0.2">
      <c r="A143" s="221">
        <v>130</v>
      </c>
      <c r="B143" s="225" t="s">
        <v>47</v>
      </c>
      <c r="C143" s="223">
        <v>16861</v>
      </c>
      <c r="D143" s="223"/>
      <c r="E143" s="223"/>
      <c r="F143" s="223">
        <f t="shared" si="4"/>
        <v>54694</v>
      </c>
      <c r="G143" s="223">
        <v>2552</v>
      </c>
      <c r="H143" s="223"/>
      <c r="I143" s="223"/>
      <c r="J143" s="223"/>
      <c r="K143" s="223"/>
      <c r="L143" s="223">
        <f t="shared" si="5"/>
        <v>52142</v>
      </c>
      <c r="M143" s="223">
        <v>10249</v>
      </c>
      <c r="N143" s="223">
        <v>41893</v>
      </c>
      <c r="O143" s="224"/>
      <c r="P143" s="224"/>
    </row>
    <row r="144" spans="1:16" ht="10.5" customHeight="1" x14ac:dyDescent="0.2">
      <c r="A144" s="221">
        <v>131</v>
      </c>
      <c r="B144" s="222" t="s">
        <v>48</v>
      </c>
      <c r="C144" s="223">
        <v>10773</v>
      </c>
      <c r="D144" s="223"/>
      <c r="E144" s="223"/>
      <c r="F144" s="223">
        <f t="shared" si="4"/>
        <v>33297</v>
      </c>
      <c r="G144" s="223"/>
      <c r="H144" s="223"/>
      <c r="I144" s="223"/>
      <c r="J144" s="223"/>
      <c r="K144" s="223"/>
      <c r="L144" s="223">
        <f t="shared" si="5"/>
        <v>33297</v>
      </c>
      <c r="M144" s="223">
        <v>8880</v>
      </c>
      <c r="N144" s="223">
        <v>24417</v>
      </c>
      <c r="O144" s="224"/>
      <c r="P144" s="224"/>
    </row>
    <row r="145" spans="1:16" ht="10.5" customHeight="1" x14ac:dyDescent="0.2">
      <c r="A145" s="221">
        <v>132</v>
      </c>
      <c r="B145" s="225" t="s">
        <v>49</v>
      </c>
      <c r="C145" s="223">
        <v>15929</v>
      </c>
      <c r="D145" s="223"/>
      <c r="E145" s="223"/>
      <c r="F145" s="223">
        <f t="shared" si="4"/>
        <v>49199.982871125612</v>
      </c>
      <c r="G145" s="223"/>
      <c r="H145" s="223"/>
      <c r="I145" s="223"/>
      <c r="J145" s="223"/>
      <c r="K145" s="223"/>
      <c r="L145" s="223">
        <f t="shared" si="5"/>
        <v>49199.982871125612</v>
      </c>
      <c r="M145" s="223">
        <v>10295.982871125612</v>
      </c>
      <c r="N145" s="223">
        <v>38904</v>
      </c>
      <c r="O145" s="224"/>
      <c r="P145" s="224"/>
    </row>
    <row r="146" spans="1:16" ht="10.5" customHeight="1" x14ac:dyDescent="0.2">
      <c r="A146" s="221">
        <v>133</v>
      </c>
      <c r="B146" s="225" t="s">
        <v>50</v>
      </c>
      <c r="C146" s="223">
        <v>26621</v>
      </c>
      <c r="D146" s="223"/>
      <c r="E146" s="223"/>
      <c r="F146" s="223">
        <f t="shared" si="4"/>
        <v>82240</v>
      </c>
      <c r="G146" s="223"/>
      <c r="H146" s="223"/>
      <c r="I146" s="223"/>
      <c r="J146" s="223"/>
      <c r="K146" s="223"/>
      <c r="L146" s="223">
        <f t="shared" si="5"/>
        <v>82240</v>
      </c>
      <c r="M146" s="223">
        <v>21410</v>
      </c>
      <c r="N146" s="223">
        <v>60830</v>
      </c>
      <c r="O146" s="224"/>
      <c r="P146" s="224"/>
    </row>
    <row r="147" spans="1:16" ht="10.5" customHeight="1" x14ac:dyDescent="0.2">
      <c r="A147" s="221">
        <v>134</v>
      </c>
      <c r="B147" s="225" t="s">
        <v>51</v>
      </c>
      <c r="C147" s="223">
        <v>12725</v>
      </c>
      <c r="D147" s="223"/>
      <c r="E147" s="223"/>
      <c r="F147" s="223">
        <f t="shared" si="4"/>
        <v>39314</v>
      </c>
      <c r="G147" s="223"/>
      <c r="H147" s="223"/>
      <c r="I147" s="223"/>
      <c r="J147" s="223"/>
      <c r="K147" s="223"/>
      <c r="L147" s="223">
        <f t="shared" si="5"/>
        <v>39314</v>
      </c>
      <c r="M147" s="223">
        <v>7856</v>
      </c>
      <c r="N147" s="223">
        <v>31458</v>
      </c>
      <c r="O147" s="224"/>
      <c r="P147" s="224"/>
    </row>
    <row r="148" spans="1:16" ht="24" customHeight="1" x14ac:dyDescent="0.2">
      <c r="A148" s="221">
        <v>135</v>
      </c>
      <c r="B148" s="235" t="s">
        <v>59</v>
      </c>
      <c r="C148" s="223">
        <v>7086</v>
      </c>
      <c r="D148" s="223"/>
      <c r="E148" s="223"/>
      <c r="F148" s="223">
        <f t="shared" si="4"/>
        <v>32104</v>
      </c>
      <c r="G148" s="223"/>
      <c r="H148" s="223"/>
      <c r="I148" s="223"/>
      <c r="J148" s="223"/>
      <c r="K148" s="223"/>
      <c r="L148" s="223">
        <f t="shared" si="5"/>
        <v>32104</v>
      </c>
      <c r="M148" s="223">
        <v>7343</v>
      </c>
      <c r="N148" s="223">
        <v>24761</v>
      </c>
      <c r="O148" s="224"/>
      <c r="P148" s="224"/>
    </row>
    <row r="149" spans="1:16" ht="10.5" customHeight="1" x14ac:dyDescent="0.2">
      <c r="A149" s="221">
        <v>136</v>
      </c>
      <c r="B149" s="238" t="s">
        <v>489</v>
      </c>
      <c r="C149" s="223">
        <v>0</v>
      </c>
      <c r="D149" s="223"/>
      <c r="E149" s="223"/>
      <c r="F149" s="223">
        <f t="shared" si="4"/>
        <v>1003</v>
      </c>
      <c r="G149" s="223"/>
      <c r="H149" s="223"/>
      <c r="I149" s="223"/>
      <c r="J149" s="223">
        <f>240+602+210-49</f>
        <v>1003</v>
      </c>
      <c r="K149" s="223"/>
      <c r="L149" s="223">
        <f t="shared" si="5"/>
        <v>0</v>
      </c>
      <c r="M149" s="223"/>
      <c r="N149" s="223"/>
      <c r="O149" s="224"/>
      <c r="P149" s="224"/>
    </row>
    <row r="150" spans="1:16" ht="10.5" customHeight="1" x14ac:dyDescent="0.2">
      <c r="A150" s="221">
        <v>137</v>
      </c>
      <c r="B150" s="235" t="s">
        <v>334</v>
      </c>
      <c r="C150" s="223">
        <v>0</v>
      </c>
      <c r="D150" s="223"/>
      <c r="E150" s="223"/>
      <c r="F150" s="223">
        <f t="shared" si="4"/>
        <v>0</v>
      </c>
      <c r="G150" s="223"/>
      <c r="H150" s="223"/>
      <c r="I150" s="223">
        <f>56-56</f>
        <v>0</v>
      </c>
      <c r="J150" s="223"/>
      <c r="K150" s="223"/>
      <c r="L150" s="223">
        <f t="shared" si="5"/>
        <v>0</v>
      </c>
      <c r="M150" s="223"/>
      <c r="N150" s="223"/>
      <c r="O150" s="224"/>
      <c r="P150" s="224"/>
    </row>
    <row r="151" spans="1:16" ht="10.5" customHeight="1" x14ac:dyDescent="0.2">
      <c r="A151" s="221">
        <v>138</v>
      </c>
      <c r="B151" s="235" t="s">
        <v>335</v>
      </c>
      <c r="C151" s="223">
        <v>0</v>
      </c>
      <c r="D151" s="223"/>
      <c r="E151" s="223"/>
      <c r="F151" s="223">
        <f t="shared" si="4"/>
        <v>31</v>
      </c>
      <c r="G151" s="223"/>
      <c r="H151" s="223"/>
      <c r="I151" s="223">
        <v>31</v>
      </c>
      <c r="J151" s="223"/>
      <c r="K151" s="223"/>
      <c r="L151" s="223">
        <f t="shared" si="5"/>
        <v>0</v>
      </c>
      <c r="M151" s="223"/>
      <c r="N151" s="223"/>
      <c r="O151" s="224"/>
      <c r="P151" s="224"/>
    </row>
    <row r="152" spans="1:16" ht="10.5" customHeight="1" x14ac:dyDescent="0.2">
      <c r="A152" s="221">
        <v>139</v>
      </c>
      <c r="B152" s="225" t="s">
        <v>337</v>
      </c>
      <c r="C152" s="223">
        <f>103-92</f>
        <v>11</v>
      </c>
      <c r="D152" s="223"/>
      <c r="E152" s="223"/>
      <c r="F152" s="223">
        <f t="shared" si="4"/>
        <v>19</v>
      </c>
      <c r="G152" s="223"/>
      <c r="H152" s="223"/>
      <c r="I152" s="223">
        <f>113-94</f>
        <v>19</v>
      </c>
      <c r="J152" s="223"/>
      <c r="K152" s="223"/>
      <c r="L152" s="223">
        <f t="shared" si="5"/>
        <v>0</v>
      </c>
      <c r="M152" s="223"/>
      <c r="N152" s="223"/>
      <c r="O152" s="224"/>
      <c r="P152" s="224"/>
    </row>
    <row r="153" spans="1:16" ht="10.5" customHeight="1" x14ac:dyDescent="0.2">
      <c r="A153" s="221">
        <v>140</v>
      </c>
      <c r="B153" s="225" t="s">
        <v>338</v>
      </c>
      <c r="C153" s="223">
        <f>50-50</f>
        <v>0</v>
      </c>
      <c r="D153" s="223"/>
      <c r="E153" s="223"/>
      <c r="F153" s="223">
        <f t="shared" si="4"/>
        <v>0</v>
      </c>
      <c r="G153" s="223"/>
      <c r="H153" s="223"/>
      <c r="I153" s="223">
        <f>113-113</f>
        <v>0</v>
      </c>
      <c r="J153" s="223"/>
      <c r="K153" s="223"/>
      <c r="L153" s="223">
        <f t="shared" si="5"/>
        <v>0</v>
      </c>
      <c r="M153" s="223"/>
      <c r="N153" s="223"/>
      <c r="O153" s="224"/>
      <c r="P153" s="224"/>
    </row>
    <row r="154" spans="1:16" ht="10.5" customHeight="1" x14ac:dyDescent="0.2">
      <c r="A154" s="221">
        <v>141</v>
      </c>
      <c r="B154" s="222" t="s">
        <v>339</v>
      </c>
      <c r="C154" s="223">
        <v>250</v>
      </c>
      <c r="D154" s="223"/>
      <c r="E154" s="223"/>
      <c r="F154" s="223">
        <f t="shared" si="4"/>
        <v>447</v>
      </c>
      <c r="G154" s="223"/>
      <c r="H154" s="223"/>
      <c r="I154" s="223">
        <v>447</v>
      </c>
      <c r="J154" s="223"/>
      <c r="K154" s="223"/>
      <c r="L154" s="223">
        <f t="shared" si="5"/>
        <v>0</v>
      </c>
      <c r="M154" s="223"/>
      <c r="N154" s="223"/>
      <c r="O154" s="224"/>
      <c r="P154" s="224"/>
    </row>
    <row r="155" spans="1:16" ht="10.5" customHeight="1" x14ac:dyDescent="0.2">
      <c r="A155" s="221">
        <v>142</v>
      </c>
      <c r="B155" s="225" t="s">
        <v>490</v>
      </c>
      <c r="C155" s="223">
        <v>0</v>
      </c>
      <c r="D155" s="223"/>
      <c r="E155" s="223"/>
      <c r="F155" s="223">
        <f t="shared" si="4"/>
        <v>113</v>
      </c>
      <c r="G155" s="223"/>
      <c r="H155" s="223"/>
      <c r="I155" s="223">
        <v>113</v>
      </c>
      <c r="J155" s="223"/>
      <c r="K155" s="223"/>
      <c r="L155" s="223">
        <f t="shared" si="5"/>
        <v>0</v>
      </c>
      <c r="M155" s="223"/>
      <c r="N155" s="223"/>
      <c r="O155" s="224"/>
      <c r="P155" s="224"/>
    </row>
    <row r="156" spans="1:16" ht="10.5" customHeight="1" x14ac:dyDescent="0.2">
      <c r="A156" s="221">
        <v>143</v>
      </c>
      <c r="B156" s="225" t="s">
        <v>340</v>
      </c>
      <c r="C156" s="223">
        <v>0</v>
      </c>
      <c r="D156" s="223"/>
      <c r="E156" s="223"/>
      <c r="F156" s="223">
        <f t="shared" si="4"/>
        <v>0</v>
      </c>
      <c r="G156" s="223"/>
      <c r="H156" s="223"/>
      <c r="I156" s="223">
        <f>56-56</f>
        <v>0</v>
      </c>
      <c r="J156" s="223"/>
      <c r="K156" s="223"/>
      <c r="L156" s="223">
        <f t="shared" si="5"/>
        <v>0</v>
      </c>
      <c r="M156" s="223"/>
      <c r="N156" s="223"/>
      <c r="O156" s="224"/>
      <c r="P156" s="224"/>
    </row>
    <row r="157" spans="1:16" ht="10.5" customHeight="1" x14ac:dyDescent="0.2">
      <c r="A157" s="221">
        <v>144</v>
      </c>
      <c r="B157" s="225" t="s">
        <v>341</v>
      </c>
      <c r="C157" s="223">
        <v>0</v>
      </c>
      <c r="D157" s="223"/>
      <c r="E157" s="223"/>
      <c r="F157" s="223">
        <f t="shared" si="4"/>
        <v>56</v>
      </c>
      <c r="G157" s="223"/>
      <c r="H157" s="223"/>
      <c r="I157" s="223">
        <v>56</v>
      </c>
      <c r="J157" s="223"/>
      <c r="K157" s="223"/>
      <c r="L157" s="223">
        <f t="shared" si="5"/>
        <v>0</v>
      </c>
      <c r="M157" s="223"/>
      <c r="N157" s="223"/>
      <c r="O157" s="224"/>
      <c r="P157" s="224"/>
    </row>
    <row r="158" spans="1:16" ht="10.5" customHeight="1" x14ac:dyDescent="0.2">
      <c r="A158" s="221">
        <v>145</v>
      </c>
      <c r="B158" s="225" t="s">
        <v>491</v>
      </c>
      <c r="C158" s="223">
        <v>0</v>
      </c>
      <c r="D158" s="223"/>
      <c r="E158" s="223"/>
      <c r="F158" s="223">
        <f t="shared" si="4"/>
        <v>56</v>
      </c>
      <c r="G158" s="223"/>
      <c r="H158" s="223"/>
      <c r="I158" s="223">
        <v>56</v>
      </c>
      <c r="J158" s="223"/>
      <c r="K158" s="223"/>
      <c r="L158" s="223">
        <f t="shared" si="5"/>
        <v>0</v>
      </c>
      <c r="M158" s="223"/>
      <c r="N158" s="223"/>
      <c r="O158" s="224"/>
      <c r="P158" s="224"/>
    </row>
    <row r="159" spans="1:16" s="230" customFormat="1" ht="12.75" customHeight="1" x14ac:dyDescent="0.2">
      <c r="A159" s="221">
        <v>146</v>
      </c>
      <c r="B159" s="235" t="s">
        <v>492</v>
      </c>
      <c r="C159" s="223">
        <v>0</v>
      </c>
      <c r="D159" s="223"/>
      <c r="E159" s="223"/>
      <c r="F159" s="223">
        <f t="shared" si="4"/>
        <v>5390</v>
      </c>
      <c r="G159" s="223"/>
      <c r="H159" s="223"/>
      <c r="I159" s="223"/>
      <c r="J159" s="223">
        <f>1332+3624+210+224</f>
        <v>5390</v>
      </c>
      <c r="K159" s="223"/>
      <c r="L159" s="223">
        <f t="shared" si="5"/>
        <v>0</v>
      </c>
      <c r="M159" s="223"/>
      <c r="N159" s="223"/>
      <c r="O159" s="224"/>
      <c r="P159" s="224"/>
    </row>
    <row r="160" spans="1:16" ht="12" customHeight="1" x14ac:dyDescent="0.2">
      <c r="A160" s="221">
        <v>147</v>
      </c>
      <c r="B160" s="225" t="s">
        <v>343</v>
      </c>
      <c r="C160" s="223">
        <v>103</v>
      </c>
      <c r="D160" s="223"/>
      <c r="E160" s="223"/>
      <c r="F160" s="223">
        <f t="shared" si="4"/>
        <v>113</v>
      </c>
      <c r="G160" s="223"/>
      <c r="H160" s="223"/>
      <c r="I160" s="223">
        <v>113</v>
      </c>
      <c r="J160" s="223"/>
      <c r="K160" s="223"/>
      <c r="L160" s="223">
        <f t="shared" si="5"/>
        <v>0</v>
      </c>
      <c r="M160" s="223"/>
      <c r="N160" s="223"/>
      <c r="O160" s="224"/>
      <c r="P160" s="224"/>
    </row>
    <row r="161" spans="1:16" ht="10.5" customHeight="1" x14ac:dyDescent="0.2">
      <c r="A161" s="221">
        <v>148</v>
      </c>
      <c r="B161" s="225" t="s">
        <v>493</v>
      </c>
      <c r="C161" s="223">
        <v>0</v>
      </c>
      <c r="D161" s="223"/>
      <c r="E161" s="223"/>
      <c r="F161" s="223">
        <f t="shared" si="4"/>
        <v>31</v>
      </c>
      <c r="G161" s="223"/>
      <c r="H161" s="223"/>
      <c r="I161" s="223">
        <f>31</f>
        <v>31</v>
      </c>
      <c r="J161" s="223"/>
      <c r="K161" s="223"/>
      <c r="L161" s="223">
        <f t="shared" si="5"/>
        <v>0</v>
      </c>
      <c r="M161" s="223"/>
      <c r="N161" s="223"/>
      <c r="O161" s="224"/>
      <c r="P161" s="224"/>
    </row>
    <row r="162" spans="1:16" ht="12.75" customHeight="1" x14ac:dyDescent="0.2">
      <c r="A162" s="221">
        <v>149</v>
      </c>
      <c r="B162" s="225" t="s">
        <v>344</v>
      </c>
      <c r="C162" s="223">
        <v>0</v>
      </c>
      <c r="D162" s="223"/>
      <c r="E162" s="223"/>
      <c r="F162" s="223">
        <f t="shared" si="4"/>
        <v>0</v>
      </c>
      <c r="G162" s="223"/>
      <c r="H162" s="223"/>
      <c r="I162" s="223">
        <f>31-31</f>
        <v>0</v>
      </c>
      <c r="J162" s="223"/>
      <c r="K162" s="223"/>
      <c r="L162" s="223">
        <f t="shared" si="5"/>
        <v>0</v>
      </c>
      <c r="M162" s="223"/>
      <c r="N162" s="223"/>
      <c r="O162" s="224"/>
      <c r="P162" s="224"/>
    </row>
    <row r="163" spans="1:16" s="239" customFormat="1" ht="12.75" customHeight="1" x14ac:dyDescent="0.2">
      <c r="A163" s="221">
        <v>150</v>
      </c>
      <c r="B163" s="225" t="s">
        <v>345</v>
      </c>
      <c r="C163" s="223">
        <v>0</v>
      </c>
      <c r="D163" s="223"/>
      <c r="E163" s="223"/>
      <c r="F163" s="223">
        <f t="shared" si="4"/>
        <v>31</v>
      </c>
      <c r="G163" s="223"/>
      <c r="H163" s="223"/>
      <c r="I163" s="223">
        <v>31</v>
      </c>
      <c r="J163" s="223"/>
      <c r="K163" s="223"/>
      <c r="L163" s="223">
        <f t="shared" si="5"/>
        <v>0</v>
      </c>
      <c r="M163" s="223"/>
      <c r="N163" s="223"/>
      <c r="O163" s="224"/>
      <c r="P163" s="224"/>
    </row>
    <row r="164" spans="1:16" x14ac:dyDescent="0.2">
      <c r="A164" s="221">
        <v>151</v>
      </c>
      <c r="B164" s="225" t="s">
        <v>494</v>
      </c>
      <c r="C164" s="223">
        <v>0</v>
      </c>
      <c r="D164" s="223"/>
      <c r="E164" s="223"/>
      <c r="F164" s="223">
        <f t="shared" si="4"/>
        <v>26</v>
      </c>
      <c r="G164" s="223"/>
      <c r="H164" s="223"/>
      <c r="I164" s="223">
        <v>26</v>
      </c>
      <c r="J164" s="223"/>
      <c r="K164" s="223"/>
      <c r="L164" s="223">
        <f t="shared" si="5"/>
        <v>0</v>
      </c>
      <c r="M164" s="223"/>
      <c r="N164" s="223"/>
      <c r="O164" s="224"/>
      <c r="P164" s="224"/>
    </row>
    <row r="165" spans="1:16" x14ac:dyDescent="0.2">
      <c r="A165" s="221">
        <v>152</v>
      </c>
      <c r="B165" s="225" t="s">
        <v>60</v>
      </c>
      <c r="C165" s="223">
        <v>25</v>
      </c>
      <c r="D165" s="223"/>
      <c r="E165" s="223"/>
      <c r="F165" s="223">
        <f t="shared" si="4"/>
        <v>459</v>
      </c>
      <c r="G165" s="223"/>
      <c r="H165" s="223"/>
      <c r="I165" s="223">
        <v>459</v>
      </c>
      <c r="J165" s="223"/>
      <c r="K165" s="223"/>
      <c r="L165" s="223">
        <f t="shared" si="5"/>
        <v>0</v>
      </c>
      <c r="M165" s="223"/>
      <c r="N165" s="223"/>
      <c r="O165" s="224"/>
      <c r="P165" s="224"/>
    </row>
    <row r="166" spans="1:16" ht="14.25" customHeight="1" x14ac:dyDescent="0.2">
      <c r="A166" s="221">
        <v>153</v>
      </c>
      <c r="B166" s="225" t="s">
        <v>346</v>
      </c>
      <c r="C166" s="223">
        <v>0</v>
      </c>
      <c r="D166" s="223"/>
      <c r="E166" s="223"/>
      <c r="F166" s="223">
        <f t="shared" si="4"/>
        <v>27</v>
      </c>
      <c r="G166" s="223"/>
      <c r="H166" s="223"/>
      <c r="I166" s="223">
        <f>50-23</f>
        <v>27</v>
      </c>
      <c r="J166" s="223"/>
      <c r="K166" s="223"/>
      <c r="L166" s="223">
        <f t="shared" si="5"/>
        <v>0</v>
      </c>
      <c r="M166" s="223"/>
      <c r="N166" s="223"/>
      <c r="O166" s="224"/>
      <c r="P166" s="224"/>
    </row>
    <row r="167" spans="1:16" x14ac:dyDescent="0.2">
      <c r="A167" s="221">
        <v>154</v>
      </c>
      <c r="B167" s="225" t="s">
        <v>347</v>
      </c>
      <c r="C167" s="223">
        <v>103</v>
      </c>
      <c r="D167" s="223"/>
      <c r="E167" s="223"/>
      <c r="F167" s="223">
        <f t="shared" si="4"/>
        <v>169</v>
      </c>
      <c r="G167" s="223"/>
      <c r="H167" s="223"/>
      <c r="I167" s="223">
        <v>169</v>
      </c>
      <c r="J167" s="223"/>
      <c r="K167" s="223"/>
      <c r="L167" s="223">
        <f t="shared" si="5"/>
        <v>0</v>
      </c>
      <c r="M167" s="223"/>
      <c r="N167" s="223"/>
      <c r="O167" s="224"/>
      <c r="P167" s="224"/>
    </row>
    <row r="168" spans="1:16" x14ac:dyDescent="0.2">
      <c r="A168" s="221">
        <v>155</v>
      </c>
      <c r="B168" s="225" t="s">
        <v>348</v>
      </c>
      <c r="C168" s="223">
        <v>103</v>
      </c>
      <c r="D168" s="223"/>
      <c r="E168" s="223"/>
      <c r="F168" s="223">
        <f t="shared" si="4"/>
        <v>113</v>
      </c>
      <c r="G168" s="223"/>
      <c r="H168" s="223"/>
      <c r="I168" s="223">
        <v>113</v>
      </c>
      <c r="J168" s="223"/>
      <c r="K168" s="223"/>
      <c r="L168" s="223">
        <f t="shared" si="5"/>
        <v>0</v>
      </c>
      <c r="M168" s="223"/>
      <c r="N168" s="223"/>
      <c r="O168" s="224"/>
      <c r="P168" s="224"/>
    </row>
    <row r="169" spans="1:16" x14ac:dyDescent="0.2">
      <c r="A169" s="221">
        <v>156</v>
      </c>
      <c r="B169" s="225" t="s">
        <v>495</v>
      </c>
      <c r="C169" s="223">
        <v>0</v>
      </c>
      <c r="D169" s="223"/>
      <c r="E169" s="223"/>
      <c r="F169" s="223">
        <f t="shared" si="4"/>
        <v>853</v>
      </c>
      <c r="G169" s="223"/>
      <c r="H169" s="223"/>
      <c r="I169" s="223"/>
      <c r="J169" s="223">
        <f>120+908-175</f>
        <v>853</v>
      </c>
      <c r="K169" s="223"/>
      <c r="L169" s="223">
        <f t="shared" si="5"/>
        <v>0</v>
      </c>
      <c r="M169" s="223"/>
      <c r="N169" s="223"/>
      <c r="O169" s="224"/>
      <c r="P169" s="224"/>
    </row>
    <row r="170" spans="1:16" x14ac:dyDescent="0.2">
      <c r="A170" s="221">
        <v>157</v>
      </c>
      <c r="B170" s="225" t="s">
        <v>349</v>
      </c>
      <c r="C170" s="223">
        <v>0</v>
      </c>
      <c r="D170" s="223"/>
      <c r="E170" s="223"/>
      <c r="F170" s="223">
        <f t="shared" si="4"/>
        <v>25</v>
      </c>
      <c r="G170" s="223"/>
      <c r="H170" s="223"/>
      <c r="I170" s="223">
        <v>25</v>
      </c>
      <c r="J170" s="223"/>
      <c r="K170" s="223"/>
      <c r="L170" s="223">
        <f t="shared" si="5"/>
        <v>0</v>
      </c>
      <c r="M170" s="223"/>
      <c r="N170" s="223"/>
      <c r="O170" s="224"/>
      <c r="P170" s="224"/>
    </row>
    <row r="171" spans="1:16" x14ac:dyDescent="0.2">
      <c r="A171" s="221">
        <v>158</v>
      </c>
      <c r="B171" s="225" t="s">
        <v>496</v>
      </c>
      <c r="C171" s="223">
        <v>0</v>
      </c>
      <c r="D171" s="223"/>
      <c r="E171" s="223"/>
      <c r="F171" s="223">
        <f t="shared" si="4"/>
        <v>31</v>
      </c>
      <c r="G171" s="223"/>
      <c r="H171" s="223"/>
      <c r="I171" s="223">
        <v>31</v>
      </c>
      <c r="J171" s="223"/>
      <c r="K171" s="223"/>
      <c r="L171" s="223">
        <f t="shared" si="5"/>
        <v>0</v>
      </c>
      <c r="M171" s="223"/>
      <c r="N171" s="223"/>
      <c r="O171" s="224"/>
      <c r="P171" s="224"/>
    </row>
    <row r="172" spans="1:16" x14ac:dyDescent="0.2">
      <c r="A172" s="221">
        <v>159</v>
      </c>
      <c r="B172" s="225" t="s">
        <v>497</v>
      </c>
      <c r="C172" s="223">
        <v>0</v>
      </c>
      <c r="D172" s="223"/>
      <c r="E172" s="223"/>
      <c r="F172" s="223">
        <f t="shared" si="4"/>
        <v>2037</v>
      </c>
      <c r="G172" s="223"/>
      <c r="H172" s="223"/>
      <c r="I172" s="223"/>
      <c r="J172" s="223">
        <f>420+1617</f>
        <v>2037</v>
      </c>
      <c r="K172" s="223"/>
      <c r="L172" s="223">
        <f t="shared" si="5"/>
        <v>0</v>
      </c>
      <c r="M172" s="223"/>
      <c r="N172" s="223"/>
      <c r="O172" s="224"/>
      <c r="P172" s="224"/>
    </row>
    <row r="173" spans="1:16" s="240" customFormat="1" ht="14.25" customHeight="1" x14ac:dyDescent="0.2">
      <c r="A173" s="221">
        <v>160</v>
      </c>
      <c r="B173" s="225" t="s">
        <v>350</v>
      </c>
      <c r="C173" s="223">
        <v>103</v>
      </c>
      <c r="D173" s="223"/>
      <c r="E173" s="223"/>
      <c r="F173" s="223">
        <f t="shared" si="4"/>
        <v>113</v>
      </c>
      <c r="G173" s="223"/>
      <c r="H173" s="223"/>
      <c r="I173" s="223">
        <v>113</v>
      </c>
      <c r="J173" s="223"/>
      <c r="K173" s="223"/>
      <c r="L173" s="223">
        <f t="shared" si="5"/>
        <v>0</v>
      </c>
      <c r="M173" s="223"/>
      <c r="N173" s="223"/>
      <c r="O173" s="224"/>
      <c r="P173" s="224"/>
    </row>
    <row r="174" spans="1:16" s="240" customFormat="1" ht="15.75" customHeight="1" x14ac:dyDescent="0.2">
      <c r="A174" s="221">
        <v>161</v>
      </c>
      <c r="B174" s="225" t="s">
        <v>351</v>
      </c>
      <c r="C174" s="223">
        <v>103</v>
      </c>
      <c r="D174" s="223"/>
      <c r="E174" s="223"/>
      <c r="F174" s="223">
        <f t="shared" si="4"/>
        <v>113</v>
      </c>
      <c r="G174" s="223"/>
      <c r="H174" s="223"/>
      <c r="I174" s="223">
        <v>113</v>
      </c>
      <c r="J174" s="223"/>
      <c r="K174" s="223"/>
      <c r="L174" s="223">
        <f t="shared" si="5"/>
        <v>0</v>
      </c>
      <c r="M174" s="223"/>
      <c r="N174" s="223"/>
      <c r="O174" s="224"/>
      <c r="P174" s="224"/>
    </row>
    <row r="175" spans="1:16" x14ac:dyDescent="0.2">
      <c r="A175" s="221">
        <v>162</v>
      </c>
      <c r="B175" s="225" t="s">
        <v>352</v>
      </c>
      <c r="C175" s="223">
        <v>103</v>
      </c>
      <c r="D175" s="223"/>
      <c r="E175" s="223"/>
      <c r="F175" s="223">
        <f t="shared" si="4"/>
        <v>113</v>
      </c>
      <c r="G175" s="223"/>
      <c r="H175" s="223"/>
      <c r="I175" s="223">
        <v>113</v>
      </c>
      <c r="J175" s="223"/>
      <c r="K175" s="223"/>
      <c r="L175" s="223">
        <f t="shared" si="5"/>
        <v>0</v>
      </c>
      <c r="M175" s="223"/>
      <c r="N175" s="223"/>
      <c r="O175" s="224"/>
      <c r="P175" s="224"/>
    </row>
    <row r="176" spans="1:16" x14ac:dyDescent="0.2">
      <c r="A176" s="221">
        <v>163</v>
      </c>
      <c r="B176" s="225" t="s">
        <v>498</v>
      </c>
      <c r="C176" s="223">
        <f>96-96</f>
        <v>0</v>
      </c>
      <c r="D176" s="223"/>
      <c r="E176" s="223"/>
      <c r="F176" s="223">
        <f t="shared" si="4"/>
        <v>0</v>
      </c>
      <c r="G176" s="223"/>
      <c r="H176" s="223"/>
      <c r="I176" s="223">
        <f>113-113</f>
        <v>0</v>
      </c>
      <c r="J176" s="223"/>
      <c r="K176" s="223"/>
      <c r="L176" s="223">
        <f t="shared" si="5"/>
        <v>0</v>
      </c>
      <c r="M176" s="223"/>
      <c r="N176" s="223"/>
      <c r="O176" s="224"/>
      <c r="P176" s="224"/>
    </row>
    <row r="177" spans="1:16" x14ac:dyDescent="0.2">
      <c r="A177" s="221">
        <v>164</v>
      </c>
      <c r="B177" s="225" t="s">
        <v>499</v>
      </c>
      <c r="C177" s="223">
        <v>0</v>
      </c>
      <c r="D177" s="223"/>
      <c r="E177" s="223"/>
      <c r="F177" s="223">
        <f t="shared" si="4"/>
        <v>0</v>
      </c>
      <c r="G177" s="223"/>
      <c r="H177" s="223"/>
      <c r="I177" s="223">
        <f>113-113</f>
        <v>0</v>
      </c>
      <c r="J177" s="223"/>
      <c r="K177" s="223"/>
      <c r="L177" s="223">
        <f t="shared" si="5"/>
        <v>0</v>
      </c>
      <c r="M177" s="223"/>
      <c r="N177" s="223"/>
      <c r="O177" s="224"/>
      <c r="P177" s="224"/>
    </row>
    <row r="178" spans="1:16" x14ac:dyDescent="0.2">
      <c r="A178" s="221">
        <v>165</v>
      </c>
      <c r="B178" s="225" t="s">
        <v>354</v>
      </c>
      <c r="C178" s="223">
        <f>103-103</f>
        <v>0</v>
      </c>
      <c r="D178" s="223"/>
      <c r="E178" s="223"/>
      <c r="F178" s="223">
        <f t="shared" si="4"/>
        <v>0</v>
      </c>
      <c r="G178" s="223"/>
      <c r="H178" s="223"/>
      <c r="I178" s="223">
        <f>169-169</f>
        <v>0</v>
      </c>
      <c r="J178" s="223"/>
      <c r="K178" s="223"/>
      <c r="L178" s="223">
        <f t="shared" si="5"/>
        <v>0</v>
      </c>
      <c r="M178" s="223"/>
      <c r="N178" s="223"/>
      <c r="O178" s="224"/>
      <c r="P178" s="224"/>
    </row>
    <row r="179" spans="1:16" x14ac:dyDescent="0.2">
      <c r="A179" s="221">
        <v>166</v>
      </c>
      <c r="B179" s="225" t="s">
        <v>81</v>
      </c>
      <c r="C179" s="223">
        <v>0</v>
      </c>
      <c r="D179" s="223"/>
      <c r="E179" s="223"/>
      <c r="F179" s="223">
        <f t="shared" si="4"/>
        <v>467</v>
      </c>
      <c r="G179" s="223"/>
      <c r="H179" s="223"/>
      <c r="I179" s="223"/>
      <c r="J179" s="223">
        <f>457+10</f>
        <v>467</v>
      </c>
      <c r="K179" s="223"/>
      <c r="L179" s="223">
        <f t="shared" si="5"/>
        <v>0</v>
      </c>
      <c r="M179" s="223"/>
      <c r="N179" s="223"/>
      <c r="O179" s="224"/>
      <c r="P179" s="224"/>
    </row>
    <row r="180" spans="1:16" x14ac:dyDescent="0.2">
      <c r="A180" s="221">
        <v>167</v>
      </c>
      <c r="B180" s="225" t="s">
        <v>69</v>
      </c>
      <c r="C180" s="223">
        <f>13584+238+4617</f>
        <v>18439</v>
      </c>
      <c r="D180" s="223">
        <f>10854+238+1870</f>
        <v>12962</v>
      </c>
      <c r="E180" s="223"/>
      <c r="F180" s="223">
        <f t="shared" si="4"/>
        <v>1608</v>
      </c>
      <c r="G180" s="223"/>
      <c r="H180" s="223"/>
      <c r="I180" s="223"/>
      <c r="J180" s="223">
        <f>87+12-90</f>
        <v>9</v>
      </c>
      <c r="K180" s="223">
        <v>1599</v>
      </c>
      <c r="L180" s="223">
        <f t="shared" si="5"/>
        <v>0</v>
      </c>
      <c r="M180" s="223"/>
      <c r="N180" s="223"/>
      <c r="O180" s="224"/>
      <c r="P180" s="224"/>
    </row>
    <row r="181" spans="1:16" x14ac:dyDescent="0.2">
      <c r="A181" s="221">
        <v>168</v>
      </c>
      <c r="B181" s="225" t="s">
        <v>62</v>
      </c>
      <c r="C181" s="223">
        <v>12283</v>
      </c>
      <c r="D181" s="223"/>
      <c r="E181" s="223">
        <v>12283</v>
      </c>
      <c r="F181" s="223">
        <f t="shared" si="4"/>
        <v>23691</v>
      </c>
      <c r="G181" s="223"/>
      <c r="H181" s="223"/>
      <c r="I181" s="223">
        <v>23691</v>
      </c>
      <c r="J181" s="223"/>
      <c r="K181" s="223"/>
      <c r="L181" s="223">
        <f t="shared" si="5"/>
        <v>0</v>
      </c>
      <c r="M181" s="223"/>
      <c r="N181" s="223"/>
      <c r="O181" s="224"/>
      <c r="P181" s="224"/>
    </row>
    <row r="182" spans="1:16" x14ac:dyDescent="0.2">
      <c r="A182" s="221">
        <v>169</v>
      </c>
      <c r="B182" s="225" t="s">
        <v>356</v>
      </c>
      <c r="C182" s="223">
        <v>0</v>
      </c>
      <c r="D182" s="223"/>
      <c r="E182" s="223"/>
      <c r="F182" s="223">
        <f t="shared" si="4"/>
        <v>35562</v>
      </c>
      <c r="G182" s="223"/>
      <c r="H182" s="223"/>
      <c r="I182" s="223">
        <v>35562</v>
      </c>
      <c r="J182" s="223"/>
      <c r="K182" s="223"/>
      <c r="L182" s="223">
        <f t="shared" si="5"/>
        <v>0</v>
      </c>
      <c r="M182" s="223"/>
      <c r="N182" s="223"/>
      <c r="O182" s="224"/>
      <c r="P182" s="224"/>
    </row>
    <row r="183" spans="1:16" x14ac:dyDescent="0.2">
      <c r="A183" s="221">
        <v>170</v>
      </c>
      <c r="B183" s="225" t="s">
        <v>357</v>
      </c>
      <c r="C183" s="223">
        <v>0</v>
      </c>
      <c r="D183" s="223"/>
      <c r="E183" s="223"/>
      <c r="F183" s="223">
        <f t="shared" si="4"/>
        <v>35453</v>
      </c>
      <c r="G183" s="223"/>
      <c r="H183" s="223"/>
      <c r="I183" s="223">
        <v>35453</v>
      </c>
      <c r="J183" s="223"/>
      <c r="K183" s="223"/>
      <c r="L183" s="223">
        <f t="shared" si="5"/>
        <v>0</v>
      </c>
      <c r="M183" s="223"/>
      <c r="N183" s="223"/>
      <c r="O183" s="224"/>
      <c r="P183" s="224"/>
    </row>
    <row r="184" spans="1:16" x14ac:dyDescent="0.2">
      <c r="A184" s="221">
        <v>171</v>
      </c>
      <c r="B184" s="225" t="s">
        <v>70</v>
      </c>
      <c r="C184" s="223">
        <f>30000+1127</f>
        <v>31127</v>
      </c>
      <c r="D184" s="223"/>
      <c r="E184" s="223"/>
      <c r="F184" s="223">
        <f t="shared" si="4"/>
        <v>0</v>
      </c>
      <c r="G184" s="223"/>
      <c r="H184" s="223"/>
      <c r="I184" s="223"/>
      <c r="J184" s="223"/>
      <c r="K184" s="223"/>
      <c r="L184" s="223">
        <f t="shared" si="5"/>
        <v>0</v>
      </c>
      <c r="M184" s="223"/>
      <c r="N184" s="223"/>
      <c r="O184" s="224"/>
      <c r="P184" s="224"/>
    </row>
    <row r="185" spans="1:16" x14ac:dyDescent="0.2">
      <c r="A185" s="495">
        <v>172</v>
      </c>
      <c r="B185" s="225" t="s">
        <v>358</v>
      </c>
      <c r="C185" s="223">
        <f>48492-11</f>
        <v>48481</v>
      </c>
      <c r="D185" s="223">
        <f>34804-7000</f>
        <v>27804</v>
      </c>
      <c r="E185" s="223"/>
      <c r="F185" s="223">
        <f t="shared" si="4"/>
        <v>69935</v>
      </c>
      <c r="G185" s="223"/>
      <c r="H185" s="223"/>
      <c r="I185" s="223"/>
      <c r="J185" s="223"/>
      <c r="K185" s="223">
        <v>5128</v>
      </c>
      <c r="L185" s="223">
        <f t="shared" si="5"/>
        <v>64807</v>
      </c>
      <c r="M185" s="223">
        <v>17714</v>
      </c>
      <c r="N185" s="223">
        <v>47093</v>
      </c>
      <c r="O185" s="224"/>
      <c r="P185" s="224"/>
    </row>
    <row r="186" spans="1:16" s="242" customFormat="1" ht="39.75" customHeight="1" x14ac:dyDescent="0.2">
      <c r="A186" s="496"/>
      <c r="B186" s="241" t="s">
        <v>65</v>
      </c>
      <c r="C186" s="228">
        <v>33814</v>
      </c>
      <c r="D186" s="228"/>
      <c r="E186" s="228"/>
      <c r="F186" s="223">
        <f t="shared" si="4"/>
        <v>119519</v>
      </c>
      <c r="G186" s="228"/>
      <c r="H186" s="228"/>
      <c r="I186" s="228"/>
      <c r="J186" s="228"/>
      <c r="K186" s="228"/>
      <c r="L186" s="228">
        <f t="shared" si="5"/>
        <v>119519</v>
      </c>
      <c r="M186" s="228">
        <v>24314</v>
      </c>
      <c r="N186" s="228">
        <v>95205</v>
      </c>
      <c r="O186" s="224"/>
      <c r="P186" s="224"/>
    </row>
    <row r="187" spans="1:16" x14ac:dyDescent="0.2">
      <c r="A187" s="221">
        <v>173</v>
      </c>
      <c r="B187" s="225" t="s">
        <v>359</v>
      </c>
      <c r="C187" s="223">
        <v>4000</v>
      </c>
      <c r="D187" s="223"/>
      <c r="E187" s="223"/>
      <c r="F187" s="223">
        <f t="shared" si="4"/>
        <v>0</v>
      </c>
      <c r="G187" s="223"/>
      <c r="H187" s="223"/>
      <c r="I187" s="223"/>
      <c r="J187" s="223"/>
      <c r="K187" s="223"/>
      <c r="L187" s="223">
        <f t="shared" si="5"/>
        <v>0</v>
      </c>
      <c r="M187" s="223"/>
      <c r="N187" s="223"/>
      <c r="O187" s="224"/>
      <c r="P187" s="224"/>
    </row>
    <row r="188" spans="1:16" x14ac:dyDescent="0.2">
      <c r="A188" s="221">
        <v>174</v>
      </c>
      <c r="B188" s="225" t="s">
        <v>360</v>
      </c>
      <c r="C188" s="223">
        <v>0</v>
      </c>
      <c r="D188" s="223"/>
      <c r="E188" s="223"/>
      <c r="F188" s="223">
        <f t="shared" si="4"/>
        <v>13410</v>
      </c>
      <c r="G188" s="223"/>
      <c r="H188" s="223"/>
      <c r="I188" s="223">
        <v>13410</v>
      </c>
      <c r="J188" s="223"/>
      <c r="K188" s="223"/>
      <c r="L188" s="223">
        <f t="shared" si="5"/>
        <v>0</v>
      </c>
      <c r="M188" s="223"/>
      <c r="N188" s="223"/>
      <c r="O188" s="224"/>
      <c r="P188" s="224"/>
    </row>
    <row r="189" spans="1:16" x14ac:dyDescent="0.2">
      <c r="A189" s="221">
        <v>175</v>
      </c>
      <c r="B189" s="225" t="s">
        <v>500</v>
      </c>
      <c r="C189" s="223">
        <v>0</v>
      </c>
      <c r="D189" s="223"/>
      <c r="E189" s="223"/>
      <c r="F189" s="223">
        <f t="shared" si="4"/>
        <v>894</v>
      </c>
      <c r="G189" s="223"/>
      <c r="H189" s="223"/>
      <c r="I189" s="223">
        <v>894</v>
      </c>
      <c r="J189" s="223"/>
      <c r="K189" s="223"/>
      <c r="L189" s="223">
        <f t="shared" si="5"/>
        <v>0</v>
      </c>
      <c r="M189" s="223"/>
      <c r="N189" s="223"/>
      <c r="O189" s="224"/>
      <c r="P189" s="224"/>
    </row>
    <row r="190" spans="1:16" x14ac:dyDescent="0.2">
      <c r="A190" s="243"/>
      <c r="B190" s="225" t="s">
        <v>66</v>
      </c>
      <c r="C190" s="223">
        <v>9204</v>
      </c>
      <c r="D190" s="223"/>
      <c r="E190" s="223"/>
      <c r="F190" s="223">
        <f>20307-7295+957</f>
        <v>13969</v>
      </c>
      <c r="G190" s="223"/>
      <c r="H190" s="223"/>
      <c r="I190" s="223"/>
      <c r="J190" s="223">
        <v>957</v>
      </c>
      <c r="K190" s="223"/>
      <c r="L190" s="223">
        <f t="shared" si="5"/>
        <v>0</v>
      </c>
      <c r="M190" s="223"/>
      <c r="N190" s="223"/>
      <c r="O190" s="224"/>
      <c r="P190" s="224"/>
    </row>
    <row r="191" spans="1:16" x14ac:dyDescent="0.2">
      <c r="A191" s="71"/>
      <c r="B191" s="71" t="s">
        <v>52</v>
      </c>
      <c r="C191" s="244">
        <f t="shared" ref="C191:N191" si="6">SUM(C7:C190)</f>
        <v>2272164</v>
      </c>
      <c r="D191" s="244">
        <f t="shared" si="6"/>
        <v>121749</v>
      </c>
      <c r="E191" s="244">
        <f t="shared" si="6"/>
        <v>25965</v>
      </c>
      <c r="F191" s="244">
        <f t="shared" si="6"/>
        <v>7181662.0068818731</v>
      </c>
      <c r="G191" s="244">
        <f t="shared" si="6"/>
        <v>69028</v>
      </c>
      <c r="H191" s="244">
        <f t="shared" si="6"/>
        <v>11490</v>
      </c>
      <c r="I191" s="244">
        <f t="shared" si="6"/>
        <v>532325</v>
      </c>
      <c r="J191" s="244">
        <f t="shared" si="6"/>
        <v>10716</v>
      </c>
      <c r="K191" s="244">
        <f t="shared" si="6"/>
        <v>17732</v>
      </c>
      <c r="L191" s="244">
        <f t="shared" si="6"/>
        <v>6527359.0068818731</v>
      </c>
      <c r="M191" s="244">
        <f t="shared" si="6"/>
        <v>1674845.0068818741</v>
      </c>
      <c r="N191" s="244">
        <f t="shared" si="6"/>
        <v>4852514</v>
      </c>
      <c r="O191" s="224"/>
      <c r="P191" s="224"/>
    </row>
    <row r="192" spans="1:16" x14ac:dyDescent="0.2">
      <c r="F192" s="245"/>
    </row>
    <row r="193" spans="3:14" x14ac:dyDescent="0.2">
      <c r="C193" s="217"/>
      <c r="D193" s="217"/>
      <c r="E193" s="217"/>
      <c r="F193" s="245"/>
      <c r="G193" s="246"/>
      <c r="H193" s="246"/>
      <c r="I193" s="246"/>
      <c r="J193" s="246"/>
      <c r="K193" s="246"/>
      <c r="L193" s="246"/>
      <c r="M193" s="246"/>
      <c r="N193" s="246"/>
    </row>
    <row r="194" spans="3:14" x14ac:dyDescent="0.2">
      <c r="F194" s="245"/>
    </row>
    <row r="195" spans="3:14" x14ac:dyDescent="0.2">
      <c r="F195" s="245"/>
    </row>
  </sheetData>
  <mergeCells count="23">
    <mergeCell ref="A1:N1"/>
    <mergeCell ref="A3:A6"/>
    <mergeCell ref="B3:B6"/>
    <mergeCell ref="C3:C6"/>
    <mergeCell ref="D3:E4"/>
    <mergeCell ref="F3:F6"/>
    <mergeCell ref="G3:N3"/>
    <mergeCell ref="G4:G6"/>
    <mergeCell ref="H4:H6"/>
    <mergeCell ref="I4:I6"/>
    <mergeCell ref="A185:A186"/>
    <mergeCell ref="J4:J6"/>
    <mergeCell ref="K4:K6"/>
    <mergeCell ref="L4:N4"/>
    <mergeCell ref="D5:D6"/>
    <mergeCell ref="E5:E6"/>
    <mergeCell ref="L5:L6"/>
    <mergeCell ref="M5:N5"/>
    <mergeCell ref="A11:A12"/>
    <mergeCell ref="A51:A52"/>
    <mergeCell ref="A56:A58"/>
    <mergeCell ref="A61:A62"/>
    <mergeCell ref="A129:A13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J11" sqref="J11"/>
    </sheetView>
  </sheetViews>
  <sheetFormatPr defaultRowHeight="15" x14ac:dyDescent="0.25"/>
  <cols>
    <col min="1" max="1" width="4.42578125" style="215" customWidth="1"/>
    <col min="2" max="2" width="36" style="202" customWidth="1"/>
    <col min="3" max="3" width="12" style="203" customWidth="1"/>
    <col min="4" max="6" width="7.7109375" style="203" customWidth="1"/>
    <col min="7" max="19" width="7.7109375" style="202" customWidth="1"/>
    <col min="20" max="20" width="9.140625" style="202"/>
    <col min="21" max="16384" width="9.140625" style="203"/>
  </cols>
  <sheetData>
    <row r="1" spans="1:20" ht="15.75" x14ac:dyDescent="0.25">
      <c r="A1" s="199"/>
      <c r="B1" s="200"/>
      <c r="C1" s="201"/>
      <c r="D1" s="201"/>
      <c r="E1" s="201"/>
      <c r="F1" s="201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517"/>
      <c r="S1" s="517"/>
    </row>
    <row r="2" spans="1:20" ht="40.5" customHeight="1" x14ac:dyDescent="0.25">
      <c r="A2" s="518" t="s">
        <v>397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200"/>
    </row>
    <row r="3" spans="1:20" ht="15.75" x14ac:dyDescent="0.25">
      <c r="A3" s="199"/>
      <c r="B3" s="200"/>
      <c r="C3" s="201"/>
      <c r="D3" s="201"/>
      <c r="E3" s="201"/>
      <c r="F3" s="201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20" ht="26.25" customHeight="1" x14ac:dyDescent="0.25">
      <c r="A4" s="520" t="s">
        <v>0</v>
      </c>
      <c r="B4" s="520" t="s">
        <v>174</v>
      </c>
      <c r="C4" s="520" t="s">
        <v>398</v>
      </c>
      <c r="D4" s="521" t="s">
        <v>399</v>
      </c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</row>
    <row r="5" spans="1:20" s="206" customFormat="1" ht="111.75" customHeight="1" x14ac:dyDescent="0.25">
      <c r="A5" s="520"/>
      <c r="B5" s="520"/>
      <c r="C5" s="520"/>
      <c r="D5" s="204" t="s">
        <v>400</v>
      </c>
      <c r="E5" s="204" t="s">
        <v>401</v>
      </c>
      <c r="F5" s="204" t="s">
        <v>402</v>
      </c>
      <c r="G5" s="204" t="s">
        <v>403</v>
      </c>
      <c r="H5" s="204" t="s">
        <v>404</v>
      </c>
      <c r="I5" s="204" t="s">
        <v>405</v>
      </c>
      <c r="J5" s="204" t="s">
        <v>406</v>
      </c>
      <c r="K5" s="204" t="s">
        <v>407</v>
      </c>
      <c r="L5" s="204" t="s">
        <v>408</v>
      </c>
      <c r="M5" s="204" t="s">
        <v>409</v>
      </c>
      <c r="N5" s="204" t="s">
        <v>410</v>
      </c>
      <c r="O5" s="204" t="s">
        <v>411</v>
      </c>
      <c r="P5" s="204" t="s">
        <v>412</v>
      </c>
      <c r="Q5" s="204" t="s">
        <v>413</v>
      </c>
      <c r="R5" s="204" t="s">
        <v>414</v>
      </c>
      <c r="S5" s="204" t="s">
        <v>415</v>
      </c>
      <c r="T5" s="205"/>
    </row>
    <row r="6" spans="1:20" ht="30" customHeight="1" x14ac:dyDescent="0.25">
      <c r="A6" s="207">
        <v>1</v>
      </c>
      <c r="B6" s="17" t="s">
        <v>416</v>
      </c>
      <c r="C6" s="187">
        <f>D6+E6+G6+H6+I6+J6+K6+L6+M6+N6+O6+P6+Q6+R6+F6</f>
        <v>175</v>
      </c>
      <c r="D6" s="187">
        <v>50</v>
      </c>
      <c r="E6" s="187">
        <v>100</v>
      </c>
      <c r="F6" s="207"/>
      <c r="G6" s="204"/>
      <c r="H6" s="204"/>
      <c r="I6" s="204"/>
      <c r="J6" s="204"/>
      <c r="K6" s="204"/>
      <c r="L6" s="204"/>
      <c r="M6" s="204"/>
      <c r="N6" s="204"/>
      <c r="O6" s="204"/>
      <c r="P6" s="208">
        <v>25</v>
      </c>
      <c r="Q6" s="204"/>
      <c r="R6" s="204"/>
      <c r="S6" s="209"/>
    </row>
    <row r="7" spans="1:20" ht="30" customHeight="1" x14ac:dyDescent="0.25">
      <c r="A7" s="207">
        <v>2</v>
      </c>
      <c r="B7" s="17" t="s">
        <v>417</v>
      </c>
      <c r="C7" s="187">
        <f t="shared" ref="C7:C54" si="0">D7+E7+G7+H7+I7+J7+K7+L7+M7+N7+O7+P7+Q7+R7+F7</f>
        <v>1788</v>
      </c>
      <c r="D7" s="187">
        <v>1788</v>
      </c>
      <c r="E7" s="207"/>
      <c r="F7" s="207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9"/>
    </row>
    <row r="8" spans="1:20" ht="30" customHeight="1" x14ac:dyDescent="0.25">
      <c r="A8" s="207">
        <v>3</v>
      </c>
      <c r="B8" s="17" t="s">
        <v>418</v>
      </c>
      <c r="C8" s="187">
        <f t="shared" si="0"/>
        <v>670</v>
      </c>
      <c r="D8" s="187">
        <v>670</v>
      </c>
      <c r="E8" s="207"/>
      <c r="F8" s="207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9"/>
    </row>
    <row r="9" spans="1:20" ht="30" customHeight="1" x14ac:dyDescent="0.25">
      <c r="A9" s="207">
        <v>4</v>
      </c>
      <c r="B9" s="17" t="s">
        <v>419</v>
      </c>
      <c r="C9" s="187">
        <f t="shared" si="0"/>
        <v>894</v>
      </c>
      <c r="D9" s="187">
        <v>894</v>
      </c>
      <c r="E9" s="207"/>
      <c r="F9" s="207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9"/>
    </row>
    <row r="10" spans="1:20" ht="30" customHeight="1" x14ac:dyDescent="0.25">
      <c r="A10" s="207">
        <v>5</v>
      </c>
      <c r="B10" s="17" t="s">
        <v>420</v>
      </c>
      <c r="C10" s="187">
        <f t="shared" si="0"/>
        <v>150</v>
      </c>
      <c r="D10" s="187">
        <v>50</v>
      </c>
      <c r="E10" s="187">
        <v>100</v>
      </c>
      <c r="F10" s="207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9"/>
    </row>
    <row r="11" spans="1:20" ht="30" customHeight="1" x14ac:dyDescent="0.25">
      <c r="A11" s="207">
        <v>6</v>
      </c>
      <c r="B11" s="17" t="s">
        <v>421</v>
      </c>
      <c r="C11" s="187">
        <f t="shared" si="0"/>
        <v>50</v>
      </c>
      <c r="D11" s="187">
        <v>50</v>
      </c>
      <c r="E11" s="210"/>
      <c r="F11" s="210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9"/>
    </row>
    <row r="12" spans="1:20" ht="30" customHeight="1" x14ac:dyDescent="0.25">
      <c r="A12" s="207">
        <v>7</v>
      </c>
      <c r="B12" s="17" t="s">
        <v>422</v>
      </c>
      <c r="C12" s="187">
        <f t="shared" si="0"/>
        <v>27</v>
      </c>
      <c r="D12" s="187">
        <f>50-23</f>
        <v>27</v>
      </c>
      <c r="E12" s="210"/>
      <c r="F12" s="210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9"/>
    </row>
    <row r="13" spans="1:20" ht="30" customHeight="1" x14ac:dyDescent="0.25">
      <c r="A13" s="207">
        <v>8</v>
      </c>
      <c r="B13" s="17" t="s">
        <v>423</v>
      </c>
      <c r="C13" s="187">
        <f t="shared" si="0"/>
        <v>50</v>
      </c>
      <c r="D13" s="187">
        <v>50</v>
      </c>
      <c r="E13" s="210"/>
      <c r="F13" s="210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9"/>
    </row>
    <row r="14" spans="1:20" ht="30" customHeight="1" x14ac:dyDescent="0.25">
      <c r="A14" s="207">
        <v>9</v>
      </c>
      <c r="B14" s="17" t="s">
        <v>424</v>
      </c>
      <c r="C14" s="187">
        <f t="shared" si="0"/>
        <v>100</v>
      </c>
      <c r="D14" s="207"/>
      <c r="E14" s="211">
        <v>100</v>
      </c>
      <c r="F14" s="210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9"/>
    </row>
    <row r="15" spans="1:20" ht="30" customHeight="1" x14ac:dyDescent="0.25">
      <c r="A15" s="207">
        <v>10</v>
      </c>
      <c r="B15" s="17" t="s">
        <v>425</v>
      </c>
      <c r="C15" s="187">
        <f t="shared" si="0"/>
        <v>447</v>
      </c>
      <c r="D15" s="187">
        <v>447</v>
      </c>
      <c r="E15" s="210"/>
      <c r="F15" s="210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9"/>
    </row>
    <row r="16" spans="1:20" ht="30" customHeight="1" x14ac:dyDescent="0.25">
      <c r="A16" s="207">
        <v>11</v>
      </c>
      <c r="B16" s="17" t="s">
        <v>426</v>
      </c>
      <c r="C16" s="187">
        <f t="shared" si="0"/>
        <v>100</v>
      </c>
      <c r="D16" s="207"/>
      <c r="E16" s="211">
        <v>100</v>
      </c>
      <c r="F16" s="210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9"/>
    </row>
    <row r="17" spans="1:19" s="203" customFormat="1" ht="24" x14ac:dyDescent="0.25">
      <c r="A17" s="207">
        <v>12</v>
      </c>
      <c r="B17" s="17" t="s">
        <v>427</v>
      </c>
      <c r="C17" s="187">
        <f t="shared" si="0"/>
        <v>275</v>
      </c>
      <c r="D17" s="187">
        <v>50</v>
      </c>
      <c r="E17" s="211">
        <v>100</v>
      </c>
      <c r="F17" s="210"/>
      <c r="G17" s="208">
        <v>25</v>
      </c>
      <c r="H17" s="204"/>
      <c r="I17" s="208">
        <v>25</v>
      </c>
      <c r="J17" s="204"/>
      <c r="K17" s="204"/>
      <c r="L17" s="208">
        <v>25</v>
      </c>
      <c r="M17" s="204"/>
      <c r="N17" s="208">
        <v>25</v>
      </c>
      <c r="O17" s="204"/>
      <c r="P17" s="204"/>
      <c r="Q17" s="204"/>
      <c r="R17" s="208">
        <v>25</v>
      </c>
      <c r="S17" s="209"/>
    </row>
    <row r="18" spans="1:19" s="203" customFormat="1" ht="24" x14ac:dyDescent="0.25">
      <c r="A18" s="207">
        <v>13</v>
      </c>
      <c r="B18" s="17" t="s">
        <v>428</v>
      </c>
      <c r="C18" s="187">
        <f t="shared" si="0"/>
        <v>36</v>
      </c>
      <c r="D18" s="187"/>
      <c r="E18" s="210">
        <f>100-81</f>
        <v>19</v>
      </c>
      <c r="F18" s="211">
        <f>25-25</f>
        <v>0</v>
      </c>
      <c r="G18" s="208">
        <f>25-25</f>
        <v>0</v>
      </c>
      <c r="H18" s="204"/>
      <c r="I18" s="208">
        <f>25-8</f>
        <v>17</v>
      </c>
      <c r="J18" s="204"/>
      <c r="K18" s="204"/>
      <c r="L18" s="204"/>
      <c r="M18" s="204"/>
      <c r="N18" s="204"/>
      <c r="O18" s="208">
        <f>25-25</f>
        <v>0</v>
      </c>
      <c r="P18" s="204"/>
      <c r="Q18" s="204"/>
      <c r="R18" s="204"/>
      <c r="S18" s="209"/>
    </row>
    <row r="19" spans="1:19" s="203" customFormat="1" x14ac:dyDescent="0.25">
      <c r="A19" s="207">
        <v>14</v>
      </c>
      <c r="B19" s="17" t="s">
        <v>429</v>
      </c>
      <c r="C19" s="187">
        <f t="shared" si="0"/>
        <v>572</v>
      </c>
      <c r="D19" s="187">
        <v>572</v>
      </c>
      <c r="E19" s="210"/>
      <c r="F19" s="210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9"/>
    </row>
    <row r="20" spans="1:19" s="203" customFormat="1" x14ac:dyDescent="0.25">
      <c r="A20" s="207">
        <v>15</v>
      </c>
      <c r="B20" s="17" t="s">
        <v>430</v>
      </c>
      <c r="C20" s="187">
        <f t="shared" si="0"/>
        <v>597</v>
      </c>
      <c r="D20" s="187">
        <v>572</v>
      </c>
      <c r="E20" s="211">
        <v>25</v>
      </c>
      <c r="F20" s="210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9"/>
    </row>
    <row r="21" spans="1:19" s="203" customFormat="1" x14ac:dyDescent="0.25">
      <c r="A21" s="207">
        <v>16</v>
      </c>
      <c r="B21" s="17" t="s">
        <v>431</v>
      </c>
      <c r="C21" s="187">
        <f t="shared" si="0"/>
        <v>572</v>
      </c>
      <c r="D21" s="187">
        <v>572</v>
      </c>
      <c r="E21" s="210"/>
      <c r="F21" s="210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9"/>
    </row>
    <row r="22" spans="1:19" s="203" customFormat="1" x14ac:dyDescent="0.25">
      <c r="A22" s="207">
        <v>17</v>
      </c>
      <c r="B22" s="17" t="s">
        <v>432</v>
      </c>
      <c r="C22" s="187">
        <f t="shared" si="0"/>
        <v>572</v>
      </c>
      <c r="D22" s="187">
        <v>572</v>
      </c>
      <c r="E22" s="210"/>
      <c r="F22" s="210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9"/>
    </row>
    <row r="23" spans="1:19" s="203" customFormat="1" x14ac:dyDescent="0.25">
      <c r="A23" s="207">
        <v>18</v>
      </c>
      <c r="B23" s="17" t="s">
        <v>433</v>
      </c>
      <c r="C23" s="187">
        <f t="shared" si="0"/>
        <v>572</v>
      </c>
      <c r="D23" s="187">
        <v>572</v>
      </c>
      <c r="E23" s="210"/>
      <c r="F23" s="210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9"/>
    </row>
    <row r="24" spans="1:19" s="203" customFormat="1" x14ac:dyDescent="0.25">
      <c r="A24" s="207">
        <v>19</v>
      </c>
      <c r="B24" s="17" t="s">
        <v>434</v>
      </c>
      <c r="C24" s="187">
        <f t="shared" si="0"/>
        <v>572</v>
      </c>
      <c r="D24" s="187">
        <v>572</v>
      </c>
      <c r="E24" s="210"/>
      <c r="F24" s="210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9"/>
    </row>
    <row r="25" spans="1:19" s="203" customFormat="1" x14ac:dyDescent="0.25">
      <c r="A25" s="207">
        <v>20</v>
      </c>
      <c r="B25" s="17" t="s">
        <v>435</v>
      </c>
      <c r="C25" s="187">
        <f t="shared" si="0"/>
        <v>572</v>
      </c>
      <c r="D25" s="187">
        <v>572</v>
      </c>
      <c r="E25" s="210"/>
      <c r="F25" s="210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9"/>
    </row>
    <row r="26" spans="1:19" s="203" customFormat="1" x14ac:dyDescent="0.25">
      <c r="A26" s="207">
        <v>21</v>
      </c>
      <c r="B26" s="17" t="s">
        <v>436</v>
      </c>
      <c r="C26" s="187">
        <f t="shared" si="0"/>
        <v>572</v>
      </c>
      <c r="D26" s="187">
        <v>572</v>
      </c>
      <c r="E26" s="210"/>
      <c r="F26" s="210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9"/>
    </row>
    <row r="27" spans="1:19" s="203" customFormat="1" x14ac:dyDescent="0.25">
      <c r="A27" s="207">
        <v>22</v>
      </c>
      <c r="B27" s="190" t="s">
        <v>437</v>
      </c>
      <c r="C27" s="187">
        <f t="shared" si="0"/>
        <v>325</v>
      </c>
      <c r="D27" s="187">
        <v>250</v>
      </c>
      <c r="E27" s="211">
        <v>25</v>
      </c>
      <c r="F27" s="210"/>
      <c r="G27" s="204"/>
      <c r="H27" s="204"/>
      <c r="I27" s="204">
        <v>25</v>
      </c>
      <c r="J27" s="204"/>
      <c r="K27" s="204"/>
      <c r="L27" s="204"/>
      <c r="M27" s="204"/>
      <c r="N27" s="204"/>
      <c r="O27" s="204"/>
      <c r="P27" s="204">
        <v>25</v>
      </c>
      <c r="Q27" s="204"/>
      <c r="R27" s="204"/>
      <c r="S27" s="209"/>
    </row>
    <row r="28" spans="1:19" s="203" customFormat="1" x14ac:dyDescent="0.25">
      <c r="A28" s="207">
        <v>23</v>
      </c>
      <c r="B28" s="212" t="s">
        <v>438</v>
      </c>
      <c r="C28" s="187">
        <f t="shared" si="0"/>
        <v>0</v>
      </c>
      <c r="D28" s="187"/>
      <c r="E28" s="211">
        <f>25-25</f>
        <v>0</v>
      </c>
      <c r="F28" s="210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9"/>
    </row>
    <row r="29" spans="1:19" s="203" customFormat="1" x14ac:dyDescent="0.25">
      <c r="A29" s="207">
        <v>24</v>
      </c>
      <c r="B29" s="212" t="s">
        <v>439</v>
      </c>
      <c r="C29" s="187">
        <f>D29+E29+G29+H29+I29+J29+K29+L29+M29+N29+O29+P29+Q29+R29+F29+S29</f>
        <v>0</v>
      </c>
      <c r="D29" s="187"/>
      <c r="E29" s="211">
        <f>25-25</f>
        <v>0</v>
      </c>
      <c r="F29" s="211">
        <f>25-25</f>
        <v>0</v>
      </c>
      <c r="G29" s="204"/>
      <c r="H29" s="204"/>
      <c r="I29" s="208">
        <f>25-25</f>
        <v>0</v>
      </c>
      <c r="J29" s="204"/>
      <c r="K29" s="204"/>
      <c r="L29" s="208">
        <f>25-25</f>
        <v>0</v>
      </c>
      <c r="M29" s="204"/>
      <c r="N29" s="204"/>
      <c r="O29" s="204"/>
      <c r="P29" s="204"/>
      <c r="Q29" s="204"/>
      <c r="R29" s="208">
        <f>25-25</f>
        <v>0</v>
      </c>
      <c r="S29" s="208">
        <f>25-25</f>
        <v>0</v>
      </c>
    </row>
    <row r="30" spans="1:19" s="203" customFormat="1" x14ac:dyDescent="0.25">
      <c r="A30" s="207">
        <v>25</v>
      </c>
      <c r="B30" s="190" t="s">
        <v>440</v>
      </c>
      <c r="C30" s="187">
        <f t="shared" si="0"/>
        <v>113</v>
      </c>
      <c r="D30" s="187">
        <v>113</v>
      </c>
      <c r="E30" s="210"/>
      <c r="F30" s="210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9"/>
    </row>
    <row r="31" spans="1:19" s="203" customFormat="1" x14ac:dyDescent="0.25">
      <c r="A31" s="207">
        <f>A30+1</f>
        <v>26</v>
      </c>
      <c r="B31" s="190" t="s">
        <v>441</v>
      </c>
      <c r="C31" s="187">
        <f t="shared" si="0"/>
        <v>56</v>
      </c>
      <c r="D31" s="207"/>
      <c r="E31" s="211">
        <v>31</v>
      </c>
      <c r="F31" s="210"/>
      <c r="G31" s="208">
        <v>25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9"/>
    </row>
    <row r="32" spans="1:19" s="203" customFormat="1" x14ac:dyDescent="0.25">
      <c r="A32" s="207">
        <f>A31+1</f>
        <v>27</v>
      </c>
      <c r="B32" s="190" t="s">
        <v>442</v>
      </c>
      <c r="C32" s="187">
        <f t="shared" si="0"/>
        <v>19</v>
      </c>
      <c r="D32" s="187">
        <f>113-94</f>
        <v>19</v>
      </c>
      <c r="E32" s="210"/>
      <c r="F32" s="210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9"/>
    </row>
    <row r="33" spans="1:19" s="203" customFormat="1" x14ac:dyDescent="0.25">
      <c r="A33" s="207">
        <f t="shared" ref="A33:A53" si="1">A32+1</f>
        <v>28</v>
      </c>
      <c r="B33" s="190" t="s">
        <v>443</v>
      </c>
      <c r="C33" s="187">
        <f t="shared" si="0"/>
        <v>113</v>
      </c>
      <c r="D33" s="187">
        <v>113</v>
      </c>
      <c r="E33" s="210"/>
      <c r="F33" s="210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9"/>
    </row>
    <row r="34" spans="1:19" s="203" customFormat="1" x14ac:dyDescent="0.25">
      <c r="A34" s="207">
        <f t="shared" si="1"/>
        <v>29</v>
      </c>
      <c r="B34" s="190" t="s">
        <v>444</v>
      </c>
      <c r="C34" s="187">
        <f t="shared" si="0"/>
        <v>31</v>
      </c>
      <c r="D34" s="207"/>
      <c r="E34" s="210">
        <v>31</v>
      </c>
      <c r="F34" s="210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9"/>
    </row>
    <row r="35" spans="1:19" s="203" customFormat="1" x14ac:dyDescent="0.25">
      <c r="A35" s="207">
        <f t="shared" si="1"/>
        <v>30</v>
      </c>
      <c r="B35" s="190" t="s">
        <v>445</v>
      </c>
      <c r="C35" s="187">
        <f t="shared" si="0"/>
        <v>26</v>
      </c>
      <c r="D35" s="207"/>
      <c r="E35" s="211">
        <v>26</v>
      </c>
      <c r="F35" s="210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9"/>
    </row>
    <row r="36" spans="1:19" s="203" customFormat="1" x14ac:dyDescent="0.25">
      <c r="A36" s="207">
        <f t="shared" si="1"/>
        <v>31</v>
      </c>
      <c r="B36" s="190" t="s">
        <v>446</v>
      </c>
      <c r="C36" s="187">
        <f t="shared" si="0"/>
        <v>0</v>
      </c>
      <c r="D36" s="187">
        <v>0</v>
      </c>
      <c r="E36" s="211">
        <v>0</v>
      </c>
      <c r="F36" s="210"/>
      <c r="G36" s="204"/>
      <c r="H36" s="204"/>
      <c r="I36" s="208">
        <v>0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9"/>
    </row>
    <row r="37" spans="1:19" s="203" customFormat="1" x14ac:dyDescent="0.25">
      <c r="A37" s="207">
        <f t="shared" si="1"/>
        <v>32</v>
      </c>
      <c r="B37" s="190" t="s">
        <v>447</v>
      </c>
      <c r="C37" s="187">
        <f t="shared" si="0"/>
        <v>0</v>
      </c>
      <c r="D37" s="187">
        <f>113-113</f>
        <v>0</v>
      </c>
      <c r="E37" s="210"/>
      <c r="F37" s="210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9"/>
    </row>
    <row r="38" spans="1:19" s="203" customFormat="1" x14ac:dyDescent="0.25">
      <c r="A38" s="207">
        <f t="shared" si="1"/>
        <v>33</v>
      </c>
      <c r="B38" s="190" t="s">
        <v>448</v>
      </c>
      <c r="C38" s="187">
        <f t="shared" si="0"/>
        <v>459</v>
      </c>
      <c r="D38" s="187">
        <v>113</v>
      </c>
      <c r="E38" s="211">
        <v>31</v>
      </c>
      <c r="F38" s="211">
        <v>25</v>
      </c>
      <c r="G38" s="208">
        <v>25</v>
      </c>
      <c r="H38" s="208">
        <v>25</v>
      </c>
      <c r="I38" s="208">
        <v>25</v>
      </c>
      <c r="J38" s="208">
        <v>25</v>
      </c>
      <c r="K38" s="208">
        <v>25</v>
      </c>
      <c r="L38" s="208">
        <v>25</v>
      </c>
      <c r="M38" s="208">
        <v>25</v>
      </c>
      <c r="N38" s="208">
        <v>15</v>
      </c>
      <c r="O38" s="208">
        <v>25</v>
      </c>
      <c r="P38" s="208">
        <v>25</v>
      </c>
      <c r="Q38" s="208">
        <v>25</v>
      </c>
      <c r="R38" s="208">
        <v>25</v>
      </c>
      <c r="S38" s="209"/>
    </row>
    <row r="39" spans="1:19" s="203" customFormat="1" x14ac:dyDescent="0.25">
      <c r="A39" s="207">
        <f t="shared" si="1"/>
        <v>34</v>
      </c>
      <c r="B39" s="190" t="s">
        <v>449</v>
      </c>
      <c r="C39" s="187">
        <f t="shared" si="0"/>
        <v>56</v>
      </c>
      <c r="D39" s="207"/>
      <c r="E39" s="211">
        <v>31</v>
      </c>
      <c r="F39" s="210"/>
      <c r="G39" s="204"/>
      <c r="H39" s="204"/>
      <c r="I39" s="204"/>
      <c r="J39" s="204"/>
      <c r="K39" s="204"/>
      <c r="L39" s="208">
        <v>25</v>
      </c>
      <c r="M39" s="204"/>
      <c r="N39" s="204"/>
      <c r="O39" s="204"/>
      <c r="P39" s="204"/>
      <c r="Q39" s="204"/>
      <c r="R39" s="204"/>
      <c r="S39" s="209"/>
    </row>
    <row r="40" spans="1:19" s="203" customFormat="1" x14ac:dyDescent="0.25">
      <c r="A40" s="207">
        <f t="shared" si="1"/>
        <v>35</v>
      </c>
      <c r="B40" s="190" t="s">
        <v>450</v>
      </c>
      <c r="C40" s="187">
        <f t="shared" si="0"/>
        <v>0</v>
      </c>
      <c r="D40" s="207"/>
      <c r="E40" s="211">
        <v>0</v>
      </c>
      <c r="F40" s="210"/>
      <c r="G40" s="204"/>
      <c r="H40" s="204"/>
      <c r="I40" s="204"/>
      <c r="J40" s="204"/>
      <c r="K40" s="204"/>
      <c r="L40" s="208">
        <v>0</v>
      </c>
      <c r="M40" s="204"/>
      <c r="N40" s="204"/>
      <c r="O40" s="204"/>
      <c r="P40" s="204"/>
      <c r="Q40" s="204"/>
      <c r="R40" s="204"/>
      <c r="S40" s="209"/>
    </row>
    <row r="41" spans="1:19" s="203" customFormat="1" x14ac:dyDescent="0.25">
      <c r="A41" s="207">
        <f t="shared" si="1"/>
        <v>36</v>
      </c>
      <c r="B41" s="190" t="s">
        <v>451</v>
      </c>
      <c r="C41" s="187">
        <f t="shared" si="0"/>
        <v>0</v>
      </c>
      <c r="D41" s="207"/>
      <c r="E41" s="211">
        <v>0</v>
      </c>
      <c r="F41" s="210"/>
      <c r="G41" s="204"/>
      <c r="H41" s="204"/>
      <c r="I41" s="208">
        <v>0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9"/>
    </row>
    <row r="42" spans="1:19" s="203" customFormat="1" x14ac:dyDescent="0.25">
      <c r="A42" s="207">
        <f t="shared" si="1"/>
        <v>37</v>
      </c>
      <c r="B42" s="190" t="s">
        <v>452</v>
      </c>
      <c r="C42" s="187">
        <f t="shared" si="0"/>
        <v>0</v>
      </c>
      <c r="D42" s="207"/>
      <c r="E42" s="211">
        <v>0</v>
      </c>
      <c r="F42" s="210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9"/>
    </row>
    <row r="43" spans="1:19" s="203" customFormat="1" x14ac:dyDescent="0.25">
      <c r="A43" s="207">
        <f t="shared" si="1"/>
        <v>38</v>
      </c>
      <c r="B43" s="190" t="s">
        <v>453</v>
      </c>
      <c r="C43" s="187">
        <f t="shared" si="0"/>
        <v>113</v>
      </c>
      <c r="D43" s="187">
        <v>113</v>
      </c>
      <c r="E43" s="210"/>
      <c r="F43" s="210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9"/>
    </row>
    <row r="44" spans="1:19" s="203" customFormat="1" x14ac:dyDescent="0.25">
      <c r="A44" s="207">
        <f t="shared" si="1"/>
        <v>39</v>
      </c>
      <c r="B44" s="190" t="s">
        <v>454</v>
      </c>
      <c r="C44" s="187">
        <f t="shared" si="0"/>
        <v>113</v>
      </c>
      <c r="D44" s="187">
        <v>113</v>
      </c>
      <c r="E44" s="210"/>
      <c r="F44" s="210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9"/>
    </row>
    <row r="45" spans="1:19" s="203" customFormat="1" x14ac:dyDescent="0.25">
      <c r="A45" s="207">
        <f t="shared" si="1"/>
        <v>40</v>
      </c>
      <c r="B45" s="190" t="s">
        <v>455</v>
      </c>
      <c r="C45" s="187">
        <f t="shared" si="0"/>
        <v>169</v>
      </c>
      <c r="D45" s="187">
        <v>113</v>
      </c>
      <c r="E45" s="211">
        <v>31</v>
      </c>
      <c r="F45" s="210"/>
      <c r="G45" s="204"/>
      <c r="H45" s="204"/>
      <c r="I45" s="204">
        <v>25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9"/>
    </row>
    <row r="46" spans="1:19" s="203" customFormat="1" x14ac:dyDescent="0.25">
      <c r="A46" s="207">
        <f t="shared" si="1"/>
        <v>41</v>
      </c>
      <c r="B46" s="190" t="s">
        <v>456</v>
      </c>
      <c r="C46" s="187">
        <f t="shared" si="0"/>
        <v>113</v>
      </c>
      <c r="D46" s="187">
        <v>113</v>
      </c>
      <c r="E46" s="210"/>
      <c r="F46" s="210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9"/>
    </row>
    <row r="47" spans="1:19" s="203" customFormat="1" x14ac:dyDescent="0.25">
      <c r="A47" s="207">
        <f t="shared" si="1"/>
        <v>42</v>
      </c>
      <c r="B47" s="190" t="s">
        <v>457</v>
      </c>
      <c r="C47" s="187">
        <f t="shared" si="0"/>
        <v>25</v>
      </c>
      <c r="D47" s="207"/>
      <c r="E47" s="210"/>
      <c r="F47" s="210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8">
        <v>25</v>
      </c>
      <c r="S47" s="209"/>
    </row>
    <row r="48" spans="1:19" s="203" customFormat="1" x14ac:dyDescent="0.25">
      <c r="A48" s="207">
        <f t="shared" si="1"/>
        <v>43</v>
      </c>
      <c r="B48" s="190" t="s">
        <v>458</v>
      </c>
      <c r="C48" s="187">
        <f t="shared" si="0"/>
        <v>0</v>
      </c>
      <c r="D48" s="187">
        <f>113-113</f>
        <v>0</v>
      </c>
      <c r="E48" s="210"/>
      <c r="F48" s="210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9"/>
    </row>
    <row r="49" spans="1:20" ht="30" customHeight="1" x14ac:dyDescent="0.25">
      <c r="A49" s="207">
        <f t="shared" si="1"/>
        <v>44</v>
      </c>
      <c r="B49" s="190" t="s">
        <v>459</v>
      </c>
      <c r="C49" s="187">
        <f t="shared" si="0"/>
        <v>31</v>
      </c>
      <c r="D49" s="207"/>
      <c r="E49" s="211">
        <v>31</v>
      </c>
      <c r="F49" s="210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9"/>
      <c r="T49" s="203"/>
    </row>
    <row r="50" spans="1:20" ht="33.75" customHeight="1" x14ac:dyDescent="0.25">
      <c r="A50" s="207">
        <f t="shared" si="1"/>
        <v>45</v>
      </c>
      <c r="B50" s="190" t="s">
        <v>460</v>
      </c>
      <c r="C50" s="187">
        <f t="shared" si="0"/>
        <v>0</v>
      </c>
      <c r="D50" s="187">
        <v>0</v>
      </c>
      <c r="E50" s="210"/>
      <c r="F50" s="210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9"/>
      <c r="T50" s="203"/>
    </row>
    <row r="51" spans="1:20" ht="30.75" customHeight="1" x14ac:dyDescent="0.25">
      <c r="A51" s="207">
        <f t="shared" si="1"/>
        <v>46</v>
      </c>
      <c r="B51" s="190" t="s">
        <v>461</v>
      </c>
      <c r="C51" s="187">
        <f>D51+E51+G51+H51+I51+J51+K51+L51+M51+N51+O51+P51+Q51+R51+F51</f>
        <v>31</v>
      </c>
      <c r="D51" s="187"/>
      <c r="E51" s="211">
        <v>31</v>
      </c>
      <c r="F51" s="210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9"/>
      <c r="T51" s="203"/>
    </row>
    <row r="52" spans="1:20" ht="36.75" customHeight="1" x14ac:dyDescent="0.25">
      <c r="A52" s="207">
        <f t="shared" si="1"/>
        <v>47</v>
      </c>
      <c r="B52" s="190" t="s">
        <v>462</v>
      </c>
      <c r="C52" s="187">
        <f t="shared" si="0"/>
        <v>31</v>
      </c>
      <c r="D52" s="187"/>
      <c r="E52" s="211">
        <v>31</v>
      </c>
      <c r="F52" s="210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9"/>
      <c r="T52" s="203"/>
    </row>
    <row r="53" spans="1:20" ht="36.75" customHeight="1" x14ac:dyDescent="0.25">
      <c r="A53" s="207">
        <f t="shared" si="1"/>
        <v>48</v>
      </c>
      <c r="B53" s="190" t="s">
        <v>463</v>
      </c>
      <c r="C53" s="187">
        <f t="shared" si="0"/>
        <v>113</v>
      </c>
      <c r="D53" s="187">
        <v>113</v>
      </c>
      <c r="E53" s="211"/>
      <c r="F53" s="210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9"/>
      <c r="T53" s="203"/>
    </row>
    <row r="54" spans="1:20" ht="36.75" customHeight="1" x14ac:dyDescent="0.25">
      <c r="A54" s="207">
        <v>49</v>
      </c>
      <c r="B54" s="190" t="s">
        <v>464</v>
      </c>
      <c r="C54" s="187">
        <f t="shared" si="0"/>
        <v>573</v>
      </c>
      <c r="D54" s="187">
        <v>573</v>
      </c>
      <c r="E54" s="211"/>
      <c r="F54" s="210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9"/>
      <c r="T54" s="203"/>
    </row>
    <row r="55" spans="1:20" ht="24.75" customHeight="1" x14ac:dyDescent="0.25">
      <c r="A55" s="213"/>
      <c r="B55" s="214" t="s">
        <v>67</v>
      </c>
      <c r="C55" s="192">
        <f>SUM(C6:C54)</f>
        <v>11873</v>
      </c>
      <c r="D55" s="192">
        <f>SUM(D6:D54)</f>
        <v>10398</v>
      </c>
      <c r="E55" s="192">
        <f t="shared" ref="E55:S55" si="2">SUM(E6:E53)</f>
        <v>843</v>
      </c>
      <c r="F55" s="192">
        <f t="shared" si="2"/>
        <v>25</v>
      </c>
      <c r="G55" s="192">
        <f t="shared" si="2"/>
        <v>75</v>
      </c>
      <c r="H55" s="192">
        <f t="shared" si="2"/>
        <v>25</v>
      </c>
      <c r="I55" s="192">
        <f t="shared" si="2"/>
        <v>117</v>
      </c>
      <c r="J55" s="192">
        <f t="shared" si="2"/>
        <v>25</v>
      </c>
      <c r="K55" s="192">
        <f t="shared" si="2"/>
        <v>25</v>
      </c>
      <c r="L55" s="192">
        <f t="shared" si="2"/>
        <v>75</v>
      </c>
      <c r="M55" s="192">
        <f t="shared" si="2"/>
        <v>25</v>
      </c>
      <c r="N55" s="192">
        <f t="shared" si="2"/>
        <v>40</v>
      </c>
      <c r="O55" s="192">
        <f t="shared" si="2"/>
        <v>25</v>
      </c>
      <c r="P55" s="192">
        <f t="shared" si="2"/>
        <v>75</v>
      </c>
      <c r="Q55" s="192">
        <f t="shared" si="2"/>
        <v>25</v>
      </c>
      <c r="R55" s="192">
        <f t="shared" si="2"/>
        <v>75</v>
      </c>
      <c r="S55" s="192">
        <f t="shared" si="2"/>
        <v>0</v>
      </c>
      <c r="T55" s="203"/>
    </row>
    <row r="56" spans="1:20" x14ac:dyDescent="0.25">
      <c r="C56" s="216"/>
      <c r="T56" s="203"/>
    </row>
    <row r="58" spans="1:20" x14ac:dyDescent="0.25">
      <c r="C58" s="216"/>
      <c r="T58" s="203"/>
    </row>
    <row r="64" spans="1:20" x14ac:dyDescent="0.25">
      <c r="C64" s="216"/>
      <c r="T64" s="203"/>
    </row>
  </sheetData>
  <mergeCells count="6">
    <mergeCell ref="R1:S1"/>
    <mergeCell ref="A2:R2"/>
    <mergeCell ref="A4:A5"/>
    <mergeCell ref="B4:B5"/>
    <mergeCell ref="C4:C5"/>
    <mergeCell ref="D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="90" zoomScaleNormal="90" workbookViewId="0">
      <pane xSplit="2" ySplit="5" topLeftCell="C87" activePane="bottomRight" state="frozen"/>
      <selection pane="topRight" activeCell="C1" sqref="C1"/>
      <selection pane="bottomLeft" activeCell="A7" sqref="A7"/>
      <selection pane="bottomRight" activeCell="I96" sqref="I96"/>
    </sheetView>
  </sheetViews>
  <sheetFormatPr defaultRowHeight="12.75" x14ac:dyDescent="0.2"/>
  <cols>
    <col min="1" max="1" width="4.42578125" style="291" customWidth="1"/>
    <col min="2" max="2" width="52.42578125" style="265" customWidth="1"/>
    <col min="3" max="3" width="10.5703125" style="265" customWidth="1"/>
    <col min="4" max="4" width="10" style="267" customWidth="1"/>
    <col min="5" max="5" width="11.85546875" style="267" customWidth="1"/>
    <col min="6" max="6" width="11.140625" style="267" customWidth="1"/>
    <col min="7" max="7" width="12.85546875" style="267" customWidth="1"/>
    <col min="8" max="8" width="12.42578125" style="267" customWidth="1"/>
    <col min="9" max="9" width="12.7109375" style="267" customWidth="1"/>
    <col min="10" max="16384" width="9.140625" style="265"/>
  </cols>
  <sheetData>
    <row r="1" spans="1:9" ht="23.25" customHeight="1" x14ac:dyDescent="0.2">
      <c r="A1" s="344" t="s">
        <v>513</v>
      </c>
      <c r="B1" s="345"/>
      <c r="C1" s="345"/>
      <c r="D1" s="345"/>
      <c r="E1" s="345"/>
      <c r="F1" s="345"/>
      <c r="G1" s="345"/>
      <c r="H1" s="345"/>
      <c r="I1" s="345"/>
    </row>
    <row r="2" spans="1:9" ht="17.25" customHeight="1" x14ac:dyDescent="0.2">
      <c r="A2" s="266"/>
      <c r="F2" s="346" t="s">
        <v>514</v>
      </c>
      <c r="G2" s="346"/>
      <c r="H2" s="346"/>
      <c r="I2" s="346"/>
    </row>
    <row r="3" spans="1:9" ht="17.25" customHeight="1" x14ac:dyDescent="0.2">
      <c r="A3" s="338" t="s">
        <v>0</v>
      </c>
      <c r="B3" s="338" t="s">
        <v>53</v>
      </c>
      <c r="C3" s="338" t="s">
        <v>82</v>
      </c>
      <c r="D3" s="347" t="s">
        <v>515</v>
      </c>
      <c r="E3" s="268" t="s">
        <v>516</v>
      </c>
      <c r="F3" s="349" t="s">
        <v>83</v>
      </c>
      <c r="G3" s="351" t="s">
        <v>516</v>
      </c>
      <c r="H3" s="352"/>
      <c r="I3" s="347" t="s">
        <v>517</v>
      </c>
    </row>
    <row r="4" spans="1:9" s="270" customFormat="1" ht="50.25" customHeight="1" x14ac:dyDescent="0.25">
      <c r="A4" s="338"/>
      <c r="B4" s="338"/>
      <c r="C4" s="338"/>
      <c r="D4" s="348"/>
      <c r="E4" s="269" t="s">
        <v>518</v>
      </c>
      <c r="F4" s="350"/>
      <c r="G4" s="269" t="s">
        <v>519</v>
      </c>
      <c r="H4" s="269" t="s">
        <v>518</v>
      </c>
      <c r="I4" s="341"/>
    </row>
    <row r="5" spans="1:9" x14ac:dyDescent="0.2">
      <c r="A5" s="271">
        <v>1</v>
      </c>
      <c r="B5" s="271">
        <v>2</v>
      </c>
      <c r="C5" s="271">
        <v>3</v>
      </c>
      <c r="D5" s="269">
        <v>4</v>
      </c>
      <c r="E5" s="271">
        <v>5</v>
      </c>
      <c r="F5" s="269">
        <v>6</v>
      </c>
      <c r="G5" s="271">
        <v>7</v>
      </c>
      <c r="H5" s="269">
        <v>8</v>
      </c>
      <c r="I5" s="271">
        <v>9</v>
      </c>
    </row>
    <row r="6" spans="1:9" x14ac:dyDescent="0.2">
      <c r="A6" s="272">
        <v>1</v>
      </c>
      <c r="B6" s="273" t="s">
        <v>1</v>
      </c>
      <c r="C6" s="274">
        <f>D6+F6+I6</f>
        <v>9269</v>
      </c>
      <c r="D6" s="274"/>
      <c r="E6" s="274"/>
      <c r="F6" s="274">
        <v>9269</v>
      </c>
      <c r="G6" s="274"/>
      <c r="H6" s="274">
        <v>42</v>
      </c>
      <c r="I6" s="274"/>
    </row>
    <row r="7" spans="1:9" x14ac:dyDescent="0.2">
      <c r="A7" s="272">
        <f>A6+1</f>
        <v>2</v>
      </c>
      <c r="B7" s="273" t="s">
        <v>2</v>
      </c>
      <c r="C7" s="274">
        <f t="shared" ref="C7:C71" si="0">D7+F7+I7</f>
        <v>8206</v>
      </c>
      <c r="D7" s="274"/>
      <c r="E7" s="274"/>
      <c r="F7" s="274">
        <v>8206</v>
      </c>
      <c r="G7" s="274"/>
      <c r="H7" s="274">
        <v>40</v>
      </c>
      <c r="I7" s="274"/>
    </row>
    <row r="8" spans="1:9" x14ac:dyDescent="0.2">
      <c r="A8" s="336">
        <f>A7+1</f>
        <v>3</v>
      </c>
      <c r="B8" s="273" t="s">
        <v>3</v>
      </c>
      <c r="C8" s="274">
        <f t="shared" si="0"/>
        <v>23672</v>
      </c>
      <c r="D8" s="274">
        <v>133</v>
      </c>
      <c r="E8" s="274"/>
      <c r="F8" s="274">
        <f>23384+155</f>
        <v>23539</v>
      </c>
      <c r="G8" s="274">
        <v>627</v>
      </c>
      <c r="H8" s="274">
        <v>2103</v>
      </c>
      <c r="I8" s="274"/>
    </row>
    <row r="9" spans="1:9" ht="25.5" x14ac:dyDescent="0.2">
      <c r="A9" s="337"/>
      <c r="B9" s="275" t="s">
        <v>84</v>
      </c>
      <c r="C9" s="274">
        <f t="shared" si="0"/>
        <v>1493</v>
      </c>
      <c r="D9" s="274"/>
      <c r="E9" s="274"/>
      <c r="F9" s="276">
        <v>1493</v>
      </c>
      <c r="G9" s="274"/>
      <c r="H9" s="274"/>
      <c r="I9" s="274"/>
    </row>
    <row r="10" spans="1:9" x14ac:dyDescent="0.2">
      <c r="A10" s="272">
        <f>A8+1</f>
        <v>4</v>
      </c>
      <c r="B10" s="273" t="s">
        <v>4</v>
      </c>
      <c r="C10" s="274">
        <f t="shared" si="0"/>
        <v>5483</v>
      </c>
      <c r="D10" s="274"/>
      <c r="E10" s="274"/>
      <c r="F10" s="274">
        <v>5483</v>
      </c>
      <c r="G10" s="274"/>
      <c r="H10" s="274">
        <v>13</v>
      </c>
      <c r="I10" s="274"/>
    </row>
    <row r="11" spans="1:9" ht="12.75" customHeight="1" x14ac:dyDescent="0.2">
      <c r="A11" s="272">
        <f t="shared" ref="A11:A31" si="1">A10+1</f>
        <v>5</v>
      </c>
      <c r="B11" s="273" t="s">
        <v>5</v>
      </c>
      <c r="C11" s="274">
        <f t="shared" si="0"/>
        <v>2417</v>
      </c>
      <c r="D11" s="274"/>
      <c r="E11" s="274"/>
      <c r="F11" s="274">
        <v>2417</v>
      </c>
      <c r="G11" s="274"/>
      <c r="H11" s="274"/>
      <c r="I11" s="274"/>
    </row>
    <row r="12" spans="1:9" x14ac:dyDescent="0.2">
      <c r="A12" s="272">
        <f t="shared" si="1"/>
        <v>6</v>
      </c>
      <c r="B12" s="273" t="s">
        <v>6</v>
      </c>
      <c r="C12" s="274">
        <f t="shared" si="0"/>
        <v>1946</v>
      </c>
      <c r="D12" s="274"/>
      <c r="E12" s="274"/>
      <c r="F12" s="274">
        <v>1946</v>
      </c>
      <c r="G12" s="274"/>
      <c r="H12" s="274">
        <v>12</v>
      </c>
      <c r="I12" s="274"/>
    </row>
    <row r="13" spans="1:9" x14ac:dyDescent="0.2">
      <c r="A13" s="272">
        <f t="shared" si="1"/>
        <v>7</v>
      </c>
      <c r="B13" s="273" t="s">
        <v>7</v>
      </c>
      <c r="C13" s="274">
        <f t="shared" si="0"/>
        <v>2146</v>
      </c>
      <c r="D13" s="274"/>
      <c r="E13" s="274"/>
      <c r="F13" s="274">
        <v>2146</v>
      </c>
      <c r="G13" s="274"/>
      <c r="H13" s="274">
        <v>1</v>
      </c>
      <c r="I13" s="274"/>
    </row>
    <row r="14" spans="1:9" x14ac:dyDescent="0.2">
      <c r="A14" s="272">
        <f t="shared" si="1"/>
        <v>8</v>
      </c>
      <c r="B14" s="273" t="s">
        <v>8</v>
      </c>
      <c r="C14" s="274">
        <f t="shared" si="0"/>
        <v>2583</v>
      </c>
      <c r="D14" s="274"/>
      <c r="E14" s="274"/>
      <c r="F14" s="274">
        <v>2583</v>
      </c>
      <c r="G14" s="274"/>
      <c r="H14" s="274">
        <v>2</v>
      </c>
      <c r="I14" s="274"/>
    </row>
    <row r="15" spans="1:9" x14ac:dyDescent="0.2">
      <c r="A15" s="272">
        <f t="shared" si="1"/>
        <v>9</v>
      </c>
      <c r="B15" s="273" t="s">
        <v>9</v>
      </c>
      <c r="C15" s="274">
        <f t="shared" si="0"/>
        <v>2109</v>
      </c>
      <c r="D15" s="274"/>
      <c r="E15" s="274"/>
      <c r="F15" s="274">
        <v>2109</v>
      </c>
      <c r="G15" s="274"/>
      <c r="H15" s="274">
        <v>9</v>
      </c>
      <c r="I15" s="274"/>
    </row>
    <row r="16" spans="1:9" x14ac:dyDescent="0.2">
      <c r="A16" s="272">
        <f t="shared" si="1"/>
        <v>10</v>
      </c>
      <c r="B16" s="273" t="s">
        <v>10</v>
      </c>
      <c r="C16" s="274">
        <f t="shared" si="0"/>
        <v>3113</v>
      </c>
      <c r="D16" s="274"/>
      <c r="E16" s="274"/>
      <c r="F16" s="274">
        <v>3113</v>
      </c>
      <c r="G16" s="274"/>
      <c r="H16" s="274">
        <v>12</v>
      </c>
      <c r="I16" s="274"/>
    </row>
    <row r="17" spans="1:9" x14ac:dyDescent="0.2">
      <c r="A17" s="272">
        <f t="shared" si="1"/>
        <v>11</v>
      </c>
      <c r="B17" s="273" t="s">
        <v>54</v>
      </c>
      <c r="C17" s="274">
        <f t="shared" si="0"/>
        <v>2241</v>
      </c>
      <c r="D17" s="274"/>
      <c r="E17" s="274"/>
      <c r="F17" s="274">
        <v>2241</v>
      </c>
      <c r="G17" s="274"/>
      <c r="H17" s="274"/>
      <c r="I17" s="274"/>
    </row>
    <row r="18" spans="1:9" x14ac:dyDescent="0.2">
      <c r="A18" s="272">
        <f t="shared" si="1"/>
        <v>12</v>
      </c>
      <c r="B18" s="273" t="s">
        <v>11</v>
      </c>
      <c r="C18" s="274">
        <f t="shared" si="0"/>
        <v>2824</v>
      </c>
      <c r="D18" s="274"/>
      <c r="E18" s="274"/>
      <c r="F18" s="274">
        <v>2824</v>
      </c>
      <c r="G18" s="274"/>
      <c r="H18" s="274">
        <v>15</v>
      </c>
      <c r="I18" s="274"/>
    </row>
    <row r="19" spans="1:9" x14ac:dyDescent="0.2">
      <c r="A19" s="272">
        <f t="shared" si="1"/>
        <v>13</v>
      </c>
      <c r="B19" s="273" t="s">
        <v>85</v>
      </c>
      <c r="C19" s="274">
        <f t="shared" si="0"/>
        <v>10061</v>
      </c>
      <c r="D19" s="274"/>
      <c r="E19" s="274"/>
      <c r="F19" s="274">
        <f>9866+195</f>
        <v>10061</v>
      </c>
      <c r="G19" s="274">
        <v>193</v>
      </c>
      <c r="H19" s="274">
        <v>111</v>
      </c>
      <c r="I19" s="274"/>
    </row>
    <row r="20" spans="1:9" x14ac:dyDescent="0.2">
      <c r="A20" s="272">
        <f t="shared" si="1"/>
        <v>14</v>
      </c>
      <c r="B20" s="273" t="s">
        <v>12</v>
      </c>
      <c r="C20" s="274">
        <f t="shared" si="0"/>
        <v>6660</v>
      </c>
      <c r="D20" s="274"/>
      <c r="E20" s="274"/>
      <c r="F20" s="274">
        <v>6660</v>
      </c>
      <c r="G20" s="274"/>
      <c r="H20" s="274">
        <v>0</v>
      </c>
      <c r="I20" s="274"/>
    </row>
    <row r="21" spans="1:9" x14ac:dyDescent="0.2">
      <c r="A21" s="272">
        <f t="shared" si="1"/>
        <v>15</v>
      </c>
      <c r="B21" s="273" t="s">
        <v>13</v>
      </c>
      <c r="C21" s="274">
        <f t="shared" si="0"/>
        <v>19174</v>
      </c>
      <c r="D21" s="274"/>
      <c r="E21" s="274"/>
      <c r="F21" s="274">
        <v>19174</v>
      </c>
      <c r="G21" s="274">
        <v>312</v>
      </c>
      <c r="H21" s="274">
        <v>585</v>
      </c>
      <c r="I21" s="274"/>
    </row>
    <row r="22" spans="1:9" x14ac:dyDescent="0.2">
      <c r="A22" s="272">
        <f t="shared" si="1"/>
        <v>16</v>
      </c>
      <c r="B22" s="273" t="s">
        <v>14</v>
      </c>
      <c r="C22" s="274">
        <f t="shared" si="0"/>
        <v>9552</v>
      </c>
      <c r="D22" s="274"/>
      <c r="E22" s="274"/>
      <c r="F22" s="274">
        <v>9552</v>
      </c>
      <c r="G22" s="274"/>
      <c r="H22" s="274">
        <v>133</v>
      </c>
      <c r="I22" s="274"/>
    </row>
    <row r="23" spans="1:9" x14ac:dyDescent="0.2">
      <c r="A23" s="272">
        <f t="shared" si="1"/>
        <v>17</v>
      </c>
      <c r="B23" s="273" t="s">
        <v>86</v>
      </c>
      <c r="C23" s="274">
        <f t="shared" si="0"/>
        <v>2409</v>
      </c>
      <c r="D23" s="274"/>
      <c r="E23" s="274"/>
      <c r="F23" s="274">
        <v>2409</v>
      </c>
      <c r="G23" s="274"/>
      <c r="H23" s="274">
        <v>0</v>
      </c>
      <c r="I23" s="274"/>
    </row>
    <row r="24" spans="1:9" x14ac:dyDescent="0.2">
      <c r="A24" s="272">
        <f t="shared" si="1"/>
        <v>18</v>
      </c>
      <c r="B24" s="273" t="s">
        <v>15</v>
      </c>
      <c r="C24" s="274">
        <f t="shared" si="0"/>
        <v>3272</v>
      </c>
      <c r="D24" s="274"/>
      <c r="E24" s="274"/>
      <c r="F24" s="274">
        <v>3272</v>
      </c>
      <c r="G24" s="274"/>
      <c r="H24" s="274">
        <v>1</v>
      </c>
      <c r="I24" s="274"/>
    </row>
    <row r="25" spans="1:9" x14ac:dyDescent="0.2">
      <c r="A25" s="272">
        <f t="shared" si="1"/>
        <v>19</v>
      </c>
      <c r="B25" s="273" t="s">
        <v>16</v>
      </c>
      <c r="C25" s="274">
        <f t="shared" si="0"/>
        <v>4328</v>
      </c>
      <c r="D25" s="274"/>
      <c r="E25" s="274"/>
      <c r="F25" s="274">
        <v>4328</v>
      </c>
      <c r="G25" s="274"/>
      <c r="H25" s="274">
        <v>8</v>
      </c>
      <c r="I25" s="274"/>
    </row>
    <row r="26" spans="1:9" x14ac:dyDescent="0.2">
      <c r="A26" s="272">
        <f t="shared" si="1"/>
        <v>20</v>
      </c>
      <c r="B26" s="273" t="s">
        <v>17</v>
      </c>
      <c r="C26" s="274">
        <f t="shared" si="0"/>
        <v>1835</v>
      </c>
      <c r="D26" s="274"/>
      <c r="E26" s="274"/>
      <c r="F26" s="274">
        <f>1785+50</f>
        <v>1835</v>
      </c>
      <c r="G26" s="274"/>
      <c r="H26" s="274">
        <v>4</v>
      </c>
      <c r="I26" s="274"/>
    </row>
    <row r="27" spans="1:9" x14ac:dyDescent="0.2">
      <c r="A27" s="272">
        <f t="shared" si="1"/>
        <v>21</v>
      </c>
      <c r="B27" s="273" t="s">
        <v>18</v>
      </c>
      <c r="C27" s="274">
        <f t="shared" si="0"/>
        <v>1728</v>
      </c>
      <c r="D27" s="274"/>
      <c r="E27" s="274"/>
      <c r="F27" s="274">
        <v>1728</v>
      </c>
      <c r="G27" s="274"/>
      <c r="H27" s="274"/>
      <c r="I27" s="274"/>
    </row>
    <row r="28" spans="1:9" x14ac:dyDescent="0.2">
      <c r="A28" s="272">
        <f t="shared" si="1"/>
        <v>22</v>
      </c>
      <c r="B28" s="273" t="s">
        <v>87</v>
      </c>
      <c r="C28" s="274">
        <f t="shared" si="0"/>
        <v>28005</v>
      </c>
      <c r="D28" s="274">
        <f>900-39-17</f>
        <v>844</v>
      </c>
      <c r="E28" s="274">
        <v>62</v>
      </c>
      <c r="F28" s="274">
        <f>26936-4-28+257</f>
        <v>27161</v>
      </c>
      <c r="G28" s="274"/>
      <c r="H28" s="274">
        <v>4273</v>
      </c>
      <c r="I28" s="274"/>
    </row>
    <row r="29" spans="1:9" x14ac:dyDescent="0.2">
      <c r="A29" s="272">
        <f t="shared" si="1"/>
        <v>23</v>
      </c>
      <c r="B29" s="273" t="s">
        <v>88</v>
      </c>
      <c r="C29" s="274">
        <f t="shared" si="0"/>
        <v>3330</v>
      </c>
      <c r="D29" s="274"/>
      <c r="E29" s="274"/>
      <c r="F29" s="274">
        <v>3330</v>
      </c>
      <c r="G29" s="274">
        <v>627</v>
      </c>
      <c r="H29" s="274"/>
      <c r="I29" s="274"/>
    </row>
    <row r="30" spans="1:9" x14ac:dyDescent="0.2">
      <c r="A30" s="272">
        <f t="shared" si="1"/>
        <v>24</v>
      </c>
      <c r="B30" s="273" t="s">
        <v>89</v>
      </c>
      <c r="C30" s="274">
        <f t="shared" si="0"/>
        <v>12263</v>
      </c>
      <c r="D30" s="274"/>
      <c r="E30" s="274"/>
      <c r="F30" s="274">
        <f>12253+10</f>
        <v>12263</v>
      </c>
      <c r="G30" s="274"/>
      <c r="H30" s="274">
        <v>40</v>
      </c>
      <c r="I30" s="274"/>
    </row>
    <row r="31" spans="1:9" x14ac:dyDescent="0.2">
      <c r="A31" s="338">
        <f t="shared" si="1"/>
        <v>25</v>
      </c>
      <c r="B31" s="273" t="s">
        <v>90</v>
      </c>
      <c r="C31" s="274">
        <f t="shared" si="0"/>
        <v>2769</v>
      </c>
      <c r="D31" s="274"/>
      <c r="E31" s="274"/>
      <c r="F31" s="274">
        <v>2769</v>
      </c>
      <c r="G31" s="274"/>
      <c r="H31" s="274">
        <v>5</v>
      </c>
      <c r="I31" s="274"/>
    </row>
    <row r="32" spans="1:9" s="278" customFormat="1" ht="37.5" customHeight="1" x14ac:dyDescent="0.2">
      <c r="A32" s="338"/>
      <c r="B32" s="277" t="s">
        <v>91</v>
      </c>
      <c r="C32" s="274">
        <f t="shared" si="0"/>
        <v>791</v>
      </c>
      <c r="D32" s="276"/>
      <c r="E32" s="276"/>
      <c r="F32" s="276">
        <v>791</v>
      </c>
      <c r="G32" s="276"/>
      <c r="H32" s="276"/>
      <c r="I32" s="276"/>
    </row>
    <row r="33" spans="1:9" ht="26.25" customHeight="1" x14ac:dyDescent="0.2">
      <c r="A33" s="272">
        <f>A31+1</f>
        <v>26</v>
      </c>
      <c r="B33" s="279" t="s">
        <v>520</v>
      </c>
      <c r="C33" s="274">
        <f t="shared" si="0"/>
        <v>3868</v>
      </c>
      <c r="D33" s="274"/>
      <c r="E33" s="274"/>
      <c r="F33" s="274">
        <v>3868</v>
      </c>
      <c r="G33" s="274"/>
      <c r="H33" s="274"/>
      <c r="I33" s="274"/>
    </row>
    <row r="34" spans="1:9" x14ac:dyDescent="0.2">
      <c r="A34" s="272">
        <f>A33+1</f>
        <v>27</v>
      </c>
      <c r="B34" s="273" t="s">
        <v>92</v>
      </c>
      <c r="C34" s="274">
        <f t="shared" si="0"/>
        <v>5763</v>
      </c>
      <c r="D34" s="274"/>
      <c r="E34" s="274"/>
      <c r="F34" s="274">
        <v>5763</v>
      </c>
      <c r="G34" s="274"/>
      <c r="H34" s="274"/>
      <c r="I34" s="274"/>
    </row>
    <row r="35" spans="1:9" x14ac:dyDescent="0.2">
      <c r="A35" s="272">
        <f>A34+1</f>
        <v>28</v>
      </c>
      <c r="B35" s="273" t="s">
        <v>93</v>
      </c>
      <c r="C35" s="274">
        <f t="shared" si="0"/>
        <v>729</v>
      </c>
      <c r="D35" s="274"/>
      <c r="E35" s="274"/>
      <c r="F35" s="274">
        <v>729</v>
      </c>
      <c r="G35" s="274"/>
      <c r="H35" s="274"/>
      <c r="I35" s="274"/>
    </row>
    <row r="36" spans="1:9" x14ac:dyDescent="0.2">
      <c r="A36" s="339">
        <f>A35+1</f>
        <v>29</v>
      </c>
      <c r="B36" s="273" t="s">
        <v>94</v>
      </c>
      <c r="C36" s="274">
        <f t="shared" si="0"/>
        <v>11557</v>
      </c>
      <c r="D36" s="274">
        <f>15+5</f>
        <v>20</v>
      </c>
      <c r="E36" s="274"/>
      <c r="F36" s="274">
        <f>11035-5+227+3150-3150+280</f>
        <v>11537</v>
      </c>
      <c r="G36" s="274"/>
      <c r="H36" s="274">
        <v>1052</v>
      </c>
      <c r="I36" s="274"/>
    </row>
    <row r="37" spans="1:9" s="278" customFormat="1" ht="25.5" x14ac:dyDescent="0.2">
      <c r="A37" s="340"/>
      <c r="B37" s="277" t="s">
        <v>95</v>
      </c>
      <c r="C37" s="274">
        <f t="shared" si="0"/>
        <v>3226</v>
      </c>
      <c r="D37" s="276"/>
      <c r="E37" s="276"/>
      <c r="F37" s="276">
        <v>3226</v>
      </c>
      <c r="G37" s="276"/>
      <c r="H37" s="276">
        <v>3</v>
      </c>
      <c r="I37" s="276"/>
    </row>
    <row r="38" spans="1:9" s="278" customFormat="1" ht="25.5" x14ac:dyDescent="0.2">
      <c r="A38" s="341"/>
      <c r="B38" s="292" t="s">
        <v>521</v>
      </c>
      <c r="C38" s="274">
        <f t="shared" si="0"/>
        <v>3150</v>
      </c>
      <c r="D38" s="276"/>
      <c r="E38" s="276"/>
      <c r="F38" s="276">
        <f>0+3150</f>
        <v>3150</v>
      </c>
      <c r="G38" s="276"/>
      <c r="H38" s="276"/>
      <c r="I38" s="276"/>
    </row>
    <row r="39" spans="1:9" x14ac:dyDescent="0.2">
      <c r="A39" s="272">
        <f>A36+1</f>
        <v>30</v>
      </c>
      <c r="B39" s="273" t="s">
        <v>96</v>
      </c>
      <c r="C39" s="274">
        <f t="shared" si="0"/>
        <v>755</v>
      </c>
      <c r="D39" s="274"/>
      <c r="E39" s="274"/>
      <c r="F39" s="274">
        <v>755</v>
      </c>
      <c r="G39" s="274"/>
      <c r="H39" s="274"/>
      <c r="I39" s="274"/>
    </row>
    <row r="40" spans="1:9" x14ac:dyDescent="0.2">
      <c r="A40" s="339">
        <f>A39+1</f>
        <v>31</v>
      </c>
      <c r="B40" s="273" t="s">
        <v>97</v>
      </c>
      <c r="C40" s="274">
        <f t="shared" si="0"/>
        <v>11425</v>
      </c>
      <c r="D40" s="274">
        <v>32</v>
      </c>
      <c r="E40" s="274">
        <v>0</v>
      </c>
      <c r="F40" s="274">
        <f>11316+77</f>
        <v>11393</v>
      </c>
      <c r="G40" s="274">
        <v>312</v>
      </c>
      <c r="H40" s="274">
        <v>1132</v>
      </c>
      <c r="I40" s="274"/>
    </row>
    <row r="41" spans="1:9" s="278" customFormat="1" ht="25.5" x14ac:dyDescent="0.2">
      <c r="A41" s="342"/>
      <c r="B41" s="277" t="s">
        <v>522</v>
      </c>
      <c r="C41" s="274">
        <f t="shared" si="0"/>
        <v>1209</v>
      </c>
      <c r="D41" s="276"/>
      <c r="E41" s="276"/>
      <c r="F41" s="276">
        <v>1209</v>
      </c>
      <c r="G41" s="276"/>
      <c r="H41" s="276"/>
      <c r="I41" s="276"/>
    </row>
    <row r="42" spans="1:9" x14ac:dyDescent="0.2">
      <c r="A42" s="272">
        <f>A40+1</f>
        <v>32</v>
      </c>
      <c r="B42" s="273" t="s">
        <v>19</v>
      </c>
      <c r="C42" s="274">
        <f t="shared" si="0"/>
        <v>11145</v>
      </c>
      <c r="D42" s="274"/>
      <c r="E42" s="274"/>
      <c r="F42" s="274">
        <v>11145</v>
      </c>
      <c r="G42" s="274"/>
      <c r="H42" s="274">
        <v>77</v>
      </c>
      <c r="I42" s="274"/>
    </row>
    <row r="43" spans="1:9" x14ac:dyDescent="0.2">
      <c r="A43" s="272">
        <f t="shared" ref="A43:A106" si="2">A42+1</f>
        <v>33</v>
      </c>
      <c r="B43" s="273" t="s">
        <v>20</v>
      </c>
      <c r="C43" s="274">
        <f t="shared" si="0"/>
        <v>10996</v>
      </c>
      <c r="D43" s="274"/>
      <c r="E43" s="274"/>
      <c r="F43" s="274">
        <f>10898+98</f>
        <v>10996</v>
      </c>
      <c r="G43" s="274"/>
      <c r="H43" s="274">
        <v>572</v>
      </c>
      <c r="I43" s="274"/>
    </row>
    <row r="44" spans="1:9" x14ac:dyDescent="0.2">
      <c r="A44" s="272">
        <f t="shared" si="2"/>
        <v>34</v>
      </c>
      <c r="B44" s="273" t="s">
        <v>21</v>
      </c>
      <c r="C44" s="274">
        <f t="shared" si="0"/>
        <v>3088</v>
      </c>
      <c r="D44" s="274"/>
      <c r="E44" s="274"/>
      <c r="F44" s="274">
        <v>3088</v>
      </c>
      <c r="G44" s="274"/>
      <c r="H44" s="274">
        <v>1</v>
      </c>
      <c r="I44" s="274"/>
    </row>
    <row r="45" spans="1:9" x14ac:dyDescent="0.2">
      <c r="A45" s="272">
        <f t="shared" si="2"/>
        <v>35</v>
      </c>
      <c r="B45" s="273" t="s">
        <v>22</v>
      </c>
      <c r="C45" s="274">
        <f t="shared" si="0"/>
        <v>3436</v>
      </c>
      <c r="D45" s="274"/>
      <c r="E45" s="274"/>
      <c r="F45" s="274">
        <v>3436</v>
      </c>
      <c r="G45" s="274"/>
      <c r="H45" s="274">
        <v>2</v>
      </c>
      <c r="I45" s="274"/>
    </row>
    <row r="46" spans="1:9" x14ac:dyDescent="0.2">
      <c r="A46" s="272">
        <f t="shared" si="2"/>
        <v>36</v>
      </c>
      <c r="B46" s="273" t="s">
        <v>23</v>
      </c>
      <c r="C46" s="274">
        <f t="shared" si="0"/>
        <v>3529</v>
      </c>
      <c r="D46" s="274"/>
      <c r="E46" s="274"/>
      <c r="F46" s="274">
        <v>3529</v>
      </c>
      <c r="G46" s="274"/>
      <c r="H46" s="274">
        <v>13</v>
      </c>
      <c r="I46" s="274"/>
    </row>
    <row r="47" spans="1:9" x14ac:dyDescent="0.2">
      <c r="A47" s="272">
        <f t="shared" si="2"/>
        <v>37</v>
      </c>
      <c r="B47" s="273" t="s">
        <v>24</v>
      </c>
      <c r="C47" s="274">
        <f t="shared" si="0"/>
        <v>2164</v>
      </c>
      <c r="D47" s="274"/>
      <c r="E47" s="274"/>
      <c r="F47" s="274">
        <v>2164</v>
      </c>
      <c r="G47" s="274"/>
      <c r="H47" s="274">
        <v>0</v>
      </c>
      <c r="I47" s="274"/>
    </row>
    <row r="48" spans="1:9" x14ac:dyDescent="0.2">
      <c r="A48" s="272">
        <f t="shared" si="2"/>
        <v>38</v>
      </c>
      <c r="B48" s="273" t="s">
        <v>25</v>
      </c>
      <c r="C48" s="274">
        <f t="shared" si="0"/>
        <v>2949</v>
      </c>
      <c r="D48" s="274"/>
      <c r="E48" s="274"/>
      <c r="F48" s="274">
        <f>2949</f>
        <v>2949</v>
      </c>
      <c r="G48" s="274"/>
      <c r="H48" s="274">
        <v>9</v>
      </c>
      <c r="I48" s="274"/>
    </row>
    <row r="49" spans="1:9" x14ac:dyDescent="0.2">
      <c r="A49" s="272">
        <f t="shared" si="2"/>
        <v>39</v>
      </c>
      <c r="B49" s="273" t="s">
        <v>26</v>
      </c>
      <c r="C49" s="274">
        <f t="shared" si="0"/>
        <v>1687</v>
      </c>
      <c r="D49" s="274"/>
      <c r="E49" s="274"/>
      <c r="F49" s="274">
        <v>1687</v>
      </c>
      <c r="G49" s="274"/>
      <c r="H49" s="274">
        <v>6</v>
      </c>
      <c r="I49" s="274"/>
    </row>
    <row r="50" spans="1:9" x14ac:dyDescent="0.2">
      <c r="A50" s="272">
        <f t="shared" si="2"/>
        <v>40</v>
      </c>
      <c r="B50" s="273" t="s">
        <v>57</v>
      </c>
      <c r="C50" s="274">
        <f t="shared" si="0"/>
        <v>3150</v>
      </c>
      <c r="D50" s="274"/>
      <c r="E50" s="274"/>
      <c r="F50" s="274">
        <f>6300-3150</f>
        <v>3150</v>
      </c>
      <c r="G50" s="274"/>
      <c r="H50" s="274"/>
      <c r="I50" s="274"/>
    </row>
    <row r="51" spans="1:9" x14ac:dyDescent="0.2">
      <c r="A51" s="272">
        <f t="shared" si="2"/>
        <v>41</v>
      </c>
      <c r="B51" s="273" t="s">
        <v>98</v>
      </c>
      <c r="C51" s="274">
        <f t="shared" si="0"/>
        <v>953</v>
      </c>
      <c r="D51" s="274">
        <f>208+39+17</f>
        <v>264</v>
      </c>
      <c r="E51" s="274">
        <v>20</v>
      </c>
      <c r="F51" s="274">
        <f>657+4+28</f>
        <v>689</v>
      </c>
      <c r="G51" s="274"/>
      <c r="H51" s="274">
        <v>58</v>
      </c>
      <c r="I51" s="274"/>
    </row>
    <row r="52" spans="1:9" x14ac:dyDescent="0.2">
      <c r="A52" s="272">
        <f t="shared" si="2"/>
        <v>42</v>
      </c>
      <c r="B52" s="273" t="s">
        <v>27</v>
      </c>
      <c r="C52" s="274">
        <f t="shared" si="0"/>
        <v>16091</v>
      </c>
      <c r="D52" s="274"/>
      <c r="E52" s="274"/>
      <c r="F52" s="274">
        <f>16051+40</f>
        <v>16091</v>
      </c>
      <c r="G52" s="274"/>
      <c r="H52" s="274">
        <v>464</v>
      </c>
      <c r="I52" s="274"/>
    </row>
    <row r="53" spans="1:9" x14ac:dyDescent="0.2">
      <c r="A53" s="272">
        <f t="shared" si="2"/>
        <v>43</v>
      </c>
      <c r="B53" s="280" t="s">
        <v>28</v>
      </c>
      <c r="C53" s="274">
        <f t="shared" si="0"/>
        <v>14302</v>
      </c>
      <c r="D53" s="274"/>
      <c r="E53" s="274"/>
      <c r="F53" s="274">
        <f>14282+20</f>
        <v>14302</v>
      </c>
      <c r="G53" s="274"/>
      <c r="H53" s="274">
        <v>608</v>
      </c>
      <c r="I53" s="274"/>
    </row>
    <row r="54" spans="1:9" x14ac:dyDescent="0.2">
      <c r="A54" s="272">
        <f t="shared" si="2"/>
        <v>44</v>
      </c>
      <c r="B54" s="273" t="s">
        <v>99</v>
      </c>
      <c r="C54" s="274">
        <f t="shared" si="0"/>
        <v>18043</v>
      </c>
      <c r="D54" s="274"/>
      <c r="E54" s="274"/>
      <c r="F54" s="274">
        <f>17963+80</f>
        <v>18043</v>
      </c>
      <c r="G54" s="274">
        <v>627</v>
      </c>
      <c r="H54" s="274">
        <v>1459</v>
      </c>
      <c r="I54" s="274"/>
    </row>
    <row r="55" spans="1:9" x14ac:dyDescent="0.2">
      <c r="A55" s="272">
        <f t="shared" si="2"/>
        <v>45</v>
      </c>
      <c r="B55" s="273" t="s">
        <v>29</v>
      </c>
      <c r="C55" s="274">
        <f t="shared" si="0"/>
        <v>4505</v>
      </c>
      <c r="D55" s="274"/>
      <c r="E55" s="274"/>
      <c r="F55" s="274">
        <v>4505</v>
      </c>
      <c r="G55" s="274"/>
      <c r="H55" s="274">
        <v>1</v>
      </c>
      <c r="I55" s="274"/>
    </row>
    <row r="56" spans="1:9" x14ac:dyDescent="0.2">
      <c r="A56" s="272">
        <f t="shared" si="2"/>
        <v>46</v>
      </c>
      <c r="B56" s="273" t="s">
        <v>30</v>
      </c>
      <c r="C56" s="274">
        <f t="shared" si="0"/>
        <v>3159</v>
      </c>
      <c r="D56" s="274"/>
      <c r="E56" s="274"/>
      <c r="F56" s="274">
        <v>3159</v>
      </c>
      <c r="G56" s="274"/>
      <c r="H56" s="274">
        <v>1</v>
      </c>
      <c r="I56" s="274"/>
    </row>
    <row r="57" spans="1:9" x14ac:dyDescent="0.2">
      <c r="A57" s="272">
        <f t="shared" si="2"/>
        <v>47</v>
      </c>
      <c r="B57" s="273" t="s">
        <v>31</v>
      </c>
      <c r="C57" s="274">
        <f t="shared" si="0"/>
        <v>2456</v>
      </c>
      <c r="D57" s="274"/>
      <c r="E57" s="274"/>
      <c r="F57" s="274">
        <v>2456</v>
      </c>
      <c r="G57" s="274"/>
      <c r="H57" s="274">
        <v>0</v>
      </c>
      <c r="I57" s="274"/>
    </row>
    <row r="58" spans="1:9" x14ac:dyDescent="0.2">
      <c r="A58" s="272">
        <f t="shared" si="2"/>
        <v>48</v>
      </c>
      <c r="B58" s="273" t="s">
        <v>32</v>
      </c>
      <c r="C58" s="274">
        <f t="shared" si="0"/>
        <v>3699</v>
      </c>
      <c r="D58" s="274"/>
      <c r="E58" s="274"/>
      <c r="F58" s="274">
        <v>3699</v>
      </c>
      <c r="G58" s="274"/>
      <c r="H58" s="274">
        <v>10</v>
      </c>
      <c r="I58" s="274"/>
    </row>
    <row r="59" spans="1:9" x14ac:dyDescent="0.2">
      <c r="A59" s="272">
        <f t="shared" si="2"/>
        <v>49</v>
      </c>
      <c r="B59" s="273" t="s">
        <v>33</v>
      </c>
      <c r="C59" s="274">
        <f t="shared" si="0"/>
        <v>1706</v>
      </c>
      <c r="D59" s="274"/>
      <c r="E59" s="274"/>
      <c r="F59" s="274">
        <v>1706</v>
      </c>
      <c r="G59" s="274"/>
      <c r="H59" s="274">
        <v>2</v>
      </c>
      <c r="I59" s="274"/>
    </row>
    <row r="60" spans="1:9" x14ac:dyDescent="0.2">
      <c r="A60" s="272">
        <f t="shared" si="2"/>
        <v>50</v>
      </c>
      <c r="B60" s="273" t="s">
        <v>34</v>
      </c>
      <c r="C60" s="274">
        <f t="shared" si="0"/>
        <v>3252</v>
      </c>
      <c r="D60" s="274"/>
      <c r="E60" s="274"/>
      <c r="F60" s="274">
        <v>3252</v>
      </c>
      <c r="G60" s="274"/>
      <c r="H60" s="274">
        <v>13</v>
      </c>
      <c r="I60" s="274"/>
    </row>
    <row r="61" spans="1:9" x14ac:dyDescent="0.2">
      <c r="A61" s="272">
        <f t="shared" si="2"/>
        <v>51</v>
      </c>
      <c r="B61" s="273" t="s">
        <v>35</v>
      </c>
      <c r="C61" s="274">
        <f t="shared" si="0"/>
        <v>4512</v>
      </c>
      <c r="D61" s="274"/>
      <c r="E61" s="274"/>
      <c r="F61" s="274">
        <v>4512</v>
      </c>
      <c r="G61" s="274"/>
      <c r="H61" s="274">
        <v>18</v>
      </c>
      <c r="I61" s="274"/>
    </row>
    <row r="62" spans="1:9" x14ac:dyDescent="0.2">
      <c r="A62" s="272">
        <f t="shared" si="2"/>
        <v>52</v>
      </c>
      <c r="B62" s="273" t="s">
        <v>36</v>
      </c>
      <c r="C62" s="274">
        <f t="shared" si="0"/>
        <v>2711</v>
      </c>
      <c r="D62" s="274"/>
      <c r="E62" s="274"/>
      <c r="F62" s="274">
        <v>2711</v>
      </c>
      <c r="G62" s="274"/>
      <c r="H62" s="274">
        <v>58</v>
      </c>
      <c r="I62" s="274"/>
    </row>
    <row r="63" spans="1:9" x14ac:dyDescent="0.2">
      <c r="A63" s="272">
        <f t="shared" si="2"/>
        <v>53</v>
      </c>
      <c r="B63" s="273" t="s">
        <v>100</v>
      </c>
      <c r="C63" s="274">
        <f t="shared" si="0"/>
        <v>9669</v>
      </c>
      <c r="D63" s="274"/>
      <c r="E63" s="274"/>
      <c r="F63" s="274">
        <v>9669</v>
      </c>
      <c r="G63" s="274"/>
      <c r="H63" s="274">
        <v>76</v>
      </c>
      <c r="I63" s="274"/>
    </row>
    <row r="64" spans="1:9" x14ac:dyDescent="0.2">
      <c r="A64" s="272">
        <f t="shared" si="2"/>
        <v>54</v>
      </c>
      <c r="B64" s="273" t="s">
        <v>101</v>
      </c>
      <c r="C64" s="274">
        <f t="shared" si="0"/>
        <v>3592</v>
      </c>
      <c r="D64" s="274"/>
      <c r="E64" s="274"/>
      <c r="F64" s="274">
        <v>3592</v>
      </c>
      <c r="G64" s="274">
        <v>623</v>
      </c>
      <c r="H64" s="274">
        <v>2</v>
      </c>
      <c r="I64" s="274"/>
    </row>
    <row r="65" spans="1:9" x14ac:dyDescent="0.2">
      <c r="A65" s="272">
        <f t="shared" si="2"/>
        <v>55</v>
      </c>
      <c r="B65" s="273" t="s">
        <v>102</v>
      </c>
      <c r="C65" s="274">
        <f t="shared" si="0"/>
        <v>17555</v>
      </c>
      <c r="D65" s="274"/>
      <c r="E65" s="274"/>
      <c r="F65" s="274">
        <v>17555</v>
      </c>
      <c r="G65" s="274"/>
      <c r="H65" s="274">
        <v>48</v>
      </c>
      <c r="I65" s="274"/>
    </row>
    <row r="66" spans="1:9" x14ac:dyDescent="0.2">
      <c r="A66" s="272">
        <f t="shared" si="2"/>
        <v>56</v>
      </c>
      <c r="B66" s="273" t="s">
        <v>103</v>
      </c>
      <c r="C66" s="274">
        <f t="shared" si="0"/>
        <v>927</v>
      </c>
      <c r="D66" s="274"/>
      <c r="E66" s="274"/>
      <c r="F66" s="274">
        <v>927</v>
      </c>
      <c r="G66" s="274"/>
      <c r="H66" s="274"/>
      <c r="I66" s="274"/>
    </row>
    <row r="67" spans="1:9" x14ac:dyDescent="0.2">
      <c r="A67" s="272">
        <f t="shared" si="2"/>
        <v>57</v>
      </c>
      <c r="B67" s="273" t="s">
        <v>104</v>
      </c>
      <c r="C67" s="274">
        <f t="shared" si="0"/>
        <v>6734</v>
      </c>
      <c r="D67" s="274">
        <v>200</v>
      </c>
      <c r="E67" s="274"/>
      <c r="F67" s="274">
        <v>6534</v>
      </c>
      <c r="G67" s="274">
        <v>623</v>
      </c>
      <c r="H67" s="274">
        <v>0</v>
      </c>
      <c r="I67" s="274"/>
    </row>
    <row r="68" spans="1:9" x14ac:dyDescent="0.2">
      <c r="A68" s="272">
        <f t="shared" si="2"/>
        <v>58</v>
      </c>
      <c r="B68" s="273" t="s">
        <v>105</v>
      </c>
      <c r="C68" s="274">
        <f t="shared" si="0"/>
        <v>927</v>
      </c>
      <c r="D68" s="274"/>
      <c r="E68" s="274"/>
      <c r="F68" s="274">
        <v>927</v>
      </c>
      <c r="G68" s="274"/>
      <c r="H68" s="274"/>
      <c r="I68" s="274"/>
    </row>
    <row r="69" spans="1:9" x14ac:dyDescent="0.2">
      <c r="A69" s="272">
        <f t="shared" si="2"/>
        <v>59</v>
      </c>
      <c r="B69" s="273" t="s">
        <v>106</v>
      </c>
      <c r="C69" s="274">
        <f t="shared" si="0"/>
        <v>12144</v>
      </c>
      <c r="D69" s="274">
        <f>277</f>
        <v>277</v>
      </c>
      <c r="E69" s="274"/>
      <c r="F69" s="274">
        <f>11863+4</f>
        <v>11867</v>
      </c>
      <c r="G69" s="274">
        <v>627</v>
      </c>
      <c r="H69" s="274">
        <v>131</v>
      </c>
      <c r="I69" s="274"/>
    </row>
    <row r="70" spans="1:9" x14ac:dyDescent="0.2">
      <c r="A70" s="272">
        <f t="shared" si="2"/>
        <v>60</v>
      </c>
      <c r="B70" s="273" t="s">
        <v>107</v>
      </c>
      <c r="C70" s="274">
        <f t="shared" si="0"/>
        <v>14135</v>
      </c>
      <c r="D70" s="274">
        <v>442</v>
      </c>
      <c r="E70" s="274"/>
      <c r="F70" s="274">
        <v>13693</v>
      </c>
      <c r="G70" s="274">
        <v>652</v>
      </c>
      <c r="H70" s="274"/>
      <c r="I70" s="274"/>
    </row>
    <row r="71" spans="1:9" x14ac:dyDescent="0.2">
      <c r="A71" s="272">
        <f t="shared" si="2"/>
        <v>61</v>
      </c>
      <c r="B71" s="273" t="s">
        <v>108</v>
      </c>
      <c r="C71" s="274">
        <f t="shared" si="0"/>
        <v>13686</v>
      </c>
      <c r="D71" s="274">
        <f>490+175+4</f>
        <v>669</v>
      </c>
      <c r="E71" s="274"/>
      <c r="F71" s="274">
        <f>13021-4</f>
        <v>13017</v>
      </c>
      <c r="G71" s="274">
        <v>1300</v>
      </c>
      <c r="H71" s="274">
        <v>300</v>
      </c>
      <c r="I71" s="274"/>
    </row>
    <row r="72" spans="1:9" ht="14.25" customHeight="1" x14ac:dyDescent="0.2">
      <c r="A72" s="272">
        <f t="shared" si="2"/>
        <v>62</v>
      </c>
      <c r="B72" s="273" t="s">
        <v>109</v>
      </c>
      <c r="C72" s="274">
        <f t="shared" ref="C72:C111" si="3">D72+F72+I72</f>
        <v>9302</v>
      </c>
      <c r="D72" s="274">
        <v>20</v>
      </c>
      <c r="E72" s="274"/>
      <c r="F72" s="274">
        <v>9282</v>
      </c>
      <c r="G72" s="274"/>
      <c r="H72" s="274"/>
      <c r="I72" s="274"/>
    </row>
    <row r="73" spans="1:9" x14ac:dyDescent="0.2">
      <c r="A73" s="272">
        <f t="shared" si="2"/>
        <v>63</v>
      </c>
      <c r="B73" s="273" t="s">
        <v>58</v>
      </c>
      <c r="C73" s="274">
        <f t="shared" si="3"/>
        <v>21520</v>
      </c>
      <c r="D73" s="274">
        <v>1593</v>
      </c>
      <c r="E73" s="274">
        <v>150</v>
      </c>
      <c r="F73" s="274">
        <v>19927</v>
      </c>
      <c r="G73" s="274">
        <v>623</v>
      </c>
      <c r="H73" s="274">
        <v>2692</v>
      </c>
      <c r="I73" s="274"/>
    </row>
    <row r="74" spans="1:9" x14ac:dyDescent="0.2">
      <c r="A74" s="272">
        <f t="shared" si="2"/>
        <v>64</v>
      </c>
      <c r="B74" s="281" t="s">
        <v>523</v>
      </c>
      <c r="C74" s="274">
        <f t="shared" si="3"/>
        <v>2800</v>
      </c>
      <c r="D74" s="274"/>
      <c r="E74" s="274"/>
      <c r="F74" s="274">
        <v>2800</v>
      </c>
      <c r="G74" s="274"/>
      <c r="H74" s="274"/>
      <c r="I74" s="274"/>
    </row>
    <row r="75" spans="1:9" x14ac:dyDescent="0.2">
      <c r="A75" s="272">
        <f t="shared" si="2"/>
        <v>65</v>
      </c>
      <c r="B75" s="273" t="s">
        <v>37</v>
      </c>
      <c r="C75" s="274">
        <f t="shared" si="3"/>
        <v>2001</v>
      </c>
      <c r="D75" s="274"/>
      <c r="E75" s="274"/>
      <c r="F75" s="274">
        <v>2001</v>
      </c>
      <c r="G75" s="274"/>
      <c r="H75" s="274"/>
      <c r="I75" s="274"/>
    </row>
    <row r="76" spans="1:9" x14ac:dyDescent="0.2">
      <c r="A76" s="272">
        <f t="shared" si="2"/>
        <v>66</v>
      </c>
      <c r="B76" s="273" t="s">
        <v>38</v>
      </c>
      <c r="C76" s="274">
        <f t="shared" si="3"/>
        <v>2278</v>
      </c>
      <c r="D76" s="274"/>
      <c r="E76" s="274"/>
      <c r="F76" s="274">
        <v>2278</v>
      </c>
      <c r="G76" s="274"/>
      <c r="H76" s="274">
        <v>2</v>
      </c>
      <c r="I76" s="274"/>
    </row>
    <row r="77" spans="1:9" x14ac:dyDescent="0.2">
      <c r="A77" s="272">
        <f t="shared" si="2"/>
        <v>67</v>
      </c>
      <c r="B77" s="273" t="s">
        <v>39</v>
      </c>
      <c r="C77" s="274">
        <f t="shared" si="3"/>
        <v>5425</v>
      </c>
      <c r="D77" s="274"/>
      <c r="E77" s="274"/>
      <c r="F77" s="274">
        <v>5425</v>
      </c>
      <c r="G77" s="274"/>
      <c r="H77" s="274">
        <v>31</v>
      </c>
      <c r="I77" s="274"/>
    </row>
    <row r="78" spans="1:9" x14ac:dyDescent="0.2">
      <c r="A78" s="272">
        <f t="shared" si="2"/>
        <v>68</v>
      </c>
      <c r="B78" s="273" t="s">
        <v>40</v>
      </c>
      <c r="C78" s="274">
        <f t="shared" si="3"/>
        <v>2766</v>
      </c>
      <c r="D78" s="274"/>
      <c r="E78" s="274"/>
      <c r="F78" s="274">
        <v>2766</v>
      </c>
      <c r="G78" s="274"/>
      <c r="H78" s="274">
        <v>6</v>
      </c>
      <c r="I78" s="274"/>
    </row>
    <row r="79" spans="1:9" x14ac:dyDescent="0.2">
      <c r="A79" s="272">
        <f t="shared" si="2"/>
        <v>69</v>
      </c>
      <c r="B79" s="273" t="s">
        <v>41</v>
      </c>
      <c r="C79" s="274">
        <f t="shared" si="3"/>
        <v>3741</v>
      </c>
      <c r="D79" s="274"/>
      <c r="E79" s="274"/>
      <c r="F79" s="274">
        <v>3741</v>
      </c>
      <c r="G79" s="274"/>
      <c r="H79" s="274">
        <v>36</v>
      </c>
      <c r="I79" s="274"/>
    </row>
    <row r="80" spans="1:9" x14ac:dyDescent="0.2">
      <c r="A80" s="272">
        <f t="shared" si="2"/>
        <v>70</v>
      </c>
      <c r="B80" s="273" t="s">
        <v>42</v>
      </c>
      <c r="C80" s="274">
        <f t="shared" si="3"/>
        <v>3599</v>
      </c>
      <c r="D80" s="274"/>
      <c r="E80" s="274"/>
      <c r="F80" s="274">
        <v>3599</v>
      </c>
      <c r="G80" s="274"/>
      <c r="H80" s="274">
        <v>4</v>
      </c>
      <c r="I80" s="274"/>
    </row>
    <row r="81" spans="1:9" x14ac:dyDescent="0.2">
      <c r="A81" s="272">
        <f t="shared" si="2"/>
        <v>71</v>
      </c>
      <c r="B81" s="273" t="s">
        <v>43</v>
      </c>
      <c r="C81" s="274">
        <f t="shared" si="3"/>
        <v>4766</v>
      </c>
      <c r="D81" s="274"/>
      <c r="E81" s="274"/>
      <c r="F81" s="274">
        <v>4766</v>
      </c>
      <c r="G81" s="274"/>
      <c r="H81" s="274">
        <v>25</v>
      </c>
      <c r="I81" s="274"/>
    </row>
    <row r="82" spans="1:9" x14ac:dyDescent="0.2">
      <c r="A82" s="272">
        <f t="shared" si="2"/>
        <v>72</v>
      </c>
      <c r="B82" s="273" t="s">
        <v>44</v>
      </c>
      <c r="C82" s="274">
        <f t="shared" si="3"/>
        <v>1789</v>
      </c>
      <c r="D82" s="274"/>
      <c r="E82" s="274"/>
      <c r="F82" s="274">
        <v>1789</v>
      </c>
      <c r="G82" s="274"/>
      <c r="H82" s="274">
        <v>9</v>
      </c>
      <c r="I82" s="274"/>
    </row>
    <row r="83" spans="1:9" x14ac:dyDescent="0.2">
      <c r="A83" s="272">
        <f t="shared" si="2"/>
        <v>73</v>
      </c>
      <c r="B83" s="273" t="s">
        <v>45</v>
      </c>
      <c r="C83" s="274">
        <f t="shared" si="3"/>
        <v>2584</v>
      </c>
      <c r="D83" s="274"/>
      <c r="E83" s="274"/>
      <c r="F83" s="274">
        <v>2584</v>
      </c>
      <c r="G83" s="274"/>
      <c r="H83" s="274">
        <v>19</v>
      </c>
      <c r="I83" s="274"/>
    </row>
    <row r="84" spans="1:9" x14ac:dyDescent="0.2">
      <c r="A84" s="272">
        <f t="shared" si="2"/>
        <v>74</v>
      </c>
      <c r="B84" s="273" t="s">
        <v>46</v>
      </c>
      <c r="C84" s="274">
        <f t="shared" si="3"/>
        <v>3635</v>
      </c>
      <c r="D84" s="274"/>
      <c r="E84" s="274"/>
      <c r="F84" s="274">
        <v>3635</v>
      </c>
      <c r="G84" s="274"/>
      <c r="H84" s="274">
        <v>248</v>
      </c>
      <c r="I84" s="274"/>
    </row>
    <row r="85" spans="1:9" x14ac:dyDescent="0.2">
      <c r="A85" s="272">
        <f t="shared" si="2"/>
        <v>75</v>
      </c>
      <c r="B85" s="273" t="s">
        <v>47</v>
      </c>
      <c r="C85" s="274">
        <f t="shared" si="3"/>
        <v>5299</v>
      </c>
      <c r="D85" s="274">
        <f>238+2</f>
        <v>240</v>
      </c>
      <c r="E85" s="274"/>
      <c r="F85" s="274">
        <f>4971-2+90</f>
        <v>5059</v>
      </c>
      <c r="G85" s="274">
        <v>312</v>
      </c>
      <c r="H85" s="274">
        <v>432</v>
      </c>
      <c r="I85" s="274"/>
    </row>
    <row r="86" spans="1:9" x14ac:dyDescent="0.2">
      <c r="A86" s="272">
        <f t="shared" si="2"/>
        <v>76</v>
      </c>
      <c r="B86" s="273" t="s">
        <v>48</v>
      </c>
      <c r="C86" s="274">
        <f t="shared" si="3"/>
        <v>2103</v>
      </c>
      <c r="D86" s="274"/>
      <c r="E86" s="274"/>
      <c r="F86" s="274">
        <v>2103</v>
      </c>
      <c r="G86" s="274"/>
      <c r="H86" s="274">
        <v>11</v>
      </c>
      <c r="I86" s="274"/>
    </row>
    <row r="87" spans="1:9" x14ac:dyDescent="0.2">
      <c r="A87" s="272">
        <f t="shared" si="2"/>
        <v>77</v>
      </c>
      <c r="B87" s="273" t="s">
        <v>49</v>
      </c>
      <c r="C87" s="274">
        <f t="shared" si="3"/>
        <v>3033</v>
      </c>
      <c r="D87" s="274"/>
      <c r="E87" s="274"/>
      <c r="F87" s="274">
        <v>3033</v>
      </c>
      <c r="G87" s="274"/>
      <c r="H87" s="274">
        <v>0</v>
      </c>
      <c r="I87" s="274"/>
    </row>
    <row r="88" spans="1:9" x14ac:dyDescent="0.2">
      <c r="A88" s="272">
        <f t="shared" si="2"/>
        <v>78</v>
      </c>
      <c r="B88" s="273" t="s">
        <v>50</v>
      </c>
      <c r="C88" s="274">
        <f t="shared" si="3"/>
        <v>4426</v>
      </c>
      <c r="D88" s="274"/>
      <c r="E88" s="274"/>
      <c r="F88" s="274">
        <v>4426</v>
      </c>
      <c r="G88" s="274"/>
      <c r="H88" s="274">
        <v>12</v>
      </c>
      <c r="I88" s="274"/>
    </row>
    <row r="89" spans="1:9" x14ac:dyDescent="0.2">
      <c r="A89" s="272">
        <f t="shared" si="2"/>
        <v>79</v>
      </c>
      <c r="B89" s="273" t="s">
        <v>51</v>
      </c>
      <c r="C89" s="274">
        <f t="shared" si="3"/>
        <v>2244</v>
      </c>
      <c r="D89" s="274"/>
      <c r="E89" s="274"/>
      <c r="F89" s="274">
        <v>2244</v>
      </c>
      <c r="G89" s="274"/>
      <c r="H89" s="274">
        <v>1</v>
      </c>
      <c r="I89" s="274"/>
    </row>
    <row r="90" spans="1:9" ht="25.5" customHeight="1" x14ac:dyDescent="0.2">
      <c r="A90" s="272">
        <f t="shared" si="2"/>
        <v>80</v>
      </c>
      <c r="B90" s="279" t="s">
        <v>59</v>
      </c>
      <c r="C90" s="274">
        <f t="shared" si="3"/>
        <v>7611</v>
      </c>
      <c r="D90" s="274"/>
      <c r="E90" s="274"/>
      <c r="F90" s="274">
        <v>7611</v>
      </c>
      <c r="G90" s="274">
        <v>522</v>
      </c>
      <c r="H90" s="274">
        <v>17</v>
      </c>
      <c r="I90" s="274"/>
    </row>
    <row r="91" spans="1:9" x14ac:dyDescent="0.2">
      <c r="A91" s="272">
        <f t="shared" si="2"/>
        <v>81</v>
      </c>
      <c r="B91" s="273" t="s">
        <v>524</v>
      </c>
      <c r="C91" s="274">
        <f t="shared" si="3"/>
        <v>329</v>
      </c>
      <c r="D91" s="274">
        <f>240</f>
        <v>240</v>
      </c>
      <c r="E91" s="274"/>
      <c r="F91" s="274">
        <f>59+30</f>
        <v>89</v>
      </c>
      <c r="G91" s="274"/>
      <c r="H91" s="274"/>
      <c r="I91" s="274"/>
    </row>
    <row r="92" spans="1:9" x14ac:dyDescent="0.2">
      <c r="A92" s="272">
        <f t="shared" si="2"/>
        <v>82</v>
      </c>
      <c r="B92" s="273" t="s">
        <v>444</v>
      </c>
      <c r="C92" s="274">
        <f t="shared" si="3"/>
        <v>17</v>
      </c>
      <c r="D92" s="274"/>
      <c r="E92" s="274"/>
      <c r="F92" s="274">
        <v>17</v>
      </c>
      <c r="G92" s="274"/>
      <c r="H92" s="274"/>
      <c r="I92" s="274"/>
    </row>
    <row r="93" spans="1:9" x14ac:dyDescent="0.2">
      <c r="A93" s="272">
        <f t="shared" si="2"/>
        <v>83</v>
      </c>
      <c r="B93" s="282" t="s">
        <v>60</v>
      </c>
      <c r="C93" s="274">
        <f t="shared" si="3"/>
        <v>17</v>
      </c>
      <c r="D93" s="274"/>
      <c r="E93" s="274"/>
      <c r="F93" s="274">
        <v>17</v>
      </c>
      <c r="G93" s="274"/>
      <c r="H93" s="274"/>
      <c r="I93" s="274"/>
    </row>
    <row r="94" spans="1:9" ht="15" customHeight="1" x14ac:dyDescent="0.2">
      <c r="A94" s="272">
        <f t="shared" si="2"/>
        <v>84</v>
      </c>
      <c r="B94" s="283" t="s">
        <v>110</v>
      </c>
      <c r="C94" s="274">
        <f t="shared" si="3"/>
        <v>3985</v>
      </c>
      <c r="D94" s="274"/>
      <c r="E94" s="274"/>
      <c r="F94" s="274"/>
      <c r="G94" s="274"/>
      <c r="H94" s="274"/>
      <c r="I94" s="274">
        <f>4135-150</f>
        <v>3985</v>
      </c>
    </row>
    <row r="95" spans="1:9" x14ac:dyDescent="0.2">
      <c r="A95" s="272">
        <f t="shared" si="2"/>
        <v>85</v>
      </c>
      <c r="B95" s="281" t="s">
        <v>111</v>
      </c>
      <c r="C95" s="274">
        <f t="shared" si="3"/>
        <v>1650</v>
      </c>
      <c r="D95" s="274"/>
      <c r="E95" s="274"/>
      <c r="F95" s="274"/>
      <c r="G95" s="274"/>
      <c r="H95" s="274"/>
      <c r="I95" s="274">
        <f>1500+150</f>
        <v>1650</v>
      </c>
    </row>
    <row r="96" spans="1:9" x14ac:dyDescent="0.2">
      <c r="A96" s="272">
        <f t="shared" si="2"/>
        <v>86</v>
      </c>
      <c r="B96" s="273" t="s">
        <v>459</v>
      </c>
      <c r="C96" s="274">
        <f t="shared" si="3"/>
        <v>17</v>
      </c>
      <c r="D96" s="274"/>
      <c r="E96" s="274"/>
      <c r="F96" s="274">
        <v>17</v>
      </c>
      <c r="G96" s="274"/>
      <c r="H96" s="274"/>
      <c r="I96" s="274"/>
    </row>
    <row r="97" spans="1:9" x14ac:dyDescent="0.2">
      <c r="A97" s="272">
        <f t="shared" si="2"/>
        <v>87</v>
      </c>
      <c r="B97" s="284" t="s">
        <v>112</v>
      </c>
      <c r="C97" s="274">
        <f t="shared" si="3"/>
        <v>27343</v>
      </c>
      <c r="D97" s="274">
        <f>2434-45+10+7</f>
        <v>2406</v>
      </c>
      <c r="E97" s="274">
        <v>101</v>
      </c>
      <c r="F97" s="274">
        <f>24889+45-10+20-7</f>
        <v>24937</v>
      </c>
      <c r="G97" s="274">
        <v>831</v>
      </c>
      <c r="H97" s="274">
        <v>470</v>
      </c>
      <c r="I97" s="274"/>
    </row>
    <row r="98" spans="1:9" x14ac:dyDescent="0.2">
      <c r="A98" s="272">
        <f t="shared" si="2"/>
        <v>88</v>
      </c>
      <c r="B98" s="284" t="s">
        <v>355</v>
      </c>
      <c r="C98" s="274">
        <f t="shared" si="3"/>
        <v>19650</v>
      </c>
      <c r="D98" s="274">
        <v>1224</v>
      </c>
      <c r="E98" s="274">
        <v>1224</v>
      </c>
      <c r="F98" s="274">
        <v>18426</v>
      </c>
      <c r="G98" s="274"/>
      <c r="H98" s="274">
        <v>15286</v>
      </c>
      <c r="I98" s="274"/>
    </row>
    <row r="99" spans="1:9" x14ac:dyDescent="0.2">
      <c r="A99" s="272">
        <f t="shared" si="2"/>
        <v>89</v>
      </c>
      <c r="B99" s="283" t="s">
        <v>61</v>
      </c>
      <c r="C99" s="274">
        <f t="shared" si="3"/>
        <v>12316</v>
      </c>
      <c r="D99" s="274">
        <f>3088+230</f>
        <v>3318</v>
      </c>
      <c r="E99" s="274"/>
      <c r="F99" s="274">
        <f>8498+500</f>
        <v>8998</v>
      </c>
      <c r="G99" s="274">
        <v>624</v>
      </c>
      <c r="H99" s="274"/>
      <c r="I99" s="274"/>
    </row>
    <row r="100" spans="1:9" x14ac:dyDescent="0.2">
      <c r="A100" s="272">
        <f t="shared" si="2"/>
        <v>90</v>
      </c>
      <c r="B100" s="283" t="s">
        <v>525</v>
      </c>
      <c r="C100" s="274">
        <f t="shared" si="3"/>
        <v>16459</v>
      </c>
      <c r="D100" s="274">
        <v>927</v>
      </c>
      <c r="E100" s="274">
        <v>103</v>
      </c>
      <c r="F100" s="274">
        <f>17517-535-1450</f>
        <v>15532</v>
      </c>
      <c r="G100" s="274">
        <v>296</v>
      </c>
      <c r="H100" s="274">
        <v>427</v>
      </c>
      <c r="I100" s="274"/>
    </row>
    <row r="101" spans="1:9" x14ac:dyDescent="0.2">
      <c r="A101" s="272">
        <f t="shared" si="2"/>
        <v>91</v>
      </c>
      <c r="B101" s="283" t="s">
        <v>62</v>
      </c>
      <c r="C101" s="274">
        <f t="shared" si="3"/>
        <v>12051</v>
      </c>
      <c r="D101" s="274">
        <v>2424</v>
      </c>
      <c r="E101" s="274"/>
      <c r="F101" s="274">
        <f>9822-195</f>
        <v>9627</v>
      </c>
      <c r="G101" s="274"/>
      <c r="H101" s="274"/>
      <c r="I101" s="274"/>
    </row>
    <row r="102" spans="1:9" x14ac:dyDescent="0.2">
      <c r="A102" s="272">
        <f t="shared" si="2"/>
        <v>92</v>
      </c>
      <c r="B102" s="283" t="s">
        <v>113</v>
      </c>
      <c r="C102" s="274">
        <f t="shared" si="3"/>
        <v>5366</v>
      </c>
      <c r="D102" s="274">
        <v>52</v>
      </c>
      <c r="E102" s="274"/>
      <c r="F102" s="274">
        <v>5314</v>
      </c>
      <c r="G102" s="274"/>
      <c r="H102" s="274"/>
      <c r="I102" s="274"/>
    </row>
    <row r="103" spans="1:9" x14ac:dyDescent="0.2">
      <c r="A103" s="272">
        <f t="shared" si="2"/>
        <v>93</v>
      </c>
      <c r="B103" s="283" t="s">
        <v>114</v>
      </c>
      <c r="C103" s="274">
        <f t="shared" si="3"/>
        <v>22914</v>
      </c>
      <c r="D103" s="274">
        <f>660-13</f>
        <v>647</v>
      </c>
      <c r="E103" s="274"/>
      <c r="F103" s="274">
        <f>22254+13</f>
        <v>22267</v>
      </c>
      <c r="G103" s="274"/>
      <c r="H103" s="274"/>
      <c r="I103" s="274"/>
    </row>
    <row r="104" spans="1:9" x14ac:dyDescent="0.2">
      <c r="A104" s="272">
        <f t="shared" si="2"/>
        <v>94</v>
      </c>
      <c r="B104" s="285" t="s">
        <v>64</v>
      </c>
      <c r="C104" s="274">
        <f t="shared" si="3"/>
        <v>5424</v>
      </c>
      <c r="D104" s="274">
        <v>216</v>
      </c>
      <c r="E104" s="274"/>
      <c r="F104" s="274">
        <v>5208</v>
      </c>
      <c r="G104" s="274">
        <v>1350</v>
      </c>
      <c r="H104" s="274"/>
      <c r="I104" s="274"/>
    </row>
    <row r="105" spans="1:9" x14ac:dyDescent="0.2">
      <c r="A105" s="272">
        <f t="shared" si="2"/>
        <v>95</v>
      </c>
      <c r="B105" s="285" t="s">
        <v>70</v>
      </c>
      <c r="C105" s="274">
        <f t="shared" si="3"/>
        <v>25116</v>
      </c>
      <c r="D105" s="274">
        <f>1101-2</f>
        <v>1099</v>
      </c>
      <c r="E105" s="274">
        <v>0</v>
      </c>
      <c r="F105" s="274">
        <f>23505+10+2+500</f>
        <v>24017</v>
      </c>
      <c r="G105" s="274">
        <v>1246</v>
      </c>
      <c r="H105" s="274">
        <v>306</v>
      </c>
      <c r="I105" s="274"/>
    </row>
    <row r="106" spans="1:9" x14ac:dyDescent="0.2">
      <c r="A106" s="336">
        <f t="shared" si="2"/>
        <v>96</v>
      </c>
      <c r="B106" s="285" t="s">
        <v>115</v>
      </c>
      <c r="C106" s="274">
        <f>D106+F106+I106</f>
        <v>22376</v>
      </c>
      <c r="D106" s="274">
        <f>1254-29-8</f>
        <v>1217</v>
      </c>
      <c r="E106" s="274"/>
      <c r="F106" s="274">
        <f>21126-4+29+8</f>
        <v>21159</v>
      </c>
      <c r="G106" s="274">
        <v>800</v>
      </c>
      <c r="H106" s="274">
        <v>1079</v>
      </c>
      <c r="I106" s="274"/>
    </row>
    <row r="107" spans="1:9" s="278" customFormat="1" ht="25.5" x14ac:dyDescent="0.2">
      <c r="A107" s="343"/>
      <c r="B107" s="277" t="s">
        <v>526</v>
      </c>
      <c r="C107" s="274">
        <f t="shared" si="3"/>
        <v>2258</v>
      </c>
      <c r="D107" s="276"/>
      <c r="E107" s="276"/>
      <c r="F107" s="276">
        <v>2258</v>
      </c>
      <c r="G107" s="276"/>
      <c r="H107" s="276"/>
      <c r="I107" s="276"/>
    </row>
    <row r="108" spans="1:9" x14ac:dyDescent="0.2">
      <c r="A108" s="272">
        <f>A106+1</f>
        <v>97</v>
      </c>
      <c r="B108" s="285" t="s">
        <v>527</v>
      </c>
      <c r="C108" s="274">
        <f t="shared" si="3"/>
        <v>15841</v>
      </c>
      <c r="D108" s="274"/>
      <c r="E108" s="274"/>
      <c r="F108" s="274">
        <v>15841</v>
      </c>
      <c r="G108" s="274"/>
      <c r="H108" s="274">
        <v>0</v>
      </c>
      <c r="I108" s="274"/>
    </row>
    <row r="109" spans="1:9" ht="14.25" customHeight="1" x14ac:dyDescent="0.2">
      <c r="A109" s="272">
        <v>98</v>
      </c>
      <c r="B109" s="82" t="s">
        <v>528</v>
      </c>
      <c r="C109" s="274">
        <f t="shared" si="3"/>
        <v>792</v>
      </c>
      <c r="D109" s="274"/>
      <c r="E109" s="274"/>
      <c r="F109" s="274">
        <v>792</v>
      </c>
      <c r="G109" s="274"/>
      <c r="H109" s="274"/>
      <c r="I109" s="274"/>
    </row>
    <row r="110" spans="1:9" x14ac:dyDescent="0.2">
      <c r="A110" s="272">
        <v>99</v>
      </c>
      <c r="B110" s="283" t="s">
        <v>529</v>
      </c>
      <c r="C110" s="274">
        <f t="shared" si="3"/>
        <v>1010</v>
      </c>
      <c r="D110" s="274">
        <v>300</v>
      </c>
      <c r="E110" s="274"/>
      <c r="F110" s="274">
        <f>710</f>
        <v>710</v>
      </c>
      <c r="G110" s="274"/>
      <c r="H110" s="274"/>
      <c r="I110" s="274"/>
    </row>
    <row r="111" spans="1:9" x14ac:dyDescent="0.2">
      <c r="A111" s="272"/>
      <c r="B111" s="286" t="s">
        <v>530</v>
      </c>
      <c r="C111" s="274">
        <f t="shared" si="3"/>
        <v>15258</v>
      </c>
      <c r="D111" s="274">
        <f>133-133</f>
        <v>0</v>
      </c>
      <c r="E111" s="274"/>
      <c r="F111" s="287">
        <f>15947-230-459</f>
        <v>15258</v>
      </c>
      <c r="G111" s="274"/>
      <c r="H111" s="274">
        <v>374</v>
      </c>
      <c r="I111" s="274"/>
    </row>
    <row r="112" spans="1:9" x14ac:dyDescent="0.2">
      <c r="A112" s="288"/>
      <c r="B112" s="289" t="s">
        <v>52</v>
      </c>
      <c r="C112" s="290">
        <f t="shared" ref="C112:I112" si="4">SUM(C6:C111)</f>
        <v>713374</v>
      </c>
      <c r="D112" s="290">
        <f t="shared" si="4"/>
        <v>18804</v>
      </c>
      <c r="E112" s="290">
        <f t="shared" si="4"/>
        <v>1660</v>
      </c>
      <c r="F112" s="290">
        <f t="shared" si="4"/>
        <v>688935</v>
      </c>
      <c r="G112" s="290">
        <f t="shared" si="4"/>
        <v>13127</v>
      </c>
      <c r="H112" s="290">
        <f t="shared" si="4"/>
        <v>35012</v>
      </c>
      <c r="I112" s="290">
        <f t="shared" si="4"/>
        <v>5635</v>
      </c>
    </row>
  </sheetData>
  <mergeCells count="14">
    <mergeCell ref="A1:I1"/>
    <mergeCell ref="F2:I2"/>
    <mergeCell ref="A3:A4"/>
    <mergeCell ref="B3:B4"/>
    <mergeCell ref="C3:C4"/>
    <mergeCell ref="D3:D4"/>
    <mergeCell ref="F3:F4"/>
    <mergeCell ref="G3:H3"/>
    <mergeCell ref="I3:I4"/>
    <mergeCell ref="A8:A9"/>
    <mergeCell ref="A31:A32"/>
    <mergeCell ref="A36:A38"/>
    <mergeCell ref="A40:A41"/>
    <mergeCell ref="A106:A107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pane xSplit="3" ySplit="5" topLeftCell="D129" activePane="bottomRight" state="frozen"/>
      <selection pane="topRight" activeCell="D1" sqref="D1"/>
      <selection pane="bottomLeft" activeCell="A6" sqref="A6"/>
      <selection pane="bottomRight" activeCell="B160" sqref="B160"/>
    </sheetView>
  </sheetViews>
  <sheetFormatPr defaultRowHeight="12" x14ac:dyDescent="0.2"/>
  <cols>
    <col min="1" max="1" width="5.42578125" style="1" customWidth="1"/>
    <col min="2" max="2" width="47.5703125" style="1" customWidth="1"/>
    <col min="3" max="3" width="11" style="1" customWidth="1"/>
    <col min="4" max="4" width="11.28515625" style="1" customWidth="1"/>
    <col min="5" max="5" width="10" style="1" customWidth="1"/>
    <col min="6" max="6" width="9.42578125" style="1" customWidth="1"/>
    <col min="7" max="7" width="10.28515625" style="1" customWidth="1"/>
    <col min="8" max="8" width="11.140625" style="1" customWidth="1"/>
    <col min="9" max="9" width="12.42578125" style="1" customWidth="1"/>
    <col min="10" max="16384" width="9.140625" style="1"/>
  </cols>
  <sheetData>
    <row r="1" spans="1:9" ht="23.25" customHeight="1" x14ac:dyDescent="0.2">
      <c r="A1" s="353" t="s">
        <v>117</v>
      </c>
      <c r="B1" s="353"/>
      <c r="C1" s="353"/>
      <c r="D1" s="353"/>
      <c r="E1" s="353"/>
      <c r="F1" s="353"/>
      <c r="G1" s="353"/>
      <c r="H1" s="353"/>
      <c r="I1" s="353"/>
    </row>
    <row r="2" spans="1:9" s="3" customFormat="1" ht="15" customHeight="1" x14ac:dyDescent="0.2">
      <c r="A2" s="2"/>
      <c r="G2" s="354" t="s">
        <v>118</v>
      </c>
      <c r="H2" s="354"/>
      <c r="I2" s="354"/>
    </row>
    <row r="3" spans="1:9" s="4" customFormat="1" ht="15" customHeight="1" x14ac:dyDescent="0.2">
      <c r="A3" s="355" t="s">
        <v>0</v>
      </c>
      <c r="B3" s="355" t="s">
        <v>53</v>
      </c>
      <c r="C3" s="355" t="s">
        <v>82</v>
      </c>
      <c r="D3" s="355" t="s">
        <v>83</v>
      </c>
      <c r="E3" s="357" t="s">
        <v>119</v>
      </c>
      <c r="F3" s="358"/>
      <c r="G3" s="358"/>
      <c r="H3" s="359"/>
      <c r="I3" s="360" t="s">
        <v>120</v>
      </c>
    </row>
    <row r="4" spans="1:9" s="5" customFormat="1" ht="57.75" customHeight="1" x14ac:dyDescent="0.25">
      <c r="A4" s="356"/>
      <c r="B4" s="356"/>
      <c r="C4" s="356"/>
      <c r="D4" s="356"/>
      <c r="E4" s="60" t="s">
        <v>121</v>
      </c>
      <c r="F4" s="59" t="s">
        <v>122</v>
      </c>
      <c r="G4" s="59" t="s">
        <v>123</v>
      </c>
      <c r="H4" s="59" t="s">
        <v>124</v>
      </c>
      <c r="I4" s="361"/>
    </row>
    <row r="5" spans="1:9" s="4" customFormat="1" x14ac:dyDescent="0.2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6">
        <v>9</v>
      </c>
    </row>
    <row r="6" spans="1:9" s="3" customFormat="1" x14ac:dyDescent="0.2">
      <c r="A6" s="59">
        <v>1</v>
      </c>
      <c r="B6" s="7" t="s">
        <v>1</v>
      </c>
      <c r="C6" s="59">
        <f t="shared" ref="C6:C70" si="0">D6+I6</f>
        <v>3647</v>
      </c>
      <c r="D6" s="59">
        <f>3656-2-2-5</f>
        <v>3647</v>
      </c>
      <c r="E6" s="59">
        <v>294</v>
      </c>
      <c r="F6" s="59"/>
      <c r="G6" s="59"/>
      <c r="H6" s="59">
        <v>815</v>
      </c>
      <c r="I6" s="59"/>
    </row>
    <row r="7" spans="1:9" s="3" customFormat="1" x14ac:dyDescent="0.2">
      <c r="A7" s="59">
        <v>2</v>
      </c>
      <c r="B7" s="7" t="s">
        <v>2</v>
      </c>
      <c r="C7" s="59">
        <f t="shared" si="0"/>
        <v>2917</v>
      </c>
      <c r="D7" s="59">
        <f>2920-1-2</f>
        <v>2917</v>
      </c>
      <c r="E7" s="59">
        <v>244</v>
      </c>
      <c r="F7" s="59"/>
      <c r="G7" s="59"/>
      <c r="H7" s="59"/>
      <c r="I7" s="59"/>
    </row>
    <row r="8" spans="1:9" s="3" customFormat="1" x14ac:dyDescent="0.2">
      <c r="A8" s="355">
        <v>3</v>
      </c>
      <c r="B8" s="7" t="s">
        <v>3</v>
      </c>
      <c r="C8" s="59">
        <f t="shared" si="0"/>
        <v>7878</v>
      </c>
      <c r="D8" s="59">
        <v>7878</v>
      </c>
      <c r="E8" s="59">
        <v>1237</v>
      </c>
      <c r="F8" s="59"/>
      <c r="G8" s="59"/>
      <c r="H8" s="59">
        <v>1343</v>
      </c>
      <c r="I8" s="59"/>
    </row>
    <row r="9" spans="1:9" s="10" customFormat="1" ht="25.5" customHeight="1" x14ac:dyDescent="0.2">
      <c r="A9" s="356"/>
      <c r="B9" s="8" t="s">
        <v>84</v>
      </c>
      <c r="C9" s="9">
        <f t="shared" si="0"/>
        <v>841</v>
      </c>
      <c r="D9" s="9">
        <v>841</v>
      </c>
      <c r="E9" s="9">
        <v>129</v>
      </c>
      <c r="F9" s="9"/>
      <c r="G9" s="9"/>
      <c r="H9" s="9"/>
      <c r="I9" s="9"/>
    </row>
    <row r="10" spans="1:9" s="3" customFormat="1" x14ac:dyDescent="0.2">
      <c r="A10" s="6">
        <v>4</v>
      </c>
      <c r="B10" s="7" t="s">
        <v>4</v>
      </c>
      <c r="C10" s="59">
        <f t="shared" si="0"/>
        <v>2202</v>
      </c>
      <c r="D10" s="59">
        <v>2202</v>
      </c>
      <c r="E10" s="59">
        <v>215</v>
      </c>
      <c r="F10" s="59"/>
      <c r="G10" s="59"/>
      <c r="H10" s="59"/>
      <c r="I10" s="59"/>
    </row>
    <row r="11" spans="1:9" s="3" customFormat="1" x14ac:dyDescent="0.2">
      <c r="A11" s="59">
        <v>5</v>
      </c>
      <c r="B11" s="7" t="s">
        <v>5</v>
      </c>
      <c r="C11" s="59">
        <f t="shared" si="0"/>
        <v>964</v>
      </c>
      <c r="D11" s="59">
        <v>964</v>
      </c>
      <c r="E11" s="59">
        <v>101</v>
      </c>
      <c r="F11" s="59"/>
      <c r="G11" s="59"/>
      <c r="H11" s="59"/>
      <c r="I11" s="59"/>
    </row>
    <row r="12" spans="1:9" s="3" customFormat="1" x14ac:dyDescent="0.2">
      <c r="A12" s="59">
        <v>6</v>
      </c>
      <c r="B12" s="7" t="s">
        <v>6</v>
      </c>
      <c r="C12" s="59">
        <f t="shared" si="0"/>
        <v>1020</v>
      </c>
      <c r="D12" s="59">
        <f>990+30</f>
        <v>1020</v>
      </c>
      <c r="E12" s="59">
        <v>89</v>
      </c>
      <c r="F12" s="59"/>
      <c r="G12" s="59"/>
      <c r="H12" s="59"/>
      <c r="I12" s="59"/>
    </row>
    <row r="13" spans="1:9" s="3" customFormat="1" x14ac:dyDescent="0.2">
      <c r="A13" s="59">
        <v>7</v>
      </c>
      <c r="B13" s="7" t="s">
        <v>7</v>
      </c>
      <c r="C13" s="59">
        <f t="shared" si="0"/>
        <v>1070</v>
      </c>
      <c r="D13" s="59">
        <v>1070</v>
      </c>
      <c r="E13" s="59">
        <v>91</v>
      </c>
      <c r="F13" s="59"/>
      <c r="G13" s="59"/>
      <c r="H13" s="59"/>
      <c r="I13" s="59"/>
    </row>
    <row r="14" spans="1:9" s="3" customFormat="1" x14ac:dyDescent="0.2">
      <c r="A14" s="59">
        <v>8</v>
      </c>
      <c r="B14" s="7" t="s">
        <v>8</v>
      </c>
      <c r="C14" s="59">
        <f t="shared" si="0"/>
        <v>1138</v>
      </c>
      <c r="D14" s="59">
        <v>1138</v>
      </c>
      <c r="E14" s="59">
        <v>112</v>
      </c>
      <c r="F14" s="59"/>
      <c r="G14" s="59"/>
      <c r="H14" s="59"/>
      <c r="I14" s="59"/>
    </row>
    <row r="15" spans="1:9" s="3" customFormat="1" x14ac:dyDescent="0.2">
      <c r="A15" s="59">
        <v>9</v>
      </c>
      <c r="B15" s="7" t="s">
        <v>9</v>
      </c>
      <c r="C15" s="59">
        <f t="shared" si="0"/>
        <v>1217</v>
      </c>
      <c r="D15" s="59">
        <v>1217</v>
      </c>
      <c r="E15" s="59">
        <v>128</v>
      </c>
      <c r="F15" s="59"/>
      <c r="G15" s="59"/>
      <c r="H15" s="59"/>
      <c r="I15" s="59"/>
    </row>
    <row r="16" spans="1:9" s="3" customFormat="1" x14ac:dyDescent="0.2">
      <c r="A16" s="59">
        <v>10</v>
      </c>
      <c r="B16" s="7" t="s">
        <v>10</v>
      </c>
      <c r="C16" s="59">
        <f t="shared" si="0"/>
        <v>1128</v>
      </c>
      <c r="D16" s="59">
        <v>1128</v>
      </c>
      <c r="E16" s="59">
        <v>111</v>
      </c>
      <c r="F16" s="59"/>
      <c r="G16" s="59"/>
      <c r="H16" s="59"/>
      <c r="I16" s="59"/>
    </row>
    <row r="17" spans="1:9" s="3" customFormat="1" x14ac:dyDescent="0.2">
      <c r="A17" s="59">
        <v>11</v>
      </c>
      <c r="B17" s="7" t="s">
        <v>54</v>
      </c>
      <c r="C17" s="59">
        <f t="shared" si="0"/>
        <v>1317</v>
      </c>
      <c r="D17" s="59">
        <v>1317</v>
      </c>
      <c r="E17" s="59">
        <v>122</v>
      </c>
      <c r="F17" s="59"/>
      <c r="G17" s="59"/>
      <c r="H17" s="59"/>
      <c r="I17" s="59"/>
    </row>
    <row r="18" spans="1:9" s="3" customFormat="1" x14ac:dyDescent="0.2">
      <c r="A18" s="59">
        <v>12</v>
      </c>
      <c r="B18" s="7" t="s">
        <v>11</v>
      </c>
      <c r="C18" s="59">
        <f t="shared" si="0"/>
        <v>1119</v>
      </c>
      <c r="D18" s="59">
        <v>1119</v>
      </c>
      <c r="E18" s="59">
        <v>125</v>
      </c>
      <c r="F18" s="59"/>
      <c r="G18" s="59"/>
      <c r="H18" s="59"/>
      <c r="I18" s="59"/>
    </row>
    <row r="19" spans="1:9" s="3" customFormat="1" x14ac:dyDescent="0.2">
      <c r="A19" s="59">
        <v>13</v>
      </c>
      <c r="B19" s="7" t="s">
        <v>55</v>
      </c>
      <c r="C19" s="59">
        <f t="shared" si="0"/>
        <v>40</v>
      </c>
      <c r="D19" s="59">
        <v>40</v>
      </c>
      <c r="E19" s="59">
        <v>0</v>
      </c>
      <c r="F19" s="59"/>
      <c r="G19" s="59"/>
      <c r="H19" s="59"/>
      <c r="I19" s="59"/>
    </row>
    <row r="20" spans="1:9" s="3" customFormat="1" x14ac:dyDescent="0.2">
      <c r="A20" s="59">
        <v>14</v>
      </c>
      <c r="B20" s="11" t="s">
        <v>56</v>
      </c>
      <c r="C20" s="59">
        <f t="shared" si="0"/>
        <v>40</v>
      </c>
      <c r="D20" s="59">
        <v>40</v>
      </c>
      <c r="E20" s="59">
        <v>0</v>
      </c>
      <c r="F20" s="59"/>
      <c r="G20" s="59"/>
      <c r="H20" s="59"/>
      <c r="I20" s="59"/>
    </row>
    <row r="21" spans="1:9" s="3" customFormat="1" x14ac:dyDescent="0.2">
      <c r="A21" s="59">
        <v>15</v>
      </c>
      <c r="B21" s="7" t="s">
        <v>85</v>
      </c>
      <c r="C21" s="59">
        <f t="shared" si="0"/>
        <v>3030</v>
      </c>
      <c r="D21" s="59">
        <v>3030</v>
      </c>
      <c r="E21" s="59">
        <v>635</v>
      </c>
      <c r="F21" s="59">
        <v>8</v>
      </c>
      <c r="G21" s="59"/>
      <c r="H21" s="59"/>
      <c r="I21" s="59"/>
    </row>
    <row r="22" spans="1:9" s="3" customFormat="1" x14ac:dyDescent="0.2">
      <c r="A22" s="59">
        <v>16</v>
      </c>
      <c r="B22" s="7" t="s">
        <v>12</v>
      </c>
      <c r="C22" s="59">
        <f t="shared" si="0"/>
        <v>2821</v>
      </c>
      <c r="D22" s="59">
        <v>2821</v>
      </c>
      <c r="E22" s="59">
        <v>311</v>
      </c>
      <c r="F22" s="59"/>
      <c r="G22" s="59"/>
      <c r="H22" s="59"/>
      <c r="I22" s="59"/>
    </row>
    <row r="23" spans="1:9" s="3" customFormat="1" x14ac:dyDescent="0.2">
      <c r="A23" s="59">
        <v>17</v>
      </c>
      <c r="B23" s="7" t="s">
        <v>13</v>
      </c>
      <c r="C23" s="59">
        <f t="shared" si="0"/>
        <v>5531</v>
      </c>
      <c r="D23" s="59">
        <v>5531</v>
      </c>
      <c r="E23" s="59">
        <v>478</v>
      </c>
      <c r="F23" s="59"/>
      <c r="G23" s="59"/>
      <c r="H23" s="59">
        <v>509</v>
      </c>
      <c r="I23" s="59"/>
    </row>
    <row r="24" spans="1:9" s="3" customFormat="1" x14ac:dyDescent="0.2">
      <c r="A24" s="59">
        <v>18</v>
      </c>
      <c r="B24" s="7" t="s">
        <v>14</v>
      </c>
      <c r="C24" s="59">
        <f t="shared" si="0"/>
        <v>3537</v>
      </c>
      <c r="D24" s="59">
        <v>3537</v>
      </c>
      <c r="E24" s="59">
        <v>345</v>
      </c>
      <c r="F24" s="59"/>
      <c r="G24" s="59"/>
      <c r="H24" s="59"/>
      <c r="I24" s="59"/>
    </row>
    <row r="25" spans="1:9" s="3" customFormat="1" x14ac:dyDescent="0.2">
      <c r="A25" s="59">
        <v>19</v>
      </c>
      <c r="B25" s="7" t="s">
        <v>86</v>
      </c>
      <c r="C25" s="59">
        <f t="shared" si="0"/>
        <v>856</v>
      </c>
      <c r="D25" s="59">
        <v>856</v>
      </c>
      <c r="E25" s="59"/>
      <c r="F25" s="59"/>
      <c r="G25" s="59"/>
      <c r="H25" s="59"/>
      <c r="I25" s="59"/>
    </row>
    <row r="26" spans="1:9" s="3" customFormat="1" x14ac:dyDescent="0.2">
      <c r="A26" s="59">
        <v>20</v>
      </c>
      <c r="B26" s="7" t="s">
        <v>15</v>
      </c>
      <c r="C26" s="59">
        <f t="shared" si="0"/>
        <v>1476</v>
      </c>
      <c r="D26" s="59">
        <v>1476</v>
      </c>
      <c r="E26" s="59">
        <v>168</v>
      </c>
      <c r="F26" s="59"/>
      <c r="G26" s="59"/>
      <c r="H26" s="59"/>
      <c r="I26" s="59"/>
    </row>
    <row r="27" spans="1:9" s="3" customFormat="1" x14ac:dyDescent="0.2">
      <c r="A27" s="59">
        <v>21</v>
      </c>
      <c r="B27" s="7" t="s">
        <v>16</v>
      </c>
      <c r="C27" s="59">
        <f t="shared" si="0"/>
        <v>1954</v>
      </c>
      <c r="D27" s="59">
        <v>1954</v>
      </c>
      <c r="E27" s="59">
        <v>239</v>
      </c>
      <c r="F27" s="59"/>
      <c r="G27" s="59"/>
      <c r="H27" s="59"/>
      <c r="I27" s="59"/>
    </row>
    <row r="28" spans="1:9" s="3" customFormat="1" x14ac:dyDescent="0.2">
      <c r="A28" s="59">
        <v>22</v>
      </c>
      <c r="B28" s="7" t="s">
        <v>17</v>
      </c>
      <c r="C28" s="59">
        <f t="shared" si="0"/>
        <v>943</v>
      </c>
      <c r="D28" s="59">
        <f>843+100</f>
        <v>943</v>
      </c>
      <c r="E28" s="59">
        <v>113</v>
      </c>
      <c r="F28" s="59"/>
      <c r="G28" s="59"/>
      <c r="H28" s="59"/>
      <c r="I28" s="59"/>
    </row>
    <row r="29" spans="1:9" s="3" customFormat="1" x14ac:dyDescent="0.2">
      <c r="A29" s="59">
        <v>23</v>
      </c>
      <c r="B29" s="7" t="s">
        <v>18</v>
      </c>
      <c r="C29" s="59">
        <f t="shared" si="0"/>
        <v>695</v>
      </c>
      <c r="D29" s="59">
        <v>695</v>
      </c>
      <c r="E29" s="59">
        <v>74</v>
      </c>
      <c r="F29" s="59"/>
      <c r="G29" s="59"/>
      <c r="H29" s="59"/>
      <c r="I29" s="59"/>
    </row>
    <row r="30" spans="1:9" s="3" customFormat="1" x14ac:dyDescent="0.2">
      <c r="A30" s="59">
        <v>24</v>
      </c>
      <c r="B30" s="7" t="s">
        <v>87</v>
      </c>
      <c r="C30" s="59">
        <f t="shared" si="0"/>
        <v>5841</v>
      </c>
      <c r="D30" s="59">
        <v>5841</v>
      </c>
      <c r="E30" s="59"/>
      <c r="F30" s="59"/>
      <c r="G30" s="59"/>
      <c r="H30" s="59">
        <v>3377</v>
      </c>
      <c r="I30" s="59"/>
    </row>
    <row r="31" spans="1:9" s="3" customFormat="1" x14ac:dyDescent="0.2">
      <c r="A31" s="59">
        <v>25</v>
      </c>
      <c r="B31" s="7" t="s">
        <v>88</v>
      </c>
      <c r="C31" s="59">
        <f t="shared" si="0"/>
        <v>2597</v>
      </c>
      <c r="D31" s="59">
        <v>2597</v>
      </c>
      <c r="E31" s="59"/>
      <c r="F31" s="59"/>
      <c r="G31" s="59"/>
      <c r="H31" s="59"/>
      <c r="I31" s="59"/>
    </row>
    <row r="32" spans="1:9" s="3" customFormat="1" x14ac:dyDescent="0.2">
      <c r="A32" s="6">
        <v>26</v>
      </c>
      <c r="B32" s="7" t="s">
        <v>89</v>
      </c>
      <c r="C32" s="59">
        <f t="shared" si="0"/>
        <v>2808</v>
      </c>
      <c r="D32" s="59">
        <v>2808</v>
      </c>
      <c r="E32" s="59">
        <v>166</v>
      </c>
      <c r="F32" s="59"/>
      <c r="G32" s="59"/>
      <c r="H32" s="59"/>
      <c r="I32" s="59"/>
    </row>
    <row r="33" spans="1:9" s="3" customFormat="1" x14ac:dyDescent="0.2">
      <c r="A33" s="355">
        <v>27</v>
      </c>
      <c r="B33" s="7" t="s">
        <v>90</v>
      </c>
      <c r="C33" s="59">
        <f t="shared" si="0"/>
        <v>1476</v>
      </c>
      <c r="D33" s="59">
        <v>1476</v>
      </c>
      <c r="E33" s="59">
        <v>154</v>
      </c>
      <c r="F33" s="59"/>
      <c r="G33" s="59"/>
      <c r="H33" s="59"/>
      <c r="I33" s="59"/>
    </row>
    <row r="34" spans="1:9" s="10" customFormat="1" ht="36" x14ac:dyDescent="0.2">
      <c r="A34" s="362"/>
      <c r="B34" s="12" t="s">
        <v>91</v>
      </c>
      <c r="C34" s="9">
        <f t="shared" si="0"/>
        <v>1886</v>
      </c>
      <c r="D34" s="9">
        <v>1886</v>
      </c>
      <c r="E34" s="9">
        <v>185</v>
      </c>
      <c r="F34" s="9"/>
      <c r="G34" s="9"/>
      <c r="H34" s="9"/>
      <c r="I34" s="9"/>
    </row>
    <row r="35" spans="1:9" s="3" customFormat="1" x14ac:dyDescent="0.2">
      <c r="A35" s="59">
        <v>28</v>
      </c>
      <c r="B35" s="13" t="s">
        <v>125</v>
      </c>
      <c r="C35" s="59">
        <f t="shared" si="0"/>
        <v>329</v>
      </c>
      <c r="D35" s="59">
        <v>329</v>
      </c>
      <c r="E35" s="59"/>
      <c r="F35" s="59"/>
      <c r="G35" s="59"/>
      <c r="H35" s="59"/>
      <c r="I35" s="59"/>
    </row>
    <row r="36" spans="1:9" s="3" customFormat="1" x14ac:dyDescent="0.2">
      <c r="A36" s="59">
        <v>29</v>
      </c>
      <c r="B36" s="7" t="s">
        <v>92</v>
      </c>
      <c r="C36" s="59">
        <f t="shared" si="0"/>
        <v>1934</v>
      </c>
      <c r="D36" s="59">
        <v>1934</v>
      </c>
      <c r="E36" s="59">
        <v>1934</v>
      </c>
      <c r="F36" s="59"/>
      <c r="G36" s="59"/>
      <c r="H36" s="59"/>
      <c r="I36" s="59"/>
    </row>
    <row r="37" spans="1:9" s="3" customFormat="1" x14ac:dyDescent="0.2">
      <c r="A37" s="59">
        <v>30</v>
      </c>
      <c r="B37" s="13" t="s">
        <v>126</v>
      </c>
      <c r="C37" s="59">
        <f t="shared" si="0"/>
        <v>432</v>
      </c>
      <c r="D37" s="59">
        <v>432</v>
      </c>
      <c r="E37" s="59"/>
      <c r="F37" s="59">
        <v>432</v>
      </c>
      <c r="G37" s="59"/>
      <c r="H37" s="59"/>
      <c r="I37" s="59"/>
    </row>
    <row r="38" spans="1:9" s="3" customFormat="1" x14ac:dyDescent="0.2">
      <c r="A38" s="59">
        <v>31</v>
      </c>
      <c r="B38" s="7" t="s">
        <v>93</v>
      </c>
      <c r="C38" s="59">
        <f t="shared" si="0"/>
        <v>294</v>
      </c>
      <c r="D38" s="59">
        <v>294</v>
      </c>
      <c r="E38" s="59"/>
      <c r="F38" s="59"/>
      <c r="G38" s="59"/>
      <c r="H38" s="59"/>
      <c r="I38" s="59"/>
    </row>
    <row r="39" spans="1:9" s="3" customFormat="1" x14ac:dyDescent="0.2">
      <c r="A39" s="363">
        <v>32</v>
      </c>
      <c r="B39" s="7" t="s">
        <v>94</v>
      </c>
      <c r="C39" s="59">
        <f t="shared" si="0"/>
        <v>4555</v>
      </c>
      <c r="D39" s="59">
        <f>4337+60+505-505+158</f>
        <v>4555</v>
      </c>
      <c r="E39" s="59">
        <v>0</v>
      </c>
      <c r="F39" s="59"/>
      <c r="G39" s="59"/>
      <c r="H39" s="59">
        <v>746</v>
      </c>
      <c r="I39" s="59"/>
    </row>
    <row r="40" spans="1:9" s="10" customFormat="1" ht="24" x14ac:dyDescent="0.2">
      <c r="A40" s="364"/>
      <c r="B40" s="12" t="s">
        <v>95</v>
      </c>
      <c r="C40" s="59">
        <f t="shared" si="0"/>
        <v>1288</v>
      </c>
      <c r="D40" s="9">
        <v>1288</v>
      </c>
      <c r="E40" s="9">
        <v>1288</v>
      </c>
      <c r="F40" s="9"/>
      <c r="G40" s="9"/>
      <c r="H40" s="9"/>
      <c r="I40" s="9"/>
    </row>
    <row r="41" spans="1:9" s="10" customFormat="1" ht="25.5" x14ac:dyDescent="0.2">
      <c r="A41" s="365"/>
      <c r="B41" s="76" t="s">
        <v>224</v>
      </c>
      <c r="C41" s="59">
        <f t="shared" si="0"/>
        <v>505</v>
      </c>
      <c r="D41" s="9">
        <f>0+505</f>
        <v>505</v>
      </c>
      <c r="E41" s="9"/>
      <c r="F41" s="9"/>
      <c r="G41" s="9"/>
      <c r="H41" s="9"/>
      <c r="I41" s="9"/>
    </row>
    <row r="42" spans="1:9" s="3" customFormat="1" x14ac:dyDescent="0.2">
      <c r="A42" s="59">
        <v>33</v>
      </c>
      <c r="B42" s="7" t="s">
        <v>96</v>
      </c>
      <c r="C42" s="59">
        <f t="shared" si="0"/>
        <v>207</v>
      </c>
      <c r="D42" s="59">
        <v>207</v>
      </c>
      <c r="E42" s="59"/>
      <c r="F42" s="59"/>
      <c r="G42" s="59"/>
      <c r="H42" s="59"/>
      <c r="I42" s="59"/>
    </row>
    <row r="43" spans="1:9" s="3" customFormat="1" x14ac:dyDescent="0.2">
      <c r="A43" s="355">
        <v>34</v>
      </c>
      <c r="B43" s="7" t="s">
        <v>97</v>
      </c>
      <c r="C43" s="59">
        <f t="shared" si="0"/>
        <v>3817</v>
      </c>
      <c r="D43" s="59">
        <v>3817</v>
      </c>
      <c r="E43" s="59">
        <v>270</v>
      </c>
      <c r="F43" s="59"/>
      <c r="G43" s="59"/>
      <c r="H43" s="59">
        <v>838</v>
      </c>
      <c r="I43" s="59"/>
    </row>
    <row r="44" spans="1:9" s="10" customFormat="1" ht="24" x14ac:dyDescent="0.2">
      <c r="A44" s="356"/>
      <c r="B44" s="12" t="s">
        <v>127</v>
      </c>
      <c r="C44" s="59">
        <f t="shared" si="0"/>
        <v>1174</v>
      </c>
      <c r="D44" s="9">
        <v>1174</v>
      </c>
      <c r="E44" s="9">
        <v>111</v>
      </c>
      <c r="F44" s="9"/>
      <c r="G44" s="9"/>
      <c r="H44" s="9"/>
      <c r="I44" s="9"/>
    </row>
    <row r="45" spans="1:9" s="3" customFormat="1" x14ac:dyDescent="0.2">
      <c r="A45" s="59">
        <v>35</v>
      </c>
      <c r="B45" s="7" t="s">
        <v>19</v>
      </c>
      <c r="C45" s="59">
        <f t="shared" si="0"/>
        <v>4149</v>
      </c>
      <c r="D45" s="59">
        <v>4149</v>
      </c>
      <c r="E45" s="59">
        <v>334</v>
      </c>
      <c r="F45" s="59"/>
      <c r="G45" s="59"/>
      <c r="H45" s="59"/>
      <c r="I45" s="59"/>
    </row>
    <row r="46" spans="1:9" s="3" customFormat="1" x14ac:dyDescent="0.2">
      <c r="A46" s="59">
        <v>36</v>
      </c>
      <c r="B46" s="7" t="s">
        <v>20</v>
      </c>
      <c r="C46" s="59">
        <f t="shared" si="0"/>
        <v>4077</v>
      </c>
      <c r="D46" s="59">
        <v>4077</v>
      </c>
      <c r="E46" s="59">
        <v>394</v>
      </c>
      <c r="F46" s="59"/>
      <c r="G46" s="59"/>
      <c r="H46" s="59"/>
      <c r="I46" s="59"/>
    </row>
    <row r="47" spans="1:9" s="3" customFormat="1" x14ac:dyDescent="0.2">
      <c r="A47" s="59">
        <v>37</v>
      </c>
      <c r="B47" s="7" t="s">
        <v>21</v>
      </c>
      <c r="C47" s="59">
        <f t="shared" si="0"/>
        <v>1276</v>
      </c>
      <c r="D47" s="59">
        <v>1276</v>
      </c>
      <c r="E47" s="59">
        <v>144</v>
      </c>
      <c r="F47" s="59"/>
      <c r="G47" s="59"/>
      <c r="H47" s="59"/>
      <c r="I47" s="59"/>
    </row>
    <row r="48" spans="1:9" s="3" customFormat="1" x14ac:dyDescent="0.2">
      <c r="A48" s="59">
        <v>38</v>
      </c>
      <c r="B48" s="7" t="s">
        <v>22</v>
      </c>
      <c r="C48" s="59">
        <f t="shared" si="0"/>
        <v>1616</v>
      </c>
      <c r="D48" s="59">
        <f>1564-1+55-2</f>
        <v>1616</v>
      </c>
      <c r="E48" s="59">
        <v>175</v>
      </c>
      <c r="F48" s="59"/>
      <c r="G48" s="59"/>
      <c r="H48" s="59"/>
      <c r="I48" s="59"/>
    </row>
    <row r="49" spans="1:9" s="3" customFormat="1" x14ac:dyDescent="0.2">
      <c r="A49" s="59">
        <v>39</v>
      </c>
      <c r="B49" s="7" t="s">
        <v>23</v>
      </c>
      <c r="C49" s="59">
        <f t="shared" si="0"/>
        <v>1430</v>
      </c>
      <c r="D49" s="59">
        <v>1430</v>
      </c>
      <c r="E49" s="59">
        <v>156</v>
      </c>
      <c r="F49" s="59"/>
      <c r="G49" s="59"/>
      <c r="H49" s="59"/>
      <c r="I49" s="59"/>
    </row>
    <row r="50" spans="1:9" s="3" customFormat="1" x14ac:dyDescent="0.2">
      <c r="A50" s="59">
        <v>40</v>
      </c>
      <c r="B50" s="7" t="s">
        <v>24</v>
      </c>
      <c r="C50" s="59">
        <f t="shared" si="0"/>
        <v>988</v>
      </c>
      <c r="D50" s="59">
        <f>933+55</f>
        <v>988</v>
      </c>
      <c r="E50" s="59">
        <v>86</v>
      </c>
      <c r="F50" s="59"/>
      <c r="G50" s="59"/>
      <c r="H50" s="59"/>
      <c r="I50" s="59"/>
    </row>
    <row r="51" spans="1:9" s="3" customFormat="1" x14ac:dyDescent="0.2">
      <c r="A51" s="59">
        <v>41</v>
      </c>
      <c r="B51" s="7" t="s">
        <v>25</v>
      </c>
      <c r="C51" s="59">
        <f t="shared" si="0"/>
        <v>1619</v>
      </c>
      <c r="D51" s="59">
        <v>1619</v>
      </c>
      <c r="E51" s="59">
        <v>150</v>
      </c>
      <c r="F51" s="59"/>
      <c r="G51" s="59"/>
      <c r="H51" s="59"/>
      <c r="I51" s="59"/>
    </row>
    <row r="52" spans="1:9" s="3" customFormat="1" x14ac:dyDescent="0.2">
      <c r="A52" s="59">
        <v>42</v>
      </c>
      <c r="B52" s="7" t="s">
        <v>26</v>
      </c>
      <c r="C52" s="59">
        <f t="shared" si="0"/>
        <v>740</v>
      </c>
      <c r="D52" s="59">
        <v>740</v>
      </c>
      <c r="E52" s="59">
        <v>67</v>
      </c>
      <c r="F52" s="59"/>
      <c r="G52" s="59"/>
      <c r="H52" s="59"/>
      <c r="I52" s="59"/>
    </row>
    <row r="53" spans="1:9" s="3" customFormat="1" x14ac:dyDescent="0.2">
      <c r="A53" s="59">
        <v>43</v>
      </c>
      <c r="B53" s="13" t="s">
        <v>128</v>
      </c>
      <c r="C53" s="59">
        <f t="shared" si="0"/>
        <v>365</v>
      </c>
      <c r="D53" s="59">
        <v>365</v>
      </c>
      <c r="E53" s="59"/>
      <c r="F53" s="59"/>
      <c r="G53" s="59"/>
      <c r="H53" s="59"/>
      <c r="I53" s="59"/>
    </row>
    <row r="54" spans="1:9" s="10" customFormat="1" x14ac:dyDescent="0.2">
      <c r="A54" s="59">
        <v>44</v>
      </c>
      <c r="B54" s="11" t="s">
        <v>57</v>
      </c>
      <c r="C54" s="59">
        <f t="shared" si="0"/>
        <v>495</v>
      </c>
      <c r="D54" s="59">
        <f>1000-505</f>
        <v>495</v>
      </c>
      <c r="E54" s="59"/>
      <c r="F54" s="59"/>
      <c r="G54" s="9"/>
      <c r="H54" s="9"/>
      <c r="I54" s="9"/>
    </row>
    <row r="55" spans="1:9" s="3" customFormat="1" x14ac:dyDescent="0.2">
      <c r="A55" s="59">
        <v>45</v>
      </c>
      <c r="B55" s="11" t="s">
        <v>129</v>
      </c>
      <c r="C55" s="59">
        <f t="shared" si="0"/>
        <v>0</v>
      </c>
      <c r="D55" s="59">
        <f>40-40</f>
        <v>0</v>
      </c>
      <c r="E55" s="59"/>
      <c r="F55" s="59"/>
      <c r="G55" s="59"/>
      <c r="H55" s="59">
        <f>40-40</f>
        <v>0</v>
      </c>
      <c r="I55" s="59"/>
    </row>
    <row r="56" spans="1:9" s="3" customFormat="1" x14ac:dyDescent="0.2">
      <c r="A56" s="59">
        <v>46</v>
      </c>
      <c r="B56" s="7" t="s">
        <v>130</v>
      </c>
      <c r="C56" s="59">
        <f t="shared" si="0"/>
        <v>230</v>
      </c>
      <c r="D56" s="59">
        <v>230</v>
      </c>
      <c r="E56" s="59"/>
      <c r="F56" s="59"/>
      <c r="G56" s="59"/>
      <c r="H56" s="59"/>
      <c r="I56" s="59"/>
    </row>
    <row r="57" spans="1:9" s="3" customFormat="1" x14ac:dyDescent="0.2">
      <c r="A57" s="59">
        <v>47</v>
      </c>
      <c r="B57" s="7" t="s">
        <v>27</v>
      </c>
      <c r="C57" s="59">
        <f t="shared" si="0"/>
        <v>6322</v>
      </c>
      <c r="D57" s="59">
        <v>6322</v>
      </c>
      <c r="E57" s="59">
        <v>624</v>
      </c>
      <c r="F57" s="59"/>
      <c r="G57" s="59"/>
      <c r="H57" s="59"/>
      <c r="I57" s="59"/>
    </row>
    <row r="58" spans="1:9" s="3" customFormat="1" x14ac:dyDescent="0.2">
      <c r="A58" s="59">
        <v>48</v>
      </c>
      <c r="B58" s="7" t="s">
        <v>28</v>
      </c>
      <c r="C58" s="59">
        <f t="shared" si="0"/>
        <v>4928</v>
      </c>
      <c r="D58" s="59">
        <v>4928</v>
      </c>
      <c r="E58" s="59">
        <v>398</v>
      </c>
      <c r="F58" s="59"/>
      <c r="G58" s="59"/>
      <c r="H58" s="59">
        <v>462</v>
      </c>
      <c r="I58" s="59"/>
    </row>
    <row r="59" spans="1:9" s="3" customFormat="1" x14ac:dyDescent="0.2">
      <c r="A59" s="59">
        <v>49</v>
      </c>
      <c r="B59" s="7" t="s">
        <v>99</v>
      </c>
      <c r="C59" s="59">
        <f t="shared" si="0"/>
        <v>6007</v>
      </c>
      <c r="D59" s="59">
        <v>6007</v>
      </c>
      <c r="E59" s="59">
        <v>944</v>
      </c>
      <c r="F59" s="59">
        <v>30</v>
      </c>
      <c r="G59" s="59"/>
      <c r="H59" s="59">
        <v>927</v>
      </c>
      <c r="I59" s="59"/>
    </row>
    <row r="60" spans="1:9" s="3" customFormat="1" x14ac:dyDescent="0.2">
      <c r="A60" s="59">
        <v>50</v>
      </c>
      <c r="B60" s="7" t="s">
        <v>29</v>
      </c>
      <c r="C60" s="59">
        <f t="shared" si="0"/>
        <v>1949</v>
      </c>
      <c r="D60" s="59">
        <v>1949</v>
      </c>
      <c r="E60" s="59">
        <v>188</v>
      </c>
      <c r="F60" s="59"/>
      <c r="G60" s="59"/>
      <c r="H60" s="59"/>
      <c r="I60" s="59"/>
    </row>
    <row r="61" spans="1:9" s="3" customFormat="1" x14ac:dyDescent="0.2">
      <c r="A61" s="59">
        <v>51</v>
      </c>
      <c r="B61" s="7" t="s">
        <v>30</v>
      </c>
      <c r="C61" s="59">
        <f t="shared" si="0"/>
        <v>1304</v>
      </c>
      <c r="D61" s="59">
        <v>1304</v>
      </c>
      <c r="E61" s="59">
        <v>122</v>
      </c>
      <c r="F61" s="59"/>
      <c r="G61" s="59"/>
      <c r="H61" s="59"/>
      <c r="I61" s="59"/>
    </row>
    <row r="62" spans="1:9" s="3" customFormat="1" x14ac:dyDescent="0.2">
      <c r="A62" s="59">
        <v>52</v>
      </c>
      <c r="B62" s="7" t="s">
        <v>31</v>
      </c>
      <c r="C62" s="59">
        <f t="shared" si="0"/>
        <v>1056</v>
      </c>
      <c r="D62" s="59">
        <v>1056</v>
      </c>
      <c r="E62" s="59">
        <v>106</v>
      </c>
      <c r="F62" s="59"/>
      <c r="G62" s="59"/>
      <c r="H62" s="59"/>
      <c r="I62" s="59"/>
    </row>
    <row r="63" spans="1:9" s="3" customFormat="1" x14ac:dyDescent="0.2">
      <c r="A63" s="59">
        <v>53</v>
      </c>
      <c r="B63" s="7" t="s">
        <v>32</v>
      </c>
      <c r="C63" s="59">
        <f t="shared" si="0"/>
        <v>1536</v>
      </c>
      <c r="D63" s="59">
        <v>1536</v>
      </c>
      <c r="E63" s="59">
        <v>147</v>
      </c>
      <c r="F63" s="59"/>
      <c r="G63" s="59"/>
      <c r="H63" s="59"/>
      <c r="I63" s="59"/>
    </row>
    <row r="64" spans="1:9" s="3" customFormat="1" x14ac:dyDescent="0.2">
      <c r="A64" s="59">
        <v>54</v>
      </c>
      <c r="B64" s="7" t="s">
        <v>33</v>
      </c>
      <c r="C64" s="59">
        <f t="shared" si="0"/>
        <v>670</v>
      </c>
      <c r="D64" s="59">
        <v>670</v>
      </c>
      <c r="E64" s="59">
        <v>60</v>
      </c>
      <c r="F64" s="59"/>
      <c r="G64" s="59"/>
      <c r="H64" s="59"/>
      <c r="I64" s="59"/>
    </row>
    <row r="65" spans="1:9" s="3" customFormat="1" x14ac:dyDescent="0.2">
      <c r="A65" s="59">
        <v>55</v>
      </c>
      <c r="B65" s="7" t="s">
        <v>34</v>
      </c>
      <c r="C65" s="59">
        <f t="shared" si="0"/>
        <v>1276</v>
      </c>
      <c r="D65" s="59">
        <v>1276</v>
      </c>
      <c r="E65" s="59">
        <v>124</v>
      </c>
      <c r="F65" s="59"/>
      <c r="G65" s="59"/>
      <c r="H65" s="59"/>
      <c r="I65" s="59"/>
    </row>
    <row r="66" spans="1:9" s="3" customFormat="1" x14ac:dyDescent="0.2">
      <c r="A66" s="59">
        <v>56</v>
      </c>
      <c r="B66" s="7" t="s">
        <v>35</v>
      </c>
      <c r="C66" s="59">
        <f t="shared" si="0"/>
        <v>1906</v>
      </c>
      <c r="D66" s="59">
        <v>1906</v>
      </c>
      <c r="E66" s="59">
        <v>190</v>
      </c>
      <c r="F66" s="59"/>
      <c r="G66" s="59"/>
      <c r="H66" s="59"/>
      <c r="I66" s="59"/>
    </row>
    <row r="67" spans="1:9" s="3" customFormat="1" x14ac:dyDescent="0.2">
      <c r="A67" s="59">
        <v>57</v>
      </c>
      <c r="B67" s="7" t="s">
        <v>36</v>
      </c>
      <c r="C67" s="59">
        <f t="shared" si="0"/>
        <v>1046</v>
      </c>
      <c r="D67" s="59">
        <v>1046</v>
      </c>
      <c r="E67" s="59">
        <v>103</v>
      </c>
      <c r="F67" s="59"/>
      <c r="G67" s="59"/>
      <c r="H67" s="59"/>
      <c r="I67" s="59"/>
    </row>
    <row r="68" spans="1:9" s="3" customFormat="1" x14ac:dyDescent="0.2">
      <c r="A68" s="59">
        <v>58</v>
      </c>
      <c r="B68" s="7" t="s">
        <v>131</v>
      </c>
      <c r="C68" s="59">
        <f t="shared" si="0"/>
        <v>2107</v>
      </c>
      <c r="D68" s="59">
        <f>2083+24</f>
        <v>2107</v>
      </c>
      <c r="E68" s="59">
        <f>2083+24</f>
        <v>2107</v>
      </c>
      <c r="F68" s="59">
        <v>10</v>
      </c>
      <c r="G68" s="59"/>
      <c r="H68" s="59"/>
      <c r="I68" s="59"/>
    </row>
    <row r="69" spans="1:9" s="3" customFormat="1" x14ac:dyDescent="0.2">
      <c r="A69" s="59">
        <v>59</v>
      </c>
      <c r="B69" s="7" t="s">
        <v>132</v>
      </c>
      <c r="C69" s="59">
        <f t="shared" si="0"/>
        <v>1847</v>
      </c>
      <c r="D69" s="59">
        <f>1788+21-2+40</f>
        <v>1847</v>
      </c>
      <c r="E69" s="59">
        <f>1788+21-2+40</f>
        <v>1847</v>
      </c>
      <c r="F69" s="59">
        <v>30</v>
      </c>
      <c r="G69" s="59"/>
      <c r="H69" s="59"/>
      <c r="I69" s="59"/>
    </row>
    <row r="70" spans="1:9" s="3" customFormat="1" x14ac:dyDescent="0.2">
      <c r="A70" s="59">
        <v>60</v>
      </c>
      <c r="B70" s="7" t="s">
        <v>133</v>
      </c>
      <c r="C70" s="59">
        <f t="shared" si="0"/>
        <v>2424</v>
      </c>
      <c r="D70" s="59">
        <f>2396+28</f>
        <v>2424</v>
      </c>
      <c r="E70" s="59">
        <f>2396+28</f>
        <v>2424</v>
      </c>
      <c r="F70" s="59"/>
      <c r="G70" s="59"/>
      <c r="H70" s="59"/>
      <c r="I70" s="59"/>
    </row>
    <row r="71" spans="1:9" s="3" customFormat="1" x14ac:dyDescent="0.2">
      <c r="A71" s="59">
        <v>61</v>
      </c>
      <c r="B71" s="7" t="s">
        <v>134</v>
      </c>
      <c r="C71" s="59">
        <f t="shared" ref="C71:C113" si="1">D71+I71</f>
        <v>2965</v>
      </c>
      <c r="D71" s="59">
        <f>2931+34</f>
        <v>2965</v>
      </c>
      <c r="E71" s="59">
        <f>2931+34</f>
        <v>2965</v>
      </c>
      <c r="F71" s="59">
        <v>100</v>
      </c>
      <c r="G71" s="59"/>
      <c r="H71" s="59"/>
      <c r="I71" s="59"/>
    </row>
    <row r="72" spans="1:9" s="3" customFormat="1" x14ac:dyDescent="0.2">
      <c r="A72" s="59">
        <v>62</v>
      </c>
      <c r="B72" s="7" t="s">
        <v>135</v>
      </c>
      <c r="C72" s="59">
        <f t="shared" si="1"/>
        <v>1143</v>
      </c>
      <c r="D72" s="59">
        <f>1130+13</f>
        <v>1143</v>
      </c>
      <c r="E72" s="59">
        <f>1130+13</f>
        <v>1143</v>
      </c>
      <c r="F72" s="59">
        <v>83</v>
      </c>
      <c r="G72" s="59"/>
      <c r="H72" s="59"/>
      <c r="I72" s="59"/>
    </row>
    <row r="73" spans="1:9" s="3" customFormat="1" x14ac:dyDescent="0.2">
      <c r="A73" s="59">
        <v>63</v>
      </c>
      <c r="B73" s="7" t="s">
        <v>136</v>
      </c>
      <c r="C73" s="59">
        <f t="shared" si="1"/>
        <v>3305</v>
      </c>
      <c r="D73" s="59">
        <f>3425-120</f>
        <v>3305</v>
      </c>
      <c r="E73" s="59">
        <f>120-120</f>
        <v>0</v>
      </c>
      <c r="F73" s="59"/>
      <c r="G73" s="59"/>
      <c r="H73" s="59">
        <v>434</v>
      </c>
      <c r="I73" s="59"/>
    </row>
    <row r="74" spans="1:9" s="3" customFormat="1" x14ac:dyDescent="0.2">
      <c r="A74" s="59">
        <v>64</v>
      </c>
      <c r="B74" s="7" t="s">
        <v>137</v>
      </c>
      <c r="C74" s="59">
        <f t="shared" si="1"/>
        <v>1560</v>
      </c>
      <c r="D74" s="59">
        <f>1505+55</f>
        <v>1560</v>
      </c>
      <c r="E74" s="59"/>
      <c r="F74" s="59"/>
      <c r="G74" s="59"/>
      <c r="H74" s="59"/>
      <c r="I74" s="59"/>
    </row>
    <row r="75" spans="1:9" s="3" customFormat="1" x14ac:dyDescent="0.2">
      <c r="A75" s="59">
        <v>65</v>
      </c>
      <c r="B75" s="7" t="s">
        <v>138</v>
      </c>
      <c r="C75" s="59">
        <f t="shared" si="1"/>
        <v>2950</v>
      </c>
      <c r="D75" s="59">
        <v>2950</v>
      </c>
      <c r="E75" s="59"/>
      <c r="F75" s="59"/>
      <c r="G75" s="59"/>
      <c r="H75" s="59">
        <v>1496</v>
      </c>
      <c r="I75" s="59"/>
    </row>
    <row r="76" spans="1:9" s="3" customFormat="1" x14ac:dyDescent="0.2">
      <c r="A76" s="59">
        <v>66</v>
      </c>
      <c r="B76" s="7" t="s">
        <v>139</v>
      </c>
      <c r="C76" s="59">
        <f t="shared" si="1"/>
        <v>1134</v>
      </c>
      <c r="D76" s="59">
        <v>1134</v>
      </c>
      <c r="E76" s="59"/>
      <c r="F76" s="59"/>
      <c r="G76" s="59"/>
      <c r="H76" s="59"/>
      <c r="I76" s="59"/>
    </row>
    <row r="77" spans="1:9" s="3" customFormat="1" x14ac:dyDescent="0.2">
      <c r="A77" s="59">
        <v>67</v>
      </c>
      <c r="B77" s="7" t="s">
        <v>140</v>
      </c>
      <c r="C77" s="59">
        <f t="shared" si="1"/>
        <v>3939</v>
      </c>
      <c r="D77" s="59">
        <v>3939</v>
      </c>
      <c r="E77" s="59"/>
      <c r="F77" s="59"/>
      <c r="G77" s="59"/>
      <c r="H77" s="59">
        <v>773</v>
      </c>
      <c r="I77" s="59"/>
    </row>
    <row r="78" spans="1:9" s="3" customFormat="1" x14ac:dyDescent="0.2">
      <c r="A78" s="59">
        <v>68</v>
      </c>
      <c r="B78" s="7" t="s">
        <v>141</v>
      </c>
      <c r="C78" s="59">
        <f t="shared" si="1"/>
        <v>1797</v>
      </c>
      <c r="D78" s="59">
        <v>1797</v>
      </c>
      <c r="E78" s="59"/>
      <c r="F78" s="59"/>
      <c r="G78" s="59"/>
      <c r="H78" s="59"/>
      <c r="I78" s="59"/>
    </row>
    <row r="79" spans="1:9" s="3" customFormat="1" x14ac:dyDescent="0.2">
      <c r="A79" s="59">
        <v>69</v>
      </c>
      <c r="B79" s="7" t="s">
        <v>142</v>
      </c>
      <c r="C79" s="59">
        <f t="shared" si="1"/>
        <v>2247</v>
      </c>
      <c r="D79" s="59">
        <f>2192+55</f>
        <v>2247</v>
      </c>
      <c r="E79" s="59"/>
      <c r="F79" s="59">
        <v>391</v>
      </c>
      <c r="G79" s="59"/>
      <c r="H79" s="59"/>
      <c r="I79" s="59"/>
    </row>
    <row r="80" spans="1:9" s="3" customFormat="1" x14ac:dyDescent="0.2">
      <c r="A80" s="59">
        <v>70</v>
      </c>
      <c r="B80" s="7" t="s">
        <v>143</v>
      </c>
      <c r="C80" s="59">
        <f t="shared" si="1"/>
        <v>1100</v>
      </c>
      <c r="D80" s="59">
        <v>1100</v>
      </c>
      <c r="E80" s="59"/>
      <c r="F80" s="59"/>
      <c r="G80" s="59"/>
      <c r="H80" s="59"/>
      <c r="I80" s="59"/>
    </row>
    <row r="81" spans="1:9" s="3" customFormat="1" x14ac:dyDescent="0.2">
      <c r="A81" s="59">
        <v>71</v>
      </c>
      <c r="B81" s="7" t="s">
        <v>144</v>
      </c>
      <c r="C81" s="59">
        <f t="shared" si="1"/>
        <v>4527</v>
      </c>
      <c r="D81" s="59">
        <v>4527</v>
      </c>
      <c r="E81" s="59"/>
      <c r="F81" s="59"/>
      <c r="G81" s="59"/>
      <c r="H81" s="59">
        <v>1034</v>
      </c>
      <c r="I81" s="59"/>
    </row>
    <row r="82" spans="1:9" s="3" customFormat="1" x14ac:dyDescent="0.2">
      <c r="A82" s="59">
        <v>72</v>
      </c>
      <c r="B82" s="7" t="s">
        <v>145</v>
      </c>
      <c r="C82" s="59">
        <f t="shared" si="1"/>
        <v>1434</v>
      </c>
      <c r="D82" s="59">
        <f>1379+55</f>
        <v>1434</v>
      </c>
      <c r="E82" s="59"/>
      <c r="F82" s="59"/>
      <c r="G82" s="59"/>
      <c r="H82" s="59"/>
      <c r="I82" s="59"/>
    </row>
    <row r="83" spans="1:9" s="3" customFormat="1" x14ac:dyDescent="0.2">
      <c r="A83" s="59">
        <v>73</v>
      </c>
      <c r="B83" s="7" t="s">
        <v>146</v>
      </c>
      <c r="C83" s="59">
        <f t="shared" si="1"/>
        <v>1393</v>
      </c>
      <c r="D83" s="59">
        <f>1338+55</f>
        <v>1393</v>
      </c>
      <c r="E83" s="59"/>
      <c r="F83" s="59"/>
      <c r="G83" s="59"/>
      <c r="H83" s="59"/>
      <c r="I83" s="59"/>
    </row>
    <row r="84" spans="1:9" s="3" customFormat="1" x14ac:dyDescent="0.2">
      <c r="A84" s="59">
        <v>74</v>
      </c>
      <c r="B84" s="7" t="s">
        <v>100</v>
      </c>
      <c r="C84" s="59">
        <f t="shared" si="1"/>
        <v>3041</v>
      </c>
      <c r="D84" s="59">
        <f>3043-2</f>
        <v>3041</v>
      </c>
      <c r="E84" s="59">
        <v>374</v>
      </c>
      <c r="F84" s="59">
        <v>30</v>
      </c>
      <c r="G84" s="59"/>
      <c r="H84" s="59"/>
      <c r="I84" s="59"/>
    </row>
    <row r="85" spans="1:9" s="3" customFormat="1" x14ac:dyDescent="0.2">
      <c r="A85" s="59">
        <v>75</v>
      </c>
      <c r="B85" s="7" t="s">
        <v>101</v>
      </c>
      <c r="C85" s="59">
        <f t="shared" si="1"/>
        <v>2381</v>
      </c>
      <c r="D85" s="59">
        <v>2381</v>
      </c>
      <c r="E85" s="59"/>
      <c r="F85" s="59">
        <v>289</v>
      </c>
      <c r="G85" s="59"/>
      <c r="H85" s="59"/>
      <c r="I85" s="59"/>
    </row>
    <row r="86" spans="1:9" s="3" customFormat="1" x14ac:dyDescent="0.2">
      <c r="A86" s="59">
        <v>76</v>
      </c>
      <c r="B86" s="7" t="s">
        <v>102</v>
      </c>
      <c r="C86" s="59">
        <f t="shared" si="1"/>
        <v>1670</v>
      </c>
      <c r="D86" s="59">
        <v>1670</v>
      </c>
      <c r="E86" s="59"/>
      <c r="F86" s="59"/>
      <c r="G86" s="59"/>
      <c r="H86" s="59"/>
      <c r="I86" s="59"/>
    </row>
    <row r="87" spans="1:9" s="3" customFormat="1" x14ac:dyDescent="0.2">
      <c r="A87" s="59">
        <v>77</v>
      </c>
      <c r="B87" s="7" t="s">
        <v>103</v>
      </c>
      <c r="C87" s="59">
        <f t="shared" si="1"/>
        <v>980</v>
      </c>
      <c r="D87" s="59">
        <v>980</v>
      </c>
      <c r="E87" s="59"/>
      <c r="F87" s="59"/>
      <c r="G87" s="59"/>
      <c r="H87" s="59"/>
      <c r="I87" s="59"/>
    </row>
    <row r="88" spans="1:9" s="3" customFormat="1" x14ac:dyDescent="0.2">
      <c r="A88" s="59">
        <v>78</v>
      </c>
      <c r="B88" s="7" t="s">
        <v>104</v>
      </c>
      <c r="C88" s="59">
        <f t="shared" si="1"/>
        <v>1987</v>
      </c>
      <c r="D88" s="59">
        <v>1987</v>
      </c>
      <c r="E88" s="59"/>
      <c r="F88" s="59">
        <v>392</v>
      </c>
      <c r="G88" s="59"/>
      <c r="H88" s="59"/>
      <c r="I88" s="59"/>
    </row>
    <row r="89" spans="1:9" s="3" customFormat="1" x14ac:dyDescent="0.2">
      <c r="A89" s="59">
        <v>79</v>
      </c>
      <c r="B89" s="7" t="s">
        <v>105</v>
      </c>
      <c r="C89" s="59">
        <f t="shared" si="1"/>
        <v>783</v>
      </c>
      <c r="D89" s="59">
        <v>783</v>
      </c>
      <c r="E89" s="59"/>
      <c r="F89" s="59"/>
      <c r="G89" s="59"/>
      <c r="H89" s="59"/>
      <c r="I89" s="59"/>
    </row>
    <row r="90" spans="1:9" s="3" customFormat="1" x14ac:dyDescent="0.2">
      <c r="A90" s="59">
        <v>80</v>
      </c>
      <c r="B90" s="7" t="s">
        <v>106</v>
      </c>
      <c r="C90" s="59">
        <f t="shared" si="1"/>
        <v>5859</v>
      </c>
      <c r="D90" s="59">
        <v>5859</v>
      </c>
      <c r="E90" s="59"/>
      <c r="F90" s="59">
        <v>421</v>
      </c>
      <c r="G90" s="59"/>
      <c r="H90" s="59">
        <v>1003</v>
      </c>
      <c r="I90" s="59"/>
    </row>
    <row r="91" spans="1:9" s="3" customFormat="1" x14ac:dyDescent="0.2">
      <c r="A91" s="59">
        <v>81</v>
      </c>
      <c r="B91" s="7" t="s">
        <v>107</v>
      </c>
      <c r="C91" s="59">
        <f t="shared" si="1"/>
        <v>1748</v>
      </c>
      <c r="D91" s="59">
        <v>1748</v>
      </c>
      <c r="E91" s="59">
        <v>1748</v>
      </c>
      <c r="F91" s="59">
        <v>64</v>
      </c>
      <c r="G91" s="59"/>
      <c r="H91" s="59"/>
      <c r="I91" s="59"/>
    </row>
    <row r="92" spans="1:9" s="3" customFormat="1" x14ac:dyDescent="0.2">
      <c r="A92" s="59">
        <v>82</v>
      </c>
      <c r="B92" s="7" t="s">
        <v>108</v>
      </c>
      <c r="C92" s="59">
        <f t="shared" si="1"/>
        <v>2384</v>
      </c>
      <c r="D92" s="59">
        <v>2384</v>
      </c>
      <c r="E92" s="59"/>
      <c r="F92" s="59">
        <v>159</v>
      </c>
      <c r="G92" s="59"/>
      <c r="H92" s="59">
        <v>420</v>
      </c>
      <c r="I92" s="59"/>
    </row>
    <row r="93" spans="1:9" s="3" customFormat="1" x14ac:dyDescent="0.2">
      <c r="A93" s="59">
        <v>83</v>
      </c>
      <c r="B93" s="7" t="s">
        <v>109</v>
      </c>
      <c r="C93" s="59">
        <f t="shared" si="1"/>
        <v>687</v>
      </c>
      <c r="D93" s="14">
        <v>687</v>
      </c>
      <c r="E93" s="14"/>
      <c r="F93" s="14"/>
      <c r="G93" s="14"/>
      <c r="H93" s="14"/>
      <c r="I93" s="14"/>
    </row>
    <row r="94" spans="1:9" s="3" customFormat="1" x14ac:dyDescent="0.2">
      <c r="A94" s="59">
        <v>84</v>
      </c>
      <c r="B94" s="7" t="s">
        <v>58</v>
      </c>
      <c r="C94" s="59">
        <f t="shared" si="1"/>
        <v>470</v>
      </c>
      <c r="D94" s="14">
        <v>470</v>
      </c>
      <c r="E94" s="14"/>
      <c r="F94" s="14">
        <v>22</v>
      </c>
      <c r="G94" s="14"/>
      <c r="H94" s="14"/>
      <c r="I94" s="14"/>
    </row>
    <row r="95" spans="1:9" s="3" customFormat="1" x14ac:dyDescent="0.2">
      <c r="A95" s="59">
        <v>85</v>
      </c>
      <c r="B95" s="7" t="s">
        <v>147</v>
      </c>
      <c r="C95" s="59">
        <f t="shared" si="1"/>
        <v>262</v>
      </c>
      <c r="D95" s="14">
        <v>262</v>
      </c>
      <c r="E95" s="14"/>
      <c r="F95" s="14"/>
      <c r="G95" s="14"/>
      <c r="H95" s="14"/>
      <c r="I95" s="14"/>
    </row>
    <row r="96" spans="1:9" s="3" customFormat="1" x14ac:dyDescent="0.2">
      <c r="A96" s="59">
        <v>86</v>
      </c>
      <c r="B96" s="7" t="s">
        <v>37</v>
      </c>
      <c r="C96" s="59">
        <f t="shared" si="1"/>
        <v>859</v>
      </c>
      <c r="D96" s="14">
        <v>859</v>
      </c>
      <c r="E96" s="14">
        <v>92</v>
      </c>
      <c r="F96" s="14"/>
      <c r="G96" s="14"/>
      <c r="H96" s="14"/>
      <c r="I96" s="14"/>
    </row>
    <row r="97" spans="1:9" s="3" customFormat="1" x14ac:dyDescent="0.2">
      <c r="A97" s="59">
        <v>87</v>
      </c>
      <c r="B97" s="7" t="s">
        <v>38</v>
      </c>
      <c r="C97" s="59">
        <f t="shared" si="1"/>
        <v>872</v>
      </c>
      <c r="D97" s="59">
        <v>872</v>
      </c>
      <c r="E97" s="59">
        <v>95</v>
      </c>
      <c r="F97" s="59"/>
      <c r="G97" s="59"/>
      <c r="H97" s="59"/>
      <c r="I97" s="59"/>
    </row>
    <row r="98" spans="1:9" s="3" customFormat="1" x14ac:dyDescent="0.2">
      <c r="A98" s="59">
        <v>88</v>
      </c>
      <c r="B98" s="7" t="s">
        <v>39</v>
      </c>
      <c r="C98" s="59">
        <f t="shared" si="1"/>
        <v>2470</v>
      </c>
      <c r="D98" s="14">
        <v>2470</v>
      </c>
      <c r="E98" s="14">
        <v>255</v>
      </c>
      <c r="F98" s="14"/>
      <c r="G98" s="14"/>
      <c r="H98" s="14"/>
      <c r="I98" s="14"/>
    </row>
    <row r="99" spans="1:9" s="3" customFormat="1" x14ac:dyDescent="0.2">
      <c r="A99" s="59">
        <v>89</v>
      </c>
      <c r="B99" s="7" t="s">
        <v>40</v>
      </c>
      <c r="C99" s="59">
        <f t="shared" si="1"/>
        <v>1068</v>
      </c>
      <c r="D99" s="59">
        <v>1068</v>
      </c>
      <c r="E99" s="59">
        <v>111</v>
      </c>
      <c r="F99" s="59"/>
      <c r="G99" s="59"/>
      <c r="H99" s="59"/>
      <c r="I99" s="59"/>
    </row>
    <row r="100" spans="1:9" s="3" customFormat="1" x14ac:dyDescent="0.2">
      <c r="A100" s="59">
        <v>90</v>
      </c>
      <c r="B100" s="7" t="s">
        <v>41</v>
      </c>
      <c r="C100" s="59">
        <f t="shared" si="1"/>
        <v>1300</v>
      </c>
      <c r="D100" s="14">
        <v>1300</v>
      </c>
      <c r="E100" s="14">
        <v>118</v>
      </c>
      <c r="F100" s="14"/>
      <c r="G100" s="14"/>
      <c r="H100" s="14"/>
      <c r="I100" s="14"/>
    </row>
    <row r="101" spans="1:9" s="3" customFormat="1" x14ac:dyDescent="0.2">
      <c r="A101" s="59">
        <v>91</v>
      </c>
      <c r="B101" s="7" t="s">
        <v>42</v>
      </c>
      <c r="C101" s="59">
        <f t="shared" si="1"/>
        <v>2550</v>
      </c>
      <c r="D101" s="14">
        <f>2552-2</f>
        <v>2550</v>
      </c>
      <c r="E101" s="14">
        <v>304</v>
      </c>
      <c r="F101" s="14"/>
      <c r="G101" s="14"/>
      <c r="H101" s="14"/>
      <c r="I101" s="14"/>
    </row>
    <row r="102" spans="1:9" s="3" customFormat="1" x14ac:dyDescent="0.2">
      <c r="A102" s="59">
        <v>92</v>
      </c>
      <c r="B102" s="7" t="s">
        <v>43</v>
      </c>
      <c r="C102" s="59">
        <f t="shared" si="1"/>
        <v>2216</v>
      </c>
      <c r="D102" s="14">
        <v>2216</v>
      </c>
      <c r="E102" s="14">
        <v>230</v>
      </c>
      <c r="F102" s="14"/>
      <c r="G102" s="14"/>
      <c r="H102" s="14"/>
      <c r="I102" s="14"/>
    </row>
    <row r="103" spans="1:9" s="3" customFormat="1" x14ac:dyDescent="0.2">
      <c r="A103" s="59">
        <v>93</v>
      </c>
      <c r="B103" s="7" t="s">
        <v>44</v>
      </c>
      <c r="C103" s="59">
        <f t="shared" si="1"/>
        <v>806</v>
      </c>
      <c r="D103" s="59">
        <v>806</v>
      </c>
      <c r="E103" s="59">
        <v>90</v>
      </c>
      <c r="F103" s="59"/>
      <c r="G103" s="59"/>
      <c r="H103" s="59"/>
      <c r="I103" s="59"/>
    </row>
    <row r="104" spans="1:9" s="3" customFormat="1" x14ac:dyDescent="0.2">
      <c r="A104" s="59">
        <v>94</v>
      </c>
      <c r="B104" s="7" t="s">
        <v>45</v>
      </c>
      <c r="C104" s="59">
        <f t="shared" si="1"/>
        <v>1261</v>
      </c>
      <c r="D104" s="14">
        <v>1261</v>
      </c>
      <c r="E104" s="14">
        <v>125</v>
      </c>
      <c r="F104" s="14"/>
      <c r="G104" s="14"/>
      <c r="H104" s="14"/>
      <c r="I104" s="14"/>
    </row>
    <row r="105" spans="1:9" s="3" customFormat="1" x14ac:dyDescent="0.2">
      <c r="A105" s="59">
        <v>95</v>
      </c>
      <c r="B105" s="7" t="s">
        <v>46</v>
      </c>
      <c r="C105" s="59">
        <f t="shared" si="1"/>
        <v>1207</v>
      </c>
      <c r="D105" s="59">
        <v>1207</v>
      </c>
      <c r="E105" s="59">
        <v>134</v>
      </c>
      <c r="F105" s="59"/>
      <c r="G105" s="59"/>
      <c r="H105" s="59"/>
      <c r="I105" s="59"/>
    </row>
    <row r="106" spans="1:9" s="3" customFormat="1" x14ac:dyDescent="0.2">
      <c r="A106" s="59">
        <v>96</v>
      </c>
      <c r="B106" s="7" t="s">
        <v>47</v>
      </c>
      <c r="C106" s="59">
        <f t="shared" si="1"/>
        <v>1986</v>
      </c>
      <c r="D106" s="59">
        <v>1986</v>
      </c>
      <c r="E106" s="59">
        <v>181</v>
      </c>
      <c r="F106" s="59">
        <v>15</v>
      </c>
      <c r="G106" s="59"/>
      <c r="H106" s="59">
        <v>516</v>
      </c>
      <c r="I106" s="59"/>
    </row>
    <row r="107" spans="1:9" s="3" customFormat="1" x14ac:dyDescent="0.2">
      <c r="A107" s="59">
        <v>97</v>
      </c>
      <c r="B107" s="7" t="s">
        <v>48</v>
      </c>
      <c r="C107" s="59">
        <f t="shared" si="1"/>
        <v>933</v>
      </c>
      <c r="D107" s="14">
        <v>933</v>
      </c>
      <c r="E107" s="14">
        <v>104</v>
      </c>
      <c r="F107" s="14"/>
      <c r="G107" s="14"/>
      <c r="H107" s="14"/>
      <c r="I107" s="14"/>
    </row>
    <row r="108" spans="1:9" s="3" customFormat="1" x14ac:dyDescent="0.2">
      <c r="A108" s="59">
        <v>98</v>
      </c>
      <c r="B108" s="7" t="s">
        <v>49</v>
      </c>
      <c r="C108" s="59">
        <f t="shared" si="1"/>
        <v>1372</v>
      </c>
      <c r="D108" s="14">
        <v>1372</v>
      </c>
      <c r="E108" s="14">
        <v>131</v>
      </c>
      <c r="F108" s="14"/>
      <c r="G108" s="14"/>
      <c r="H108" s="14"/>
      <c r="I108" s="14"/>
    </row>
    <row r="109" spans="1:9" s="3" customFormat="1" x14ac:dyDescent="0.2">
      <c r="A109" s="59">
        <v>99</v>
      </c>
      <c r="B109" s="7" t="s">
        <v>50</v>
      </c>
      <c r="C109" s="59">
        <f t="shared" si="1"/>
        <v>2297</v>
      </c>
      <c r="D109" s="14">
        <v>2297</v>
      </c>
      <c r="E109" s="14">
        <v>228</v>
      </c>
      <c r="F109" s="14"/>
      <c r="G109" s="14"/>
      <c r="H109" s="14"/>
      <c r="I109" s="14"/>
    </row>
    <row r="110" spans="1:9" s="3" customFormat="1" x14ac:dyDescent="0.2">
      <c r="A110" s="59">
        <v>100</v>
      </c>
      <c r="B110" s="7" t="s">
        <v>51</v>
      </c>
      <c r="C110" s="59">
        <f t="shared" si="1"/>
        <v>1099</v>
      </c>
      <c r="D110" s="14">
        <v>1099</v>
      </c>
      <c r="E110" s="14">
        <v>111</v>
      </c>
      <c r="F110" s="14"/>
      <c r="G110" s="14"/>
      <c r="H110" s="14"/>
      <c r="I110" s="14"/>
    </row>
    <row r="111" spans="1:9" s="3" customFormat="1" ht="24" x14ac:dyDescent="0.2">
      <c r="A111" s="59">
        <v>101</v>
      </c>
      <c r="B111" s="13" t="s">
        <v>59</v>
      </c>
      <c r="C111" s="59">
        <f t="shared" si="1"/>
        <v>996</v>
      </c>
      <c r="D111" s="14">
        <v>996</v>
      </c>
      <c r="E111" s="14"/>
      <c r="F111" s="14">
        <v>150</v>
      </c>
      <c r="G111" s="14"/>
      <c r="H111" s="14"/>
      <c r="I111" s="14"/>
    </row>
    <row r="112" spans="1:9" s="3" customFormat="1" x14ac:dyDescent="0.2">
      <c r="A112" s="59">
        <v>102</v>
      </c>
      <c r="B112" s="7" t="s">
        <v>148</v>
      </c>
      <c r="C112" s="59">
        <f t="shared" si="1"/>
        <v>314</v>
      </c>
      <c r="D112" s="14">
        <f>315-1</f>
        <v>314</v>
      </c>
      <c r="E112" s="14"/>
      <c r="F112" s="14"/>
      <c r="G112" s="14"/>
      <c r="H112" s="14"/>
      <c r="I112" s="14"/>
    </row>
    <row r="113" spans="1:9" s="3" customFormat="1" x14ac:dyDescent="0.2">
      <c r="A113" s="15">
        <v>103</v>
      </c>
      <c r="B113" s="7" t="s">
        <v>149</v>
      </c>
      <c r="C113" s="59">
        <f t="shared" si="1"/>
        <v>582</v>
      </c>
      <c r="D113" s="14">
        <f>405+177</f>
        <v>582</v>
      </c>
      <c r="E113" s="14"/>
      <c r="F113" s="14"/>
      <c r="G113" s="14">
        <f>405+177</f>
        <v>582</v>
      </c>
      <c r="H113" s="14"/>
      <c r="I113" s="14"/>
    </row>
    <row r="114" spans="1:9" x14ac:dyDescent="0.2">
      <c r="A114" s="59">
        <v>104</v>
      </c>
      <c r="B114" s="16" t="s">
        <v>150</v>
      </c>
      <c r="C114" s="59">
        <f>D114+I114</f>
        <v>20</v>
      </c>
      <c r="D114" s="15">
        <v>20</v>
      </c>
      <c r="E114" s="15"/>
      <c r="F114" s="15"/>
      <c r="G114" s="16"/>
      <c r="H114" s="16"/>
      <c r="I114" s="16"/>
    </row>
    <row r="115" spans="1:9" s="3" customFormat="1" x14ac:dyDescent="0.2">
      <c r="A115" s="59">
        <v>105</v>
      </c>
      <c r="B115" s="7" t="s">
        <v>151</v>
      </c>
      <c r="C115" s="59">
        <f>D115+I115</f>
        <v>1960</v>
      </c>
      <c r="D115" s="59">
        <f>D116+D117</f>
        <v>1960</v>
      </c>
      <c r="E115" s="59"/>
      <c r="F115" s="14"/>
      <c r="G115" s="14"/>
      <c r="H115" s="14"/>
      <c r="I115" s="14"/>
    </row>
    <row r="116" spans="1:9" s="3" customFormat="1" ht="15" customHeight="1" x14ac:dyDescent="0.2">
      <c r="A116" s="59"/>
      <c r="B116" s="17" t="s">
        <v>152</v>
      </c>
      <c r="C116" s="59">
        <f t="shared" ref="C116:C146" si="2">D116+I116</f>
        <v>1890</v>
      </c>
      <c r="D116" s="14">
        <f>1896-1-2-1-2</f>
        <v>1890</v>
      </c>
      <c r="E116" s="14"/>
      <c r="F116" s="14"/>
      <c r="G116" s="14"/>
      <c r="H116" s="14"/>
      <c r="I116" s="14"/>
    </row>
    <row r="117" spans="1:9" s="3" customFormat="1" ht="15" customHeight="1" x14ac:dyDescent="0.2">
      <c r="A117" s="59"/>
      <c r="B117" s="17" t="s">
        <v>153</v>
      </c>
      <c r="C117" s="59">
        <f t="shared" si="2"/>
        <v>70</v>
      </c>
      <c r="D117" s="14">
        <v>70</v>
      </c>
      <c r="E117" s="14"/>
      <c r="F117" s="14"/>
      <c r="G117" s="14"/>
      <c r="H117" s="14"/>
      <c r="I117" s="14"/>
    </row>
    <row r="118" spans="1:9" s="3" customFormat="1" x14ac:dyDescent="0.2">
      <c r="A118" s="59">
        <v>106</v>
      </c>
      <c r="B118" s="7" t="s">
        <v>154</v>
      </c>
      <c r="C118" s="59">
        <f t="shared" si="2"/>
        <v>479</v>
      </c>
      <c r="D118" s="14">
        <f>607-128</f>
        <v>479</v>
      </c>
      <c r="E118" s="14"/>
      <c r="F118" s="14"/>
      <c r="G118" s="14">
        <f>607-128</f>
        <v>479</v>
      </c>
      <c r="H118" s="14"/>
      <c r="I118" s="14"/>
    </row>
    <row r="119" spans="1:9" s="3" customFormat="1" x14ac:dyDescent="0.2">
      <c r="A119" s="59">
        <v>107</v>
      </c>
      <c r="B119" s="7" t="s">
        <v>60</v>
      </c>
      <c r="C119" s="59">
        <f t="shared" si="2"/>
        <v>32</v>
      </c>
      <c r="D119" s="14">
        <v>32</v>
      </c>
      <c r="E119" s="14"/>
      <c r="F119" s="14"/>
      <c r="G119" s="14"/>
      <c r="H119" s="14"/>
      <c r="I119" s="14"/>
    </row>
    <row r="120" spans="1:9" s="3" customFormat="1" x14ac:dyDescent="0.2">
      <c r="A120" s="59">
        <v>108</v>
      </c>
      <c r="B120" s="7" t="s">
        <v>155</v>
      </c>
      <c r="C120" s="59">
        <f t="shared" si="2"/>
        <v>471</v>
      </c>
      <c r="D120" s="14">
        <f>475-2-1-1</f>
        <v>471</v>
      </c>
      <c r="E120" s="14"/>
      <c r="F120" s="14"/>
      <c r="G120" s="14"/>
      <c r="H120" s="14"/>
      <c r="I120" s="14"/>
    </row>
    <row r="121" spans="1:9" s="3" customFormat="1" x14ac:dyDescent="0.2">
      <c r="A121" s="59">
        <v>109</v>
      </c>
      <c r="B121" s="7" t="s">
        <v>156</v>
      </c>
      <c r="C121" s="59">
        <f t="shared" si="2"/>
        <v>425</v>
      </c>
      <c r="D121" s="14">
        <f>485-60</f>
        <v>425</v>
      </c>
      <c r="E121" s="14"/>
      <c r="F121" s="14"/>
      <c r="G121" s="14">
        <f>405-60</f>
        <v>345</v>
      </c>
      <c r="H121" s="14"/>
      <c r="I121" s="14"/>
    </row>
    <row r="122" spans="1:9" s="3" customFormat="1" x14ac:dyDescent="0.2">
      <c r="A122" s="59">
        <v>110</v>
      </c>
      <c r="B122" s="7" t="s">
        <v>157</v>
      </c>
      <c r="C122" s="59">
        <f t="shared" si="2"/>
        <v>845</v>
      </c>
      <c r="D122" s="14">
        <f>846-1</f>
        <v>845</v>
      </c>
      <c r="E122" s="14"/>
      <c r="F122" s="14"/>
      <c r="G122" s="14"/>
      <c r="H122" s="14"/>
      <c r="I122" s="14"/>
    </row>
    <row r="123" spans="1:9" s="3" customFormat="1" x14ac:dyDescent="0.2">
      <c r="A123" s="59">
        <v>111</v>
      </c>
      <c r="B123" s="7" t="s">
        <v>158</v>
      </c>
      <c r="C123" s="59">
        <f t="shared" si="2"/>
        <v>1463</v>
      </c>
      <c r="D123" s="59">
        <f t="shared" ref="D123" si="3">D124+D125</f>
        <v>1463</v>
      </c>
      <c r="E123" s="59"/>
      <c r="F123" s="14"/>
      <c r="G123" s="14"/>
      <c r="H123" s="14"/>
      <c r="I123" s="14"/>
    </row>
    <row r="124" spans="1:9" s="3" customFormat="1" x14ac:dyDescent="0.2">
      <c r="A124" s="59"/>
      <c r="B124" s="7" t="s">
        <v>159</v>
      </c>
      <c r="C124" s="59">
        <f t="shared" si="2"/>
        <v>1224</v>
      </c>
      <c r="D124" s="14">
        <v>1224</v>
      </c>
      <c r="E124" s="14"/>
      <c r="F124" s="14"/>
      <c r="G124" s="14"/>
      <c r="H124" s="14"/>
      <c r="I124" s="14"/>
    </row>
    <row r="125" spans="1:9" s="3" customFormat="1" x14ac:dyDescent="0.2">
      <c r="A125" s="59"/>
      <c r="B125" s="7" t="s">
        <v>160</v>
      </c>
      <c r="C125" s="59">
        <f t="shared" si="2"/>
        <v>239</v>
      </c>
      <c r="D125" s="14">
        <v>239</v>
      </c>
      <c r="E125" s="14"/>
      <c r="F125" s="14"/>
      <c r="G125" s="14"/>
      <c r="H125" s="14"/>
      <c r="I125" s="14"/>
    </row>
    <row r="126" spans="1:9" s="3" customFormat="1" x14ac:dyDescent="0.2">
      <c r="A126" s="59">
        <v>112</v>
      </c>
      <c r="B126" s="7" t="s">
        <v>116</v>
      </c>
      <c r="C126" s="59">
        <f t="shared" si="2"/>
        <v>10219</v>
      </c>
      <c r="D126" s="14">
        <v>10219</v>
      </c>
      <c r="E126" s="14"/>
      <c r="F126" s="14"/>
      <c r="G126" s="14"/>
      <c r="H126" s="14">
        <v>10219</v>
      </c>
      <c r="I126" s="14"/>
    </row>
    <row r="127" spans="1:9" s="3" customFormat="1" x14ac:dyDescent="0.2">
      <c r="A127" s="59">
        <v>113</v>
      </c>
      <c r="B127" s="7" t="s">
        <v>61</v>
      </c>
      <c r="C127" s="59">
        <f t="shared" si="2"/>
        <v>360</v>
      </c>
      <c r="D127" s="14">
        <v>360</v>
      </c>
      <c r="E127" s="14"/>
      <c r="F127" s="14"/>
      <c r="G127" s="14"/>
      <c r="H127" s="14"/>
      <c r="I127" s="14"/>
    </row>
    <row r="128" spans="1:9" s="3" customFormat="1" x14ac:dyDescent="0.2">
      <c r="A128" s="59">
        <v>114</v>
      </c>
      <c r="B128" s="7" t="s">
        <v>161</v>
      </c>
      <c r="C128" s="59">
        <f t="shared" si="2"/>
        <v>3209</v>
      </c>
      <c r="D128" s="59">
        <f t="shared" ref="D128:F128" si="4">D129+D130</f>
        <v>3209</v>
      </c>
      <c r="E128" s="59">
        <f t="shared" si="4"/>
        <v>3209</v>
      </c>
      <c r="F128" s="59">
        <f t="shared" si="4"/>
        <v>872</v>
      </c>
      <c r="G128" s="59"/>
      <c r="H128" s="59">
        <f t="shared" ref="H128" si="5">H129+H130</f>
        <v>74</v>
      </c>
      <c r="I128" s="59"/>
    </row>
    <row r="129" spans="1:9" s="3" customFormat="1" x14ac:dyDescent="0.2">
      <c r="A129" s="59"/>
      <c r="B129" s="7" t="s">
        <v>162</v>
      </c>
      <c r="C129" s="59">
        <f t="shared" si="2"/>
        <v>3083</v>
      </c>
      <c r="D129" s="14">
        <f>3281-198</f>
        <v>3083</v>
      </c>
      <c r="E129" s="14">
        <f>3281-198</f>
        <v>3083</v>
      </c>
      <c r="F129" s="14">
        <v>872</v>
      </c>
      <c r="G129" s="14"/>
      <c r="H129" s="14">
        <v>74</v>
      </c>
      <c r="I129" s="14"/>
    </row>
    <row r="130" spans="1:9" s="3" customFormat="1" x14ac:dyDescent="0.2">
      <c r="A130" s="59"/>
      <c r="B130" s="17" t="s">
        <v>163</v>
      </c>
      <c r="C130" s="59">
        <f t="shared" si="2"/>
        <v>126</v>
      </c>
      <c r="D130" s="14">
        <f>45+81</f>
        <v>126</v>
      </c>
      <c r="E130" s="14">
        <f>45+81</f>
        <v>126</v>
      </c>
      <c r="F130" s="14"/>
      <c r="G130" s="14"/>
      <c r="H130" s="14"/>
      <c r="I130" s="14"/>
    </row>
    <row r="131" spans="1:9" s="3" customFormat="1" x14ac:dyDescent="0.2">
      <c r="A131" s="59">
        <v>115</v>
      </c>
      <c r="B131" s="7" t="s">
        <v>62</v>
      </c>
      <c r="C131" s="59">
        <f t="shared" si="2"/>
        <v>6960</v>
      </c>
      <c r="D131" s="14">
        <f>6980-20</f>
        <v>6960</v>
      </c>
      <c r="E131" s="14"/>
      <c r="F131" s="14"/>
      <c r="G131" s="14"/>
      <c r="H131" s="14"/>
      <c r="I131" s="14"/>
    </row>
    <row r="132" spans="1:9" s="3" customFormat="1" x14ac:dyDescent="0.2">
      <c r="A132" s="59">
        <v>116</v>
      </c>
      <c r="B132" s="7" t="s">
        <v>113</v>
      </c>
      <c r="C132" s="59">
        <f t="shared" si="2"/>
        <v>1724</v>
      </c>
      <c r="D132" s="14">
        <v>1724</v>
      </c>
      <c r="E132" s="14"/>
      <c r="F132" s="14"/>
      <c r="G132" s="14"/>
      <c r="H132" s="14"/>
      <c r="I132" s="14"/>
    </row>
    <row r="133" spans="1:9" s="3" customFormat="1" x14ac:dyDescent="0.2">
      <c r="A133" s="59">
        <v>117</v>
      </c>
      <c r="B133" s="7" t="s">
        <v>114</v>
      </c>
      <c r="C133" s="59">
        <f t="shared" si="2"/>
        <v>2914</v>
      </c>
      <c r="D133" s="14">
        <f>2614+300</f>
        <v>2914</v>
      </c>
      <c r="E133" s="14"/>
      <c r="F133" s="14"/>
      <c r="G133" s="14"/>
      <c r="H133" s="14"/>
      <c r="I133" s="14"/>
    </row>
    <row r="134" spans="1:9" s="3" customFormat="1" x14ac:dyDescent="0.2">
      <c r="A134" s="59">
        <v>118</v>
      </c>
      <c r="B134" s="11" t="s">
        <v>164</v>
      </c>
      <c r="C134" s="59">
        <f t="shared" si="2"/>
        <v>596</v>
      </c>
      <c r="D134" s="14">
        <f>608-12</f>
        <v>596</v>
      </c>
      <c r="E134" s="14"/>
      <c r="F134" s="14"/>
      <c r="G134" s="14">
        <f>608-12</f>
        <v>596</v>
      </c>
      <c r="H134" s="14"/>
      <c r="I134" s="14"/>
    </row>
    <row r="135" spans="1:9" s="3" customFormat="1" x14ac:dyDescent="0.2">
      <c r="A135" s="59">
        <v>119</v>
      </c>
      <c r="B135" s="7" t="s">
        <v>63</v>
      </c>
      <c r="C135" s="59">
        <f t="shared" si="2"/>
        <v>821</v>
      </c>
      <c r="D135" s="14">
        <v>821</v>
      </c>
      <c r="E135" s="14"/>
      <c r="F135" s="14">
        <v>821</v>
      </c>
      <c r="G135" s="14"/>
      <c r="H135" s="14"/>
      <c r="I135" s="14"/>
    </row>
    <row r="136" spans="1:9" s="3" customFormat="1" x14ac:dyDescent="0.2">
      <c r="A136" s="6">
        <v>120</v>
      </c>
      <c r="B136" s="7" t="s">
        <v>64</v>
      </c>
      <c r="C136" s="59">
        <f t="shared" si="2"/>
        <v>1163</v>
      </c>
      <c r="D136" s="14">
        <v>1163</v>
      </c>
      <c r="E136" s="14"/>
      <c r="F136" s="14">
        <v>563</v>
      </c>
      <c r="G136" s="14"/>
      <c r="H136" s="14"/>
      <c r="I136" s="14"/>
    </row>
    <row r="137" spans="1:9" s="3" customFormat="1" x14ac:dyDescent="0.2">
      <c r="A137" s="355">
        <v>121</v>
      </c>
      <c r="B137" s="7" t="s">
        <v>165</v>
      </c>
      <c r="C137" s="59">
        <f t="shared" si="2"/>
        <v>3542</v>
      </c>
      <c r="D137" s="14">
        <v>3542</v>
      </c>
      <c r="E137" s="14"/>
      <c r="F137" s="14">
        <v>135</v>
      </c>
      <c r="G137" s="14"/>
      <c r="H137" s="14">
        <v>576</v>
      </c>
      <c r="I137" s="14"/>
    </row>
    <row r="138" spans="1:9" s="10" customFormat="1" ht="25.5" customHeight="1" x14ac:dyDescent="0.2">
      <c r="A138" s="356"/>
      <c r="B138" s="12" t="s">
        <v>65</v>
      </c>
      <c r="C138" s="9">
        <f t="shared" si="2"/>
        <v>3470</v>
      </c>
      <c r="D138" s="18">
        <v>3470</v>
      </c>
      <c r="E138" s="18">
        <v>441</v>
      </c>
      <c r="F138" s="18"/>
      <c r="G138" s="18"/>
      <c r="H138" s="18"/>
      <c r="I138" s="18"/>
    </row>
    <row r="139" spans="1:9" s="3" customFormat="1" x14ac:dyDescent="0.2">
      <c r="A139" s="59">
        <v>122</v>
      </c>
      <c r="B139" s="7" t="s">
        <v>166</v>
      </c>
      <c r="C139" s="59">
        <f t="shared" si="2"/>
        <v>280</v>
      </c>
      <c r="D139" s="14">
        <f>259+4+4+13</f>
        <v>280</v>
      </c>
      <c r="E139" s="14"/>
      <c r="F139" s="14"/>
      <c r="G139" s="14"/>
      <c r="H139" s="14"/>
      <c r="I139" s="14"/>
    </row>
    <row r="140" spans="1:9" s="3" customFormat="1" ht="13.5" customHeight="1" x14ac:dyDescent="0.2">
      <c r="A140" s="6">
        <v>123</v>
      </c>
      <c r="B140" s="13" t="s">
        <v>167</v>
      </c>
      <c r="C140" s="59">
        <f t="shared" si="2"/>
        <v>4492</v>
      </c>
      <c r="D140" s="59">
        <f t="shared" ref="D140:I140" si="6">D142+D143+D144</f>
        <v>4057</v>
      </c>
      <c r="E140" s="59">
        <f t="shared" si="6"/>
        <v>0</v>
      </c>
      <c r="F140" s="59">
        <f t="shared" si="6"/>
        <v>0</v>
      </c>
      <c r="G140" s="59">
        <f t="shared" si="6"/>
        <v>0</v>
      </c>
      <c r="H140" s="59">
        <f t="shared" si="6"/>
        <v>4057</v>
      </c>
      <c r="I140" s="59">
        <f t="shared" si="6"/>
        <v>435</v>
      </c>
    </row>
    <row r="141" spans="1:9" s="3" customFormat="1" x14ac:dyDescent="0.2">
      <c r="A141" s="19"/>
      <c r="B141" s="13" t="s">
        <v>168</v>
      </c>
      <c r="C141" s="59">
        <f t="shared" si="2"/>
        <v>0</v>
      </c>
      <c r="D141" s="59"/>
      <c r="E141" s="59"/>
      <c r="F141" s="19"/>
      <c r="G141" s="19"/>
      <c r="H141" s="19"/>
      <c r="I141" s="19"/>
    </row>
    <row r="142" spans="1:9" s="3" customFormat="1" ht="14.25" customHeight="1" x14ac:dyDescent="0.2">
      <c r="A142" s="19"/>
      <c r="B142" s="13" t="s">
        <v>169</v>
      </c>
      <c r="C142" s="59">
        <f t="shared" si="2"/>
        <v>360</v>
      </c>
      <c r="D142" s="59"/>
      <c r="E142" s="59"/>
      <c r="F142" s="19"/>
      <c r="G142" s="19"/>
      <c r="H142" s="19"/>
      <c r="I142" s="14">
        <v>360</v>
      </c>
    </row>
    <row r="143" spans="1:9" s="3" customFormat="1" ht="13.5" customHeight="1" x14ac:dyDescent="0.2">
      <c r="A143" s="19"/>
      <c r="B143" s="13" t="s">
        <v>170</v>
      </c>
      <c r="C143" s="59">
        <f t="shared" si="2"/>
        <v>75</v>
      </c>
      <c r="D143" s="59"/>
      <c r="E143" s="59"/>
      <c r="F143" s="19"/>
      <c r="G143" s="19"/>
      <c r="H143" s="19"/>
      <c r="I143" s="14">
        <v>75</v>
      </c>
    </row>
    <row r="144" spans="1:9" s="3" customFormat="1" ht="13.5" customHeight="1" x14ac:dyDescent="0.2">
      <c r="A144" s="19"/>
      <c r="B144" s="20" t="s">
        <v>171</v>
      </c>
      <c r="C144" s="59">
        <f t="shared" si="2"/>
        <v>4057</v>
      </c>
      <c r="D144" s="59">
        <f>5166-1109</f>
        <v>4057</v>
      </c>
      <c r="E144" s="59"/>
      <c r="F144" s="19"/>
      <c r="G144" s="19"/>
      <c r="H144" s="6">
        <v>4057</v>
      </c>
      <c r="I144" s="14"/>
    </row>
    <row r="145" spans="1:9" s="3" customFormat="1" ht="13.5" customHeight="1" x14ac:dyDescent="0.2">
      <c r="A145" s="19">
        <v>124</v>
      </c>
      <c r="B145" s="13" t="s">
        <v>172</v>
      </c>
      <c r="C145" s="59">
        <f t="shared" si="2"/>
        <v>20</v>
      </c>
      <c r="D145" s="59">
        <v>20</v>
      </c>
      <c r="E145" s="59"/>
      <c r="F145" s="19"/>
      <c r="G145" s="19"/>
      <c r="H145" s="19"/>
      <c r="I145" s="14"/>
    </row>
    <row r="146" spans="1:9" s="3" customFormat="1" x14ac:dyDescent="0.2">
      <c r="A146" s="19"/>
      <c r="B146" s="7" t="s">
        <v>66</v>
      </c>
      <c r="C146" s="59">
        <f t="shared" si="2"/>
        <v>2710</v>
      </c>
      <c r="D146" s="59">
        <f>298+3157+3+4-820+40+23+3+2</f>
        <v>2710</v>
      </c>
      <c r="E146" s="59"/>
      <c r="F146" s="59"/>
      <c r="G146" s="59">
        <v>23</v>
      </c>
      <c r="H146" s="59"/>
      <c r="I146" s="59"/>
    </row>
    <row r="147" spans="1:9" s="75" customFormat="1" x14ac:dyDescent="0.2">
      <c r="A147" s="21"/>
      <c r="B147" s="22" t="s">
        <v>52</v>
      </c>
      <c r="C147" s="21">
        <f>SUM(C6:C115)+SUM(C118:C123)+SUM(C126:C128)+C145+C146+SUM(C131:C140)</f>
        <v>251996</v>
      </c>
      <c r="D147" s="21">
        <f t="shared" ref="D147:I147" si="7">SUM(D6:D115)+SUM(D118:D123)+SUM(D126:D128)+D145+D146+SUM(D131:D140)</f>
        <v>251561</v>
      </c>
      <c r="E147" s="21">
        <f t="shared" si="7"/>
        <v>32548</v>
      </c>
      <c r="F147" s="21">
        <f t="shared" si="7"/>
        <v>5017</v>
      </c>
      <c r="G147" s="21">
        <f t="shared" si="7"/>
        <v>2025</v>
      </c>
      <c r="H147" s="21">
        <f t="shared" si="7"/>
        <v>29619</v>
      </c>
      <c r="I147" s="21">
        <f t="shared" si="7"/>
        <v>435</v>
      </c>
    </row>
  </sheetData>
  <mergeCells count="13">
    <mergeCell ref="A8:A9"/>
    <mergeCell ref="A33:A34"/>
    <mergeCell ref="A39:A41"/>
    <mergeCell ref="A43:A44"/>
    <mergeCell ref="A137:A138"/>
    <mergeCell ref="A1:I1"/>
    <mergeCell ref="G2:I2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7" sqref="E37"/>
    </sheetView>
  </sheetViews>
  <sheetFormatPr defaultRowHeight="12" x14ac:dyDescent="0.2"/>
  <cols>
    <col min="1" max="1" width="3.7109375" style="23" customWidth="1"/>
    <col min="2" max="2" width="25.7109375" style="24" customWidth="1"/>
    <col min="3" max="3" width="8.7109375" style="23" customWidth="1"/>
    <col min="4" max="4" width="12.140625" style="23" customWidth="1"/>
    <col min="5" max="5" width="11.7109375" style="23" customWidth="1"/>
    <col min="6" max="6" width="11.5703125" style="23" customWidth="1"/>
    <col min="7" max="7" width="13.28515625" style="23" customWidth="1"/>
    <col min="8" max="8" width="9.85546875" style="23" customWidth="1"/>
    <col min="9" max="10" width="10.85546875" style="23" customWidth="1"/>
    <col min="11" max="11" width="7.85546875" style="23" customWidth="1"/>
    <col min="12" max="12" width="11.42578125" style="23" customWidth="1"/>
    <col min="13" max="13" width="11.7109375" style="23" customWidth="1"/>
    <col min="14" max="14" width="10.5703125" style="23" customWidth="1"/>
    <col min="15" max="15" width="11.28515625" style="23" customWidth="1"/>
    <col min="16" max="16" width="8.42578125" style="23" customWidth="1"/>
    <col min="17" max="17" width="11.5703125" style="23" customWidth="1"/>
    <col min="18" max="18" width="11.7109375" style="23" customWidth="1"/>
    <col min="19" max="19" width="9.42578125" style="23" customWidth="1"/>
    <col min="20" max="20" width="11.7109375" style="23" customWidth="1"/>
    <col min="21" max="16384" width="9.140625" style="1"/>
  </cols>
  <sheetData>
    <row r="1" spans="1:22" ht="15.75" x14ac:dyDescent="0.25">
      <c r="A1" s="377" t="s">
        <v>223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</row>
    <row r="2" spans="1:22" x14ac:dyDescent="0.2">
      <c r="S2" s="379" t="s">
        <v>173</v>
      </c>
      <c r="T2" s="380"/>
    </row>
    <row r="3" spans="1:22" s="25" customFormat="1" ht="12" customHeight="1" x14ac:dyDescent="0.2">
      <c r="A3" s="372" t="s">
        <v>0</v>
      </c>
      <c r="B3" s="374" t="s">
        <v>174</v>
      </c>
      <c r="C3" s="52" t="s">
        <v>175</v>
      </c>
      <c r="D3" s="381" t="s">
        <v>176</v>
      </c>
      <c r="E3" s="382"/>
      <c r="F3" s="382"/>
      <c r="G3" s="382"/>
      <c r="H3" s="383" t="s">
        <v>177</v>
      </c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5"/>
    </row>
    <row r="4" spans="1:22" s="26" customFormat="1" ht="31.5" customHeight="1" x14ac:dyDescent="0.25">
      <c r="A4" s="373"/>
      <c r="B4" s="375"/>
      <c r="C4" s="376" t="s">
        <v>67</v>
      </c>
      <c r="D4" s="61" t="s">
        <v>178</v>
      </c>
      <c r="E4" s="386" t="s">
        <v>179</v>
      </c>
      <c r="F4" s="387"/>
      <c r="G4" s="387"/>
      <c r="H4" s="388" t="s">
        <v>68</v>
      </c>
      <c r="I4" s="391" t="s">
        <v>179</v>
      </c>
      <c r="J4" s="392"/>
      <c r="K4" s="369" t="s">
        <v>180</v>
      </c>
      <c r="L4" s="369"/>
      <c r="M4" s="369"/>
      <c r="N4" s="369"/>
      <c r="O4" s="393"/>
      <c r="P4" s="366" t="s">
        <v>181</v>
      </c>
      <c r="Q4" s="366"/>
      <c r="R4" s="366"/>
      <c r="S4" s="366"/>
      <c r="T4" s="366"/>
    </row>
    <row r="5" spans="1:22" s="25" customFormat="1" ht="23.25" customHeight="1" x14ac:dyDescent="0.2">
      <c r="A5" s="373"/>
      <c r="B5" s="375"/>
      <c r="C5" s="356"/>
      <c r="D5" s="370" t="s">
        <v>182</v>
      </c>
      <c r="E5" s="370" t="s">
        <v>182</v>
      </c>
      <c r="F5" s="367" t="s">
        <v>183</v>
      </c>
      <c r="G5" s="368"/>
      <c r="H5" s="389"/>
      <c r="I5" s="369" t="s">
        <v>182</v>
      </c>
      <c r="J5" s="369" t="s">
        <v>184</v>
      </c>
      <c r="K5" s="366" t="s">
        <v>67</v>
      </c>
      <c r="L5" s="369" t="s">
        <v>185</v>
      </c>
      <c r="M5" s="369" t="s">
        <v>182</v>
      </c>
      <c r="N5" s="369" t="s">
        <v>186</v>
      </c>
      <c r="O5" s="369" t="s">
        <v>184</v>
      </c>
      <c r="P5" s="366" t="s">
        <v>67</v>
      </c>
      <c r="Q5" s="369" t="s">
        <v>185</v>
      </c>
      <c r="R5" s="369" t="s">
        <v>182</v>
      </c>
      <c r="S5" s="369" t="s">
        <v>186</v>
      </c>
      <c r="T5" s="369" t="s">
        <v>187</v>
      </c>
    </row>
    <row r="6" spans="1:22" s="25" customFormat="1" ht="42" x14ac:dyDescent="0.2">
      <c r="A6" s="373"/>
      <c r="B6" s="375"/>
      <c r="C6" s="356"/>
      <c r="D6" s="371"/>
      <c r="E6" s="371"/>
      <c r="F6" s="61" t="s">
        <v>188</v>
      </c>
      <c r="G6" s="27" t="s">
        <v>189</v>
      </c>
      <c r="H6" s="390"/>
      <c r="I6" s="369"/>
      <c r="J6" s="369"/>
      <c r="K6" s="366"/>
      <c r="L6" s="369"/>
      <c r="M6" s="369"/>
      <c r="N6" s="369"/>
      <c r="O6" s="369"/>
      <c r="P6" s="366"/>
      <c r="Q6" s="369"/>
      <c r="R6" s="369"/>
      <c r="S6" s="369"/>
      <c r="T6" s="369"/>
    </row>
    <row r="7" spans="1:22" x14ac:dyDescent="0.2">
      <c r="A7" s="28">
        <v>1</v>
      </c>
      <c r="B7" s="29" t="s">
        <v>81</v>
      </c>
      <c r="C7" s="30">
        <f>D7+E7+F7+G7+H7</f>
        <v>12437</v>
      </c>
      <c r="D7" s="32"/>
      <c r="E7" s="32">
        <f>200+200</f>
        <v>400</v>
      </c>
      <c r="F7" s="32">
        <v>25</v>
      </c>
      <c r="G7" s="32">
        <v>10</v>
      </c>
      <c r="H7" s="33">
        <f>I7+K7+P7+J7</f>
        <v>12002</v>
      </c>
      <c r="I7" s="33">
        <v>2350</v>
      </c>
      <c r="J7" s="33">
        <v>30</v>
      </c>
      <c r="K7" s="33">
        <f t="shared" ref="K7:K18" si="0">L7+M7+N7+O7</f>
        <v>6181</v>
      </c>
      <c r="L7" s="32">
        <v>176</v>
      </c>
      <c r="M7" s="32">
        <f>2423+130-104</f>
        <v>2449</v>
      </c>
      <c r="N7" s="32">
        <v>3346</v>
      </c>
      <c r="O7" s="32">
        <v>210</v>
      </c>
      <c r="P7" s="32">
        <f t="shared" ref="P7:P18" si="1">Q7+R7+S7+T7</f>
        <v>3441</v>
      </c>
      <c r="Q7" s="32">
        <v>92</v>
      </c>
      <c r="R7" s="32">
        <f>1268+55+46+50+75+58+46</f>
        <v>1598</v>
      </c>
      <c r="S7" s="32">
        <v>1751</v>
      </c>
      <c r="T7" s="32">
        <v>0</v>
      </c>
      <c r="U7" s="34"/>
      <c r="V7" s="3"/>
    </row>
    <row r="8" spans="1:22" x14ac:dyDescent="0.2">
      <c r="A8" s="28">
        <v>2</v>
      </c>
      <c r="B8" s="35" t="s">
        <v>69</v>
      </c>
      <c r="C8" s="30">
        <f t="shared" ref="C8:C19" si="2">D8+E8+F8+G8+H8</f>
        <v>2710</v>
      </c>
      <c r="D8" s="32"/>
      <c r="E8" s="32">
        <v>20</v>
      </c>
      <c r="F8" s="32">
        <f>0+1</f>
        <v>1</v>
      </c>
      <c r="G8" s="32">
        <f>0+1</f>
        <v>1</v>
      </c>
      <c r="H8" s="33">
        <f t="shared" ref="H8:H19" si="3">I8+K8+P8+J8</f>
        <v>2688</v>
      </c>
      <c r="I8" s="33"/>
      <c r="J8" s="33"/>
      <c r="K8" s="33">
        <f t="shared" si="0"/>
        <v>90</v>
      </c>
      <c r="L8" s="32">
        <f>94-94</f>
        <v>0</v>
      </c>
      <c r="M8" s="32">
        <f>503-503</f>
        <v>0</v>
      </c>
      <c r="N8" s="32">
        <f>223-223</f>
        <v>0</v>
      </c>
      <c r="O8" s="32">
        <f>709+360-979</f>
        <v>90</v>
      </c>
      <c r="P8" s="32">
        <f t="shared" si="1"/>
        <v>2598</v>
      </c>
      <c r="Q8" s="32">
        <f>49+94</f>
        <v>143</v>
      </c>
      <c r="R8" s="32">
        <f>263+503</f>
        <v>766</v>
      </c>
      <c r="S8" s="32">
        <f>116+223</f>
        <v>339</v>
      </c>
      <c r="T8" s="32">
        <f>371+979</f>
        <v>1350</v>
      </c>
      <c r="U8" s="34"/>
      <c r="V8" s="3"/>
    </row>
    <row r="9" spans="1:22" ht="15" customHeight="1" x14ac:dyDescent="0.2">
      <c r="A9" s="28">
        <v>3</v>
      </c>
      <c r="B9" s="29" t="s">
        <v>151</v>
      </c>
      <c r="C9" s="30">
        <f t="shared" si="2"/>
        <v>96728</v>
      </c>
      <c r="D9" s="32">
        <f>660+49+57</f>
        <v>766</v>
      </c>
      <c r="E9" s="32"/>
      <c r="F9" s="32"/>
      <c r="G9" s="32"/>
      <c r="H9" s="33">
        <f t="shared" si="3"/>
        <v>95962</v>
      </c>
      <c r="I9" s="33"/>
      <c r="J9" s="33"/>
      <c r="K9" s="33">
        <f t="shared" si="0"/>
        <v>71452</v>
      </c>
      <c r="L9" s="32">
        <v>0</v>
      </c>
      <c r="M9" s="32">
        <f>16628+44217+2730+2831+1469</f>
        <v>67875</v>
      </c>
      <c r="N9" s="32">
        <f>688+2889</f>
        <v>3577</v>
      </c>
      <c r="O9" s="32"/>
      <c r="P9" s="32">
        <f t="shared" si="1"/>
        <v>24510</v>
      </c>
      <c r="Q9" s="32">
        <v>0</v>
      </c>
      <c r="R9" s="32">
        <f>23135-32-17-15-24-18-30</f>
        <v>22999</v>
      </c>
      <c r="S9" s="32">
        <v>1511</v>
      </c>
      <c r="T9" s="32">
        <v>0</v>
      </c>
      <c r="U9" s="34"/>
      <c r="V9" s="3"/>
    </row>
    <row r="10" spans="1:22" x14ac:dyDescent="0.2">
      <c r="A10" s="28">
        <v>4</v>
      </c>
      <c r="B10" s="35" t="s">
        <v>157</v>
      </c>
      <c r="C10" s="30">
        <f t="shared" si="2"/>
        <v>37560</v>
      </c>
      <c r="D10" s="32">
        <f>80+26</f>
        <v>106</v>
      </c>
      <c r="E10" s="32"/>
      <c r="F10" s="32"/>
      <c r="G10" s="32"/>
      <c r="H10" s="33">
        <f t="shared" si="3"/>
        <v>37454</v>
      </c>
      <c r="I10" s="33"/>
      <c r="J10" s="33"/>
      <c r="K10" s="33">
        <f t="shared" si="0"/>
        <v>26484</v>
      </c>
      <c r="L10" s="32">
        <f>2440+7858</f>
        <v>10298</v>
      </c>
      <c r="M10" s="32">
        <f>2672+10138</f>
        <v>12810</v>
      </c>
      <c r="N10" s="32">
        <f>348+3028</f>
        <v>3376</v>
      </c>
      <c r="O10" s="32"/>
      <c r="P10" s="32">
        <f t="shared" si="1"/>
        <v>10970</v>
      </c>
      <c r="Q10" s="32">
        <v>4111</v>
      </c>
      <c r="R10" s="32">
        <f>5305-6-5-2-10-7</f>
        <v>5275</v>
      </c>
      <c r="S10" s="32">
        <v>1584</v>
      </c>
      <c r="T10" s="32">
        <v>0</v>
      </c>
      <c r="U10" s="34"/>
      <c r="V10" s="3"/>
    </row>
    <row r="11" spans="1:22" x14ac:dyDescent="0.2">
      <c r="A11" s="28">
        <v>5</v>
      </c>
      <c r="B11" s="36" t="s">
        <v>148</v>
      </c>
      <c r="C11" s="30">
        <f t="shared" si="2"/>
        <v>18919</v>
      </c>
      <c r="D11" s="32"/>
      <c r="E11" s="32"/>
      <c r="F11" s="32"/>
      <c r="G11" s="32"/>
      <c r="H11" s="33">
        <f t="shared" si="3"/>
        <v>18919</v>
      </c>
      <c r="I11" s="33"/>
      <c r="J11" s="33"/>
      <c r="K11" s="33">
        <f t="shared" si="0"/>
        <v>14840</v>
      </c>
      <c r="L11" s="32">
        <v>0</v>
      </c>
      <c r="M11" s="32">
        <f>2454+5244+2730-527+1690</f>
        <v>11591</v>
      </c>
      <c r="N11" s="32">
        <f>666+2583</f>
        <v>3249</v>
      </c>
      <c r="O11" s="32"/>
      <c r="P11" s="32">
        <f t="shared" si="1"/>
        <v>4079</v>
      </c>
      <c r="Q11" s="32">
        <v>0</v>
      </c>
      <c r="R11" s="32">
        <f>2744-2-1-12-1</f>
        <v>2728</v>
      </c>
      <c r="S11" s="32">
        <v>1351</v>
      </c>
      <c r="T11" s="32">
        <v>0</v>
      </c>
      <c r="U11" s="34"/>
      <c r="V11" s="3"/>
    </row>
    <row r="12" spans="1:22" x14ac:dyDescent="0.2">
      <c r="A12" s="28">
        <v>6</v>
      </c>
      <c r="B12" s="35" t="s">
        <v>155</v>
      </c>
      <c r="C12" s="30">
        <f t="shared" si="2"/>
        <v>17230</v>
      </c>
      <c r="D12" s="32"/>
      <c r="E12" s="32"/>
      <c r="F12" s="32"/>
      <c r="G12" s="32"/>
      <c r="H12" s="33">
        <f t="shared" si="3"/>
        <v>17230</v>
      </c>
      <c r="I12" s="33"/>
      <c r="J12" s="33"/>
      <c r="K12" s="33">
        <f t="shared" si="0"/>
        <v>11146</v>
      </c>
      <c r="L12" s="32">
        <v>0</v>
      </c>
      <c r="M12" s="32">
        <f>1051+10425-2215</f>
        <v>9261</v>
      </c>
      <c r="N12" s="32">
        <f>509+1376</f>
        <v>1885</v>
      </c>
      <c r="O12" s="32"/>
      <c r="P12" s="32">
        <f t="shared" si="1"/>
        <v>6084</v>
      </c>
      <c r="Q12" s="32">
        <v>0</v>
      </c>
      <c r="R12" s="32">
        <f>5455-23-24-16-19-9</f>
        <v>5364</v>
      </c>
      <c r="S12" s="32">
        <v>720</v>
      </c>
      <c r="T12" s="32">
        <v>0</v>
      </c>
      <c r="U12" s="34"/>
      <c r="V12" s="3"/>
    </row>
    <row r="13" spans="1:22" x14ac:dyDescent="0.2">
      <c r="A13" s="28">
        <v>7</v>
      </c>
      <c r="B13" s="35" t="s">
        <v>61</v>
      </c>
      <c r="C13" s="30">
        <f t="shared" si="2"/>
        <v>60</v>
      </c>
      <c r="D13" s="32"/>
      <c r="E13" s="32"/>
      <c r="F13" s="32">
        <v>60</v>
      </c>
      <c r="G13" s="32"/>
      <c r="H13" s="33">
        <f t="shared" si="3"/>
        <v>0</v>
      </c>
      <c r="I13" s="33"/>
      <c r="J13" s="33"/>
      <c r="K13" s="33">
        <f t="shared" si="0"/>
        <v>0</v>
      </c>
      <c r="L13" s="32"/>
      <c r="M13" s="32"/>
      <c r="N13" s="32"/>
      <c r="O13" s="32"/>
      <c r="P13" s="32">
        <f t="shared" si="1"/>
        <v>0</v>
      </c>
      <c r="Q13" s="32"/>
      <c r="R13" s="32"/>
      <c r="S13" s="32"/>
      <c r="T13" s="32"/>
      <c r="U13" s="34"/>
      <c r="V13" s="3"/>
    </row>
    <row r="14" spans="1:22" x14ac:dyDescent="0.2">
      <c r="A14" s="28">
        <v>8</v>
      </c>
      <c r="B14" s="35" t="s">
        <v>70</v>
      </c>
      <c r="C14" s="30">
        <f t="shared" si="2"/>
        <v>5</v>
      </c>
      <c r="D14" s="32"/>
      <c r="E14" s="32"/>
      <c r="F14" s="32">
        <v>5</v>
      </c>
      <c r="G14" s="32"/>
      <c r="H14" s="33">
        <f t="shared" si="3"/>
        <v>0</v>
      </c>
      <c r="I14" s="33"/>
      <c r="J14" s="33"/>
      <c r="K14" s="33">
        <f t="shared" si="0"/>
        <v>0</v>
      </c>
      <c r="L14" s="32"/>
      <c r="M14" s="32"/>
      <c r="N14" s="32"/>
      <c r="O14" s="32"/>
      <c r="P14" s="32">
        <f t="shared" si="1"/>
        <v>0</v>
      </c>
      <c r="Q14" s="32"/>
      <c r="R14" s="32"/>
      <c r="S14" s="32"/>
      <c r="T14" s="32"/>
      <c r="U14" s="34"/>
      <c r="V14" s="3"/>
    </row>
    <row r="15" spans="1:22" x14ac:dyDescent="0.2">
      <c r="A15" s="28">
        <v>9</v>
      </c>
      <c r="B15" s="35" t="s">
        <v>115</v>
      </c>
      <c r="C15" s="30">
        <f t="shared" si="2"/>
        <v>30</v>
      </c>
      <c r="D15" s="32"/>
      <c r="E15" s="32"/>
      <c r="F15" s="32">
        <v>30</v>
      </c>
      <c r="G15" s="32"/>
      <c r="H15" s="33">
        <f t="shared" si="3"/>
        <v>0</v>
      </c>
      <c r="I15" s="33"/>
      <c r="J15" s="33"/>
      <c r="K15" s="33">
        <f t="shared" si="0"/>
        <v>0</v>
      </c>
      <c r="L15" s="32"/>
      <c r="M15" s="32"/>
      <c r="N15" s="32"/>
      <c r="O15" s="32"/>
      <c r="P15" s="32">
        <f t="shared" si="1"/>
        <v>0</v>
      </c>
      <c r="Q15" s="32"/>
      <c r="R15" s="32"/>
      <c r="S15" s="32"/>
      <c r="T15" s="32"/>
      <c r="U15" s="34"/>
      <c r="V15" s="3"/>
    </row>
    <row r="16" spans="1:22" x14ac:dyDescent="0.2">
      <c r="A16" s="28">
        <v>10</v>
      </c>
      <c r="B16" s="35" t="s">
        <v>71</v>
      </c>
      <c r="C16" s="30">
        <f t="shared" si="2"/>
        <v>100</v>
      </c>
      <c r="D16" s="32"/>
      <c r="E16" s="32"/>
      <c r="F16" s="32">
        <v>100</v>
      </c>
      <c r="G16" s="32"/>
      <c r="H16" s="33">
        <f t="shared" si="3"/>
        <v>0</v>
      </c>
      <c r="I16" s="33"/>
      <c r="J16" s="33"/>
      <c r="K16" s="33">
        <f t="shared" si="0"/>
        <v>0</v>
      </c>
      <c r="L16" s="32"/>
      <c r="M16" s="32"/>
      <c r="N16" s="32"/>
      <c r="O16" s="32"/>
      <c r="P16" s="32">
        <f t="shared" si="1"/>
        <v>0</v>
      </c>
      <c r="Q16" s="32"/>
      <c r="R16" s="32"/>
      <c r="S16" s="32"/>
      <c r="T16" s="32"/>
      <c r="U16" s="34"/>
      <c r="V16" s="3"/>
    </row>
    <row r="17" spans="1:22" x14ac:dyDescent="0.2">
      <c r="A17" s="28">
        <v>11</v>
      </c>
      <c r="B17" s="35" t="s">
        <v>190</v>
      </c>
      <c r="C17" s="30">
        <f t="shared" si="2"/>
        <v>20</v>
      </c>
      <c r="D17" s="32"/>
      <c r="E17" s="32"/>
      <c r="F17" s="32">
        <v>20</v>
      </c>
      <c r="G17" s="32"/>
      <c r="H17" s="33">
        <f t="shared" si="3"/>
        <v>0</v>
      </c>
      <c r="I17" s="33"/>
      <c r="J17" s="33"/>
      <c r="K17" s="33">
        <f t="shared" si="0"/>
        <v>0</v>
      </c>
      <c r="L17" s="32"/>
      <c r="M17" s="32"/>
      <c r="N17" s="32"/>
      <c r="O17" s="32"/>
      <c r="P17" s="32">
        <f t="shared" si="1"/>
        <v>0</v>
      </c>
      <c r="Q17" s="32"/>
      <c r="R17" s="32"/>
      <c r="S17" s="32"/>
      <c r="T17" s="32"/>
      <c r="U17" s="34"/>
      <c r="V17" s="3"/>
    </row>
    <row r="18" spans="1:22" x14ac:dyDescent="0.2">
      <c r="A18" s="28">
        <v>12</v>
      </c>
      <c r="B18" s="29" t="s">
        <v>191</v>
      </c>
      <c r="C18" s="30">
        <f t="shared" si="2"/>
        <v>50</v>
      </c>
      <c r="D18" s="32"/>
      <c r="E18" s="32">
        <v>50</v>
      </c>
      <c r="F18" s="32"/>
      <c r="G18" s="32"/>
      <c r="H18" s="33">
        <f t="shared" si="3"/>
        <v>0</v>
      </c>
      <c r="I18" s="33"/>
      <c r="J18" s="33"/>
      <c r="K18" s="33">
        <f t="shared" si="0"/>
        <v>0</v>
      </c>
      <c r="L18" s="32"/>
      <c r="M18" s="32"/>
      <c r="N18" s="32"/>
      <c r="O18" s="32"/>
      <c r="P18" s="32">
        <f t="shared" si="1"/>
        <v>0</v>
      </c>
      <c r="Q18" s="32"/>
      <c r="R18" s="32"/>
      <c r="S18" s="32"/>
      <c r="T18" s="32"/>
      <c r="U18" s="34"/>
      <c r="V18" s="3"/>
    </row>
    <row r="19" spans="1:22" ht="24" x14ac:dyDescent="0.2">
      <c r="A19" s="28"/>
      <c r="B19" s="29" t="s">
        <v>66</v>
      </c>
      <c r="C19" s="30">
        <f t="shared" si="2"/>
        <v>7747</v>
      </c>
      <c r="D19" s="33"/>
      <c r="E19" s="33"/>
      <c r="F19" s="33"/>
      <c r="G19" s="33"/>
      <c r="H19" s="33">
        <f t="shared" si="3"/>
        <v>7747</v>
      </c>
      <c r="I19" s="33">
        <f>450-30-200</f>
        <v>220</v>
      </c>
      <c r="J19" s="33"/>
      <c r="K19" s="37">
        <f>L19+M19+N19</f>
        <v>7527</v>
      </c>
      <c r="L19" s="32"/>
      <c r="M19" s="32">
        <f>17022-360-5590-15-49-11-57-106-2-21-89-10-26-3159</f>
        <v>7527</v>
      </c>
      <c r="N19" s="32"/>
      <c r="O19" s="32"/>
      <c r="P19" s="32"/>
      <c r="Q19" s="32"/>
      <c r="R19" s="32"/>
      <c r="S19" s="32"/>
      <c r="T19" s="32"/>
      <c r="U19" s="34"/>
      <c r="V19" s="3"/>
    </row>
    <row r="20" spans="1:22" x14ac:dyDescent="0.2">
      <c r="A20" s="28"/>
      <c r="B20" s="63" t="s">
        <v>192</v>
      </c>
      <c r="C20" s="30">
        <f>SUM(C7:C19)</f>
        <v>193596</v>
      </c>
      <c r="D20" s="31">
        <f t="shared" ref="D20:T20" si="4">SUM(D7:D19)</f>
        <v>872</v>
      </c>
      <c r="E20" s="31">
        <f t="shared" si="4"/>
        <v>470</v>
      </c>
      <c r="F20" s="31">
        <f t="shared" si="4"/>
        <v>241</v>
      </c>
      <c r="G20" s="31">
        <f t="shared" si="4"/>
        <v>11</v>
      </c>
      <c r="H20" s="31">
        <f t="shared" si="4"/>
        <v>192002</v>
      </c>
      <c r="I20" s="31">
        <f t="shared" si="4"/>
        <v>2570</v>
      </c>
      <c r="J20" s="31">
        <f t="shared" si="4"/>
        <v>30</v>
      </c>
      <c r="K20" s="31">
        <f t="shared" si="4"/>
        <v>137720</v>
      </c>
      <c r="L20" s="31">
        <f t="shared" si="4"/>
        <v>10474</v>
      </c>
      <c r="M20" s="31">
        <f t="shared" si="4"/>
        <v>111513</v>
      </c>
      <c r="N20" s="31">
        <f t="shared" si="4"/>
        <v>15433</v>
      </c>
      <c r="O20" s="31">
        <f t="shared" si="4"/>
        <v>300</v>
      </c>
      <c r="P20" s="31">
        <f t="shared" si="4"/>
        <v>51682</v>
      </c>
      <c r="Q20" s="31">
        <f t="shared" si="4"/>
        <v>4346</v>
      </c>
      <c r="R20" s="31">
        <f t="shared" si="4"/>
        <v>38730</v>
      </c>
      <c r="S20" s="31">
        <f t="shared" si="4"/>
        <v>7256</v>
      </c>
      <c r="T20" s="31">
        <f t="shared" si="4"/>
        <v>1350</v>
      </c>
      <c r="U20" s="34"/>
      <c r="V20" s="3"/>
    </row>
    <row r="21" spans="1:22" s="62" customFormat="1" x14ac:dyDescent="0.2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"/>
      <c r="V21" s="1"/>
    </row>
  </sheetData>
  <mergeCells count="27">
    <mergeCell ref="A3:A6"/>
    <mergeCell ref="B3:B6"/>
    <mergeCell ref="C4:C6"/>
    <mergeCell ref="A1:T1"/>
    <mergeCell ref="S2:T2"/>
    <mergeCell ref="I5:I6"/>
    <mergeCell ref="J5:J6"/>
    <mergeCell ref="K5:K6"/>
    <mergeCell ref="L5:L6"/>
    <mergeCell ref="M5:M6"/>
    <mergeCell ref="D3:G3"/>
    <mergeCell ref="H3:T3"/>
    <mergeCell ref="E4:G4"/>
    <mergeCell ref="H4:H6"/>
    <mergeCell ref="I4:J4"/>
    <mergeCell ref="K4:O4"/>
    <mergeCell ref="P4:T4"/>
    <mergeCell ref="F5:G5"/>
    <mergeCell ref="N5:N6"/>
    <mergeCell ref="E5:E6"/>
    <mergeCell ref="D5:D6"/>
    <mergeCell ref="T5:T6"/>
    <mergeCell ref="O5:O6"/>
    <mergeCell ref="P5:P6"/>
    <mergeCell ref="Q5:Q6"/>
    <mergeCell ref="R5:R6"/>
    <mergeCell ref="S5:S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workbookViewId="0">
      <selection activeCell="F40" sqref="F40"/>
    </sheetView>
  </sheetViews>
  <sheetFormatPr defaultRowHeight="12" x14ac:dyDescent="0.2"/>
  <cols>
    <col min="1" max="1" width="4.140625" style="1" customWidth="1"/>
    <col min="2" max="2" width="31" style="1" customWidth="1"/>
    <col min="3" max="3" width="9.140625" style="78" customWidth="1"/>
    <col min="4" max="4" width="9.7109375" style="78" customWidth="1"/>
    <col min="5" max="5" width="12.28515625" style="78" customWidth="1"/>
    <col min="6" max="6" width="13.140625" style="78" customWidth="1"/>
    <col min="7" max="7" width="10.5703125" style="78" customWidth="1"/>
    <col min="8" max="8" width="13" style="78" customWidth="1"/>
    <col min="9" max="9" width="10" style="78" customWidth="1"/>
    <col min="10" max="10" width="12.28515625" style="78" customWidth="1"/>
    <col min="11" max="11" width="13.28515625" style="78" customWidth="1"/>
    <col min="12" max="12" width="10.7109375" style="78" customWidth="1"/>
    <col min="13" max="13" width="13.42578125" style="78" customWidth="1"/>
    <col min="14" max="16384" width="9.140625" style="1"/>
  </cols>
  <sheetData>
    <row r="1" spans="1:19" ht="45" customHeight="1" x14ac:dyDescent="0.2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9" x14ac:dyDescent="0.2">
      <c r="M2" s="78" t="s">
        <v>194</v>
      </c>
    </row>
    <row r="3" spans="1:19" s="79" customFormat="1" ht="19.5" customHeight="1" x14ac:dyDescent="0.25">
      <c r="A3" s="395" t="s">
        <v>0</v>
      </c>
      <c r="B3" s="396" t="s">
        <v>174</v>
      </c>
      <c r="C3" s="397" t="s">
        <v>240</v>
      </c>
      <c r="D3" s="398"/>
      <c r="E3" s="398"/>
      <c r="F3" s="398"/>
      <c r="G3" s="398"/>
      <c r="H3" s="398"/>
      <c r="I3" s="398"/>
      <c r="J3" s="398"/>
      <c r="K3" s="398"/>
      <c r="L3" s="398"/>
      <c r="M3" s="399"/>
    </row>
    <row r="4" spans="1:19" s="79" customFormat="1" ht="17.25" customHeight="1" x14ac:dyDescent="0.25">
      <c r="A4" s="395"/>
      <c r="B4" s="396"/>
      <c r="C4" s="360" t="s">
        <v>241</v>
      </c>
      <c r="D4" s="394" t="s">
        <v>242</v>
      </c>
      <c r="E4" s="394"/>
      <c r="F4" s="394"/>
      <c r="G4" s="394"/>
      <c r="H4" s="394"/>
      <c r="I4" s="394"/>
      <c r="J4" s="394"/>
      <c r="K4" s="394"/>
      <c r="L4" s="394"/>
      <c r="M4" s="394"/>
    </row>
    <row r="5" spans="1:19" s="79" customFormat="1" ht="17.25" customHeight="1" x14ac:dyDescent="0.25">
      <c r="A5" s="395"/>
      <c r="B5" s="396"/>
      <c r="C5" s="360"/>
      <c r="D5" s="394" t="s">
        <v>243</v>
      </c>
      <c r="E5" s="394"/>
      <c r="F5" s="394"/>
      <c r="G5" s="394"/>
      <c r="H5" s="394"/>
      <c r="I5" s="394" t="s">
        <v>244</v>
      </c>
      <c r="J5" s="394"/>
      <c r="K5" s="394"/>
      <c r="L5" s="394"/>
      <c r="M5" s="394"/>
    </row>
    <row r="6" spans="1:19" s="79" customFormat="1" ht="39.75" customHeight="1" x14ac:dyDescent="0.25">
      <c r="A6" s="395"/>
      <c r="B6" s="396"/>
      <c r="C6" s="360"/>
      <c r="D6" s="360" t="s">
        <v>245</v>
      </c>
      <c r="E6" s="360" t="s">
        <v>246</v>
      </c>
      <c r="F6" s="360" t="s">
        <v>247</v>
      </c>
      <c r="G6" s="360" t="s">
        <v>186</v>
      </c>
      <c r="H6" s="360" t="s">
        <v>248</v>
      </c>
      <c r="I6" s="360" t="s">
        <v>249</v>
      </c>
      <c r="J6" s="360" t="s">
        <v>246</v>
      </c>
      <c r="K6" s="360" t="s">
        <v>247</v>
      </c>
      <c r="L6" s="360" t="s">
        <v>186</v>
      </c>
      <c r="M6" s="360" t="s">
        <v>248</v>
      </c>
    </row>
    <row r="7" spans="1:19" s="79" customFormat="1" ht="38.25" customHeight="1" x14ac:dyDescent="0.25">
      <c r="A7" s="395"/>
      <c r="B7" s="396"/>
      <c r="C7" s="360"/>
      <c r="D7" s="360"/>
      <c r="E7" s="360"/>
      <c r="F7" s="360"/>
      <c r="G7" s="360"/>
      <c r="H7" s="360"/>
      <c r="I7" s="394"/>
      <c r="J7" s="360"/>
      <c r="K7" s="360"/>
      <c r="L7" s="360"/>
      <c r="M7" s="360"/>
    </row>
    <row r="8" spans="1:19" x14ac:dyDescent="0.2">
      <c r="A8" s="28">
        <v>1</v>
      </c>
      <c r="B8" s="29" t="s">
        <v>81</v>
      </c>
      <c r="C8" s="14">
        <f>D8+I8</f>
        <v>6181</v>
      </c>
      <c r="D8" s="14">
        <f>SUM(E8:H8)</f>
        <v>13</v>
      </c>
      <c r="E8" s="14">
        <v>0</v>
      </c>
      <c r="F8" s="14">
        <f>0+13</f>
        <v>13</v>
      </c>
      <c r="G8" s="14">
        <v>0</v>
      </c>
      <c r="H8" s="14">
        <v>0</v>
      </c>
      <c r="I8" s="14">
        <f>SUM(J8:M8)</f>
        <v>6168</v>
      </c>
      <c r="J8" s="14">
        <v>176</v>
      </c>
      <c r="K8" s="14">
        <v>2436</v>
      </c>
      <c r="L8" s="14">
        <v>3346</v>
      </c>
      <c r="M8" s="14">
        <v>210</v>
      </c>
      <c r="N8" s="34"/>
      <c r="O8" s="34"/>
      <c r="P8" s="34"/>
      <c r="Q8" s="34"/>
      <c r="R8" s="34"/>
      <c r="S8" s="34"/>
    </row>
    <row r="9" spans="1:19" x14ac:dyDescent="0.2">
      <c r="A9" s="28">
        <v>2</v>
      </c>
      <c r="B9" s="35" t="s">
        <v>69</v>
      </c>
      <c r="C9" s="14">
        <f t="shared" ref="C9:C13" si="0">D9+I9</f>
        <v>90</v>
      </c>
      <c r="D9" s="14">
        <f t="shared" ref="D9:D13" si="1">SUM(E9:H9)</f>
        <v>90</v>
      </c>
      <c r="E9" s="14">
        <v>0</v>
      </c>
      <c r="F9" s="14">
        <v>0</v>
      </c>
      <c r="G9" s="14">
        <v>0</v>
      </c>
      <c r="H9" s="14">
        <v>90</v>
      </c>
      <c r="I9" s="14">
        <f t="shared" ref="I9:I13" si="2">SUM(J9:M9)</f>
        <v>0</v>
      </c>
      <c r="J9" s="14">
        <f>94-94</f>
        <v>0</v>
      </c>
      <c r="K9" s="14">
        <f>503-503</f>
        <v>0</v>
      </c>
      <c r="L9" s="14">
        <f>223-223</f>
        <v>0</v>
      </c>
      <c r="M9" s="14">
        <f>709+270-979</f>
        <v>0</v>
      </c>
      <c r="N9" s="34"/>
      <c r="O9" s="34"/>
      <c r="P9" s="34"/>
      <c r="Q9" s="34"/>
      <c r="R9" s="34"/>
      <c r="S9" s="34"/>
    </row>
    <row r="10" spans="1:19" x14ac:dyDescent="0.2">
      <c r="A10" s="28">
        <v>3</v>
      </c>
      <c r="B10" s="29" t="s">
        <v>151</v>
      </c>
      <c r="C10" s="14">
        <f t="shared" si="0"/>
        <v>71452</v>
      </c>
      <c r="D10" s="14">
        <f t="shared" si="1"/>
        <v>5196</v>
      </c>
      <c r="E10" s="14">
        <v>0</v>
      </c>
      <c r="F10" s="14">
        <v>4847</v>
      </c>
      <c r="G10" s="14">
        <v>349</v>
      </c>
      <c r="H10" s="14">
        <v>0</v>
      </c>
      <c r="I10" s="14">
        <f t="shared" si="2"/>
        <v>66256</v>
      </c>
      <c r="J10" s="14">
        <v>0</v>
      </c>
      <c r="K10" s="14">
        <f>61559+1469</f>
        <v>63028</v>
      </c>
      <c r="L10" s="14">
        <v>3228</v>
      </c>
      <c r="M10" s="14">
        <v>0</v>
      </c>
      <c r="N10" s="34"/>
      <c r="O10" s="34"/>
      <c r="P10" s="34"/>
      <c r="Q10" s="34"/>
      <c r="R10" s="34"/>
      <c r="S10" s="34"/>
    </row>
    <row r="11" spans="1:19" x14ac:dyDescent="0.2">
      <c r="A11" s="28">
        <v>4</v>
      </c>
      <c r="B11" s="35" t="s">
        <v>157</v>
      </c>
      <c r="C11" s="14">
        <f t="shared" si="0"/>
        <v>26484</v>
      </c>
      <c r="D11" s="14">
        <f t="shared" si="1"/>
        <v>1365</v>
      </c>
      <c r="E11" s="14">
        <v>610</v>
      </c>
      <c r="F11" s="14">
        <v>668</v>
      </c>
      <c r="G11" s="14">
        <v>87</v>
      </c>
      <c r="H11" s="14">
        <v>0</v>
      </c>
      <c r="I11" s="14">
        <f t="shared" si="2"/>
        <v>25119</v>
      </c>
      <c r="J11" s="14">
        <v>9688</v>
      </c>
      <c r="K11" s="14">
        <v>12142</v>
      </c>
      <c r="L11" s="14">
        <v>3289</v>
      </c>
      <c r="M11" s="14">
        <v>0</v>
      </c>
      <c r="N11" s="34"/>
      <c r="O11" s="34"/>
      <c r="P11" s="34"/>
      <c r="Q11" s="34"/>
      <c r="R11" s="34"/>
      <c r="S11" s="34"/>
    </row>
    <row r="12" spans="1:19" x14ac:dyDescent="0.2">
      <c r="A12" s="28">
        <v>5</v>
      </c>
      <c r="B12" s="80" t="s">
        <v>148</v>
      </c>
      <c r="C12" s="14">
        <f t="shared" si="0"/>
        <v>14840</v>
      </c>
      <c r="D12" s="14">
        <f t="shared" si="1"/>
        <v>1394</v>
      </c>
      <c r="E12" s="14">
        <v>0</v>
      </c>
      <c r="F12" s="14">
        <v>1087</v>
      </c>
      <c r="G12" s="14">
        <v>307</v>
      </c>
      <c r="H12" s="14">
        <v>0</v>
      </c>
      <c r="I12" s="14">
        <f t="shared" si="2"/>
        <v>13446</v>
      </c>
      <c r="J12" s="14">
        <v>0</v>
      </c>
      <c r="K12" s="14">
        <f>8814+1690</f>
        <v>10504</v>
      </c>
      <c r="L12" s="14">
        <v>2942</v>
      </c>
      <c r="M12" s="14">
        <v>0</v>
      </c>
      <c r="N12" s="34"/>
      <c r="O12" s="34"/>
      <c r="P12" s="34"/>
      <c r="Q12" s="34"/>
      <c r="R12" s="34"/>
      <c r="S12" s="34"/>
    </row>
    <row r="13" spans="1:19" x14ac:dyDescent="0.2">
      <c r="A13" s="28">
        <v>6</v>
      </c>
      <c r="B13" s="35" t="s">
        <v>155</v>
      </c>
      <c r="C13" s="14">
        <f t="shared" si="0"/>
        <v>11146</v>
      </c>
      <c r="D13" s="14">
        <f t="shared" si="1"/>
        <v>390</v>
      </c>
      <c r="E13" s="14">
        <v>0</v>
      </c>
      <c r="F13" s="14">
        <v>263</v>
      </c>
      <c r="G13" s="14">
        <v>127</v>
      </c>
      <c r="H13" s="14">
        <v>0</v>
      </c>
      <c r="I13" s="14">
        <f t="shared" si="2"/>
        <v>10756</v>
      </c>
      <c r="J13" s="14">
        <v>0</v>
      </c>
      <c r="K13" s="14">
        <v>8998</v>
      </c>
      <c r="L13" s="14">
        <v>1758</v>
      </c>
      <c r="M13" s="14">
        <v>0</v>
      </c>
      <c r="N13" s="34"/>
      <c r="O13" s="34"/>
      <c r="P13" s="34"/>
      <c r="Q13" s="34"/>
      <c r="R13" s="34"/>
      <c r="S13" s="34"/>
    </row>
    <row r="14" spans="1:19" x14ac:dyDescent="0.2">
      <c r="A14" s="28">
        <v>7</v>
      </c>
      <c r="B14" s="35" t="s">
        <v>61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4"/>
      <c r="O14" s="34"/>
      <c r="P14" s="34"/>
      <c r="Q14" s="34"/>
      <c r="R14" s="34"/>
      <c r="S14" s="34"/>
    </row>
    <row r="15" spans="1:19" x14ac:dyDescent="0.2">
      <c r="A15" s="28">
        <v>8</v>
      </c>
      <c r="B15" s="29" t="s">
        <v>250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4"/>
      <c r="O15" s="34"/>
      <c r="P15" s="34"/>
      <c r="Q15" s="34"/>
      <c r="R15" s="34"/>
      <c r="S15" s="34"/>
    </row>
    <row r="16" spans="1:19" x14ac:dyDescent="0.2">
      <c r="A16" s="28">
        <v>9</v>
      </c>
      <c r="B16" s="29" t="s">
        <v>165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4"/>
      <c r="O16" s="34"/>
      <c r="P16" s="34"/>
      <c r="Q16" s="34"/>
      <c r="R16" s="34"/>
      <c r="S16" s="34"/>
    </row>
    <row r="17" spans="1:19" x14ac:dyDescent="0.2">
      <c r="A17" s="28">
        <v>10</v>
      </c>
      <c r="B17" s="29" t="s">
        <v>108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4"/>
      <c r="O17" s="34"/>
      <c r="P17" s="34"/>
      <c r="Q17" s="34"/>
      <c r="R17" s="34"/>
      <c r="S17" s="34"/>
    </row>
    <row r="18" spans="1:19" x14ac:dyDescent="0.2">
      <c r="A18" s="28">
        <v>11</v>
      </c>
      <c r="B18" s="29" t="s">
        <v>190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4"/>
      <c r="O18" s="34"/>
      <c r="P18" s="34"/>
      <c r="Q18" s="34"/>
      <c r="R18" s="34"/>
      <c r="S18" s="34"/>
    </row>
    <row r="19" spans="1:19" x14ac:dyDescent="0.2">
      <c r="A19" s="28">
        <v>12</v>
      </c>
      <c r="B19" s="29" t="s">
        <v>87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4"/>
      <c r="O19" s="34"/>
      <c r="P19" s="34"/>
      <c r="Q19" s="34"/>
      <c r="R19" s="34"/>
      <c r="S19" s="34"/>
    </row>
    <row r="20" spans="1:19" x14ac:dyDescent="0.2">
      <c r="A20" s="28"/>
      <c r="B20" s="29" t="s">
        <v>66</v>
      </c>
      <c r="C20" s="14">
        <f t="shared" ref="C20" si="3">D20+I20</f>
        <v>7527</v>
      </c>
      <c r="D20" s="14">
        <f t="shared" ref="D20" si="4">SUM(E20:H20)</f>
        <v>3367</v>
      </c>
      <c r="E20" s="14"/>
      <c r="F20" s="14">
        <v>3367</v>
      </c>
      <c r="G20" s="14"/>
      <c r="H20" s="14"/>
      <c r="I20" s="14">
        <f t="shared" ref="I20" si="5">SUM(J20:M20)</f>
        <v>4160</v>
      </c>
      <c r="J20" s="14"/>
      <c r="K20" s="14">
        <f>7355-10-26-3159</f>
        <v>4160</v>
      </c>
      <c r="L20" s="14"/>
      <c r="M20" s="14"/>
      <c r="N20" s="34"/>
      <c r="O20" s="34"/>
      <c r="P20" s="34"/>
      <c r="Q20" s="34"/>
      <c r="R20" s="34"/>
      <c r="S20" s="34"/>
    </row>
    <row r="21" spans="1:19" x14ac:dyDescent="0.2">
      <c r="A21" s="28"/>
      <c r="B21" s="81" t="s">
        <v>192</v>
      </c>
      <c r="C21" s="30">
        <f>C8+C9+C10+C11+C12+C13+C14+C15+C16+C17+C18+C19+C20</f>
        <v>137720</v>
      </c>
      <c r="D21" s="30">
        <f t="shared" ref="D21:M21" si="6">D8+D9+D10+D11+D12+D13+D14+D15+D16+D17+D18+D19+D20</f>
        <v>11815</v>
      </c>
      <c r="E21" s="30">
        <f t="shared" si="6"/>
        <v>610</v>
      </c>
      <c r="F21" s="30">
        <f t="shared" si="6"/>
        <v>10245</v>
      </c>
      <c r="G21" s="30">
        <f t="shared" si="6"/>
        <v>870</v>
      </c>
      <c r="H21" s="30">
        <f t="shared" si="6"/>
        <v>90</v>
      </c>
      <c r="I21" s="30">
        <f t="shared" si="6"/>
        <v>125905</v>
      </c>
      <c r="J21" s="30">
        <f t="shared" si="6"/>
        <v>9864</v>
      </c>
      <c r="K21" s="30">
        <f t="shared" si="6"/>
        <v>101268</v>
      </c>
      <c r="L21" s="30">
        <f t="shared" si="6"/>
        <v>14563</v>
      </c>
      <c r="M21" s="30">
        <f t="shared" si="6"/>
        <v>210</v>
      </c>
      <c r="N21" s="34"/>
      <c r="O21" s="34"/>
      <c r="P21" s="34"/>
      <c r="Q21" s="34"/>
      <c r="R21" s="34"/>
      <c r="S21" s="34"/>
    </row>
    <row r="22" spans="1:19" x14ac:dyDescent="0.2">
      <c r="O22" s="34"/>
      <c r="P22" s="34"/>
      <c r="Q22" s="34"/>
      <c r="R22" s="34"/>
      <c r="S22" s="34"/>
    </row>
  </sheetData>
  <mergeCells count="18">
    <mergeCell ref="G6:G7"/>
    <mergeCell ref="H6:H7"/>
    <mergeCell ref="I6:I7"/>
    <mergeCell ref="J6:J7"/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41" sqref="G41"/>
    </sheetView>
  </sheetViews>
  <sheetFormatPr defaultRowHeight="12" x14ac:dyDescent="0.2"/>
  <cols>
    <col min="1" max="1" width="4.7109375" style="183" customWidth="1"/>
    <col min="2" max="2" width="27.5703125" style="183" customWidth="1"/>
    <col min="3" max="3" width="10" style="258" customWidth="1"/>
    <col min="4" max="4" width="10.42578125" style="258" customWidth="1"/>
    <col min="5" max="6" width="14" style="258" customWidth="1"/>
    <col min="7" max="7" width="11.5703125" style="258" customWidth="1"/>
    <col min="8" max="8" width="14.5703125" style="258" customWidth="1"/>
    <col min="9" max="9" width="9.42578125" style="258" customWidth="1"/>
    <col min="10" max="10" width="14.140625" style="258" customWidth="1"/>
    <col min="11" max="11" width="15" style="258" customWidth="1"/>
    <col min="12" max="12" width="11.5703125" style="258" customWidth="1"/>
    <col min="13" max="13" width="15" style="258" customWidth="1"/>
    <col min="14" max="16384" width="9.140625" style="183"/>
  </cols>
  <sheetData>
    <row r="1" spans="1:13" s="257" customFormat="1" ht="18.75" x14ac:dyDescent="0.3">
      <c r="A1" s="402" t="s">
        <v>510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x14ac:dyDescent="0.2">
      <c r="M2" s="258" t="s">
        <v>194</v>
      </c>
    </row>
    <row r="3" spans="1:13" x14ac:dyDescent="0.2">
      <c r="A3" s="403" t="s">
        <v>0</v>
      </c>
      <c r="B3" s="404" t="s">
        <v>174</v>
      </c>
      <c r="C3" s="401" t="s">
        <v>511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x14ac:dyDescent="0.2">
      <c r="A4" s="403"/>
      <c r="B4" s="404"/>
      <c r="C4" s="400" t="s">
        <v>512</v>
      </c>
      <c r="D4" s="401" t="s">
        <v>242</v>
      </c>
      <c r="E4" s="401"/>
      <c r="F4" s="401"/>
      <c r="G4" s="401"/>
      <c r="H4" s="401"/>
      <c r="I4" s="401"/>
      <c r="J4" s="401"/>
      <c r="K4" s="401"/>
      <c r="L4" s="401"/>
      <c r="M4" s="401"/>
    </row>
    <row r="5" spans="1:13" x14ac:dyDescent="0.2">
      <c r="A5" s="403"/>
      <c r="B5" s="404"/>
      <c r="C5" s="400"/>
      <c r="D5" s="401" t="s">
        <v>243</v>
      </c>
      <c r="E5" s="401"/>
      <c r="F5" s="401"/>
      <c r="G5" s="401"/>
      <c r="H5" s="401"/>
      <c r="I5" s="401" t="s">
        <v>244</v>
      </c>
      <c r="J5" s="401"/>
      <c r="K5" s="401"/>
      <c r="L5" s="401"/>
      <c r="M5" s="401"/>
    </row>
    <row r="6" spans="1:13" x14ac:dyDescent="0.2">
      <c r="A6" s="403"/>
      <c r="B6" s="404"/>
      <c r="C6" s="400"/>
      <c r="D6" s="400" t="s">
        <v>245</v>
      </c>
      <c r="E6" s="400" t="s">
        <v>246</v>
      </c>
      <c r="F6" s="400" t="s">
        <v>247</v>
      </c>
      <c r="G6" s="400" t="s">
        <v>186</v>
      </c>
      <c r="H6" s="400" t="s">
        <v>248</v>
      </c>
      <c r="I6" s="400" t="s">
        <v>249</v>
      </c>
      <c r="J6" s="400" t="s">
        <v>246</v>
      </c>
      <c r="K6" s="400" t="s">
        <v>247</v>
      </c>
      <c r="L6" s="400" t="s">
        <v>186</v>
      </c>
      <c r="M6" s="400" t="s">
        <v>187</v>
      </c>
    </row>
    <row r="7" spans="1:13" x14ac:dyDescent="0.2">
      <c r="A7" s="403"/>
      <c r="B7" s="404"/>
      <c r="C7" s="400"/>
      <c r="D7" s="400"/>
      <c r="E7" s="400"/>
      <c r="F7" s="400"/>
      <c r="G7" s="400"/>
      <c r="H7" s="400"/>
      <c r="I7" s="401"/>
      <c r="J7" s="400"/>
      <c r="K7" s="400"/>
      <c r="L7" s="400"/>
      <c r="M7" s="400"/>
    </row>
    <row r="8" spans="1:13" x14ac:dyDescent="0.2">
      <c r="A8" s="259">
        <v>1</v>
      </c>
      <c r="B8" s="260" t="s">
        <v>81</v>
      </c>
      <c r="C8" s="187">
        <f>D8+I8</f>
        <v>3441</v>
      </c>
      <c r="D8" s="187">
        <f>SUM(E8:H8)</f>
        <v>2319</v>
      </c>
      <c r="E8" s="187">
        <v>67</v>
      </c>
      <c r="F8" s="187">
        <f>923+55</f>
        <v>978</v>
      </c>
      <c r="G8" s="187">
        <v>1274</v>
      </c>
      <c r="H8" s="187">
        <v>0</v>
      </c>
      <c r="I8" s="187">
        <f>SUM(J8:M8)</f>
        <v>1122</v>
      </c>
      <c r="J8" s="187">
        <v>25</v>
      </c>
      <c r="K8" s="187">
        <f>516+58+46</f>
        <v>620</v>
      </c>
      <c r="L8" s="187">
        <v>477</v>
      </c>
      <c r="M8" s="187">
        <v>0</v>
      </c>
    </row>
    <row r="9" spans="1:13" x14ac:dyDescent="0.2">
      <c r="A9" s="259">
        <v>2</v>
      </c>
      <c r="B9" s="261" t="s">
        <v>69</v>
      </c>
      <c r="C9" s="187">
        <f t="shared" ref="C9:C13" si="0">D9+I9</f>
        <v>2598</v>
      </c>
      <c r="D9" s="187">
        <f t="shared" ref="D9:D13" si="1">SUM(E9:H9)</f>
        <v>582</v>
      </c>
      <c r="E9" s="187">
        <v>36</v>
      </c>
      <c r="F9" s="187">
        <v>192</v>
      </c>
      <c r="G9" s="187">
        <v>84</v>
      </c>
      <c r="H9" s="187">
        <v>270</v>
      </c>
      <c r="I9" s="187">
        <f t="shared" ref="I9:I13" si="2">SUM(J9:M9)</f>
        <v>2016</v>
      </c>
      <c r="J9" s="187">
        <f>13+94</f>
        <v>107</v>
      </c>
      <c r="K9" s="187">
        <f>71+503</f>
        <v>574</v>
      </c>
      <c r="L9" s="187">
        <f>32+223</f>
        <v>255</v>
      </c>
      <c r="M9" s="187">
        <f>101+979</f>
        <v>1080</v>
      </c>
    </row>
    <row r="10" spans="1:13" x14ac:dyDescent="0.2">
      <c r="A10" s="259">
        <v>3</v>
      </c>
      <c r="B10" s="260" t="s">
        <v>151</v>
      </c>
      <c r="C10" s="187">
        <f t="shared" si="0"/>
        <v>24510</v>
      </c>
      <c r="D10" s="187">
        <f t="shared" si="1"/>
        <v>17906</v>
      </c>
      <c r="E10" s="187">
        <v>0</v>
      </c>
      <c r="F10" s="187">
        <f>16838-32</f>
        <v>16806</v>
      </c>
      <c r="G10" s="187">
        <v>1100</v>
      </c>
      <c r="H10" s="187">
        <v>0</v>
      </c>
      <c r="I10" s="187">
        <f t="shared" si="2"/>
        <v>6604</v>
      </c>
      <c r="J10" s="187">
        <v>0</v>
      </c>
      <c r="K10" s="187">
        <f>6241-18-30</f>
        <v>6193</v>
      </c>
      <c r="L10" s="187">
        <v>411</v>
      </c>
      <c r="M10" s="187">
        <v>0</v>
      </c>
    </row>
    <row r="11" spans="1:13" x14ac:dyDescent="0.2">
      <c r="A11" s="259">
        <v>4</v>
      </c>
      <c r="B11" s="261" t="s">
        <v>157</v>
      </c>
      <c r="C11" s="187">
        <f t="shared" si="0"/>
        <v>10970</v>
      </c>
      <c r="D11" s="187">
        <f t="shared" si="1"/>
        <v>8000</v>
      </c>
      <c r="E11" s="187">
        <v>2992</v>
      </c>
      <c r="F11" s="187">
        <f>3861-6</f>
        <v>3855</v>
      </c>
      <c r="G11" s="187">
        <v>1153</v>
      </c>
      <c r="H11" s="187">
        <v>0</v>
      </c>
      <c r="I11" s="187">
        <f t="shared" si="2"/>
        <v>2970</v>
      </c>
      <c r="J11" s="187">
        <v>1119</v>
      </c>
      <c r="K11" s="187">
        <f>1437-10-7</f>
        <v>1420</v>
      </c>
      <c r="L11" s="187">
        <v>431</v>
      </c>
      <c r="M11" s="187">
        <v>0</v>
      </c>
    </row>
    <row r="12" spans="1:13" x14ac:dyDescent="0.2">
      <c r="A12" s="259">
        <v>5</v>
      </c>
      <c r="B12" s="262" t="s">
        <v>148</v>
      </c>
      <c r="C12" s="187">
        <f t="shared" si="0"/>
        <v>4079</v>
      </c>
      <c r="D12" s="187">
        <f t="shared" si="1"/>
        <v>2979</v>
      </c>
      <c r="E12" s="187">
        <v>0</v>
      </c>
      <c r="F12" s="187">
        <f>1997-2</f>
        <v>1995</v>
      </c>
      <c r="G12" s="187">
        <v>984</v>
      </c>
      <c r="H12" s="187">
        <v>0</v>
      </c>
      <c r="I12" s="187">
        <f t="shared" si="2"/>
        <v>1100</v>
      </c>
      <c r="J12" s="187">
        <v>0</v>
      </c>
      <c r="K12" s="187">
        <f>734-1</f>
        <v>733</v>
      </c>
      <c r="L12" s="187">
        <v>367</v>
      </c>
      <c r="M12" s="187">
        <v>0</v>
      </c>
    </row>
    <row r="13" spans="1:13" x14ac:dyDescent="0.2">
      <c r="A13" s="259">
        <v>6</v>
      </c>
      <c r="B13" s="261" t="s">
        <v>155</v>
      </c>
      <c r="C13" s="187">
        <f t="shared" si="0"/>
        <v>6084</v>
      </c>
      <c r="D13" s="187">
        <f t="shared" si="1"/>
        <v>4494</v>
      </c>
      <c r="E13" s="187">
        <v>0</v>
      </c>
      <c r="F13" s="187">
        <v>3970</v>
      </c>
      <c r="G13" s="187">
        <v>524</v>
      </c>
      <c r="H13" s="187">
        <v>0</v>
      </c>
      <c r="I13" s="187">
        <f t="shared" si="2"/>
        <v>1590</v>
      </c>
      <c r="J13" s="187">
        <v>0</v>
      </c>
      <c r="K13" s="187">
        <f>1422-19-9</f>
        <v>1394</v>
      </c>
      <c r="L13" s="187">
        <v>196</v>
      </c>
      <c r="M13" s="187">
        <v>0</v>
      </c>
    </row>
    <row r="14" spans="1:13" x14ac:dyDescent="0.2">
      <c r="A14" s="259">
        <v>7</v>
      </c>
      <c r="B14" s="261" t="s">
        <v>61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x14ac:dyDescent="0.2">
      <c r="A15" s="259">
        <v>8</v>
      </c>
      <c r="B15" s="261" t="s">
        <v>70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x14ac:dyDescent="0.2">
      <c r="A16" s="259">
        <v>9</v>
      </c>
      <c r="B16" s="261" t="s">
        <v>115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13" x14ac:dyDescent="0.2">
      <c r="A17" s="259">
        <v>10</v>
      </c>
      <c r="B17" s="261" t="s">
        <v>71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x14ac:dyDescent="0.2">
      <c r="A18" s="259">
        <v>11</v>
      </c>
      <c r="B18" s="261" t="s">
        <v>190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x14ac:dyDescent="0.2">
      <c r="A19" s="259">
        <v>12</v>
      </c>
      <c r="B19" s="260" t="s">
        <v>191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1:13" x14ac:dyDescent="0.2">
      <c r="A20" s="259"/>
      <c r="B20" s="263" t="s">
        <v>192</v>
      </c>
      <c r="C20" s="264">
        <f>SUM(C8:C19)</f>
        <v>51682</v>
      </c>
      <c r="D20" s="264">
        <f t="shared" ref="D20:M20" si="3">SUM(D8:D19)</f>
        <v>36280</v>
      </c>
      <c r="E20" s="264">
        <f t="shared" si="3"/>
        <v>3095</v>
      </c>
      <c r="F20" s="264">
        <f t="shared" si="3"/>
        <v>27796</v>
      </c>
      <c r="G20" s="264">
        <f t="shared" si="3"/>
        <v>5119</v>
      </c>
      <c r="H20" s="264">
        <f t="shared" si="3"/>
        <v>270</v>
      </c>
      <c r="I20" s="264">
        <f t="shared" si="3"/>
        <v>15402</v>
      </c>
      <c r="J20" s="264">
        <f t="shared" si="3"/>
        <v>1251</v>
      </c>
      <c r="K20" s="264">
        <f t="shared" si="3"/>
        <v>10934</v>
      </c>
      <c r="L20" s="264">
        <f t="shared" si="3"/>
        <v>2137</v>
      </c>
      <c r="M20" s="264">
        <f t="shared" si="3"/>
        <v>1080</v>
      </c>
    </row>
  </sheetData>
  <mergeCells count="18">
    <mergeCell ref="F6:F7"/>
    <mergeCell ref="G6:G7"/>
    <mergeCell ref="H6:H7"/>
    <mergeCell ref="I6:I7"/>
    <mergeCell ref="J6:J7"/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pane xSplit="2" ySplit="4" topLeftCell="E26" activePane="bottomRight" state="frozen"/>
      <selection pane="topRight" activeCell="C1" sqref="C1"/>
      <selection pane="bottomLeft" activeCell="A5" sqref="A5"/>
      <selection pane="bottomRight" activeCell="E62" sqref="E62"/>
    </sheetView>
  </sheetViews>
  <sheetFormatPr defaultRowHeight="12" x14ac:dyDescent="0.2"/>
  <cols>
    <col min="1" max="1" width="4.42578125" style="25" customWidth="1"/>
    <col min="2" max="2" width="30.85546875" style="1" customWidth="1"/>
    <col min="3" max="3" width="9.140625" style="23" customWidth="1"/>
    <col min="4" max="4" width="7.140625" style="23" customWidth="1"/>
    <col min="5" max="5" width="8.42578125" style="23" customWidth="1"/>
    <col min="6" max="6" width="8.85546875" style="23" customWidth="1"/>
    <col min="7" max="7" width="8.42578125" style="23" customWidth="1"/>
    <col min="8" max="8" width="6.7109375" style="23" customWidth="1"/>
    <col min="9" max="10" width="8.42578125" style="23" customWidth="1"/>
    <col min="11" max="11" width="8.140625" style="23" customWidth="1"/>
    <col min="12" max="12" width="7.28515625" style="23" customWidth="1"/>
    <col min="13" max="13" width="8.85546875" style="23" customWidth="1"/>
    <col min="14" max="14" width="8.140625" style="23" customWidth="1"/>
    <col min="15" max="15" width="10.5703125" style="23" customWidth="1"/>
    <col min="16" max="16" width="7.5703125" style="23" customWidth="1"/>
    <col min="17" max="17" width="7.28515625" style="23" customWidth="1"/>
    <col min="18" max="18" width="8.140625" style="23" customWidth="1"/>
    <col min="19" max="19" width="9.28515625" style="25" customWidth="1"/>
    <col min="20" max="20" width="9.5703125" style="1" bestFit="1" customWidth="1"/>
    <col min="21" max="21" width="11.85546875" style="1" customWidth="1"/>
    <col min="22" max="16384" width="9.140625" style="1"/>
  </cols>
  <sheetData>
    <row r="1" spans="1:20" ht="18.75" x14ac:dyDescent="0.2">
      <c r="A1" s="353" t="s">
        <v>193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20" x14ac:dyDescent="0.2">
      <c r="S2" s="23" t="s">
        <v>194</v>
      </c>
    </row>
    <row r="3" spans="1:20" s="38" customFormat="1" x14ac:dyDescent="0.25">
      <c r="A3" s="405" t="s">
        <v>0</v>
      </c>
      <c r="B3" s="405" t="s">
        <v>53</v>
      </c>
      <c r="C3" s="357" t="s">
        <v>195</v>
      </c>
      <c r="D3" s="407"/>
      <c r="E3" s="407"/>
      <c r="F3" s="408"/>
      <c r="G3" s="357" t="s">
        <v>196</v>
      </c>
      <c r="H3" s="407"/>
      <c r="I3" s="407"/>
      <c r="J3" s="408"/>
      <c r="K3" s="357" t="s">
        <v>197</v>
      </c>
      <c r="L3" s="407"/>
      <c r="M3" s="408"/>
      <c r="N3" s="363" t="s">
        <v>198</v>
      </c>
      <c r="O3" s="363" t="s">
        <v>199</v>
      </c>
      <c r="P3" s="410" t="s">
        <v>200</v>
      </c>
      <c r="Q3" s="411"/>
      <c r="R3" s="412"/>
      <c r="S3" s="405" t="s">
        <v>67</v>
      </c>
    </row>
    <row r="4" spans="1:20" s="38" customFormat="1" ht="24" x14ac:dyDescent="0.25">
      <c r="A4" s="406"/>
      <c r="B4" s="406"/>
      <c r="C4" s="14" t="s">
        <v>201</v>
      </c>
      <c r="D4" s="14" t="s">
        <v>202</v>
      </c>
      <c r="E4" s="59" t="s">
        <v>203</v>
      </c>
      <c r="F4" s="59" t="s">
        <v>68</v>
      </c>
      <c r="G4" s="14" t="s">
        <v>201</v>
      </c>
      <c r="H4" s="14" t="s">
        <v>202</v>
      </c>
      <c r="I4" s="59" t="s">
        <v>203</v>
      </c>
      <c r="J4" s="59" t="s">
        <v>68</v>
      </c>
      <c r="K4" s="39" t="s">
        <v>204</v>
      </c>
      <c r="L4" s="59" t="s">
        <v>205</v>
      </c>
      <c r="M4" s="59" t="s">
        <v>68</v>
      </c>
      <c r="N4" s="409"/>
      <c r="O4" s="409"/>
      <c r="P4" s="40" t="s">
        <v>206</v>
      </c>
      <c r="Q4" s="40" t="s">
        <v>207</v>
      </c>
      <c r="R4" s="59" t="s">
        <v>68</v>
      </c>
      <c r="S4" s="406"/>
    </row>
    <row r="5" spans="1:20" x14ac:dyDescent="0.2">
      <c r="A5" s="15">
        <v>1</v>
      </c>
      <c r="B5" s="41" t="s">
        <v>28</v>
      </c>
      <c r="C5" s="42">
        <v>1605</v>
      </c>
      <c r="D5" s="42">
        <v>198</v>
      </c>
      <c r="E5" s="42"/>
      <c r="F5" s="6">
        <f t="shared" ref="F5:F30" si="0">C5+D5+E5</f>
        <v>1803</v>
      </c>
      <c r="G5" s="6"/>
      <c r="H5" s="6"/>
      <c r="I5" s="6"/>
      <c r="J5" s="6">
        <f>G5+H5+I5</f>
        <v>0</v>
      </c>
      <c r="K5" s="6"/>
      <c r="L5" s="6"/>
      <c r="M5" s="6"/>
      <c r="N5" s="6"/>
      <c r="O5" s="6"/>
      <c r="P5" s="6"/>
      <c r="Q5" s="6"/>
      <c r="R5" s="6">
        <f>P5+Q5</f>
        <v>0</v>
      </c>
      <c r="S5" s="6">
        <f>F5+J5+M5+N5+O5+R5</f>
        <v>1803</v>
      </c>
      <c r="T5" s="3"/>
    </row>
    <row r="6" spans="1:20" x14ac:dyDescent="0.2">
      <c r="A6" s="15">
        <v>2</v>
      </c>
      <c r="B6" s="41" t="s">
        <v>13</v>
      </c>
      <c r="C6" s="42">
        <v>2625</v>
      </c>
      <c r="D6" s="42"/>
      <c r="E6" s="42">
        <v>102</v>
      </c>
      <c r="F6" s="6">
        <f t="shared" si="0"/>
        <v>2727</v>
      </c>
      <c r="G6" s="6"/>
      <c r="H6" s="6"/>
      <c r="I6" s="6"/>
      <c r="J6" s="6">
        <f t="shared" ref="J6:J53" si="1">G6+H6+I6</f>
        <v>0</v>
      </c>
      <c r="K6" s="6"/>
      <c r="L6" s="6"/>
      <c r="M6" s="6"/>
      <c r="N6" s="6"/>
      <c r="O6" s="6"/>
      <c r="P6" s="6">
        <f>2200-200</f>
        <v>2000</v>
      </c>
      <c r="Q6" s="6">
        <f>2200-400</f>
        <v>1800</v>
      </c>
      <c r="R6" s="6">
        <f t="shared" ref="R6:R53" si="2">P6+Q6</f>
        <v>3800</v>
      </c>
      <c r="S6" s="6">
        <f t="shared" ref="S6:S53" si="3">F6+J6+M6+N6+O6+R6</f>
        <v>6527</v>
      </c>
      <c r="T6" s="3"/>
    </row>
    <row r="7" spans="1:20" x14ac:dyDescent="0.2">
      <c r="A7" s="15">
        <v>3</v>
      </c>
      <c r="B7" s="43" t="s">
        <v>14</v>
      </c>
      <c r="C7" s="42">
        <v>397</v>
      </c>
      <c r="D7" s="42">
        <v>33</v>
      </c>
      <c r="E7" s="42"/>
      <c r="F7" s="6">
        <f t="shared" si="0"/>
        <v>430</v>
      </c>
      <c r="G7" s="6"/>
      <c r="H7" s="6"/>
      <c r="I7" s="6"/>
      <c r="J7" s="6">
        <f t="shared" si="1"/>
        <v>0</v>
      </c>
      <c r="K7" s="6"/>
      <c r="L7" s="6"/>
      <c r="M7" s="6"/>
      <c r="N7" s="6"/>
      <c r="O7" s="6"/>
      <c r="P7" s="6"/>
      <c r="Q7" s="6"/>
      <c r="R7" s="6">
        <f t="shared" si="2"/>
        <v>0</v>
      </c>
      <c r="S7" s="6">
        <f t="shared" si="3"/>
        <v>430</v>
      </c>
      <c r="T7" s="3"/>
    </row>
    <row r="8" spans="1:20" x14ac:dyDescent="0.2">
      <c r="A8" s="15">
        <v>4</v>
      </c>
      <c r="B8" s="41" t="s">
        <v>1</v>
      </c>
      <c r="C8" s="42">
        <v>2000</v>
      </c>
      <c r="D8" s="42"/>
      <c r="E8" s="42">
        <v>157</v>
      </c>
      <c r="F8" s="6">
        <f t="shared" si="0"/>
        <v>2157</v>
      </c>
      <c r="G8" s="6"/>
      <c r="H8" s="6"/>
      <c r="I8" s="6"/>
      <c r="J8" s="6">
        <f t="shared" si="1"/>
        <v>0</v>
      </c>
      <c r="K8" s="6"/>
      <c r="L8" s="6"/>
      <c r="M8" s="6"/>
      <c r="N8" s="6"/>
      <c r="O8" s="6"/>
      <c r="P8" s="6">
        <f>1300-250</f>
        <v>1050</v>
      </c>
      <c r="Q8" s="6">
        <f>1300-300</f>
        <v>1000</v>
      </c>
      <c r="R8" s="6">
        <f t="shared" si="2"/>
        <v>2050</v>
      </c>
      <c r="S8" s="6">
        <f t="shared" si="3"/>
        <v>4207</v>
      </c>
      <c r="T8" s="3"/>
    </row>
    <row r="9" spans="1:20" x14ac:dyDescent="0.2">
      <c r="A9" s="15">
        <v>5</v>
      </c>
      <c r="B9" s="41" t="s">
        <v>2</v>
      </c>
      <c r="C9" s="42">
        <v>1610</v>
      </c>
      <c r="D9" s="42"/>
      <c r="E9" s="42">
        <v>193</v>
      </c>
      <c r="F9" s="6">
        <f t="shared" si="0"/>
        <v>1803</v>
      </c>
      <c r="G9" s="6"/>
      <c r="H9" s="6"/>
      <c r="I9" s="6"/>
      <c r="J9" s="6">
        <f t="shared" si="1"/>
        <v>0</v>
      </c>
      <c r="K9" s="6"/>
      <c r="L9" s="6"/>
      <c r="M9" s="6"/>
      <c r="N9" s="6"/>
      <c r="O9" s="6"/>
      <c r="P9" s="6"/>
      <c r="Q9" s="6"/>
      <c r="R9" s="6">
        <f t="shared" si="2"/>
        <v>0</v>
      </c>
      <c r="S9" s="6">
        <f t="shared" si="3"/>
        <v>1803</v>
      </c>
      <c r="T9" s="3"/>
    </row>
    <row r="10" spans="1:20" x14ac:dyDescent="0.2">
      <c r="A10" s="15">
        <v>6</v>
      </c>
      <c r="B10" s="41" t="s">
        <v>190</v>
      </c>
      <c r="C10" s="42">
        <f>2200+400</f>
        <v>2600</v>
      </c>
      <c r="D10" s="42"/>
      <c r="E10" s="42">
        <f>230-193</f>
        <v>37</v>
      </c>
      <c r="F10" s="6">
        <f t="shared" si="0"/>
        <v>2637</v>
      </c>
      <c r="G10" s="6"/>
      <c r="H10" s="6"/>
      <c r="I10" s="6"/>
      <c r="J10" s="6">
        <f t="shared" si="1"/>
        <v>0</v>
      </c>
      <c r="K10" s="6"/>
      <c r="L10" s="6"/>
      <c r="M10" s="6"/>
      <c r="N10" s="6"/>
      <c r="O10" s="6"/>
      <c r="P10" s="6">
        <v>2500</v>
      </c>
      <c r="Q10" s="6">
        <v>2500</v>
      </c>
      <c r="R10" s="6">
        <f t="shared" si="2"/>
        <v>5000</v>
      </c>
      <c r="S10" s="6">
        <f t="shared" si="3"/>
        <v>7637</v>
      </c>
      <c r="T10" s="3"/>
    </row>
    <row r="11" spans="1:20" x14ac:dyDescent="0.2">
      <c r="A11" s="15">
        <v>7</v>
      </c>
      <c r="B11" s="41" t="s">
        <v>47</v>
      </c>
      <c r="C11" s="42">
        <v>900</v>
      </c>
      <c r="D11" s="42">
        <v>400</v>
      </c>
      <c r="E11" s="42"/>
      <c r="F11" s="6">
        <f t="shared" si="0"/>
        <v>1300</v>
      </c>
      <c r="G11" s="6"/>
      <c r="H11" s="6"/>
      <c r="I11" s="6"/>
      <c r="J11" s="6">
        <f t="shared" si="1"/>
        <v>0</v>
      </c>
      <c r="K11" s="6"/>
      <c r="L11" s="6"/>
      <c r="M11" s="6"/>
      <c r="N11" s="6"/>
      <c r="O11" s="6"/>
      <c r="P11" s="6">
        <f>1100-150</f>
        <v>950</v>
      </c>
      <c r="Q11" s="6">
        <f>1100-150</f>
        <v>950</v>
      </c>
      <c r="R11" s="6">
        <f t="shared" si="2"/>
        <v>1900</v>
      </c>
      <c r="S11" s="6">
        <f t="shared" si="3"/>
        <v>3200</v>
      </c>
      <c r="T11" s="3"/>
    </row>
    <row r="12" spans="1:20" x14ac:dyDescent="0.2">
      <c r="A12" s="15">
        <v>8</v>
      </c>
      <c r="B12" s="41" t="s">
        <v>208</v>
      </c>
      <c r="C12" s="42">
        <v>364</v>
      </c>
      <c r="D12" s="42"/>
      <c r="E12" s="42"/>
      <c r="F12" s="6">
        <f t="shared" si="0"/>
        <v>364</v>
      </c>
      <c r="G12" s="6"/>
      <c r="H12" s="6"/>
      <c r="I12" s="6"/>
      <c r="J12" s="6">
        <f t="shared" si="1"/>
        <v>0</v>
      </c>
      <c r="K12" s="6"/>
      <c r="L12" s="6"/>
      <c r="M12" s="6"/>
      <c r="N12" s="6"/>
      <c r="O12" s="6"/>
      <c r="P12" s="6"/>
      <c r="Q12" s="6"/>
      <c r="R12" s="6">
        <f t="shared" si="2"/>
        <v>0</v>
      </c>
      <c r="S12" s="6">
        <f t="shared" si="3"/>
        <v>364</v>
      </c>
      <c r="T12" s="3"/>
    </row>
    <row r="13" spans="1:20" x14ac:dyDescent="0.2">
      <c r="A13" s="15">
        <v>9</v>
      </c>
      <c r="B13" s="41" t="s">
        <v>72</v>
      </c>
      <c r="C13" s="42">
        <v>1500</v>
      </c>
      <c r="D13" s="42">
        <v>100</v>
      </c>
      <c r="E13" s="42">
        <v>100</v>
      </c>
      <c r="F13" s="6">
        <f t="shared" si="0"/>
        <v>1700</v>
      </c>
      <c r="G13" s="6"/>
      <c r="H13" s="6"/>
      <c r="I13" s="6"/>
      <c r="J13" s="6">
        <f t="shared" si="1"/>
        <v>0</v>
      </c>
      <c r="K13" s="6"/>
      <c r="L13" s="6"/>
      <c r="M13" s="6"/>
      <c r="N13" s="6"/>
      <c r="O13" s="6"/>
      <c r="P13" s="6">
        <f>2000-400</f>
        <v>1600</v>
      </c>
      <c r="Q13" s="6">
        <f>2000-400</f>
        <v>1600</v>
      </c>
      <c r="R13" s="6">
        <f t="shared" si="2"/>
        <v>3200</v>
      </c>
      <c r="S13" s="6">
        <f t="shared" si="3"/>
        <v>4900</v>
      </c>
      <c r="T13" s="3"/>
    </row>
    <row r="14" spans="1:20" x14ac:dyDescent="0.2">
      <c r="A14" s="15">
        <v>10</v>
      </c>
      <c r="B14" s="44" t="s">
        <v>209</v>
      </c>
      <c r="C14" s="42"/>
      <c r="D14" s="42"/>
      <c r="E14" s="42"/>
      <c r="F14" s="6">
        <f t="shared" si="0"/>
        <v>0</v>
      </c>
      <c r="G14" s="6">
        <f>625+100</f>
        <v>725</v>
      </c>
      <c r="H14" s="6"/>
      <c r="I14" s="6"/>
      <c r="J14" s="6">
        <f t="shared" si="1"/>
        <v>725</v>
      </c>
      <c r="K14" s="6"/>
      <c r="L14" s="6"/>
      <c r="M14" s="6"/>
      <c r="N14" s="6"/>
      <c r="O14" s="6"/>
      <c r="P14" s="6"/>
      <c r="Q14" s="6"/>
      <c r="R14" s="6">
        <f t="shared" si="2"/>
        <v>0</v>
      </c>
      <c r="S14" s="6">
        <f t="shared" si="3"/>
        <v>725</v>
      </c>
      <c r="T14" s="3"/>
    </row>
    <row r="15" spans="1:20" x14ac:dyDescent="0.2">
      <c r="A15" s="15">
        <v>11</v>
      </c>
      <c r="B15" s="41" t="s">
        <v>12</v>
      </c>
      <c r="C15" s="42">
        <v>1650</v>
      </c>
      <c r="D15" s="42">
        <v>125</v>
      </c>
      <c r="E15" s="42">
        <v>30</v>
      </c>
      <c r="F15" s="6">
        <f t="shared" si="0"/>
        <v>1805</v>
      </c>
      <c r="G15" s="6"/>
      <c r="H15" s="6"/>
      <c r="I15" s="6"/>
      <c r="J15" s="6">
        <f t="shared" si="1"/>
        <v>0</v>
      </c>
      <c r="K15" s="6"/>
      <c r="L15" s="6"/>
      <c r="M15" s="6"/>
      <c r="N15" s="6"/>
      <c r="O15" s="6"/>
      <c r="P15" s="6"/>
      <c r="Q15" s="6"/>
      <c r="R15" s="6">
        <f t="shared" si="2"/>
        <v>0</v>
      </c>
      <c r="S15" s="6">
        <f t="shared" si="3"/>
        <v>1805</v>
      </c>
      <c r="T15" s="3"/>
    </row>
    <row r="16" spans="1:20" x14ac:dyDescent="0.2">
      <c r="A16" s="15">
        <v>12</v>
      </c>
      <c r="B16" s="41" t="s">
        <v>191</v>
      </c>
      <c r="C16" s="42">
        <f>3200+180</f>
        <v>3380</v>
      </c>
      <c r="D16" s="42">
        <f>260-130</f>
        <v>130</v>
      </c>
      <c r="E16" s="42">
        <f>100-50</f>
        <v>50</v>
      </c>
      <c r="F16" s="6">
        <f t="shared" si="0"/>
        <v>3560</v>
      </c>
      <c r="G16" s="6">
        <v>1440</v>
      </c>
      <c r="H16" s="6">
        <v>100</v>
      </c>
      <c r="I16" s="6"/>
      <c r="J16" s="6">
        <f t="shared" si="1"/>
        <v>1540</v>
      </c>
      <c r="K16" s="6"/>
      <c r="L16" s="6"/>
      <c r="M16" s="6"/>
      <c r="N16" s="6">
        <v>6000</v>
      </c>
      <c r="O16" s="6"/>
      <c r="P16" s="6"/>
      <c r="Q16" s="6"/>
      <c r="R16" s="6">
        <f t="shared" si="2"/>
        <v>0</v>
      </c>
      <c r="S16" s="6">
        <f t="shared" si="3"/>
        <v>11100</v>
      </c>
      <c r="T16" s="3"/>
    </row>
    <row r="17" spans="1:20" x14ac:dyDescent="0.2">
      <c r="A17" s="15">
        <v>13</v>
      </c>
      <c r="B17" s="41" t="s">
        <v>210</v>
      </c>
      <c r="C17" s="42">
        <v>2475</v>
      </c>
      <c r="D17" s="42">
        <v>260</v>
      </c>
      <c r="E17" s="42"/>
      <c r="F17" s="6">
        <f t="shared" si="0"/>
        <v>2735</v>
      </c>
      <c r="G17" s="6"/>
      <c r="H17" s="6"/>
      <c r="I17" s="6"/>
      <c r="J17" s="6">
        <f t="shared" si="1"/>
        <v>0</v>
      </c>
      <c r="K17" s="6"/>
      <c r="L17" s="6"/>
      <c r="M17" s="6"/>
      <c r="N17" s="6"/>
      <c r="O17" s="6"/>
      <c r="P17" s="6">
        <f>5500-1500</f>
        <v>4000</v>
      </c>
      <c r="Q17" s="6">
        <f>5500-2000</f>
        <v>3500</v>
      </c>
      <c r="R17" s="6">
        <f t="shared" si="2"/>
        <v>7500</v>
      </c>
      <c r="S17" s="6">
        <f t="shared" si="3"/>
        <v>10235</v>
      </c>
      <c r="T17" s="3"/>
    </row>
    <row r="18" spans="1:20" x14ac:dyDescent="0.2">
      <c r="A18" s="15">
        <v>14</v>
      </c>
      <c r="B18" s="41" t="s">
        <v>19</v>
      </c>
      <c r="C18" s="42">
        <v>651</v>
      </c>
      <c r="D18" s="42">
        <v>185</v>
      </c>
      <c r="E18" s="42"/>
      <c r="F18" s="6">
        <f t="shared" si="0"/>
        <v>836</v>
      </c>
      <c r="G18" s="6"/>
      <c r="H18" s="6"/>
      <c r="I18" s="6"/>
      <c r="J18" s="6">
        <f t="shared" si="1"/>
        <v>0</v>
      </c>
      <c r="K18" s="6"/>
      <c r="L18" s="6"/>
      <c r="M18" s="6"/>
      <c r="N18" s="6"/>
      <c r="O18" s="6"/>
      <c r="P18" s="6"/>
      <c r="Q18" s="6"/>
      <c r="R18" s="6">
        <f t="shared" si="2"/>
        <v>0</v>
      </c>
      <c r="S18" s="6">
        <f t="shared" si="3"/>
        <v>836</v>
      </c>
      <c r="T18" s="3"/>
    </row>
    <row r="19" spans="1:20" x14ac:dyDescent="0.2">
      <c r="A19" s="15">
        <v>15</v>
      </c>
      <c r="B19" s="41" t="s">
        <v>74</v>
      </c>
      <c r="C19" s="42">
        <v>2500</v>
      </c>
      <c r="D19" s="42">
        <v>248</v>
      </c>
      <c r="E19" s="42"/>
      <c r="F19" s="6">
        <f t="shared" si="0"/>
        <v>2748</v>
      </c>
      <c r="G19" s="6"/>
      <c r="H19" s="6"/>
      <c r="I19" s="6"/>
      <c r="J19" s="6">
        <f t="shared" si="1"/>
        <v>0</v>
      </c>
      <c r="K19" s="6"/>
      <c r="L19" s="6"/>
      <c r="M19" s="6"/>
      <c r="N19" s="6"/>
      <c r="O19" s="6"/>
      <c r="P19" s="6">
        <f>1600-600</f>
        <v>1000</v>
      </c>
      <c r="Q19" s="6">
        <f>1600-250</f>
        <v>1350</v>
      </c>
      <c r="R19" s="6">
        <f t="shared" si="2"/>
        <v>2350</v>
      </c>
      <c r="S19" s="6">
        <f t="shared" si="3"/>
        <v>5098</v>
      </c>
      <c r="T19" s="3"/>
    </row>
    <row r="20" spans="1:20" x14ac:dyDescent="0.2">
      <c r="A20" s="15">
        <v>16</v>
      </c>
      <c r="B20" s="41" t="s">
        <v>20</v>
      </c>
      <c r="C20" s="42">
        <v>2600</v>
      </c>
      <c r="D20" s="42"/>
      <c r="E20" s="42">
        <v>274</v>
      </c>
      <c r="F20" s="6">
        <f t="shared" si="0"/>
        <v>2874</v>
      </c>
      <c r="G20" s="6"/>
      <c r="H20" s="6"/>
      <c r="I20" s="6"/>
      <c r="J20" s="6">
        <f t="shared" si="1"/>
        <v>0</v>
      </c>
      <c r="K20" s="6"/>
      <c r="L20" s="6"/>
      <c r="M20" s="6"/>
      <c r="N20" s="6"/>
      <c r="O20" s="6"/>
      <c r="P20" s="6"/>
      <c r="Q20" s="6"/>
      <c r="R20" s="6">
        <f t="shared" si="2"/>
        <v>0</v>
      </c>
      <c r="S20" s="6">
        <f t="shared" si="3"/>
        <v>2874</v>
      </c>
      <c r="T20" s="3"/>
    </row>
    <row r="21" spans="1:20" x14ac:dyDescent="0.2">
      <c r="A21" s="15">
        <v>17</v>
      </c>
      <c r="B21" s="41" t="s">
        <v>73</v>
      </c>
      <c r="C21" s="42">
        <v>4050</v>
      </c>
      <c r="D21" s="42">
        <v>367</v>
      </c>
      <c r="E21" s="42"/>
      <c r="F21" s="6">
        <f t="shared" si="0"/>
        <v>4417</v>
      </c>
      <c r="G21" s="6"/>
      <c r="H21" s="6"/>
      <c r="I21" s="6"/>
      <c r="J21" s="6">
        <f t="shared" si="1"/>
        <v>0</v>
      </c>
      <c r="K21" s="6"/>
      <c r="L21" s="6"/>
      <c r="M21" s="6"/>
      <c r="N21" s="6"/>
      <c r="O21" s="6"/>
      <c r="P21" s="6">
        <v>1043</v>
      </c>
      <c r="Q21" s="6">
        <v>1025</v>
      </c>
      <c r="R21" s="6">
        <f t="shared" si="2"/>
        <v>2068</v>
      </c>
      <c r="S21" s="6">
        <f t="shared" si="3"/>
        <v>6485</v>
      </c>
      <c r="T21" s="3"/>
    </row>
    <row r="22" spans="1:20" x14ac:dyDescent="0.2">
      <c r="A22" s="15">
        <v>18</v>
      </c>
      <c r="B22" s="41" t="s">
        <v>211</v>
      </c>
      <c r="C22" s="42"/>
      <c r="D22" s="42"/>
      <c r="E22" s="42"/>
      <c r="F22" s="6">
        <f t="shared" si="0"/>
        <v>0</v>
      </c>
      <c r="G22" s="6"/>
      <c r="H22" s="6"/>
      <c r="I22" s="6"/>
      <c r="J22" s="6">
        <f t="shared" si="1"/>
        <v>0</v>
      </c>
      <c r="K22" s="6"/>
      <c r="L22" s="6"/>
      <c r="M22" s="6"/>
      <c r="N22" s="6"/>
      <c r="O22" s="6"/>
      <c r="P22" s="6">
        <f>2500-400-1043</f>
        <v>1057</v>
      </c>
      <c r="Q22" s="6">
        <f>2500-1000-1025</f>
        <v>475</v>
      </c>
      <c r="R22" s="6">
        <f t="shared" si="2"/>
        <v>1532</v>
      </c>
      <c r="S22" s="6">
        <f t="shared" si="3"/>
        <v>1532</v>
      </c>
      <c r="T22" s="3"/>
    </row>
    <row r="23" spans="1:20" x14ac:dyDescent="0.2">
      <c r="A23" s="15">
        <v>19</v>
      </c>
      <c r="B23" s="43" t="s">
        <v>27</v>
      </c>
      <c r="C23" s="42">
        <f>1290+105</f>
        <v>1395</v>
      </c>
      <c r="D23" s="42"/>
      <c r="E23" s="42"/>
      <c r="F23" s="6">
        <f t="shared" si="0"/>
        <v>1395</v>
      </c>
      <c r="G23" s="6"/>
      <c r="H23" s="6"/>
      <c r="I23" s="6"/>
      <c r="J23" s="6">
        <f t="shared" si="1"/>
        <v>0</v>
      </c>
      <c r="K23" s="6"/>
      <c r="L23" s="6"/>
      <c r="M23" s="6"/>
      <c r="N23" s="6"/>
      <c r="O23" s="6"/>
      <c r="P23" s="6">
        <f>1800-700</f>
        <v>1100</v>
      </c>
      <c r="Q23" s="6">
        <f>1800-800</f>
        <v>1000</v>
      </c>
      <c r="R23" s="6">
        <f t="shared" si="2"/>
        <v>2100</v>
      </c>
      <c r="S23" s="6">
        <f t="shared" si="3"/>
        <v>3495</v>
      </c>
      <c r="T23" s="3"/>
    </row>
    <row r="24" spans="1:20" x14ac:dyDescent="0.2">
      <c r="A24" s="15">
        <v>20</v>
      </c>
      <c r="B24" s="45" t="s">
        <v>212</v>
      </c>
      <c r="C24" s="42">
        <f>1920+39</f>
        <v>1959</v>
      </c>
      <c r="D24" s="42">
        <v>223</v>
      </c>
      <c r="E24" s="42"/>
      <c r="F24" s="6">
        <f t="shared" si="0"/>
        <v>2182</v>
      </c>
      <c r="G24" s="6"/>
      <c r="H24" s="6"/>
      <c r="I24" s="6"/>
      <c r="J24" s="6">
        <f t="shared" si="1"/>
        <v>0</v>
      </c>
      <c r="K24" s="6"/>
      <c r="L24" s="6"/>
      <c r="M24" s="6"/>
      <c r="N24" s="6"/>
      <c r="O24" s="6"/>
      <c r="P24" s="6">
        <f>2100-300</f>
        <v>1800</v>
      </c>
      <c r="Q24" s="6">
        <f>2100-100</f>
        <v>2000</v>
      </c>
      <c r="R24" s="6">
        <f t="shared" si="2"/>
        <v>3800</v>
      </c>
      <c r="S24" s="6">
        <f t="shared" si="3"/>
        <v>5982</v>
      </c>
      <c r="T24" s="3"/>
    </row>
    <row r="25" spans="1:20" x14ac:dyDescent="0.2">
      <c r="A25" s="15">
        <v>21</v>
      </c>
      <c r="B25" s="41" t="s">
        <v>75</v>
      </c>
      <c r="C25" s="42">
        <v>1200</v>
      </c>
      <c r="D25" s="42"/>
      <c r="E25" s="42"/>
      <c r="F25" s="6">
        <f t="shared" si="0"/>
        <v>1200</v>
      </c>
      <c r="G25" s="6"/>
      <c r="H25" s="6"/>
      <c r="I25" s="6"/>
      <c r="J25" s="6">
        <f t="shared" si="1"/>
        <v>0</v>
      </c>
      <c r="K25" s="6"/>
      <c r="L25" s="6"/>
      <c r="M25" s="6"/>
      <c r="N25" s="6"/>
      <c r="O25" s="6"/>
      <c r="P25" s="6"/>
      <c r="Q25" s="6"/>
      <c r="R25" s="6">
        <f t="shared" si="2"/>
        <v>0</v>
      </c>
      <c r="S25" s="6">
        <f t="shared" si="3"/>
        <v>1200</v>
      </c>
      <c r="T25" s="3"/>
    </row>
    <row r="26" spans="1:20" x14ac:dyDescent="0.2">
      <c r="A26" s="15">
        <v>23</v>
      </c>
      <c r="B26" s="41" t="s">
        <v>76</v>
      </c>
      <c r="C26" s="42">
        <f>5500+52</f>
        <v>5552</v>
      </c>
      <c r="D26" s="42">
        <v>295</v>
      </c>
      <c r="E26" s="42">
        <v>20</v>
      </c>
      <c r="F26" s="6">
        <f t="shared" si="0"/>
        <v>5867</v>
      </c>
      <c r="G26" s="6"/>
      <c r="H26" s="6"/>
      <c r="I26" s="6"/>
      <c r="J26" s="6">
        <f t="shared" si="1"/>
        <v>0</v>
      </c>
      <c r="K26" s="6"/>
      <c r="L26" s="6"/>
      <c r="M26" s="6"/>
      <c r="N26" s="6"/>
      <c r="O26" s="6"/>
      <c r="P26" s="6"/>
      <c r="Q26" s="6"/>
      <c r="R26" s="6">
        <f t="shared" si="2"/>
        <v>0</v>
      </c>
      <c r="S26" s="6">
        <f t="shared" si="3"/>
        <v>5867</v>
      </c>
      <c r="T26" s="3"/>
    </row>
    <row r="27" spans="1:20" x14ac:dyDescent="0.2">
      <c r="A27" s="15">
        <v>24</v>
      </c>
      <c r="B27" s="41" t="s">
        <v>213</v>
      </c>
      <c r="C27" s="42"/>
      <c r="D27" s="42"/>
      <c r="E27" s="42"/>
      <c r="F27" s="6">
        <f t="shared" si="0"/>
        <v>0</v>
      </c>
      <c r="G27" s="6"/>
      <c r="H27" s="6"/>
      <c r="I27" s="6"/>
      <c r="J27" s="6">
        <f t="shared" si="1"/>
        <v>0</v>
      </c>
      <c r="K27" s="6"/>
      <c r="L27" s="6"/>
      <c r="M27" s="6"/>
      <c r="N27" s="6"/>
      <c r="O27" s="6"/>
      <c r="P27" s="6">
        <f>3000-1400</f>
        <v>1600</v>
      </c>
      <c r="Q27" s="6">
        <f>3000-1400</f>
        <v>1600</v>
      </c>
      <c r="R27" s="6">
        <f t="shared" si="2"/>
        <v>3200</v>
      </c>
      <c r="S27" s="6">
        <f t="shared" si="3"/>
        <v>3200</v>
      </c>
      <c r="T27" s="3"/>
    </row>
    <row r="28" spans="1:20" x14ac:dyDescent="0.2">
      <c r="A28" s="15">
        <v>25</v>
      </c>
      <c r="B28" s="41" t="s">
        <v>214</v>
      </c>
      <c r="C28" s="42">
        <v>3300</v>
      </c>
      <c r="D28" s="42">
        <v>393</v>
      </c>
      <c r="E28" s="42"/>
      <c r="F28" s="6">
        <f t="shared" si="0"/>
        <v>3693</v>
      </c>
      <c r="G28" s="6"/>
      <c r="H28" s="6"/>
      <c r="I28" s="6"/>
      <c r="J28" s="6">
        <f t="shared" si="1"/>
        <v>0</v>
      </c>
      <c r="K28" s="6"/>
      <c r="L28" s="6"/>
      <c r="M28" s="6"/>
      <c r="N28" s="6"/>
      <c r="O28" s="6"/>
      <c r="P28" s="6"/>
      <c r="Q28" s="6"/>
      <c r="R28" s="6">
        <f t="shared" si="2"/>
        <v>0</v>
      </c>
      <c r="S28" s="6">
        <f t="shared" si="3"/>
        <v>3693</v>
      </c>
      <c r="T28" s="3"/>
    </row>
    <row r="29" spans="1:20" x14ac:dyDescent="0.2">
      <c r="A29" s="15">
        <v>27</v>
      </c>
      <c r="B29" s="41" t="s">
        <v>77</v>
      </c>
      <c r="C29" s="42">
        <v>870</v>
      </c>
      <c r="D29" s="42">
        <v>150</v>
      </c>
      <c r="E29" s="42"/>
      <c r="F29" s="6">
        <f t="shared" si="0"/>
        <v>1020</v>
      </c>
      <c r="G29" s="6"/>
      <c r="H29" s="6"/>
      <c r="I29" s="6"/>
      <c r="J29" s="6">
        <f t="shared" si="1"/>
        <v>0</v>
      </c>
      <c r="K29" s="6"/>
      <c r="L29" s="6"/>
      <c r="M29" s="6"/>
      <c r="N29" s="6"/>
      <c r="O29" s="6"/>
      <c r="P29" s="6"/>
      <c r="Q29" s="6"/>
      <c r="R29" s="6">
        <f t="shared" si="2"/>
        <v>0</v>
      </c>
      <c r="S29" s="6">
        <f t="shared" si="3"/>
        <v>1020</v>
      </c>
      <c r="T29" s="3"/>
    </row>
    <row r="30" spans="1:20" x14ac:dyDescent="0.2">
      <c r="A30" s="15">
        <v>28</v>
      </c>
      <c r="B30" s="41" t="s">
        <v>78</v>
      </c>
      <c r="C30" s="42">
        <f>2800+2+41</f>
        <v>2843</v>
      </c>
      <c r="D30" s="42">
        <f>300+13</f>
        <v>313</v>
      </c>
      <c r="E30" s="42">
        <v>123</v>
      </c>
      <c r="F30" s="6">
        <f t="shared" si="0"/>
        <v>3279</v>
      </c>
      <c r="G30" s="6"/>
      <c r="H30" s="6"/>
      <c r="I30" s="6"/>
      <c r="J30" s="6">
        <f t="shared" si="1"/>
        <v>0</v>
      </c>
      <c r="K30" s="6"/>
      <c r="L30" s="6"/>
      <c r="M30" s="6"/>
      <c r="N30" s="6"/>
      <c r="O30" s="6"/>
      <c r="P30" s="6">
        <f>3300-1150</f>
        <v>2150</v>
      </c>
      <c r="Q30" s="6">
        <f>3300-1250</f>
        <v>2050</v>
      </c>
      <c r="R30" s="6">
        <f t="shared" si="2"/>
        <v>4200</v>
      </c>
      <c r="S30" s="6">
        <f t="shared" si="3"/>
        <v>7479</v>
      </c>
      <c r="T30" s="3"/>
    </row>
    <row r="31" spans="1:20" x14ac:dyDescent="0.2">
      <c r="A31" s="15">
        <v>29</v>
      </c>
      <c r="B31" s="41" t="s">
        <v>215</v>
      </c>
      <c r="C31" s="42">
        <v>2300</v>
      </c>
      <c r="D31" s="42">
        <v>65</v>
      </c>
      <c r="E31" s="42">
        <v>5</v>
      </c>
      <c r="F31" s="6">
        <f>C31+D31+E31</f>
        <v>2370</v>
      </c>
      <c r="G31" s="6"/>
      <c r="H31" s="6"/>
      <c r="I31" s="6"/>
      <c r="J31" s="6">
        <f t="shared" si="1"/>
        <v>0</v>
      </c>
      <c r="K31" s="6"/>
      <c r="L31" s="6"/>
      <c r="M31" s="6"/>
      <c r="N31" s="6"/>
      <c r="O31" s="6"/>
      <c r="P31" s="6"/>
      <c r="Q31" s="6"/>
      <c r="R31" s="6">
        <f t="shared" si="2"/>
        <v>0</v>
      </c>
      <c r="S31" s="6">
        <f t="shared" si="3"/>
        <v>2370</v>
      </c>
      <c r="T31" s="3"/>
    </row>
    <row r="32" spans="1:20" x14ac:dyDescent="0.2">
      <c r="A32" s="15">
        <v>30</v>
      </c>
      <c r="B32" s="41" t="s">
        <v>71</v>
      </c>
      <c r="C32" s="42">
        <f>3500+85</f>
        <v>3585</v>
      </c>
      <c r="D32" s="42">
        <f>390+8</f>
        <v>398</v>
      </c>
      <c r="E32" s="42">
        <v>200</v>
      </c>
      <c r="F32" s="6">
        <f>C32+D32+E32</f>
        <v>4183</v>
      </c>
      <c r="G32" s="6">
        <v>3544</v>
      </c>
      <c r="H32" s="6"/>
      <c r="I32" s="6">
        <v>300</v>
      </c>
      <c r="J32" s="6">
        <f t="shared" si="1"/>
        <v>3844</v>
      </c>
      <c r="K32" s="6"/>
      <c r="L32" s="6"/>
      <c r="M32" s="6"/>
      <c r="N32" s="6"/>
      <c r="O32" s="6"/>
      <c r="P32" s="6"/>
      <c r="Q32" s="6"/>
      <c r="R32" s="6">
        <f t="shared" si="2"/>
        <v>0</v>
      </c>
      <c r="S32" s="6">
        <f t="shared" si="3"/>
        <v>8027</v>
      </c>
      <c r="T32" s="3"/>
    </row>
    <row r="33" spans="1:20" x14ac:dyDescent="0.2">
      <c r="A33" s="15">
        <v>31</v>
      </c>
      <c r="B33" s="41" t="s">
        <v>79</v>
      </c>
      <c r="C33" s="42"/>
      <c r="D33" s="42"/>
      <c r="E33" s="42"/>
      <c r="F33" s="6">
        <f t="shared" ref="F33:F53" si="4">C33+D33+E33</f>
        <v>0</v>
      </c>
      <c r="G33" s="6"/>
      <c r="H33" s="6"/>
      <c r="I33" s="6"/>
      <c r="J33" s="6">
        <f t="shared" si="1"/>
        <v>0</v>
      </c>
      <c r="K33" s="6"/>
      <c r="L33" s="6"/>
      <c r="M33" s="6"/>
      <c r="N33" s="6"/>
      <c r="O33" s="6"/>
      <c r="P33" s="6">
        <f>2100-100</f>
        <v>2000</v>
      </c>
      <c r="Q33" s="6">
        <f>2100-100</f>
        <v>2000</v>
      </c>
      <c r="R33" s="6">
        <f t="shared" si="2"/>
        <v>4000</v>
      </c>
      <c r="S33" s="6">
        <f t="shared" si="3"/>
        <v>4000</v>
      </c>
      <c r="T33" s="3"/>
    </row>
    <row r="34" spans="1:20" x14ac:dyDescent="0.2">
      <c r="A34" s="15">
        <v>33</v>
      </c>
      <c r="B34" s="41" t="s">
        <v>58</v>
      </c>
      <c r="C34" s="42">
        <v>6500</v>
      </c>
      <c r="D34" s="42"/>
      <c r="E34" s="42">
        <v>2130</v>
      </c>
      <c r="F34" s="6">
        <f t="shared" si="4"/>
        <v>8630</v>
      </c>
      <c r="G34" s="6">
        <v>2106</v>
      </c>
      <c r="H34" s="6">
        <v>100</v>
      </c>
      <c r="I34" s="6"/>
      <c r="J34" s="6">
        <f t="shared" si="1"/>
        <v>2206</v>
      </c>
      <c r="K34" s="6">
        <v>500</v>
      </c>
      <c r="L34" s="6"/>
      <c r="M34" s="6">
        <f>K34+L34</f>
        <v>500</v>
      </c>
      <c r="N34" s="6"/>
      <c r="O34" s="6"/>
      <c r="P34" s="6"/>
      <c r="Q34" s="6"/>
      <c r="R34" s="6">
        <f t="shared" si="2"/>
        <v>0</v>
      </c>
      <c r="S34" s="6">
        <f t="shared" si="3"/>
        <v>11336</v>
      </c>
      <c r="T34" s="3"/>
    </row>
    <row r="35" spans="1:20" x14ac:dyDescent="0.2">
      <c r="A35" s="15">
        <v>34</v>
      </c>
      <c r="B35" s="46" t="s">
        <v>216</v>
      </c>
      <c r="C35" s="42"/>
      <c r="D35" s="42"/>
      <c r="E35" s="42"/>
      <c r="F35" s="6">
        <f t="shared" si="4"/>
        <v>0</v>
      </c>
      <c r="G35" s="6">
        <f>700+100</f>
        <v>800</v>
      </c>
      <c r="H35" s="6">
        <v>39</v>
      </c>
      <c r="I35" s="6"/>
      <c r="J35" s="6">
        <f t="shared" si="1"/>
        <v>839</v>
      </c>
      <c r="K35" s="6"/>
      <c r="L35" s="6"/>
      <c r="M35" s="6"/>
      <c r="N35" s="6"/>
      <c r="O35" s="6"/>
      <c r="P35" s="6"/>
      <c r="Q35" s="6"/>
      <c r="R35" s="6">
        <f t="shared" si="2"/>
        <v>0</v>
      </c>
      <c r="S35" s="6">
        <f t="shared" si="3"/>
        <v>839</v>
      </c>
      <c r="T35" s="3"/>
    </row>
    <row r="36" spans="1:20" x14ac:dyDescent="0.2">
      <c r="A36" s="15">
        <v>36</v>
      </c>
      <c r="B36" s="46" t="s">
        <v>217</v>
      </c>
      <c r="C36" s="42"/>
      <c r="D36" s="42"/>
      <c r="E36" s="42"/>
      <c r="F36" s="6">
        <f t="shared" si="4"/>
        <v>0</v>
      </c>
      <c r="G36" s="6">
        <v>390</v>
      </c>
      <c r="H36" s="6"/>
      <c r="I36" s="6"/>
      <c r="J36" s="6">
        <f t="shared" si="1"/>
        <v>390</v>
      </c>
      <c r="K36" s="6"/>
      <c r="L36" s="6"/>
      <c r="M36" s="6"/>
      <c r="N36" s="6"/>
      <c r="O36" s="6"/>
      <c r="P36" s="6"/>
      <c r="Q36" s="6"/>
      <c r="R36" s="6">
        <f t="shared" si="2"/>
        <v>0</v>
      </c>
      <c r="S36" s="6">
        <f t="shared" si="3"/>
        <v>390</v>
      </c>
      <c r="T36" s="3"/>
    </row>
    <row r="37" spans="1:20" x14ac:dyDescent="0.2">
      <c r="A37" s="15">
        <v>37</v>
      </c>
      <c r="B37" s="46" t="s">
        <v>218</v>
      </c>
      <c r="C37" s="42">
        <v>920</v>
      </c>
      <c r="D37" s="42">
        <v>90</v>
      </c>
      <c r="E37" s="42"/>
      <c r="F37" s="6">
        <f t="shared" si="4"/>
        <v>1010</v>
      </c>
      <c r="G37" s="6">
        <f>875-127</f>
        <v>748</v>
      </c>
      <c r="H37" s="6">
        <f>36+60</f>
        <v>96</v>
      </c>
      <c r="I37" s="6"/>
      <c r="J37" s="6">
        <f t="shared" si="1"/>
        <v>844</v>
      </c>
      <c r="K37" s="6"/>
      <c r="L37" s="6"/>
      <c r="M37" s="6"/>
      <c r="N37" s="6"/>
      <c r="O37" s="6"/>
      <c r="P37" s="6"/>
      <c r="Q37" s="6"/>
      <c r="R37" s="6">
        <f t="shared" si="2"/>
        <v>0</v>
      </c>
      <c r="S37" s="6">
        <f t="shared" si="3"/>
        <v>1854</v>
      </c>
      <c r="T37" s="3"/>
    </row>
    <row r="38" spans="1:20" x14ac:dyDescent="0.2">
      <c r="A38" s="15">
        <v>38</v>
      </c>
      <c r="B38" s="41" t="s">
        <v>112</v>
      </c>
      <c r="C38" s="42">
        <v>9000</v>
      </c>
      <c r="D38" s="42"/>
      <c r="E38" s="42">
        <f>1300+400</f>
        <v>1700</v>
      </c>
      <c r="F38" s="6">
        <f t="shared" si="4"/>
        <v>10700</v>
      </c>
      <c r="G38" s="6">
        <f>5000-948</f>
        <v>4052</v>
      </c>
      <c r="H38" s="6"/>
      <c r="I38" s="6">
        <f>700-50</f>
        <v>650</v>
      </c>
      <c r="J38" s="6">
        <f t="shared" si="1"/>
        <v>4702</v>
      </c>
      <c r="K38" s="6">
        <f>3400+100</f>
        <v>3500</v>
      </c>
      <c r="L38" s="6">
        <v>1440</v>
      </c>
      <c r="M38" s="6">
        <f>K38+L38</f>
        <v>4940</v>
      </c>
      <c r="N38" s="6"/>
      <c r="O38" s="6"/>
      <c r="P38" s="6"/>
      <c r="Q38" s="6"/>
      <c r="R38" s="6">
        <f t="shared" si="2"/>
        <v>0</v>
      </c>
      <c r="S38" s="6">
        <f t="shared" si="3"/>
        <v>20342</v>
      </c>
      <c r="T38" s="3"/>
    </row>
    <row r="39" spans="1:20" x14ac:dyDescent="0.2">
      <c r="A39" s="15">
        <v>39</v>
      </c>
      <c r="B39" s="41" t="s">
        <v>116</v>
      </c>
      <c r="C39" s="42">
        <f>11000+1900</f>
        <v>12900</v>
      </c>
      <c r="D39" s="42"/>
      <c r="E39" s="42">
        <f>4356+300</f>
        <v>4656</v>
      </c>
      <c r="F39" s="6">
        <f t="shared" si="4"/>
        <v>17556</v>
      </c>
      <c r="G39" s="6">
        <f>5070+1550</f>
        <v>6620</v>
      </c>
      <c r="H39" s="6"/>
      <c r="I39" s="6">
        <f>395+250</f>
        <v>645</v>
      </c>
      <c r="J39" s="6">
        <f t="shared" si="1"/>
        <v>7265</v>
      </c>
      <c r="K39" s="6">
        <f>6100+100</f>
        <v>6200</v>
      </c>
      <c r="L39" s="6"/>
      <c r="M39" s="6">
        <f>K39+L39</f>
        <v>6200</v>
      </c>
      <c r="N39" s="6">
        <v>40000</v>
      </c>
      <c r="O39" s="6"/>
      <c r="P39" s="6"/>
      <c r="Q39" s="6"/>
      <c r="R39" s="6">
        <f t="shared" si="2"/>
        <v>0</v>
      </c>
      <c r="S39" s="6">
        <f t="shared" si="3"/>
        <v>71021</v>
      </c>
      <c r="T39" s="3"/>
    </row>
    <row r="40" spans="1:20" x14ac:dyDescent="0.2">
      <c r="A40" s="15">
        <v>40</v>
      </c>
      <c r="B40" s="41" t="s">
        <v>61</v>
      </c>
      <c r="C40" s="42">
        <v>700</v>
      </c>
      <c r="D40" s="42"/>
      <c r="E40" s="42">
        <f>1700+200+200</f>
        <v>2100</v>
      </c>
      <c r="F40" s="6">
        <f t="shared" si="4"/>
        <v>2800</v>
      </c>
      <c r="G40" s="6"/>
      <c r="H40" s="6"/>
      <c r="I40" s="6"/>
      <c r="J40" s="6">
        <f t="shared" si="1"/>
        <v>0</v>
      </c>
      <c r="K40" s="6">
        <v>950</v>
      </c>
      <c r="L40" s="6"/>
      <c r="M40" s="6">
        <f>K40+L40</f>
        <v>950</v>
      </c>
      <c r="N40" s="6"/>
      <c r="O40" s="6"/>
      <c r="P40" s="6"/>
      <c r="Q40" s="6"/>
      <c r="R40" s="6">
        <f t="shared" si="2"/>
        <v>0</v>
      </c>
      <c r="S40" s="6">
        <f t="shared" si="3"/>
        <v>3750</v>
      </c>
      <c r="T40" s="3"/>
    </row>
    <row r="41" spans="1:20" x14ac:dyDescent="0.2">
      <c r="A41" s="15">
        <v>41</v>
      </c>
      <c r="B41" s="41" t="s">
        <v>69</v>
      </c>
      <c r="C41" s="42">
        <v>2200</v>
      </c>
      <c r="D41" s="42"/>
      <c r="E41" s="42"/>
      <c r="F41" s="6">
        <f t="shared" si="4"/>
        <v>2200</v>
      </c>
      <c r="G41" s="6">
        <v>2000</v>
      </c>
      <c r="H41" s="6"/>
      <c r="I41" s="6"/>
      <c r="J41" s="6">
        <f t="shared" si="1"/>
        <v>2000</v>
      </c>
      <c r="K41" s="6"/>
      <c r="L41" s="6"/>
      <c r="M41" s="6"/>
      <c r="N41" s="6"/>
      <c r="O41" s="6"/>
      <c r="P41" s="6"/>
      <c r="Q41" s="6"/>
      <c r="R41" s="6">
        <f t="shared" si="2"/>
        <v>0</v>
      </c>
      <c r="S41" s="6">
        <f t="shared" si="3"/>
        <v>4200</v>
      </c>
      <c r="T41" s="3"/>
    </row>
    <row r="42" spans="1:20" x14ac:dyDescent="0.2">
      <c r="A42" s="15">
        <v>42</v>
      </c>
      <c r="B42" s="46" t="s">
        <v>114</v>
      </c>
      <c r="C42" s="42"/>
      <c r="D42" s="42"/>
      <c r="E42" s="42"/>
      <c r="F42" s="6">
        <f t="shared" si="4"/>
        <v>0</v>
      </c>
      <c r="G42" s="6">
        <f>2000+440-150</f>
        <v>2290</v>
      </c>
      <c r="H42" s="6"/>
      <c r="I42" s="6">
        <f>100+27</f>
        <v>127</v>
      </c>
      <c r="J42" s="6">
        <f t="shared" si="1"/>
        <v>2417</v>
      </c>
      <c r="K42" s="6"/>
      <c r="L42" s="6"/>
      <c r="M42" s="6"/>
      <c r="N42" s="6"/>
      <c r="O42" s="6"/>
      <c r="P42" s="6">
        <f>7000-1000</f>
        <v>6000</v>
      </c>
      <c r="Q42" s="6">
        <f>7000-1000</f>
        <v>6000</v>
      </c>
      <c r="R42" s="6">
        <f t="shared" si="2"/>
        <v>12000</v>
      </c>
      <c r="S42" s="6">
        <f t="shared" si="3"/>
        <v>14417</v>
      </c>
      <c r="T42" s="3"/>
    </row>
    <row r="43" spans="1:20" x14ac:dyDescent="0.2">
      <c r="A43" s="15">
        <v>43</v>
      </c>
      <c r="B43" s="41" t="s">
        <v>64</v>
      </c>
      <c r="C43" s="42">
        <f>1320+60</f>
        <v>1380</v>
      </c>
      <c r="D43" s="42">
        <f>150+2</f>
        <v>152</v>
      </c>
      <c r="E43" s="42">
        <v>500</v>
      </c>
      <c r="F43" s="6">
        <f t="shared" si="4"/>
        <v>2032</v>
      </c>
      <c r="G43" s="6"/>
      <c r="H43" s="6"/>
      <c r="I43" s="6"/>
      <c r="J43" s="6">
        <f t="shared" si="1"/>
        <v>0</v>
      </c>
      <c r="K43" s="6"/>
      <c r="L43" s="6"/>
      <c r="M43" s="6"/>
      <c r="N43" s="6"/>
      <c r="O43" s="6"/>
      <c r="P43" s="6"/>
      <c r="Q43" s="6"/>
      <c r="R43" s="6">
        <f t="shared" si="2"/>
        <v>0</v>
      </c>
      <c r="S43" s="6">
        <f t="shared" si="3"/>
        <v>2032</v>
      </c>
      <c r="T43" s="3"/>
    </row>
    <row r="44" spans="1:20" x14ac:dyDescent="0.2">
      <c r="A44" s="15">
        <v>44</v>
      </c>
      <c r="B44" s="45" t="s">
        <v>70</v>
      </c>
      <c r="C44" s="42">
        <f>5200-382-818</f>
        <v>4000</v>
      </c>
      <c r="D44" s="42">
        <f>700-23-177</f>
        <v>500</v>
      </c>
      <c r="E44" s="42">
        <f>1000-100</f>
        <v>900</v>
      </c>
      <c r="F44" s="6">
        <f t="shared" si="4"/>
        <v>5400</v>
      </c>
      <c r="G44" s="6">
        <f>4576-45+50-451</f>
        <v>4130</v>
      </c>
      <c r="H44" s="6">
        <f>445+45+200</f>
        <v>690</v>
      </c>
      <c r="I44" s="6">
        <f>100+10</f>
        <v>110</v>
      </c>
      <c r="J44" s="6">
        <f t="shared" si="1"/>
        <v>4930</v>
      </c>
      <c r="K44" s="6"/>
      <c r="L44" s="6"/>
      <c r="M44" s="6"/>
      <c r="N44" s="6"/>
      <c r="O44" s="6"/>
      <c r="P44" s="6"/>
      <c r="Q44" s="6"/>
      <c r="R44" s="6">
        <f t="shared" si="2"/>
        <v>0</v>
      </c>
      <c r="S44" s="6">
        <f t="shared" si="3"/>
        <v>10330</v>
      </c>
      <c r="T44" s="3"/>
    </row>
    <row r="45" spans="1:20" ht="12.75" x14ac:dyDescent="0.2">
      <c r="A45" s="15">
        <v>45</v>
      </c>
      <c r="B45" s="45" t="s">
        <v>115</v>
      </c>
      <c r="C45" s="47">
        <f>5200+500-2</f>
        <v>5698</v>
      </c>
      <c r="D45" s="42">
        <v>600</v>
      </c>
      <c r="E45" s="42"/>
      <c r="F45" s="6">
        <f t="shared" si="4"/>
        <v>6298</v>
      </c>
      <c r="G45" s="6"/>
      <c r="H45" s="6"/>
      <c r="I45" s="6"/>
      <c r="J45" s="6">
        <f t="shared" si="1"/>
        <v>0</v>
      </c>
      <c r="K45" s="51">
        <f>2000-500-700</f>
        <v>800</v>
      </c>
      <c r="L45" s="6"/>
      <c r="M45" s="6">
        <f t="shared" ref="M45" si="5">K45+L45</f>
        <v>800</v>
      </c>
      <c r="N45" s="6"/>
      <c r="O45" s="6"/>
      <c r="P45" s="6"/>
      <c r="Q45" s="6"/>
      <c r="R45" s="6">
        <f t="shared" si="2"/>
        <v>0</v>
      </c>
      <c r="S45" s="6">
        <f t="shared" si="3"/>
        <v>7098</v>
      </c>
      <c r="T45" s="3"/>
    </row>
    <row r="46" spans="1:20" x14ac:dyDescent="0.2">
      <c r="A46" s="15">
        <v>46</v>
      </c>
      <c r="B46" s="41" t="s">
        <v>219</v>
      </c>
      <c r="C46" s="42"/>
      <c r="D46" s="42"/>
      <c r="E46" s="42"/>
      <c r="F46" s="6">
        <f t="shared" si="4"/>
        <v>0</v>
      </c>
      <c r="G46" s="6"/>
      <c r="H46" s="6"/>
      <c r="I46" s="6"/>
      <c r="J46" s="6">
        <f t="shared" si="1"/>
        <v>0</v>
      </c>
      <c r="K46" s="6"/>
      <c r="L46" s="6"/>
      <c r="M46" s="6"/>
      <c r="N46" s="6"/>
      <c r="O46" s="6">
        <f>5000-4166+1109</f>
        <v>1943</v>
      </c>
      <c r="P46" s="6"/>
      <c r="Q46" s="6"/>
      <c r="R46" s="6">
        <f t="shared" si="2"/>
        <v>0</v>
      </c>
      <c r="S46" s="6">
        <f t="shared" si="3"/>
        <v>1943</v>
      </c>
      <c r="T46" s="3"/>
    </row>
    <row r="47" spans="1:20" x14ac:dyDescent="0.2">
      <c r="A47" s="15">
        <v>47</v>
      </c>
      <c r="B47" s="41" t="s">
        <v>220</v>
      </c>
      <c r="C47" s="42">
        <v>1930</v>
      </c>
      <c r="D47" s="42"/>
      <c r="E47" s="42"/>
      <c r="F47" s="6">
        <f t="shared" si="4"/>
        <v>1930</v>
      </c>
      <c r="G47" s="6"/>
      <c r="H47" s="6"/>
      <c r="I47" s="6"/>
      <c r="J47" s="6">
        <f t="shared" si="1"/>
        <v>0</v>
      </c>
      <c r="K47" s="6"/>
      <c r="L47" s="6"/>
      <c r="M47" s="6"/>
      <c r="N47" s="6"/>
      <c r="O47" s="6"/>
      <c r="P47" s="6"/>
      <c r="Q47" s="6"/>
      <c r="R47" s="6">
        <f t="shared" si="2"/>
        <v>0</v>
      </c>
      <c r="S47" s="6">
        <f t="shared" si="3"/>
        <v>1930</v>
      </c>
      <c r="T47" s="3"/>
    </row>
    <row r="48" spans="1:20" x14ac:dyDescent="0.2">
      <c r="A48" s="15">
        <v>48</v>
      </c>
      <c r="B48" s="41" t="s">
        <v>39</v>
      </c>
      <c r="C48" s="42">
        <v>220</v>
      </c>
      <c r="D48" s="42"/>
      <c r="E48" s="42"/>
      <c r="F48" s="6">
        <f t="shared" si="4"/>
        <v>220</v>
      </c>
      <c r="G48" s="6"/>
      <c r="H48" s="6"/>
      <c r="I48" s="6"/>
      <c r="J48" s="6">
        <f t="shared" si="1"/>
        <v>0</v>
      </c>
      <c r="K48" s="6"/>
      <c r="L48" s="6"/>
      <c r="M48" s="6"/>
      <c r="N48" s="6"/>
      <c r="O48" s="6"/>
      <c r="P48" s="6"/>
      <c r="Q48" s="6"/>
      <c r="R48" s="6">
        <f t="shared" si="2"/>
        <v>0</v>
      </c>
      <c r="S48" s="6">
        <f t="shared" si="3"/>
        <v>220</v>
      </c>
      <c r="T48" s="3"/>
    </row>
    <row r="49" spans="1:20" ht="24" x14ac:dyDescent="0.2">
      <c r="A49" s="15">
        <v>49</v>
      </c>
      <c r="B49" s="41" t="s">
        <v>221</v>
      </c>
      <c r="C49" s="42">
        <v>913</v>
      </c>
      <c r="D49" s="42">
        <v>90</v>
      </c>
      <c r="E49" s="42"/>
      <c r="F49" s="6">
        <f t="shared" si="4"/>
        <v>1003</v>
      </c>
      <c r="G49" s="6"/>
      <c r="H49" s="6"/>
      <c r="I49" s="6"/>
      <c r="J49" s="6">
        <f t="shared" si="1"/>
        <v>0</v>
      </c>
      <c r="K49" s="6"/>
      <c r="L49" s="6"/>
      <c r="M49" s="6"/>
      <c r="N49" s="6"/>
      <c r="O49" s="6"/>
      <c r="P49" s="6">
        <f>2500-900</f>
        <v>1600</v>
      </c>
      <c r="Q49" s="6">
        <f>2500-900</f>
        <v>1600</v>
      </c>
      <c r="R49" s="6">
        <f t="shared" si="2"/>
        <v>3200</v>
      </c>
      <c r="S49" s="6">
        <f t="shared" si="3"/>
        <v>4203</v>
      </c>
      <c r="T49" s="3"/>
    </row>
    <row r="50" spans="1:20" x14ac:dyDescent="0.2">
      <c r="A50" s="15">
        <v>50</v>
      </c>
      <c r="B50" s="41" t="s">
        <v>98</v>
      </c>
      <c r="C50" s="42">
        <v>355</v>
      </c>
      <c r="D50" s="42">
        <v>35</v>
      </c>
      <c r="E50" s="42"/>
      <c r="F50" s="6">
        <f t="shared" si="4"/>
        <v>390</v>
      </c>
      <c r="G50" s="6"/>
      <c r="H50" s="6"/>
      <c r="I50" s="6"/>
      <c r="J50" s="6">
        <f t="shared" si="1"/>
        <v>0</v>
      </c>
      <c r="K50" s="6"/>
      <c r="L50" s="6"/>
      <c r="M50" s="6"/>
      <c r="N50" s="6"/>
      <c r="O50" s="6"/>
      <c r="P50" s="6"/>
      <c r="Q50" s="6"/>
      <c r="R50" s="6">
        <f t="shared" si="2"/>
        <v>0</v>
      </c>
      <c r="S50" s="6">
        <f t="shared" si="3"/>
        <v>390</v>
      </c>
      <c r="T50" s="3"/>
    </row>
    <row r="51" spans="1:20" x14ac:dyDescent="0.2">
      <c r="A51" s="15">
        <v>51</v>
      </c>
      <c r="B51" s="41" t="s">
        <v>222</v>
      </c>
      <c r="C51" s="42"/>
      <c r="D51" s="42"/>
      <c r="E51" s="42"/>
      <c r="F51" s="6">
        <f t="shared" si="4"/>
        <v>0</v>
      </c>
      <c r="G51" s="6">
        <f>440-440</f>
        <v>0</v>
      </c>
      <c r="H51" s="6"/>
      <c r="I51" s="6"/>
      <c r="J51" s="6">
        <f t="shared" si="1"/>
        <v>0</v>
      </c>
      <c r="K51" s="6"/>
      <c r="L51" s="6"/>
      <c r="M51" s="6"/>
      <c r="N51" s="6"/>
      <c r="O51" s="6"/>
      <c r="P51" s="6"/>
      <c r="Q51" s="6"/>
      <c r="R51" s="6">
        <f t="shared" si="2"/>
        <v>0</v>
      </c>
      <c r="S51" s="6">
        <f t="shared" si="3"/>
        <v>0</v>
      </c>
      <c r="T51" s="3"/>
    </row>
    <row r="52" spans="1:20" x14ac:dyDescent="0.2">
      <c r="A52" s="15">
        <v>52</v>
      </c>
      <c r="B52" s="41" t="s">
        <v>80</v>
      </c>
      <c r="C52" s="6"/>
      <c r="D52" s="42"/>
      <c r="E52" s="42"/>
      <c r="F52" s="6">
        <f t="shared" si="4"/>
        <v>0</v>
      </c>
      <c r="G52" s="6"/>
      <c r="H52" s="6"/>
      <c r="I52" s="6"/>
      <c r="J52" s="6">
        <f t="shared" si="1"/>
        <v>0</v>
      </c>
      <c r="K52" s="6"/>
      <c r="L52" s="6"/>
      <c r="M52" s="6"/>
      <c r="N52" s="6"/>
      <c r="O52" s="6"/>
      <c r="P52" s="6">
        <f>3500+500</f>
        <v>4000</v>
      </c>
      <c r="Q52" s="6">
        <f>3500+500</f>
        <v>4000</v>
      </c>
      <c r="R52" s="6">
        <f t="shared" si="2"/>
        <v>8000</v>
      </c>
      <c r="S52" s="6">
        <f t="shared" si="3"/>
        <v>8000</v>
      </c>
      <c r="T52" s="3"/>
    </row>
    <row r="53" spans="1:20" x14ac:dyDescent="0.2">
      <c r="A53" s="15"/>
      <c r="B53" s="48" t="s">
        <v>66</v>
      </c>
      <c r="C53" s="6">
        <f>3364-1900-400</f>
        <v>1064</v>
      </c>
      <c r="D53" s="6">
        <v>0</v>
      </c>
      <c r="E53" s="6">
        <f>1230-500-200</f>
        <v>530</v>
      </c>
      <c r="F53" s="6">
        <f t="shared" si="4"/>
        <v>1594</v>
      </c>
      <c r="G53" s="6">
        <f>330-330</f>
        <v>0</v>
      </c>
      <c r="H53" s="6"/>
      <c r="I53" s="6">
        <f>1378-673</f>
        <v>705</v>
      </c>
      <c r="J53" s="6">
        <f t="shared" si="1"/>
        <v>705</v>
      </c>
      <c r="K53" s="6">
        <v>2600</v>
      </c>
      <c r="L53" s="6"/>
      <c r="M53" s="6">
        <f t="shared" ref="M53" si="6">K53+L53</f>
        <v>2600</v>
      </c>
      <c r="N53" s="6"/>
      <c r="O53" s="6"/>
      <c r="P53" s="6"/>
      <c r="Q53" s="6"/>
      <c r="R53" s="6">
        <f t="shared" si="2"/>
        <v>0</v>
      </c>
      <c r="S53" s="6">
        <f t="shared" si="3"/>
        <v>4899</v>
      </c>
      <c r="T53" s="3"/>
    </row>
    <row r="54" spans="1:20" x14ac:dyDescent="0.2">
      <c r="A54" s="15"/>
      <c r="B54" s="49" t="s">
        <v>67</v>
      </c>
      <c r="C54" s="50">
        <f t="shared" ref="C54:S54" si="7">SUM(C5:C53)</f>
        <v>101691</v>
      </c>
      <c r="D54" s="50">
        <f t="shared" si="7"/>
        <v>5350</v>
      </c>
      <c r="E54" s="50">
        <f t="shared" si="7"/>
        <v>13807</v>
      </c>
      <c r="F54" s="50">
        <f t="shared" si="7"/>
        <v>120848</v>
      </c>
      <c r="G54" s="50">
        <f t="shared" si="7"/>
        <v>28845</v>
      </c>
      <c r="H54" s="50">
        <f t="shared" si="7"/>
        <v>1025</v>
      </c>
      <c r="I54" s="50">
        <f t="shared" si="7"/>
        <v>2537</v>
      </c>
      <c r="J54" s="50">
        <f t="shared" si="7"/>
        <v>32407</v>
      </c>
      <c r="K54" s="50">
        <f t="shared" si="7"/>
        <v>14550</v>
      </c>
      <c r="L54" s="50">
        <f t="shared" si="7"/>
        <v>1440</v>
      </c>
      <c r="M54" s="50">
        <f t="shared" si="7"/>
        <v>15990</v>
      </c>
      <c r="N54" s="50">
        <f t="shared" si="7"/>
        <v>46000</v>
      </c>
      <c r="O54" s="50">
        <f t="shared" si="7"/>
        <v>1943</v>
      </c>
      <c r="P54" s="50">
        <f t="shared" si="7"/>
        <v>35450</v>
      </c>
      <c r="Q54" s="50">
        <f t="shared" si="7"/>
        <v>34450</v>
      </c>
      <c r="R54" s="50">
        <f t="shared" si="7"/>
        <v>69900</v>
      </c>
      <c r="S54" s="50">
        <f t="shared" si="7"/>
        <v>287088</v>
      </c>
      <c r="T54" s="3"/>
    </row>
    <row r="56" spans="1:20" x14ac:dyDescent="0.2">
      <c r="S56" s="23"/>
    </row>
    <row r="60" spans="1:20" x14ac:dyDescent="0.2">
      <c r="S60" s="23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7" sqref="C7"/>
    </sheetView>
  </sheetViews>
  <sheetFormatPr defaultRowHeight="12.75" x14ac:dyDescent="0.25"/>
  <cols>
    <col min="1" max="1" width="52.85546875" style="70" customWidth="1"/>
    <col min="2" max="2" width="16.140625" style="68" customWidth="1"/>
    <col min="3" max="3" width="16" style="68" customWidth="1"/>
    <col min="4" max="4" width="15.42578125" style="68" customWidth="1"/>
    <col min="5" max="5" width="23.42578125" style="68" customWidth="1"/>
    <col min="6" max="256" width="9.140625" style="69"/>
    <col min="257" max="257" width="52.85546875" style="69" customWidth="1"/>
    <col min="258" max="258" width="17.5703125" style="69" customWidth="1"/>
    <col min="259" max="259" width="16" style="69" customWidth="1"/>
    <col min="260" max="260" width="15.42578125" style="69" customWidth="1"/>
    <col min="261" max="261" width="23.42578125" style="69" customWidth="1"/>
    <col min="262" max="512" width="9.140625" style="69"/>
    <col min="513" max="513" width="52.85546875" style="69" customWidth="1"/>
    <col min="514" max="514" width="17.5703125" style="69" customWidth="1"/>
    <col min="515" max="515" width="16" style="69" customWidth="1"/>
    <col min="516" max="516" width="15.42578125" style="69" customWidth="1"/>
    <col min="517" max="517" width="23.42578125" style="69" customWidth="1"/>
    <col min="518" max="768" width="9.140625" style="69"/>
    <col min="769" max="769" width="52.85546875" style="69" customWidth="1"/>
    <col min="770" max="770" width="17.5703125" style="69" customWidth="1"/>
    <col min="771" max="771" width="16" style="69" customWidth="1"/>
    <col min="772" max="772" width="15.42578125" style="69" customWidth="1"/>
    <col min="773" max="773" width="23.42578125" style="69" customWidth="1"/>
    <col min="774" max="1024" width="9.140625" style="69"/>
    <col min="1025" max="1025" width="52.85546875" style="69" customWidth="1"/>
    <col min="1026" max="1026" width="17.5703125" style="69" customWidth="1"/>
    <col min="1027" max="1027" width="16" style="69" customWidth="1"/>
    <col min="1028" max="1028" width="15.42578125" style="69" customWidth="1"/>
    <col min="1029" max="1029" width="23.42578125" style="69" customWidth="1"/>
    <col min="1030" max="1280" width="9.140625" style="69"/>
    <col min="1281" max="1281" width="52.85546875" style="69" customWidth="1"/>
    <col min="1282" max="1282" width="17.5703125" style="69" customWidth="1"/>
    <col min="1283" max="1283" width="16" style="69" customWidth="1"/>
    <col min="1284" max="1284" width="15.42578125" style="69" customWidth="1"/>
    <col min="1285" max="1285" width="23.42578125" style="69" customWidth="1"/>
    <col min="1286" max="1536" width="9.140625" style="69"/>
    <col min="1537" max="1537" width="52.85546875" style="69" customWidth="1"/>
    <col min="1538" max="1538" width="17.5703125" style="69" customWidth="1"/>
    <col min="1539" max="1539" width="16" style="69" customWidth="1"/>
    <col min="1540" max="1540" width="15.42578125" style="69" customWidth="1"/>
    <col min="1541" max="1541" width="23.42578125" style="69" customWidth="1"/>
    <col min="1542" max="1792" width="9.140625" style="69"/>
    <col min="1793" max="1793" width="52.85546875" style="69" customWidth="1"/>
    <col min="1794" max="1794" width="17.5703125" style="69" customWidth="1"/>
    <col min="1795" max="1795" width="16" style="69" customWidth="1"/>
    <col min="1796" max="1796" width="15.42578125" style="69" customWidth="1"/>
    <col min="1797" max="1797" width="23.42578125" style="69" customWidth="1"/>
    <col min="1798" max="2048" width="9.140625" style="69"/>
    <col min="2049" max="2049" width="52.85546875" style="69" customWidth="1"/>
    <col min="2050" max="2050" width="17.5703125" style="69" customWidth="1"/>
    <col min="2051" max="2051" width="16" style="69" customWidth="1"/>
    <col min="2052" max="2052" width="15.42578125" style="69" customWidth="1"/>
    <col min="2053" max="2053" width="23.42578125" style="69" customWidth="1"/>
    <col min="2054" max="2304" width="9.140625" style="69"/>
    <col min="2305" max="2305" width="52.85546875" style="69" customWidth="1"/>
    <col min="2306" max="2306" width="17.5703125" style="69" customWidth="1"/>
    <col min="2307" max="2307" width="16" style="69" customWidth="1"/>
    <col min="2308" max="2308" width="15.42578125" style="69" customWidth="1"/>
    <col min="2309" max="2309" width="23.42578125" style="69" customWidth="1"/>
    <col min="2310" max="2560" width="9.140625" style="69"/>
    <col min="2561" max="2561" width="52.85546875" style="69" customWidth="1"/>
    <col min="2562" max="2562" width="17.5703125" style="69" customWidth="1"/>
    <col min="2563" max="2563" width="16" style="69" customWidth="1"/>
    <col min="2564" max="2564" width="15.42578125" style="69" customWidth="1"/>
    <col min="2565" max="2565" width="23.42578125" style="69" customWidth="1"/>
    <col min="2566" max="2816" width="9.140625" style="69"/>
    <col min="2817" max="2817" width="52.85546875" style="69" customWidth="1"/>
    <col min="2818" max="2818" width="17.5703125" style="69" customWidth="1"/>
    <col min="2819" max="2819" width="16" style="69" customWidth="1"/>
    <col min="2820" max="2820" width="15.42578125" style="69" customWidth="1"/>
    <col min="2821" max="2821" width="23.42578125" style="69" customWidth="1"/>
    <col min="2822" max="3072" width="9.140625" style="69"/>
    <col min="3073" max="3073" width="52.85546875" style="69" customWidth="1"/>
    <col min="3074" max="3074" width="17.5703125" style="69" customWidth="1"/>
    <col min="3075" max="3075" width="16" style="69" customWidth="1"/>
    <col min="3076" max="3076" width="15.42578125" style="69" customWidth="1"/>
    <col min="3077" max="3077" width="23.42578125" style="69" customWidth="1"/>
    <col min="3078" max="3328" width="9.140625" style="69"/>
    <col min="3329" max="3329" width="52.85546875" style="69" customWidth="1"/>
    <col min="3330" max="3330" width="17.5703125" style="69" customWidth="1"/>
    <col min="3331" max="3331" width="16" style="69" customWidth="1"/>
    <col min="3332" max="3332" width="15.42578125" style="69" customWidth="1"/>
    <col min="3333" max="3333" width="23.42578125" style="69" customWidth="1"/>
    <col min="3334" max="3584" width="9.140625" style="69"/>
    <col min="3585" max="3585" width="52.85546875" style="69" customWidth="1"/>
    <col min="3586" max="3586" width="17.5703125" style="69" customWidth="1"/>
    <col min="3587" max="3587" width="16" style="69" customWidth="1"/>
    <col min="3588" max="3588" width="15.42578125" style="69" customWidth="1"/>
    <col min="3589" max="3589" width="23.42578125" style="69" customWidth="1"/>
    <col min="3590" max="3840" width="9.140625" style="69"/>
    <col min="3841" max="3841" width="52.85546875" style="69" customWidth="1"/>
    <col min="3842" max="3842" width="17.5703125" style="69" customWidth="1"/>
    <col min="3843" max="3843" width="16" style="69" customWidth="1"/>
    <col min="3844" max="3844" width="15.42578125" style="69" customWidth="1"/>
    <col min="3845" max="3845" width="23.42578125" style="69" customWidth="1"/>
    <col min="3846" max="4096" width="9.140625" style="69"/>
    <col min="4097" max="4097" width="52.85546875" style="69" customWidth="1"/>
    <col min="4098" max="4098" width="17.5703125" style="69" customWidth="1"/>
    <col min="4099" max="4099" width="16" style="69" customWidth="1"/>
    <col min="4100" max="4100" width="15.42578125" style="69" customWidth="1"/>
    <col min="4101" max="4101" width="23.42578125" style="69" customWidth="1"/>
    <col min="4102" max="4352" width="9.140625" style="69"/>
    <col min="4353" max="4353" width="52.85546875" style="69" customWidth="1"/>
    <col min="4354" max="4354" width="17.5703125" style="69" customWidth="1"/>
    <col min="4355" max="4355" width="16" style="69" customWidth="1"/>
    <col min="4356" max="4356" width="15.42578125" style="69" customWidth="1"/>
    <col min="4357" max="4357" width="23.42578125" style="69" customWidth="1"/>
    <col min="4358" max="4608" width="9.140625" style="69"/>
    <col min="4609" max="4609" width="52.85546875" style="69" customWidth="1"/>
    <col min="4610" max="4610" width="17.5703125" style="69" customWidth="1"/>
    <col min="4611" max="4611" width="16" style="69" customWidth="1"/>
    <col min="4612" max="4612" width="15.42578125" style="69" customWidth="1"/>
    <col min="4613" max="4613" width="23.42578125" style="69" customWidth="1"/>
    <col min="4614" max="4864" width="9.140625" style="69"/>
    <col min="4865" max="4865" width="52.85546875" style="69" customWidth="1"/>
    <col min="4866" max="4866" width="17.5703125" style="69" customWidth="1"/>
    <col min="4867" max="4867" width="16" style="69" customWidth="1"/>
    <col min="4868" max="4868" width="15.42578125" style="69" customWidth="1"/>
    <col min="4869" max="4869" width="23.42578125" style="69" customWidth="1"/>
    <col min="4870" max="5120" width="9.140625" style="69"/>
    <col min="5121" max="5121" width="52.85546875" style="69" customWidth="1"/>
    <col min="5122" max="5122" width="17.5703125" style="69" customWidth="1"/>
    <col min="5123" max="5123" width="16" style="69" customWidth="1"/>
    <col min="5124" max="5124" width="15.42578125" style="69" customWidth="1"/>
    <col min="5125" max="5125" width="23.42578125" style="69" customWidth="1"/>
    <col min="5126" max="5376" width="9.140625" style="69"/>
    <col min="5377" max="5377" width="52.85546875" style="69" customWidth="1"/>
    <col min="5378" max="5378" width="17.5703125" style="69" customWidth="1"/>
    <col min="5379" max="5379" width="16" style="69" customWidth="1"/>
    <col min="5380" max="5380" width="15.42578125" style="69" customWidth="1"/>
    <col min="5381" max="5381" width="23.42578125" style="69" customWidth="1"/>
    <col min="5382" max="5632" width="9.140625" style="69"/>
    <col min="5633" max="5633" width="52.85546875" style="69" customWidth="1"/>
    <col min="5634" max="5634" width="17.5703125" style="69" customWidth="1"/>
    <col min="5635" max="5635" width="16" style="69" customWidth="1"/>
    <col min="5636" max="5636" width="15.42578125" style="69" customWidth="1"/>
    <col min="5637" max="5637" width="23.42578125" style="69" customWidth="1"/>
    <col min="5638" max="5888" width="9.140625" style="69"/>
    <col min="5889" max="5889" width="52.85546875" style="69" customWidth="1"/>
    <col min="5890" max="5890" width="17.5703125" style="69" customWidth="1"/>
    <col min="5891" max="5891" width="16" style="69" customWidth="1"/>
    <col min="5892" max="5892" width="15.42578125" style="69" customWidth="1"/>
    <col min="5893" max="5893" width="23.42578125" style="69" customWidth="1"/>
    <col min="5894" max="6144" width="9.140625" style="69"/>
    <col min="6145" max="6145" width="52.85546875" style="69" customWidth="1"/>
    <col min="6146" max="6146" width="17.5703125" style="69" customWidth="1"/>
    <col min="6147" max="6147" width="16" style="69" customWidth="1"/>
    <col min="6148" max="6148" width="15.42578125" style="69" customWidth="1"/>
    <col min="6149" max="6149" width="23.42578125" style="69" customWidth="1"/>
    <col min="6150" max="6400" width="9.140625" style="69"/>
    <col min="6401" max="6401" width="52.85546875" style="69" customWidth="1"/>
    <col min="6402" max="6402" width="17.5703125" style="69" customWidth="1"/>
    <col min="6403" max="6403" width="16" style="69" customWidth="1"/>
    <col min="6404" max="6404" width="15.42578125" style="69" customWidth="1"/>
    <col min="6405" max="6405" width="23.42578125" style="69" customWidth="1"/>
    <col min="6406" max="6656" width="9.140625" style="69"/>
    <col min="6657" max="6657" width="52.85546875" style="69" customWidth="1"/>
    <col min="6658" max="6658" width="17.5703125" style="69" customWidth="1"/>
    <col min="6659" max="6659" width="16" style="69" customWidth="1"/>
    <col min="6660" max="6660" width="15.42578125" style="69" customWidth="1"/>
    <col min="6661" max="6661" width="23.42578125" style="69" customWidth="1"/>
    <col min="6662" max="6912" width="9.140625" style="69"/>
    <col min="6913" max="6913" width="52.85546875" style="69" customWidth="1"/>
    <col min="6914" max="6914" width="17.5703125" style="69" customWidth="1"/>
    <col min="6915" max="6915" width="16" style="69" customWidth="1"/>
    <col min="6916" max="6916" width="15.42578125" style="69" customWidth="1"/>
    <col min="6917" max="6917" width="23.42578125" style="69" customWidth="1"/>
    <col min="6918" max="7168" width="9.140625" style="69"/>
    <col min="7169" max="7169" width="52.85546875" style="69" customWidth="1"/>
    <col min="7170" max="7170" width="17.5703125" style="69" customWidth="1"/>
    <col min="7171" max="7171" width="16" style="69" customWidth="1"/>
    <col min="7172" max="7172" width="15.42578125" style="69" customWidth="1"/>
    <col min="7173" max="7173" width="23.42578125" style="69" customWidth="1"/>
    <col min="7174" max="7424" width="9.140625" style="69"/>
    <col min="7425" max="7425" width="52.85546875" style="69" customWidth="1"/>
    <col min="7426" max="7426" width="17.5703125" style="69" customWidth="1"/>
    <col min="7427" max="7427" width="16" style="69" customWidth="1"/>
    <col min="7428" max="7428" width="15.42578125" style="69" customWidth="1"/>
    <col min="7429" max="7429" width="23.42578125" style="69" customWidth="1"/>
    <col min="7430" max="7680" width="9.140625" style="69"/>
    <col min="7681" max="7681" width="52.85546875" style="69" customWidth="1"/>
    <col min="7682" max="7682" width="17.5703125" style="69" customWidth="1"/>
    <col min="7683" max="7683" width="16" style="69" customWidth="1"/>
    <col min="7684" max="7684" width="15.42578125" style="69" customWidth="1"/>
    <col min="7685" max="7685" width="23.42578125" style="69" customWidth="1"/>
    <col min="7686" max="7936" width="9.140625" style="69"/>
    <col min="7937" max="7937" width="52.85546875" style="69" customWidth="1"/>
    <col min="7938" max="7938" width="17.5703125" style="69" customWidth="1"/>
    <col min="7939" max="7939" width="16" style="69" customWidth="1"/>
    <col min="7940" max="7940" width="15.42578125" style="69" customWidth="1"/>
    <col min="7941" max="7941" width="23.42578125" style="69" customWidth="1"/>
    <col min="7942" max="8192" width="9.140625" style="69"/>
    <col min="8193" max="8193" width="52.85546875" style="69" customWidth="1"/>
    <col min="8194" max="8194" width="17.5703125" style="69" customWidth="1"/>
    <col min="8195" max="8195" width="16" style="69" customWidth="1"/>
    <col min="8196" max="8196" width="15.42578125" style="69" customWidth="1"/>
    <col min="8197" max="8197" width="23.42578125" style="69" customWidth="1"/>
    <col min="8198" max="8448" width="9.140625" style="69"/>
    <col min="8449" max="8449" width="52.85546875" style="69" customWidth="1"/>
    <col min="8450" max="8450" width="17.5703125" style="69" customWidth="1"/>
    <col min="8451" max="8451" width="16" style="69" customWidth="1"/>
    <col min="8452" max="8452" width="15.42578125" style="69" customWidth="1"/>
    <col min="8453" max="8453" width="23.42578125" style="69" customWidth="1"/>
    <col min="8454" max="8704" width="9.140625" style="69"/>
    <col min="8705" max="8705" width="52.85546875" style="69" customWidth="1"/>
    <col min="8706" max="8706" width="17.5703125" style="69" customWidth="1"/>
    <col min="8707" max="8707" width="16" style="69" customWidth="1"/>
    <col min="8708" max="8708" width="15.42578125" style="69" customWidth="1"/>
    <col min="8709" max="8709" width="23.42578125" style="69" customWidth="1"/>
    <col min="8710" max="8960" width="9.140625" style="69"/>
    <col min="8961" max="8961" width="52.85546875" style="69" customWidth="1"/>
    <col min="8962" max="8962" width="17.5703125" style="69" customWidth="1"/>
    <col min="8963" max="8963" width="16" style="69" customWidth="1"/>
    <col min="8964" max="8964" width="15.42578125" style="69" customWidth="1"/>
    <col min="8965" max="8965" width="23.42578125" style="69" customWidth="1"/>
    <col min="8966" max="9216" width="9.140625" style="69"/>
    <col min="9217" max="9217" width="52.85546875" style="69" customWidth="1"/>
    <col min="9218" max="9218" width="17.5703125" style="69" customWidth="1"/>
    <col min="9219" max="9219" width="16" style="69" customWidth="1"/>
    <col min="9220" max="9220" width="15.42578125" style="69" customWidth="1"/>
    <col min="9221" max="9221" width="23.42578125" style="69" customWidth="1"/>
    <col min="9222" max="9472" width="9.140625" style="69"/>
    <col min="9473" max="9473" width="52.85546875" style="69" customWidth="1"/>
    <col min="9474" max="9474" width="17.5703125" style="69" customWidth="1"/>
    <col min="9475" max="9475" width="16" style="69" customWidth="1"/>
    <col min="9476" max="9476" width="15.42578125" style="69" customWidth="1"/>
    <col min="9477" max="9477" width="23.42578125" style="69" customWidth="1"/>
    <col min="9478" max="9728" width="9.140625" style="69"/>
    <col min="9729" max="9729" width="52.85546875" style="69" customWidth="1"/>
    <col min="9730" max="9730" width="17.5703125" style="69" customWidth="1"/>
    <col min="9731" max="9731" width="16" style="69" customWidth="1"/>
    <col min="9732" max="9732" width="15.42578125" style="69" customWidth="1"/>
    <col min="9733" max="9733" width="23.42578125" style="69" customWidth="1"/>
    <col min="9734" max="9984" width="9.140625" style="69"/>
    <col min="9985" max="9985" width="52.85546875" style="69" customWidth="1"/>
    <col min="9986" max="9986" width="17.5703125" style="69" customWidth="1"/>
    <col min="9987" max="9987" width="16" style="69" customWidth="1"/>
    <col min="9988" max="9988" width="15.42578125" style="69" customWidth="1"/>
    <col min="9989" max="9989" width="23.42578125" style="69" customWidth="1"/>
    <col min="9990" max="10240" width="9.140625" style="69"/>
    <col min="10241" max="10241" width="52.85546875" style="69" customWidth="1"/>
    <col min="10242" max="10242" width="17.5703125" style="69" customWidth="1"/>
    <col min="10243" max="10243" width="16" style="69" customWidth="1"/>
    <col min="10244" max="10244" width="15.42578125" style="69" customWidth="1"/>
    <col min="10245" max="10245" width="23.42578125" style="69" customWidth="1"/>
    <col min="10246" max="10496" width="9.140625" style="69"/>
    <col min="10497" max="10497" width="52.85546875" style="69" customWidth="1"/>
    <col min="10498" max="10498" width="17.5703125" style="69" customWidth="1"/>
    <col min="10499" max="10499" width="16" style="69" customWidth="1"/>
    <col min="10500" max="10500" width="15.42578125" style="69" customWidth="1"/>
    <col min="10501" max="10501" width="23.42578125" style="69" customWidth="1"/>
    <col min="10502" max="10752" width="9.140625" style="69"/>
    <col min="10753" max="10753" width="52.85546875" style="69" customWidth="1"/>
    <col min="10754" max="10754" width="17.5703125" style="69" customWidth="1"/>
    <col min="10755" max="10755" width="16" style="69" customWidth="1"/>
    <col min="10756" max="10756" width="15.42578125" style="69" customWidth="1"/>
    <col min="10757" max="10757" width="23.42578125" style="69" customWidth="1"/>
    <col min="10758" max="11008" width="9.140625" style="69"/>
    <col min="11009" max="11009" width="52.85546875" style="69" customWidth="1"/>
    <col min="11010" max="11010" width="17.5703125" style="69" customWidth="1"/>
    <col min="11011" max="11011" width="16" style="69" customWidth="1"/>
    <col min="11012" max="11012" width="15.42578125" style="69" customWidth="1"/>
    <col min="11013" max="11013" width="23.42578125" style="69" customWidth="1"/>
    <col min="11014" max="11264" width="9.140625" style="69"/>
    <col min="11265" max="11265" width="52.85546875" style="69" customWidth="1"/>
    <col min="11266" max="11266" width="17.5703125" style="69" customWidth="1"/>
    <col min="11267" max="11267" width="16" style="69" customWidth="1"/>
    <col min="11268" max="11268" width="15.42578125" style="69" customWidth="1"/>
    <col min="11269" max="11269" width="23.42578125" style="69" customWidth="1"/>
    <col min="11270" max="11520" width="9.140625" style="69"/>
    <col min="11521" max="11521" width="52.85546875" style="69" customWidth="1"/>
    <col min="11522" max="11522" width="17.5703125" style="69" customWidth="1"/>
    <col min="11523" max="11523" width="16" style="69" customWidth="1"/>
    <col min="11524" max="11524" width="15.42578125" style="69" customWidth="1"/>
    <col min="11525" max="11525" width="23.42578125" style="69" customWidth="1"/>
    <col min="11526" max="11776" width="9.140625" style="69"/>
    <col min="11777" max="11777" width="52.85546875" style="69" customWidth="1"/>
    <col min="11778" max="11778" width="17.5703125" style="69" customWidth="1"/>
    <col min="11779" max="11779" width="16" style="69" customWidth="1"/>
    <col min="11780" max="11780" width="15.42578125" style="69" customWidth="1"/>
    <col min="11781" max="11781" width="23.42578125" style="69" customWidth="1"/>
    <col min="11782" max="12032" width="9.140625" style="69"/>
    <col min="12033" max="12033" width="52.85546875" style="69" customWidth="1"/>
    <col min="12034" max="12034" width="17.5703125" style="69" customWidth="1"/>
    <col min="12035" max="12035" width="16" style="69" customWidth="1"/>
    <col min="12036" max="12036" width="15.42578125" style="69" customWidth="1"/>
    <col min="12037" max="12037" width="23.42578125" style="69" customWidth="1"/>
    <col min="12038" max="12288" width="9.140625" style="69"/>
    <col min="12289" max="12289" width="52.85546875" style="69" customWidth="1"/>
    <col min="12290" max="12290" width="17.5703125" style="69" customWidth="1"/>
    <col min="12291" max="12291" width="16" style="69" customWidth="1"/>
    <col min="12292" max="12292" width="15.42578125" style="69" customWidth="1"/>
    <col min="12293" max="12293" width="23.42578125" style="69" customWidth="1"/>
    <col min="12294" max="12544" width="9.140625" style="69"/>
    <col min="12545" max="12545" width="52.85546875" style="69" customWidth="1"/>
    <col min="12546" max="12546" width="17.5703125" style="69" customWidth="1"/>
    <col min="12547" max="12547" width="16" style="69" customWidth="1"/>
    <col min="12548" max="12548" width="15.42578125" style="69" customWidth="1"/>
    <col min="12549" max="12549" width="23.42578125" style="69" customWidth="1"/>
    <col min="12550" max="12800" width="9.140625" style="69"/>
    <col min="12801" max="12801" width="52.85546875" style="69" customWidth="1"/>
    <col min="12802" max="12802" width="17.5703125" style="69" customWidth="1"/>
    <col min="12803" max="12803" width="16" style="69" customWidth="1"/>
    <col min="12804" max="12804" width="15.42578125" style="69" customWidth="1"/>
    <col min="12805" max="12805" width="23.42578125" style="69" customWidth="1"/>
    <col min="12806" max="13056" width="9.140625" style="69"/>
    <col min="13057" max="13057" width="52.85546875" style="69" customWidth="1"/>
    <col min="13058" max="13058" width="17.5703125" style="69" customWidth="1"/>
    <col min="13059" max="13059" width="16" style="69" customWidth="1"/>
    <col min="13060" max="13060" width="15.42578125" style="69" customWidth="1"/>
    <col min="13061" max="13061" width="23.42578125" style="69" customWidth="1"/>
    <col min="13062" max="13312" width="9.140625" style="69"/>
    <col min="13313" max="13313" width="52.85546875" style="69" customWidth="1"/>
    <col min="13314" max="13314" width="17.5703125" style="69" customWidth="1"/>
    <col min="13315" max="13315" width="16" style="69" customWidth="1"/>
    <col min="13316" max="13316" width="15.42578125" style="69" customWidth="1"/>
    <col min="13317" max="13317" width="23.42578125" style="69" customWidth="1"/>
    <col min="13318" max="13568" width="9.140625" style="69"/>
    <col min="13569" max="13569" width="52.85546875" style="69" customWidth="1"/>
    <col min="13570" max="13570" width="17.5703125" style="69" customWidth="1"/>
    <col min="13571" max="13571" width="16" style="69" customWidth="1"/>
    <col min="13572" max="13572" width="15.42578125" style="69" customWidth="1"/>
    <col min="13573" max="13573" width="23.42578125" style="69" customWidth="1"/>
    <col min="13574" max="13824" width="9.140625" style="69"/>
    <col min="13825" max="13825" width="52.85546875" style="69" customWidth="1"/>
    <col min="13826" max="13826" width="17.5703125" style="69" customWidth="1"/>
    <col min="13827" max="13827" width="16" style="69" customWidth="1"/>
    <col min="13828" max="13828" width="15.42578125" style="69" customWidth="1"/>
    <col min="13829" max="13829" width="23.42578125" style="69" customWidth="1"/>
    <col min="13830" max="14080" width="9.140625" style="69"/>
    <col min="14081" max="14081" width="52.85546875" style="69" customWidth="1"/>
    <col min="14082" max="14082" width="17.5703125" style="69" customWidth="1"/>
    <col min="14083" max="14083" width="16" style="69" customWidth="1"/>
    <col min="14084" max="14084" width="15.42578125" style="69" customWidth="1"/>
    <col min="14085" max="14085" width="23.42578125" style="69" customWidth="1"/>
    <col min="14086" max="14336" width="9.140625" style="69"/>
    <col min="14337" max="14337" width="52.85546875" style="69" customWidth="1"/>
    <col min="14338" max="14338" width="17.5703125" style="69" customWidth="1"/>
    <col min="14339" max="14339" width="16" style="69" customWidth="1"/>
    <col min="14340" max="14340" width="15.42578125" style="69" customWidth="1"/>
    <col min="14341" max="14341" width="23.42578125" style="69" customWidth="1"/>
    <col min="14342" max="14592" width="9.140625" style="69"/>
    <col min="14593" max="14593" width="52.85546875" style="69" customWidth="1"/>
    <col min="14594" max="14594" width="17.5703125" style="69" customWidth="1"/>
    <col min="14595" max="14595" width="16" style="69" customWidth="1"/>
    <col min="14596" max="14596" width="15.42578125" style="69" customWidth="1"/>
    <col min="14597" max="14597" width="23.42578125" style="69" customWidth="1"/>
    <col min="14598" max="14848" width="9.140625" style="69"/>
    <col min="14849" max="14849" width="52.85546875" style="69" customWidth="1"/>
    <col min="14850" max="14850" width="17.5703125" style="69" customWidth="1"/>
    <col min="14851" max="14851" width="16" style="69" customWidth="1"/>
    <col min="14852" max="14852" width="15.42578125" style="69" customWidth="1"/>
    <col min="14853" max="14853" width="23.42578125" style="69" customWidth="1"/>
    <col min="14854" max="15104" width="9.140625" style="69"/>
    <col min="15105" max="15105" width="52.85546875" style="69" customWidth="1"/>
    <col min="15106" max="15106" width="17.5703125" style="69" customWidth="1"/>
    <col min="15107" max="15107" width="16" style="69" customWidth="1"/>
    <col min="15108" max="15108" width="15.42578125" style="69" customWidth="1"/>
    <col min="15109" max="15109" width="23.42578125" style="69" customWidth="1"/>
    <col min="15110" max="15360" width="9.140625" style="69"/>
    <col min="15361" max="15361" width="52.85546875" style="69" customWidth="1"/>
    <col min="15362" max="15362" width="17.5703125" style="69" customWidth="1"/>
    <col min="15363" max="15363" width="16" style="69" customWidth="1"/>
    <col min="15364" max="15364" width="15.42578125" style="69" customWidth="1"/>
    <col min="15365" max="15365" width="23.42578125" style="69" customWidth="1"/>
    <col min="15366" max="15616" width="9.140625" style="69"/>
    <col min="15617" max="15617" width="52.85546875" style="69" customWidth="1"/>
    <col min="15618" max="15618" width="17.5703125" style="69" customWidth="1"/>
    <col min="15619" max="15619" width="16" style="69" customWidth="1"/>
    <col min="15620" max="15620" width="15.42578125" style="69" customWidth="1"/>
    <col min="15621" max="15621" width="23.42578125" style="69" customWidth="1"/>
    <col min="15622" max="15872" width="9.140625" style="69"/>
    <col min="15873" max="15873" width="52.85546875" style="69" customWidth="1"/>
    <col min="15874" max="15874" width="17.5703125" style="69" customWidth="1"/>
    <col min="15875" max="15875" width="16" style="69" customWidth="1"/>
    <col min="15876" max="15876" width="15.42578125" style="69" customWidth="1"/>
    <col min="15877" max="15877" width="23.42578125" style="69" customWidth="1"/>
    <col min="15878" max="16128" width="9.140625" style="69"/>
    <col min="16129" max="16129" width="52.85546875" style="69" customWidth="1"/>
    <col min="16130" max="16130" width="17.5703125" style="69" customWidth="1"/>
    <col min="16131" max="16131" width="16" style="69" customWidth="1"/>
    <col min="16132" max="16132" width="15.42578125" style="69" customWidth="1"/>
    <col min="16133" max="16133" width="23.42578125" style="69" customWidth="1"/>
    <col min="16134" max="16384" width="9.140625" style="69"/>
  </cols>
  <sheetData>
    <row r="1" spans="1:5" s="65" customFormat="1" ht="15.75" x14ac:dyDescent="0.25">
      <c r="A1" s="413" t="s">
        <v>225</v>
      </c>
      <c r="B1" s="414"/>
      <c r="C1" s="414"/>
      <c r="D1" s="414"/>
      <c r="E1" s="64"/>
    </row>
    <row r="2" spans="1:5" x14ac:dyDescent="0.25">
      <c r="A2" s="66"/>
      <c r="B2" s="67"/>
      <c r="C2" s="67"/>
      <c r="D2" s="67"/>
    </row>
    <row r="3" spans="1:5" s="72" customFormat="1" ht="72" x14ac:dyDescent="0.25">
      <c r="A3" s="356" t="s">
        <v>53</v>
      </c>
      <c r="B3" s="77" t="s">
        <v>226</v>
      </c>
      <c r="C3" s="77" t="s">
        <v>227</v>
      </c>
      <c r="D3" s="77" t="s">
        <v>228</v>
      </c>
      <c r="E3" s="77" t="s">
        <v>229</v>
      </c>
    </row>
    <row r="4" spans="1:5" s="72" customFormat="1" ht="12" x14ac:dyDescent="0.25">
      <c r="A4" s="356"/>
      <c r="B4" s="77" t="s">
        <v>230</v>
      </c>
      <c r="C4" s="77" t="s">
        <v>231</v>
      </c>
      <c r="D4" s="77" t="s">
        <v>231</v>
      </c>
      <c r="E4" s="77" t="s">
        <v>231</v>
      </c>
    </row>
    <row r="5" spans="1:5" x14ac:dyDescent="0.25">
      <c r="A5" s="56" t="s">
        <v>232</v>
      </c>
      <c r="B5" s="53">
        <f>700-593</f>
        <v>107</v>
      </c>
      <c r="C5" s="53"/>
      <c r="D5" s="53"/>
      <c r="E5" s="53"/>
    </row>
    <row r="6" spans="1:5" x14ac:dyDescent="0.2">
      <c r="A6" s="54" t="s">
        <v>233</v>
      </c>
      <c r="B6" s="53">
        <f>2800-2324</f>
        <v>476</v>
      </c>
      <c r="C6" s="53"/>
      <c r="D6" s="53"/>
      <c r="E6" s="53"/>
    </row>
    <row r="7" spans="1:5" x14ac:dyDescent="0.2">
      <c r="A7" s="55" t="s">
        <v>110</v>
      </c>
      <c r="B7" s="53"/>
      <c r="C7" s="53">
        <f>4135-150</f>
        <v>3985</v>
      </c>
      <c r="D7" s="53"/>
      <c r="E7" s="53"/>
    </row>
    <row r="8" spans="1:5" x14ac:dyDescent="0.2">
      <c r="A8" s="54" t="s">
        <v>111</v>
      </c>
      <c r="B8" s="53"/>
      <c r="C8" s="53">
        <f>1500+150</f>
        <v>1650</v>
      </c>
      <c r="D8" s="53"/>
      <c r="E8" s="53"/>
    </row>
    <row r="9" spans="1:5" s="65" customFormat="1" x14ac:dyDescent="0.2">
      <c r="A9" s="73" t="s">
        <v>234</v>
      </c>
      <c r="B9" s="58"/>
      <c r="C9" s="58"/>
      <c r="D9" s="58"/>
      <c r="E9" s="58"/>
    </row>
    <row r="10" spans="1:5" x14ac:dyDescent="0.2">
      <c r="A10" s="57" t="s">
        <v>235</v>
      </c>
      <c r="B10" s="53"/>
      <c r="C10" s="53"/>
      <c r="D10" s="53">
        <v>360</v>
      </c>
      <c r="E10" s="53"/>
    </row>
    <row r="11" spans="1:5" x14ac:dyDescent="0.2">
      <c r="A11" s="57" t="s">
        <v>236</v>
      </c>
      <c r="B11" s="53"/>
      <c r="C11" s="53"/>
      <c r="D11" s="53">
        <v>75</v>
      </c>
      <c r="E11" s="53"/>
    </row>
    <row r="12" spans="1:5" s="65" customFormat="1" x14ac:dyDescent="0.2">
      <c r="A12" s="74" t="s">
        <v>237</v>
      </c>
      <c r="B12" s="58"/>
      <c r="C12" s="58"/>
      <c r="D12" s="58"/>
      <c r="E12" s="58"/>
    </row>
    <row r="13" spans="1:5" x14ac:dyDescent="0.2">
      <c r="A13" s="57" t="s">
        <v>238</v>
      </c>
      <c r="B13" s="53"/>
      <c r="C13" s="53"/>
      <c r="D13" s="53"/>
      <c r="E13" s="53">
        <f>405+10</f>
        <v>415</v>
      </c>
    </row>
    <row r="14" spans="1:5" x14ac:dyDescent="0.2">
      <c r="A14" s="57" t="s">
        <v>151</v>
      </c>
      <c r="B14" s="53"/>
      <c r="C14" s="53"/>
      <c r="D14" s="53"/>
      <c r="E14" s="53">
        <f>4032+110</f>
        <v>4142</v>
      </c>
    </row>
    <row r="15" spans="1:5" x14ac:dyDescent="0.2">
      <c r="A15" s="57" t="s">
        <v>148</v>
      </c>
      <c r="B15" s="53"/>
      <c r="C15" s="53"/>
      <c r="D15" s="53"/>
      <c r="E15" s="53">
        <f>801+115</f>
        <v>916</v>
      </c>
    </row>
    <row r="16" spans="1:5" x14ac:dyDescent="0.2">
      <c r="A16" s="57" t="s">
        <v>155</v>
      </c>
      <c r="B16" s="53"/>
      <c r="C16" s="53"/>
      <c r="D16" s="53"/>
      <c r="E16" s="53">
        <v>774</v>
      </c>
    </row>
    <row r="17" spans="1:5" x14ac:dyDescent="0.2">
      <c r="A17" s="57" t="s">
        <v>157</v>
      </c>
      <c r="B17" s="53"/>
      <c r="C17" s="53"/>
      <c r="D17" s="53"/>
      <c r="E17" s="53">
        <f>1611+105</f>
        <v>1716</v>
      </c>
    </row>
    <row r="18" spans="1:5" x14ac:dyDescent="0.2">
      <c r="A18" s="82" t="s">
        <v>251</v>
      </c>
      <c r="B18" s="53"/>
      <c r="C18" s="53"/>
      <c r="D18" s="53"/>
      <c r="E18" s="53">
        <f>2403-340</f>
        <v>2063</v>
      </c>
    </row>
    <row r="19" spans="1:5" x14ac:dyDescent="0.25">
      <c r="A19" s="71" t="s">
        <v>68</v>
      </c>
      <c r="B19" s="58">
        <f>SUM(B5:B18)</f>
        <v>583</v>
      </c>
      <c r="C19" s="58">
        <f t="shared" ref="C19:E19" si="0">SUM(C5:C18)</f>
        <v>5635</v>
      </c>
      <c r="D19" s="58">
        <f t="shared" si="0"/>
        <v>435</v>
      </c>
      <c r="E19" s="58">
        <f t="shared" si="0"/>
        <v>10026</v>
      </c>
    </row>
  </sheetData>
  <mergeCells count="2">
    <mergeCell ref="A1:D1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zoomScale="130" zoomScaleNormal="130" workbookViewId="0">
      <pane xSplit="3" ySplit="7" topLeftCell="D170" activePane="bottomRight" state="frozen"/>
      <selection pane="topRight" activeCell="D1" sqref="D1"/>
      <selection pane="bottomLeft" activeCell="A8" sqref="A8"/>
      <selection pane="bottomRight" activeCell="H171" sqref="H171"/>
    </sheetView>
  </sheetViews>
  <sheetFormatPr defaultRowHeight="15" x14ac:dyDescent="0.25"/>
  <cols>
    <col min="1" max="1" width="4.28515625" style="83" customWidth="1"/>
    <col min="2" max="2" width="26.140625" style="85" customWidth="1"/>
    <col min="3" max="3" width="8.28515625" style="83" customWidth="1"/>
    <col min="4" max="5" width="7.7109375" style="83" customWidth="1"/>
    <col min="6" max="6" width="5.5703125" style="83" customWidth="1"/>
    <col min="7" max="7" width="8.85546875" style="83" customWidth="1"/>
    <col min="8" max="8" width="12.5703125" style="83" customWidth="1"/>
    <col min="9" max="9" width="10.5703125" style="83" customWidth="1"/>
    <col min="10" max="10" width="6" style="86" customWidth="1"/>
    <col min="11" max="11" width="6.5703125" style="83" customWidth="1"/>
    <col min="12" max="12" width="7" style="83" customWidth="1"/>
    <col min="13" max="13" width="6.85546875" style="83" customWidth="1"/>
    <col min="14" max="14" width="8" style="83" customWidth="1"/>
    <col min="15" max="15" width="8.140625" style="83" customWidth="1"/>
    <col min="16" max="16" width="11.7109375" style="83" customWidth="1"/>
    <col min="17" max="17" width="25.140625" style="83" customWidth="1"/>
    <col min="18" max="16384" width="9.140625" style="83"/>
  </cols>
  <sheetData>
    <row r="1" spans="1:16" x14ac:dyDescent="0.25">
      <c r="A1" s="423" t="s">
        <v>252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 x14ac:dyDescent="0.25">
      <c r="A2" s="84"/>
      <c r="O2" s="424" t="s">
        <v>253</v>
      </c>
      <c r="P2" s="424"/>
    </row>
    <row r="3" spans="1:16" s="87" customFormat="1" x14ac:dyDescent="0.25">
      <c r="A3" s="418" t="s">
        <v>0</v>
      </c>
      <c r="B3" s="418" t="s">
        <v>254</v>
      </c>
      <c r="C3" s="416" t="s">
        <v>255</v>
      </c>
      <c r="D3" s="418" t="s">
        <v>242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 s="87" customFormat="1" x14ac:dyDescent="0.25">
      <c r="A4" s="418"/>
      <c r="B4" s="418"/>
      <c r="C4" s="419"/>
      <c r="D4" s="418" t="s">
        <v>256</v>
      </c>
      <c r="E4" s="425" t="s">
        <v>257</v>
      </c>
      <c r="F4" s="426"/>
      <c r="G4" s="416" t="s">
        <v>258</v>
      </c>
      <c r="H4" s="416" t="s">
        <v>380</v>
      </c>
      <c r="I4" s="416" t="s">
        <v>509</v>
      </c>
      <c r="J4" s="418" t="s">
        <v>259</v>
      </c>
      <c r="K4" s="418" t="s">
        <v>242</v>
      </c>
      <c r="L4" s="418"/>
      <c r="M4" s="416" t="s">
        <v>260</v>
      </c>
      <c r="N4" s="416" t="s">
        <v>261</v>
      </c>
      <c r="O4" s="418" t="s">
        <v>262</v>
      </c>
      <c r="P4" s="418"/>
    </row>
    <row r="5" spans="1:16" s="87" customFormat="1" x14ac:dyDescent="0.25">
      <c r="A5" s="418"/>
      <c r="B5" s="418"/>
      <c r="C5" s="419"/>
      <c r="D5" s="418"/>
      <c r="E5" s="416" t="s">
        <v>263</v>
      </c>
      <c r="F5" s="416" t="s">
        <v>264</v>
      </c>
      <c r="G5" s="419"/>
      <c r="H5" s="419"/>
      <c r="I5" s="419"/>
      <c r="J5" s="418"/>
      <c r="K5" s="416" t="s">
        <v>265</v>
      </c>
      <c r="L5" s="416" t="s">
        <v>266</v>
      </c>
      <c r="M5" s="419"/>
      <c r="N5" s="419"/>
      <c r="O5" s="418"/>
      <c r="P5" s="418"/>
    </row>
    <row r="6" spans="1:16" s="87" customFormat="1" ht="30.75" customHeight="1" x14ac:dyDescent="0.25">
      <c r="A6" s="418"/>
      <c r="B6" s="418"/>
      <c r="C6" s="417"/>
      <c r="D6" s="418"/>
      <c r="E6" s="417"/>
      <c r="F6" s="417"/>
      <c r="G6" s="417"/>
      <c r="H6" s="417"/>
      <c r="I6" s="417"/>
      <c r="J6" s="418"/>
      <c r="K6" s="417"/>
      <c r="L6" s="417"/>
      <c r="M6" s="417"/>
      <c r="N6" s="417"/>
      <c r="O6" s="88" t="s">
        <v>267</v>
      </c>
      <c r="P6" s="88" t="s">
        <v>268</v>
      </c>
    </row>
    <row r="7" spans="1:16" s="87" customFormat="1" x14ac:dyDescent="0.2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</row>
    <row r="8" spans="1:16" s="92" customFormat="1" ht="12" x14ac:dyDescent="0.2">
      <c r="A8" s="89">
        <v>1</v>
      </c>
      <c r="B8" s="90" t="s">
        <v>1</v>
      </c>
      <c r="C8" s="91">
        <f t="shared" ref="C8:C72" si="0">D8+E8+F8+G8+H8+I8+J8+M8+N8+O8+P8</f>
        <v>155893</v>
      </c>
      <c r="D8" s="91">
        <v>19585</v>
      </c>
      <c r="E8" s="91">
        <v>10139</v>
      </c>
      <c r="F8" s="91">
        <v>2032</v>
      </c>
      <c r="G8" s="91">
        <v>529</v>
      </c>
      <c r="H8" s="91">
        <v>14212</v>
      </c>
      <c r="I8" s="91">
        <v>20506</v>
      </c>
      <c r="J8" s="91">
        <v>1464</v>
      </c>
      <c r="K8" s="91">
        <v>1025</v>
      </c>
      <c r="L8" s="91">
        <v>439</v>
      </c>
      <c r="M8" s="91"/>
      <c r="N8" s="91"/>
      <c r="O8" s="91">
        <v>7321</v>
      </c>
      <c r="P8" s="91">
        <v>80105</v>
      </c>
    </row>
    <row r="9" spans="1:16" s="92" customFormat="1" ht="16.5" x14ac:dyDescent="0.2">
      <c r="A9" s="89">
        <v>2</v>
      </c>
      <c r="B9" s="90" t="s">
        <v>269</v>
      </c>
      <c r="C9" s="91">
        <f t="shared" si="0"/>
        <v>6000</v>
      </c>
      <c r="D9" s="91"/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/>
      <c r="L9" s="91"/>
      <c r="M9" s="91"/>
      <c r="N9" s="91">
        <v>6000</v>
      </c>
      <c r="O9" s="91"/>
      <c r="P9" s="91">
        <v>0</v>
      </c>
    </row>
    <row r="10" spans="1:16" s="94" customFormat="1" ht="12" x14ac:dyDescent="0.2">
      <c r="A10" s="89">
        <v>3</v>
      </c>
      <c r="B10" s="93" t="s">
        <v>2</v>
      </c>
      <c r="C10" s="91">
        <f t="shared" si="0"/>
        <v>162202</v>
      </c>
      <c r="D10" s="91">
        <v>13219</v>
      </c>
      <c r="E10" s="91">
        <v>10964</v>
      </c>
      <c r="F10" s="91">
        <v>3065</v>
      </c>
      <c r="G10" s="91">
        <v>181</v>
      </c>
      <c r="H10" s="91">
        <v>14811</v>
      </c>
      <c r="I10" s="91">
        <v>18384</v>
      </c>
      <c r="J10" s="91">
        <v>1464</v>
      </c>
      <c r="K10" s="91">
        <v>1025</v>
      </c>
      <c r="L10" s="91">
        <v>439</v>
      </c>
      <c r="M10" s="91">
        <v>260</v>
      </c>
      <c r="N10" s="91"/>
      <c r="O10" s="91">
        <v>10325</v>
      </c>
      <c r="P10" s="91">
        <v>89529</v>
      </c>
    </row>
    <row r="11" spans="1:16" s="94" customFormat="1" ht="12" x14ac:dyDescent="0.2">
      <c r="A11" s="89">
        <v>4</v>
      </c>
      <c r="B11" s="93" t="s">
        <v>270</v>
      </c>
      <c r="C11" s="91">
        <f t="shared" si="0"/>
        <v>5340</v>
      </c>
      <c r="D11" s="91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/>
      <c r="L11" s="91"/>
      <c r="M11" s="91"/>
      <c r="N11" s="91">
        <v>5340</v>
      </c>
      <c r="O11" s="91"/>
      <c r="P11" s="91">
        <v>0</v>
      </c>
    </row>
    <row r="12" spans="1:16" s="94" customFormat="1" ht="12" x14ac:dyDescent="0.2">
      <c r="A12" s="415">
        <v>5</v>
      </c>
      <c r="B12" s="95" t="s">
        <v>3</v>
      </c>
      <c r="C12" s="91">
        <f t="shared" si="0"/>
        <v>382768</v>
      </c>
      <c r="D12" s="91">
        <v>34395</v>
      </c>
      <c r="E12" s="91">
        <v>26783</v>
      </c>
      <c r="F12" s="91">
        <v>8202</v>
      </c>
      <c r="G12" s="91">
        <v>253</v>
      </c>
      <c r="H12" s="91">
        <v>38416</v>
      </c>
      <c r="I12" s="91">
        <v>52417</v>
      </c>
      <c r="J12" s="91">
        <v>1464</v>
      </c>
      <c r="K12" s="91">
        <v>1025</v>
      </c>
      <c r="L12" s="91">
        <v>439</v>
      </c>
      <c r="M12" s="91"/>
      <c r="N12" s="91"/>
      <c r="O12" s="91">
        <v>48289</v>
      </c>
      <c r="P12" s="91">
        <v>172549</v>
      </c>
    </row>
    <row r="13" spans="1:16" s="94" customFormat="1" ht="24.75" x14ac:dyDescent="0.2">
      <c r="A13" s="415"/>
      <c r="B13" s="96" t="s">
        <v>271</v>
      </c>
      <c r="C13" s="91">
        <f t="shared" si="0"/>
        <v>48167</v>
      </c>
      <c r="D13" s="91"/>
      <c r="E13" s="91">
        <v>3515</v>
      </c>
      <c r="F13" s="91">
        <v>1094</v>
      </c>
      <c r="G13" s="91">
        <v>21</v>
      </c>
      <c r="H13" s="91">
        <v>5772</v>
      </c>
      <c r="I13" s="91">
        <v>4110</v>
      </c>
      <c r="J13" s="91">
        <v>0</v>
      </c>
      <c r="K13" s="91"/>
      <c r="L13" s="91"/>
      <c r="M13" s="91"/>
      <c r="N13" s="91"/>
      <c r="O13" s="91">
        <v>7920</v>
      </c>
      <c r="P13" s="91">
        <v>25735</v>
      </c>
    </row>
    <row r="14" spans="1:16" s="94" customFormat="1" ht="12" x14ac:dyDescent="0.2">
      <c r="A14" s="89">
        <v>6</v>
      </c>
      <c r="B14" s="93" t="s">
        <v>4</v>
      </c>
      <c r="C14" s="91">
        <f t="shared" si="0"/>
        <v>115240</v>
      </c>
      <c r="D14" s="91"/>
      <c r="E14" s="91">
        <v>9401</v>
      </c>
      <c r="F14" s="91">
        <v>2741</v>
      </c>
      <c r="G14" s="91">
        <v>270</v>
      </c>
      <c r="H14" s="91">
        <v>10557</v>
      </c>
      <c r="I14" s="91">
        <v>13964</v>
      </c>
      <c r="J14" s="91">
        <v>1464</v>
      </c>
      <c r="K14" s="91">
        <v>1025</v>
      </c>
      <c r="L14" s="91">
        <v>439</v>
      </c>
      <c r="M14" s="91"/>
      <c r="N14" s="91"/>
      <c r="O14" s="91">
        <v>17450</v>
      </c>
      <c r="P14" s="91">
        <v>59393</v>
      </c>
    </row>
    <row r="15" spans="1:16" s="94" customFormat="1" ht="12" x14ac:dyDescent="0.2">
      <c r="A15" s="89">
        <v>7</v>
      </c>
      <c r="B15" s="93" t="s">
        <v>5</v>
      </c>
      <c r="C15" s="91">
        <f t="shared" si="0"/>
        <v>46702</v>
      </c>
      <c r="D15" s="91"/>
      <c r="E15" s="91">
        <v>4289</v>
      </c>
      <c r="F15" s="91">
        <v>1139</v>
      </c>
      <c r="G15" s="91">
        <v>80</v>
      </c>
      <c r="H15" s="91">
        <v>6286</v>
      </c>
      <c r="I15" s="91">
        <v>6077</v>
      </c>
      <c r="J15" s="91">
        <v>0</v>
      </c>
      <c r="K15" s="91"/>
      <c r="L15" s="91"/>
      <c r="M15" s="91"/>
      <c r="N15" s="91"/>
      <c r="O15" s="91">
        <v>9750</v>
      </c>
      <c r="P15" s="91">
        <v>19081</v>
      </c>
    </row>
    <row r="16" spans="1:16" s="94" customFormat="1" ht="12" x14ac:dyDescent="0.2">
      <c r="A16" s="89">
        <v>8</v>
      </c>
      <c r="B16" s="93" t="s">
        <v>6</v>
      </c>
      <c r="C16" s="91">
        <f t="shared" si="0"/>
        <v>51519</v>
      </c>
      <c r="D16" s="91"/>
      <c r="E16" s="91">
        <v>4292</v>
      </c>
      <c r="F16" s="91">
        <v>1051</v>
      </c>
      <c r="G16" s="91">
        <v>120</v>
      </c>
      <c r="H16" s="91">
        <v>6602</v>
      </c>
      <c r="I16" s="91">
        <v>5412</v>
      </c>
      <c r="J16" s="91">
        <v>1464</v>
      </c>
      <c r="K16" s="91">
        <v>1025</v>
      </c>
      <c r="L16" s="91">
        <v>439</v>
      </c>
      <c r="M16" s="91"/>
      <c r="N16" s="91"/>
      <c r="O16" s="91">
        <v>6546</v>
      </c>
      <c r="P16" s="91">
        <v>26032</v>
      </c>
    </row>
    <row r="17" spans="1:16" s="94" customFormat="1" ht="12" x14ac:dyDescent="0.2">
      <c r="A17" s="89">
        <v>9</v>
      </c>
      <c r="B17" s="93" t="s">
        <v>7</v>
      </c>
      <c r="C17" s="91">
        <f t="shared" si="0"/>
        <v>57051</v>
      </c>
      <c r="D17" s="91"/>
      <c r="E17" s="91">
        <v>4846</v>
      </c>
      <c r="F17" s="91">
        <v>1465</v>
      </c>
      <c r="G17" s="91">
        <v>71</v>
      </c>
      <c r="H17" s="91">
        <v>7735</v>
      </c>
      <c r="I17" s="91">
        <v>5262</v>
      </c>
      <c r="J17" s="91">
        <v>0</v>
      </c>
      <c r="K17" s="91"/>
      <c r="L17" s="91"/>
      <c r="M17" s="91"/>
      <c r="N17" s="91"/>
      <c r="O17" s="91">
        <v>8579</v>
      </c>
      <c r="P17" s="91">
        <v>29093</v>
      </c>
    </row>
    <row r="18" spans="1:16" s="94" customFormat="1" ht="12" x14ac:dyDescent="0.2">
      <c r="A18" s="89">
        <v>10</v>
      </c>
      <c r="B18" s="93" t="s">
        <v>8</v>
      </c>
      <c r="C18" s="91">
        <f t="shared" si="0"/>
        <v>57875</v>
      </c>
      <c r="D18" s="91"/>
      <c r="E18" s="91">
        <v>4895</v>
      </c>
      <c r="F18" s="91">
        <v>1316</v>
      </c>
      <c r="G18" s="91">
        <v>67</v>
      </c>
      <c r="H18" s="91">
        <v>6536</v>
      </c>
      <c r="I18" s="91">
        <v>7412</v>
      </c>
      <c r="J18" s="91">
        <v>0</v>
      </c>
      <c r="K18" s="91"/>
      <c r="L18" s="91"/>
      <c r="M18" s="91"/>
      <c r="N18" s="91"/>
      <c r="O18" s="91">
        <v>10032</v>
      </c>
      <c r="P18" s="91">
        <v>27617</v>
      </c>
    </row>
    <row r="19" spans="1:16" s="94" customFormat="1" ht="12" x14ac:dyDescent="0.2">
      <c r="A19" s="89">
        <v>11</v>
      </c>
      <c r="B19" s="95" t="s">
        <v>9</v>
      </c>
      <c r="C19" s="91">
        <f t="shared" si="0"/>
        <v>61045</v>
      </c>
      <c r="D19" s="91"/>
      <c r="E19" s="91">
        <v>4571</v>
      </c>
      <c r="F19" s="91">
        <v>1321</v>
      </c>
      <c r="G19" s="91">
        <v>158</v>
      </c>
      <c r="H19" s="91">
        <v>6431</v>
      </c>
      <c r="I19" s="91">
        <v>7239</v>
      </c>
      <c r="J19" s="91">
        <v>0</v>
      </c>
      <c r="K19" s="91"/>
      <c r="L19" s="91"/>
      <c r="M19" s="91"/>
      <c r="N19" s="91"/>
      <c r="O19" s="91">
        <v>10188</v>
      </c>
      <c r="P19" s="91">
        <v>31137</v>
      </c>
    </row>
    <row r="20" spans="1:16" s="94" customFormat="1" ht="12" x14ac:dyDescent="0.2">
      <c r="A20" s="89">
        <v>12</v>
      </c>
      <c r="B20" s="93" t="s">
        <v>10</v>
      </c>
      <c r="C20" s="91">
        <f t="shared" si="0"/>
        <v>55894</v>
      </c>
      <c r="D20" s="91"/>
      <c r="E20" s="91">
        <v>4768</v>
      </c>
      <c r="F20" s="91">
        <v>1220</v>
      </c>
      <c r="G20" s="91">
        <v>55</v>
      </c>
      <c r="H20" s="91">
        <v>8106</v>
      </c>
      <c r="I20" s="91">
        <v>6465</v>
      </c>
      <c r="J20" s="91">
        <v>1464</v>
      </c>
      <c r="K20" s="91">
        <v>1025</v>
      </c>
      <c r="L20" s="91">
        <v>439</v>
      </c>
      <c r="M20" s="91"/>
      <c r="N20" s="91"/>
      <c r="O20" s="91">
        <v>9847</v>
      </c>
      <c r="P20" s="91">
        <v>23969</v>
      </c>
    </row>
    <row r="21" spans="1:16" s="94" customFormat="1" ht="12" x14ac:dyDescent="0.2">
      <c r="A21" s="89">
        <v>13</v>
      </c>
      <c r="B21" s="95" t="s">
        <v>54</v>
      </c>
      <c r="C21" s="91">
        <f t="shared" si="0"/>
        <v>71231</v>
      </c>
      <c r="D21" s="91"/>
      <c r="E21" s="91">
        <v>5942</v>
      </c>
      <c r="F21" s="91">
        <v>3276</v>
      </c>
      <c r="G21" s="91">
        <v>60</v>
      </c>
      <c r="H21" s="91">
        <v>11364</v>
      </c>
      <c r="I21" s="91">
        <v>7341</v>
      </c>
      <c r="J21" s="91">
        <v>0</v>
      </c>
      <c r="K21" s="91"/>
      <c r="L21" s="91"/>
      <c r="M21" s="91"/>
      <c r="N21" s="91"/>
      <c r="O21" s="91">
        <v>11356</v>
      </c>
      <c r="P21" s="91">
        <v>31892</v>
      </c>
    </row>
    <row r="22" spans="1:16" s="94" customFormat="1" ht="12" x14ac:dyDescent="0.2">
      <c r="A22" s="89">
        <v>14</v>
      </c>
      <c r="B22" s="93" t="s">
        <v>11</v>
      </c>
      <c r="C22" s="91">
        <f t="shared" si="0"/>
        <v>52965</v>
      </c>
      <c r="D22" s="91"/>
      <c r="E22" s="91">
        <v>4690</v>
      </c>
      <c r="F22" s="91">
        <v>1341</v>
      </c>
      <c r="G22" s="91">
        <v>92</v>
      </c>
      <c r="H22" s="91">
        <v>6089</v>
      </c>
      <c r="I22" s="91">
        <v>7198</v>
      </c>
      <c r="J22" s="91">
        <v>0</v>
      </c>
      <c r="K22" s="91"/>
      <c r="L22" s="91"/>
      <c r="M22" s="91"/>
      <c r="N22" s="91"/>
      <c r="O22" s="91">
        <v>7477</v>
      </c>
      <c r="P22" s="91">
        <v>26078</v>
      </c>
    </row>
    <row r="23" spans="1:16" s="94" customFormat="1" ht="12" x14ac:dyDescent="0.2">
      <c r="A23" s="89">
        <v>15</v>
      </c>
      <c r="B23" s="93" t="s">
        <v>272</v>
      </c>
      <c r="C23" s="91">
        <f t="shared" si="0"/>
        <v>0</v>
      </c>
      <c r="D23" s="91"/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/>
      <c r="L23" s="91"/>
      <c r="M23" s="91"/>
      <c r="N23" s="91">
        <v>0</v>
      </c>
      <c r="O23" s="91"/>
      <c r="P23" s="91">
        <v>0</v>
      </c>
    </row>
    <row r="24" spans="1:16" s="94" customFormat="1" ht="12" x14ac:dyDescent="0.2">
      <c r="A24" s="89">
        <v>16</v>
      </c>
      <c r="B24" s="93" t="s">
        <v>273</v>
      </c>
      <c r="C24" s="91">
        <f t="shared" si="0"/>
        <v>25</v>
      </c>
      <c r="D24" s="91"/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/>
      <c r="L24" s="91"/>
      <c r="M24" s="91"/>
      <c r="N24" s="91">
        <v>25</v>
      </c>
      <c r="O24" s="91"/>
      <c r="P24" s="91">
        <v>0</v>
      </c>
    </row>
    <row r="25" spans="1:16" s="94" customFormat="1" ht="12" x14ac:dyDescent="0.2">
      <c r="A25" s="89">
        <v>17</v>
      </c>
      <c r="B25" s="93" t="s">
        <v>274</v>
      </c>
      <c r="C25" s="91">
        <f t="shared" si="0"/>
        <v>25</v>
      </c>
      <c r="D25" s="91"/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/>
      <c r="L25" s="91"/>
      <c r="M25" s="91"/>
      <c r="N25" s="91">
        <v>25</v>
      </c>
      <c r="O25" s="91"/>
      <c r="P25" s="91">
        <v>0</v>
      </c>
    </row>
    <row r="26" spans="1:16" s="94" customFormat="1" ht="12" x14ac:dyDescent="0.2">
      <c r="A26" s="89">
        <v>18</v>
      </c>
      <c r="B26" s="93" t="s">
        <v>275</v>
      </c>
      <c r="C26" s="91">
        <f t="shared" si="0"/>
        <v>0</v>
      </c>
      <c r="D26" s="91"/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/>
      <c r="L26" s="91"/>
      <c r="M26" s="91"/>
      <c r="N26" s="91">
        <v>0</v>
      </c>
      <c r="O26" s="91"/>
      <c r="P26" s="91">
        <v>0</v>
      </c>
    </row>
    <row r="27" spans="1:16" s="94" customFormat="1" ht="12" x14ac:dyDescent="0.2">
      <c r="A27" s="89">
        <v>19</v>
      </c>
      <c r="B27" s="93" t="s">
        <v>276</v>
      </c>
      <c r="C27" s="91">
        <f t="shared" si="0"/>
        <v>100</v>
      </c>
      <c r="D27" s="91"/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/>
      <c r="L27" s="91"/>
      <c r="M27" s="91"/>
      <c r="N27" s="91">
        <v>100</v>
      </c>
      <c r="O27" s="91"/>
      <c r="P27" s="91">
        <v>0</v>
      </c>
    </row>
    <row r="28" spans="1:16" s="94" customFormat="1" ht="12" x14ac:dyDescent="0.2">
      <c r="A28" s="89">
        <v>20</v>
      </c>
      <c r="B28" s="93" t="s">
        <v>72</v>
      </c>
      <c r="C28" s="91">
        <f t="shared" si="0"/>
        <v>159804</v>
      </c>
      <c r="D28" s="91">
        <f>16608+178</f>
        <v>16786</v>
      </c>
      <c r="E28" s="91">
        <v>10353</v>
      </c>
      <c r="F28" s="91">
        <v>2472</v>
      </c>
      <c r="G28" s="91">
        <v>264</v>
      </c>
      <c r="H28" s="91">
        <v>9939</v>
      </c>
      <c r="I28" s="91">
        <v>24094</v>
      </c>
      <c r="J28" s="91">
        <v>1464</v>
      </c>
      <c r="K28" s="91">
        <v>1025</v>
      </c>
      <c r="L28" s="91">
        <v>439</v>
      </c>
      <c r="M28" s="91">
        <v>0</v>
      </c>
      <c r="N28" s="91"/>
      <c r="O28" s="91">
        <v>13219</v>
      </c>
      <c r="P28" s="91">
        <v>81213</v>
      </c>
    </row>
    <row r="29" spans="1:16" s="94" customFormat="1" ht="16.5" x14ac:dyDescent="0.2">
      <c r="A29" s="89">
        <v>21</v>
      </c>
      <c r="B29" s="97" t="s">
        <v>277</v>
      </c>
      <c r="C29" s="91">
        <f t="shared" si="0"/>
        <v>9821</v>
      </c>
      <c r="D29" s="91"/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/>
      <c r="L29" s="91"/>
      <c r="M29" s="91"/>
      <c r="N29" s="91">
        <v>9821</v>
      </c>
      <c r="O29" s="91"/>
      <c r="P29" s="91">
        <v>0</v>
      </c>
    </row>
    <row r="30" spans="1:16" s="94" customFormat="1" ht="12" x14ac:dyDescent="0.2">
      <c r="A30" s="89">
        <v>22</v>
      </c>
      <c r="B30" s="93" t="s">
        <v>12</v>
      </c>
      <c r="C30" s="91">
        <f t="shared" si="0"/>
        <v>136272</v>
      </c>
      <c r="D30" s="91"/>
      <c r="E30" s="91">
        <v>9989</v>
      </c>
      <c r="F30" s="91">
        <v>2461</v>
      </c>
      <c r="G30" s="91">
        <v>127</v>
      </c>
      <c r="H30" s="91">
        <v>10031</v>
      </c>
      <c r="I30" s="91">
        <v>20934</v>
      </c>
      <c r="J30" s="91">
        <v>0</v>
      </c>
      <c r="K30" s="91"/>
      <c r="L30" s="91"/>
      <c r="M30" s="91"/>
      <c r="N30" s="91"/>
      <c r="O30" s="91">
        <v>25083</v>
      </c>
      <c r="P30" s="91">
        <v>67647</v>
      </c>
    </row>
    <row r="31" spans="1:16" s="94" customFormat="1" ht="12" x14ac:dyDescent="0.2">
      <c r="A31" s="89">
        <v>23</v>
      </c>
      <c r="B31" s="93" t="s">
        <v>13</v>
      </c>
      <c r="C31" s="91">
        <f t="shared" si="0"/>
        <v>282030</v>
      </c>
      <c r="D31" s="91">
        <v>24500</v>
      </c>
      <c r="E31" s="91">
        <v>19576</v>
      </c>
      <c r="F31" s="91">
        <v>4203</v>
      </c>
      <c r="G31" s="91">
        <v>740</v>
      </c>
      <c r="H31" s="91">
        <v>25112</v>
      </c>
      <c r="I31" s="91">
        <v>33643</v>
      </c>
      <c r="J31" s="91">
        <v>1464</v>
      </c>
      <c r="K31" s="91">
        <v>1025</v>
      </c>
      <c r="L31" s="91">
        <v>439</v>
      </c>
      <c r="M31" s="91"/>
      <c r="N31" s="91"/>
      <c r="O31" s="91">
        <v>43085</v>
      </c>
      <c r="P31" s="91">
        <v>129707</v>
      </c>
    </row>
    <row r="32" spans="1:16" s="94" customFormat="1" ht="12" x14ac:dyDescent="0.2">
      <c r="A32" s="89">
        <v>24</v>
      </c>
      <c r="B32" s="93" t="s">
        <v>14</v>
      </c>
      <c r="C32" s="91">
        <f t="shared" si="0"/>
        <v>179113</v>
      </c>
      <c r="D32" s="91">
        <v>92</v>
      </c>
      <c r="E32" s="91">
        <v>14489</v>
      </c>
      <c r="F32" s="91">
        <v>6711</v>
      </c>
      <c r="G32" s="91">
        <v>300</v>
      </c>
      <c r="H32" s="91">
        <v>17155</v>
      </c>
      <c r="I32" s="91">
        <v>24682</v>
      </c>
      <c r="J32" s="91">
        <v>1464</v>
      </c>
      <c r="K32" s="91">
        <v>1025</v>
      </c>
      <c r="L32" s="91">
        <v>439</v>
      </c>
      <c r="M32" s="91"/>
      <c r="N32" s="91"/>
      <c r="O32" s="91">
        <v>33600</v>
      </c>
      <c r="P32" s="91">
        <v>80620</v>
      </c>
    </row>
    <row r="33" spans="1:16" s="94" customFormat="1" ht="12" x14ac:dyDescent="0.2">
      <c r="A33" s="89">
        <v>25</v>
      </c>
      <c r="B33" s="93" t="s">
        <v>278</v>
      </c>
      <c r="C33" s="91">
        <f t="shared" si="0"/>
        <v>39889</v>
      </c>
      <c r="D33" s="91"/>
      <c r="E33" s="91">
        <v>2929</v>
      </c>
      <c r="F33" s="91">
        <v>884</v>
      </c>
      <c r="G33" s="91">
        <v>46</v>
      </c>
      <c r="H33" s="91">
        <v>4222</v>
      </c>
      <c r="I33" s="91">
        <v>4044</v>
      </c>
      <c r="J33" s="91">
        <v>0</v>
      </c>
      <c r="K33" s="91"/>
      <c r="L33" s="91"/>
      <c r="M33" s="91"/>
      <c r="N33" s="91"/>
      <c r="O33" s="91">
        <v>11218</v>
      </c>
      <c r="P33" s="91">
        <v>16546</v>
      </c>
    </row>
    <row r="34" spans="1:16" s="94" customFormat="1" ht="12" x14ac:dyDescent="0.2">
      <c r="A34" s="89">
        <v>26</v>
      </c>
      <c r="B34" s="93" t="s">
        <v>15</v>
      </c>
      <c r="C34" s="91">
        <f t="shared" si="0"/>
        <v>69438</v>
      </c>
      <c r="D34" s="91"/>
      <c r="E34" s="91">
        <v>5736</v>
      </c>
      <c r="F34" s="91">
        <v>1568</v>
      </c>
      <c r="G34" s="91">
        <v>130</v>
      </c>
      <c r="H34" s="91">
        <v>7693</v>
      </c>
      <c r="I34" s="91">
        <v>10715</v>
      </c>
      <c r="J34" s="91">
        <v>0</v>
      </c>
      <c r="K34" s="91"/>
      <c r="L34" s="91"/>
      <c r="M34" s="91"/>
      <c r="N34" s="91"/>
      <c r="O34" s="91">
        <v>6863</v>
      </c>
      <c r="P34" s="91">
        <v>36733</v>
      </c>
    </row>
    <row r="35" spans="1:16" s="94" customFormat="1" ht="12" x14ac:dyDescent="0.2">
      <c r="A35" s="89">
        <v>27</v>
      </c>
      <c r="B35" s="93" t="s">
        <v>16</v>
      </c>
      <c r="C35" s="91">
        <f t="shared" si="0"/>
        <v>88050</v>
      </c>
      <c r="D35" s="91">
        <v>437</v>
      </c>
      <c r="E35" s="91">
        <v>7482</v>
      </c>
      <c r="F35" s="91">
        <v>2355</v>
      </c>
      <c r="G35" s="91">
        <v>306</v>
      </c>
      <c r="H35" s="91">
        <v>9477</v>
      </c>
      <c r="I35" s="91">
        <v>16204</v>
      </c>
      <c r="J35" s="91">
        <v>1464</v>
      </c>
      <c r="K35" s="91">
        <v>1025</v>
      </c>
      <c r="L35" s="91">
        <v>439</v>
      </c>
      <c r="M35" s="91"/>
      <c r="N35" s="91"/>
      <c r="O35" s="91">
        <v>12367</v>
      </c>
      <c r="P35" s="91">
        <v>37958</v>
      </c>
    </row>
    <row r="36" spans="1:16" s="94" customFormat="1" ht="12" x14ac:dyDescent="0.2">
      <c r="A36" s="89">
        <v>28</v>
      </c>
      <c r="B36" s="93" t="s">
        <v>17</v>
      </c>
      <c r="C36" s="91">
        <f t="shared" si="0"/>
        <v>37348</v>
      </c>
      <c r="D36" s="91">
        <v>353</v>
      </c>
      <c r="E36" s="91">
        <v>3071</v>
      </c>
      <c r="F36" s="91">
        <v>890</v>
      </c>
      <c r="G36" s="91">
        <v>30</v>
      </c>
      <c r="H36" s="91">
        <v>3705</v>
      </c>
      <c r="I36" s="91">
        <v>6780</v>
      </c>
      <c r="J36" s="91">
        <v>0</v>
      </c>
      <c r="K36" s="91"/>
      <c r="L36" s="91"/>
      <c r="M36" s="91"/>
      <c r="N36" s="91"/>
      <c r="O36" s="91">
        <v>7900</v>
      </c>
      <c r="P36" s="91">
        <v>14619</v>
      </c>
    </row>
    <row r="37" spans="1:16" s="94" customFormat="1" ht="12" x14ac:dyDescent="0.2">
      <c r="A37" s="89">
        <v>29</v>
      </c>
      <c r="B37" s="93" t="s">
        <v>18</v>
      </c>
      <c r="C37" s="91">
        <f t="shared" si="0"/>
        <v>31596</v>
      </c>
      <c r="D37" s="91"/>
      <c r="E37" s="91">
        <v>3044</v>
      </c>
      <c r="F37" s="91">
        <v>891</v>
      </c>
      <c r="G37" s="91">
        <v>209</v>
      </c>
      <c r="H37" s="91">
        <v>4828</v>
      </c>
      <c r="I37" s="91">
        <v>4581</v>
      </c>
      <c r="J37" s="91">
        <v>0</v>
      </c>
      <c r="K37" s="91"/>
      <c r="L37" s="91"/>
      <c r="M37" s="91"/>
      <c r="N37" s="91"/>
      <c r="O37" s="91">
        <v>5254</v>
      </c>
      <c r="P37" s="91">
        <v>12789</v>
      </c>
    </row>
    <row r="38" spans="1:16" s="94" customFormat="1" ht="12" x14ac:dyDescent="0.2">
      <c r="A38" s="89">
        <v>30</v>
      </c>
      <c r="B38" s="93" t="s">
        <v>279</v>
      </c>
      <c r="C38" s="91">
        <f t="shared" si="0"/>
        <v>2</v>
      </c>
      <c r="D38" s="91"/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/>
      <c r="L38" s="91"/>
      <c r="M38" s="91"/>
      <c r="N38" s="91">
        <v>2</v>
      </c>
      <c r="O38" s="91"/>
      <c r="P38" s="91">
        <v>0</v>
      </c>
    </row>
    <row r="39" spans="1:16" s="94" customFormat="1" ht="12" x14ac:dyDescent="0.2">
      <c r="A39" s="89">
        <v>31</v>
      </c>
      <c r="B39" s="93" t="s">
        <v>280</v>
      </c>
      <c r="C39" s="91">
        <f t="shared" si="0"/>
        <v>125895</v>
      </c>
      <c r="D39" s="91"/>
      <c r="E39" s="91">
        <v>13140</v>
      </c>
      <c r="F39" s="91">
        <v>3879</v>
      </c>
      <c r="G39" s="91">
        <v>0</v>
      </c>
      <c r="H39" s="91">
        <v>22135</v>
      </c>
      <c r="I39" s="91">
        <v>0</v>
      </c>
      <c r="J39" s="91">
        <v>0</v>
      </c>
      <c r="K39" s="91"/>
      <c r="L39" s="91"/>
      <c r="M39" s="91">
        <v>4238</v>
      </c>
      <c r="N39" s="91"/>
      <c r="O39" s="91">
        <f>13097+4115</f>
        <v>17212</v>
      </c>
      <c r="P39" s="91">
        <v>65291</v>
      </c>
    </row>
    <row r="40" spans="1:16" s="94" customFormat="1" ht="12" x14ac:dyDescent="0.2">
      <c r="A40" s="89">
        <v>32</v>
      </c>
      <c r="B40" s="93" t="s">
        <v>281</v>
      </c>
      <c r="C40" s="91">
        <f t="shared" si="0"/>
        <v>164471</v>
      </c>
      <c r="D40" s="91">
        <v>36640</v>
      </c>
      <c r="E40" s="91">
        <v>13837</v>
      </c>
      <c r="F40" s="91">
        <v>4163</v>
      </c>
      <c r="G40" s="91">
        <v>0</v>
      </c>
      <c r="H40" s="91">
        <v>26843</v>
      </c>
      <c r="I40" s="91">
        <v>0</v>
      </c>
      <c r="J40" s="91">
        <v>1464</v>
      </c>
      <c r="K40" s="91">
        <v>1025</v>
      </c>
      <c r="L40" s="91">
        <v>439</v>
      </c>
      <c r="M40" s="91"/>
      <c r="N40" s="91"/>
      <c r="O40" s="91">
        <v>28920</v>
      </c>
      <c r="P40" s="91">
        <v>52604</v>
      </c>
    </row>
    <row r="41" spans="1:16" s="94" customFormat="1" ht="12" x14ac:dyDescent="0.2">
      <c r="A41" s="89">
        <v>33</v>
      </c>
      <c r="B41" s="93" t="s">
        <v>282</v>
      </c>
      <c r="C41" s="91">
        <f t="shared" si="0"/>
        <v>146341</v>
      </c>
      <c r="D41" s="91"/>
      <c r="E41" s="91">
        <v>13584</v>
      </c>
      <c r="F41" s="91">
        <v>3679</v>
      </c>
      <c r="G41" s="91">
        <v>30</v>
      </c>
      <c r="H41" s="91">
        <v>23681</v>
      </c>
      <c r="I41" s="91">
        <v>13063</v>
      </c>
      <c r="J41" s="91">
        <v>1464</v>
      </c>
      <c r="K41" s="91">
        <v>1025</v>
      </c>
      <c r="L41" s="91">
        <v>439</v>
      </c>
      <c r="M41" s="91">
        <v>0</v>
      </c>
      <c r="N41" s="91"/>
      <c r="O41" s="91">
        <v>19000</v>
      </c>
      <c r="P41" s="91">
        <v>71840</v>
      </c>
    </row>
    <row r="42" spans="1:16" s="94" customFormat="1" ht="12" x14ac:dyDescent="0.2">
      <c r="A42" s="415">
        <v>34</v>
      </c>
      <c r="B42" s="93" t="s">
        <v>283</v>
      </c>
      <c r="C42" s="91">
        <f t="shared" si="0"/>
        <v>83042</v>
      </c>
      <c r="D42" s="91"/>
      <c r="E42" s="91">
        <v>5534</v>
      </c>
      <c r="F42" s="91">
        <v>1708</v>
      </c>
      <c r="G42" s="91">
        <v>4</v>
      </c>
      <c r="H42" s="91">
        <v>7132</v>
      </c>
      <c r="I42" s="91">
        <v>12985</v>
      </c>
      <c r="J42" s="91">
        <v>0</v>
      </c>
      <c r="K42" s="91"/>
      <c r="L42" s="91"/>
      <c r="M42" s="91">
        <v>4046</v>
      </c>
      <c r="N42" s="91"/>
      <c r="O42" s="91">
        <v>10825</v>
      </c>
      <c r="P42" s="91">
        <v>40808</v>
      </c>
    </row>
    <row r="43" spans="1:16" s="94" customFormat="1" ht="24.75" x14ac:dyDescent="0.2">
      <c r="A43" s="415"/>
      <c r="B43" s="96" t="s">
        <v>284</v>
      </c>
      <c r="C43" s="91">
        <f t="shared" si="0"/>
        <v>102385</v>
      </c>
      <c r="D43" s="91"/>
      <c r="E43" s="91">
        <v>7567</v>
      </c>
      <c r="F43" s="91">
        <v>2496</v>
      </c>
      <c r="G43" s="91">
        <v>60</v>
      </c>
      <c r="H43" s="91">
        <v>11916</v>
      </c>
      <c r="I43" s="91">
        <v>11793</v>
      </c>
      <c r="J43" s="91">
        <v>1464</v>
      </c>
      <c r="K43" s="91">
        <v>1025</v>
      </c>
      <c r="L43" s="91">
        <v>439</v>
      </c>
      <c r="M43" s="91"/>
      <c r="N43" s="91"/>
      <c r="O43" s="91">
        <v>11055</v>
      </c>
      <c r="P43" s="91">
        <v>56034</v>
      </c>
    </row>
    <row r="44" spans="1:16" s="94" customFormat="1" ht="16.5" x14ac:dyDescent="0.2">
      <c r="A44" s="89">
        <v>35</v>
      </c>
      <c r="B44" s="93" t="s">
        <v>285</v>
      </c>
      <c r="C44" s="91">
        <f t="shared" si="0"/>
        <v>1600</v>
      </c>
      <c r="D44" s="91"/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/>
      <c r="L44" s="91"/>
      <c r="M44" s="91">
        <v>1600</v>
      </c>
      <c r="N44" s="91"/>
      <c r="O44" s="91"/>
      <c r="P44" s="91">
        <v>0</v>
      </c>
    </row>
    <row r="45" spans="1:16" s="94" customFormat="1" ht="12" x14ac:dyDescent="0.2">
      <c r="A45" s="89">
        <v>36</v>
      </c>
      <c r="B45" s="93" t="s">
        <v>286</v>
      </c>
      <c r="C45" s="91">
        <f t="shared" si="0"/>
        <v>156916</v>
      </c>
      <c r="D45" s="91">
        <v>11215</v>
      </c>
      <c r="E45" s="91">
        <v>0</v>
      </c>
      <c r="F45" s="91">
        <v>0</v>
      </c>
      <c r="G45" s="91">
        <v>295</v>
      </c>
      <c r="H45" s="91">
        <v>0</v>
      </c>
      <c r="I45" s="91">
        <v>67686</v>
      </c>
      <c r="J45" s="91">
        <v>0</v>
      </c>
      <c r="K45" s="91"/>
      <c r="L45" s="91"/>
      <c r="M45" s="91">
        <v>2430</v>
      </c>
      <c r="N45" s="91"/>
      <c r="O45" s="91">
        <v>3609</v>
      </c>
      <c r="P45" s="91">
        <v>71681</v>
      </c>
    </row>
    <row r="46" spans="1:16" s="94" customFormat="1" ht="16.5" x14ac:dyDescent="0.2">
      <c r="A46" s="89">
        <v>37</v>
      </c>
      <c r="B46" s="93" t="s">
        <v>287</v>
      </c>
      <c r="C46" s="91">
        <f t="shared" si="0"/>
        <v>12000</v>
      </c>
      <c r="D46" s="91"/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/>
      <c r="L46" s="91"/>
      <c r="M46" s="91"/>
      <c r="N46" s="91">
        <f>11500+500</f>
        <v>12000</v>
      </c>
      <c r="O46" s="91"/>
      <c r="P46" s="91">
        <v>0</v>
      </c>
    </row>
    <row r="47" spans="1:16" s="94" customFormat="1" ht="12" x14ac:dyDescent="0.2">
      <c r="A47" s="89">
        <v>38</v>
      </c>
      <c r="B47" s="93" t="s">
        <v>288</v>
      </c>
      <c r="C47" s="91">
        <f t="shared" si="0"/>
        <v>10266</v>
      </c>
      <c r="D47" s="91"/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/>
      <c r="L47" s="91"/>
      <c r="M47" s="91"/>
      <c r="N47" s="91">
        <v>10266</v>
      </c>
      <c r="O47" s="91">
        <v>0</v>
      </c>
      <c r="P47" s="91">
        <v>0</v>
      </c>
    </row>
    <row r="48" spans="1:16" s="94" customFormat="1" ht="12" x14ac:dyDescent="0.2">
      <c r="A48" s="420">
        <v>39</v>
      </c>
      <c r="B48" s="93" t="s">
        <v>73</v>
      </c>
      <c r="C48" s="91">
        <f t="shared" si="0"/>
        <v>234702</v>
      </c>
      <c r="D48" s="91">
        <v>22132</v>
      </c>
      <c r="E48" s="91">
        <v>26907</v>
      </c>
      <c r="F48" s="91">
        <v>7156</v>
      </c>
      <c r="G48" s="91">
        <v>0</v>
      </c>
      <c r="H48" s="91">
        <v>41808</v>
      </c>
      <c r="I48" s="91">
        <v>0</v>
      </c>
      <c r="J48" s="91">
        <v>1464</v>
      </c>
      <c r="K48" s="91">
        <v>1025</v>
      </c>
      <c r="L48" s="91">
        <v>439</v>
      </c>
      <c r="M48" s="91"/>
      <c r="N48" s="91"/>
      <c r="O48" s="91">
        <f>16500+11000-11000</f>
        <v>16500</v>
      </c>
      <c r="P48" s="91">
        <v>118735</v>
      </c>
    </row>
    <row r="49" spans="1:16" s="94" customFormat="1" ht="24.75" x14ac:dyDescent="0.2">
      <c r="A49" s="421"/>
      <c r="B49" s="96" t="s">
        <v>289</v>
      </c>
      <c r="C49" s="91">
        <f t="shared" si="0"/>
        <v>77338</v>
      </c>
      <c r="D49" s="91"/>
      <c r="E49" s="91">
        <v>0</v>
      </c>
      <c r="F49" s="91">
        <v>0</v>
      </c>
      <c r="G49" s="91">
        <v>200</v>
      </c>
      <c r="H49" s="91">
        <v>0</v>
      </c>
      <c r="I49" s="91">
        <v>43201</v>
      </c>
      <c r="J49" s="91">
        <v>0</v>
      </c>
      <c r="K49" s="91"/>
      <c r="L49" s="91"/>
      <c r="M49" s="91"/>
      <c r="N49" s="91"/>
      <c r="O49" s="91">
        <v>8093</v>
      </c>
      <c r="P49" s="91">
        <v>25844</v>
      </c>
    </row>
    <row r="50" spans="1:16" s="94" customFormat="1" ht="16.5" x14ac:dyDescent="0.2">
      <c r="A50" s="422"/>
      <c r="B50" s="96" t="s">
        <v>290</v>
      </c>
      <c r="C50" s="91">
        <f t="shared" si="0"/>
        <v>11000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>
        <v>11000</v>
      </c>
      <c r="P50" s="91"/>
    </row>
    <row r="51" spans="1:16" s="98" customFormat="1" ht="16.5" x14ac:dyDescent="0.2">
      <c r="A51" s="89">
        <v>40</v>
      </c>
      <c r="B51" s="93" t="s">
        <v>291</v>
      </c>
      <c r="C51" s="91">
        <f t="shared" si="0"/>
        <v>16800</v>
      </c>
      <c r="D51" s="91"/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/>
      <c r="L51" s="91"/>
      <c r="M51" s="91"/>
      <c r="N51" s="91">
        <v>16800</v>
      </c>
      <c r="O51" s="91"/>
      <c r="P51" s="91">
        <v>0</v>
      </c>
    </row>
    <row r="52" spans="1:16" s="94" customFormat="1" ht="12" x14ac:dyDescent="0.2">
      <c r="A52" s="89">
        <v>41</v>
      </c>
      <c r="B52" s="93" t="s">
        <v>292</v>
      </c>
      <c r="C52" s="91">
        <f t="shared" si="0"/>
        <v>11900</v>
      </c>
      <c r="D52" s="91"/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/>
      <c r="L52" s="91"/>
      <c r="M52" s="91"/>
      <c r="N52" s="91">
        <v>11900</v>
      </c>
      <c r="O52" s="91"/>
      <c r="P52" s="91">
        <v>0</v>
      </c>
    </row>
    <row r="53" spans="1:16" s="94" customFormat="1" ht="12" x14ac:dyDescent="0.2">
      <c r="A53" s="415">
        <v>42</v>
      </c>
      <c r="B53" s="93" t="s">
        <v>74</v>
      </c>
      <c r="C53" s="91">
        <f t="shared" si="0"/>
        <v>177604</v>
      </c>
      <c r="D53" s="91">
        <v>20048</v>
      </c>
      <c r="E53" s="91">
        <v>13205</v>
      </c>
      <c r="F53" s="91">
        <v>2983</v>
      </c>
      <c r="G53" s="91">
        <v>236</v>
      </c>
      <c r="H53" s="91">
        <v>14994</v>
      </c>
      <c r="I53" s="91">
        <v>20153</v>
      </c>
      <c r="J53" s="91">
        <v>1464</v>
      </c>
      <c r="K53" s="91">
        <v>1025</v>
      </c>
      <c r="L53" s="91">
        <v>439</v>
      </c>
      <c r="M53" s="91"/>
      <c r="N53" s="91"/>
      <c r="O53" s="91">
        <v>25080</v>
      </c>
      <c r="P53" s="91">
        <v>79441</v>
      </c>
    </row>
    <row r="54" spans="1:16" s="94" customFormat="1" ht="24.75" x14ac:dyDescent="0.2">
      <c r="A54" s="415"/>
      <c r="B54" s="96" t="s">
        <v>293</v>
      </c>
      <c r="C54" s="91">
        <f t="shared" si="0"/>
        <v>60867</v>
      </c>
      <c r="D54" s="91"/>
      <c r="E54" s="91">
        <v>4546</v>
      </c>
      <c r="F54" s="91">
        <v>1336</v>
      </c>
      <c r="G54" s="91">
        <v>112</v>
      </c>
      <c r="H54" s="91">
        <v>6238</v>
      </c>
      <c r="I54" s="91">
        <v>6656</v>
      </c>
      <c r="J54" s="91">
        <v>0</v>
      </c>
      <c r="K54" s="91"/>
      <c r="L54" s="91"/>
      <c r="M54" s="91"/>
      <c r="N54" s="91"/>
      <c r="O54" s="91">
        <v>6835</v>
      </c>
      <c r="P54" s="91">
        <v>35144</v>
      </c>
    </row>
    <row r="55" spans="1:16" s="94" customFormat="1" ht="12" x14ac:dyDescent="0.2">
      <c r="A55" s="89">
        <v>43</v>
      </c>
      <c r="B55" s="93" t="s">
        <v>19</v>
      </c>
      <c r="C55" s="91">
        <f t="shared" si="0"/>
        <v>224091</v>
      </c>
      <c r="D55" s="91">
        <f>8695-1566</f>
        <v>7129</v>
      </c>
      <c r="E55" s="91">
        <v>17787</v>
      </c>
      <c r="F55" s="91">
        <v>4767</v>
      </c>
      <c r="G55" s="91">
        <v>347</v>
      </c>
      <c r="H55" s="91">
        <v>19283</v>
      </c>
      <c r="I55" s="91">
        <v>28282</v>
      </c>
      <c r="J55" s="91">
        <v>0</v>
      </c>
      <c r="K55" s="91"/>
      <c r="L55" s="91"/>
      <c r="M55" s="91"/>
      <c r="N55" s="91"/>
      <c r="O55" s="91">
        <v>39139</v>
      </c>
      <c r="P55" s="91">
        <v>107357</v>
      </c>
    </row>
    <row r="56" spans="1:16" s="94" customFormat="1" ht="12" x14ac:dyDescent="0.2">
      <c r="A56" s="89">
        <v>44</v>
      </c>
      <c r="B56" s="93" t="s">
        <v>20</v>
      </c>
      <c r="C56" s="91">
        <f t="shared" si="0"/>
        <v>215012</v>
      </c>
      <c r="D56" s="91"/>
      <c r="E56" s="91">
        <v>17441</v>
      </c>
      <c r="F56" s="91">
        <v>4435</v>
      </c>
      <c r="G56" s="91">
        <v>373</v>
      </c>
      <c r="H56" s="91">
        <v>24064</v>
      </c>
      <c r="I56" s="91">
        <v>28199</v>
      </c>
      <c r="J56" s="91">
        <v>1464</v>
      </c>
      <c r="K56" s="91">
        <v>1025</v>
      </c>
      <c r="L56" s="91">
        <v>439</v>
      </c>
      <c r="M56" s="91"/>
      <c r="N56" s="91"/>
      <c r="O56" s="91">
        <v>28122</v>
      </c>
      <c r="P56" s="91">
        <v>110914</v>
      </c>
    </row>
    <row r="57" spans="1:16" s="94" customFormat="1" ht="12" x14ac:dyDescent="0.2">
      <c r="A57" s="89">
        <v>45</v>
      </c>
      <c r="B57" s="93" t="s">
        <v>21</v>
      </c>
      <c r="C57" s="91">
        <f t="shared" si="0"/>
        <v>60584</v>
      </c>
      <c r="D57" s="91"/>
      <c r="E57" s="91">
        <v>5426</v>
      </c>
      <c r="F57" s="91">
        <v>1395</v>
      </c>
      <c r="G57" s="91">
        <v>25</v>
      </c>
      <c r="H57" s="91">
        <v>8073</v>
      </c>
      <c r="I57" s="91">
        <v>8719</v>
      </c>
      <c r="J57" s="91">
        <v>0</v>
      </c>
      <c r="K57" s="91"/>
      <c r="L57" s="91"/>
      <c r="M57" s="91"/>
      <c r="N57" s="91"/>
      <c r="O57" s="91">
        <v>11492</v>
      </c>
      <c r="P57" s="91">
        <v>25454</v>
      </c>
    </row>
    <row r="58" spans="1:16" s="94" customFormat="1" ht="12" x14ac:dyDescent="0.2">
      <c r="A58" s="89">
        <v>46</v>
      </c>
      <c r="B58" s="93" t="s">
        <v>22</v>
      </c>
      <c r="C58" s="91">
        <f t="shared" si="0"/>
        <v>78778</v>
      </c>
      <c r="D58" s="91"/>
      <c r="E58" s="91">
        <v>5419</v>
      </c>
      <c r="F58" s="91">
        <v>1109</v>
      </c>
      <c r="G58" s="91">
        <v>90</v>
      </c>
      <c r="H58" s="91">
        <v>8351</v>
      </c>
      <c r="I58" s="91">
        <v>10562</v>
      </c>
      <c r="J58" s="91">
        <v>0</v>
      </c>
      <c r="K58" s="91"/>
      <c r="L58" s="91"/>
      <c r="M58" s="91"/>
      <c r="N58" s="91"/>
      <c r="O58" s="91">
        <v>10077</v>
      </c>
      <c r="P58" s="91">
        <v>43170</v>
      </c>
    </row>
    <row r="59" spans="1:16" s="98" customFormat="1" ht="11.25" x14ac:dyDescent="0.2">
      <c r="A59" s="89">
        <v>47</v>
      </c>
      <c r="B59" s="93" t="s">
        <v>23</v>
      </c>
      <c r="C59" s="91">
        <f t="shared" si="0"/>
        <v>70792</v>
      </c>
      <c r="D59" s="91"/>
      <c r="E59" s="91">
        <v>5945</v>
      </c>
      <c r="F59" s="91">
        <v>1201</v>
      </c>
      <c r="G59" s="91">
        <v>53</v>
      </c>
      <c r="H59" s="91">
        <v>6910</v>
      </c>
      <c r="I59" s="91">
        <v>9483</v>
      </c>
      <c r="J59" s="91">
        <v>0</v>
      </c>
      <c r="K59" s="91"/>
      <c r="L59" s="91"/>
      <c r="M59" s="91"/>
      <c r="N59" s="91"/>
      <c r="O59" s="91">
        <v>9008</v>
      </c>
      <c r="P59" s="91">
        <v>38192</v>
      </c>
    </row>
    <row r="60" spans="1:16" s="94" customFormat="1" ht="12" x14ac:dyDescent="0.2">
      <c r="A60" s="89">
        <v>48</v>
      </c>
      <c r="B60" s="93" t="s">
        <v>24</v>
      </c>
      <c r="C60" s="91">
        <f t="shared" si="0"/>
        <v>46223</v>
      </c>
      <c r="D60" s="91"/>
      <c r="E60" s="91">
        <v>4405</v>
      </c>
      <c r="F60" s="91">
        <v>1122</v>
      </c>
      <c r="G60" s="91">
        <v>184</v>
      </c>
      <c r="H60" s="91">
        <v>6659</v>
      </c>
      <c r="I60" s="91">
        <v>5093</v>
      </c>
      <c r="J60" s="91">
        <v>0</v>
      </c>
      <c r="K60" s="91"/>
      <c r="L60" s="91"/>
      <c r="M60" s="91"/>
      <c r="N60" s="91"/>
      <c r="O60" s="91">
        <v>5707</v>
      </c>
      <c r="P60" s="91">
        <v>23053</v>
      </c>
    </row>
    <row r="61" spans="1:16" s="94" customFormat="1" ht="12" x14ac:dyDescent="0.2">
      <c r="A61" s="89">
        <v>49</v>
      </c>
      <c r="B61" s="93" t="s">
        <v>25</v>
      </c>
      <c r="C61" s="91">
        <f t="shared" si="0"/>
        <v>85085</v>
      </c>
      <c r="D61" s="91"/>
      <c r="E61" s="91">
        <v>7260</v>
      </c>
      <c r="F61" s="91">
        <v>1993</v>
      </c>
      <c r="G61" s="91">
        <v>118</v>
      </c>
      <c r="H61" s="91">
        <v>9359</v>
      </c>
      <c r="I61" s="91">
        <v>8522</v>
      </c>
      <c r="J61" s="91">
        <v>0</v>
      </c>
      <c r="K61" s="91"/>
      <c r="L61" s="91"/>
      <c r="M61" s="91"/>
      <c r="N61" s="91"/>
      <c r="O61" s="91">
        <v>7165</v>
      </c>
      <c r="P61" s="91">
        <v>50668</v>
      </c>
    </row>
    <row r="62" spans="1:16" s="98" customFormat="1" ht="11.25" x14ac:dyDescent="0.2">
      <c r="A62" s="89">
        <v>50</v>
      </c>
      <c r="B62" s="93" t="s">
        <v>26</v>
      </c>
      <c r="C62" s="91">
        <f t="shared" si="0"/>
        <v>38800</v>
      </c>
      <c r="D62" s="91"/>
      <c r="E62" s="91">
        <v>3518</v>
      </c>
      <c r="F62" s="91">
        <v>821</v>
      </c>
      <c r="G62" s="91">
        <v>71</v>
      </c>
      <c r="H62" s="91">
        <v>5010</v>
      </c>
      <c r="I62" s="91">
        <v>3610</v>
      </c>
      <c r="J62" s="91">
        <v>0</v>
      </c>
      <c r="K62" s="91"/>
      <c r="L62" s="91"/>
      <c r="M62" s="91"/>
      <c r="N62" s="91"/>
      <c r="O62" s="91">
        <v>5988</v>
      </c>
      <c r="P62" s="91">
        <v>19782</v>
      </c>
    </row>
    <row r="63" spans="1:16" s="94" customFormat="1" ht="16.5" x14ac:dyDescent="0.2">
      <c r="A63" s="89">
        <v>51</v>
      </c>
      <c r="B63" s="93" t="s">
        <v>294</v>
      </c>
      <c r="C63" s="91">
        <f t="shared" si="0"/>
        <v>17094</v>
      </c>
      <c r="D63" s="91"/>
      <c r="E63" s="91">
        <v>2189</v>
      </c>
      <c r="F63" s="91">
        <v>515</v>
      </c>
      <c r="G63" s="91">
        <v>0</v>
      </c>
      <c r="H63" s="91">
        <v>3475</v>
      </c>
      <c r="I63" s="91">
        <v>0</v>
      </c>
      <c r="J63" s="91">
        <v>0</v>
      </c>
      <c r="K63" s="91"/>
      <c r="L63" s="91"/>
      <c r="M63" s="91"/>
      <c r="N63" s="91"/>
      <c r="O63" s="91">
        <v>839</v>
      </c>
      <c r="P63" s="91">
        <v>10076</v>
      </c>
    </row>
    <row r="64" spans="1:16" s="94" customFormat="1" ht="12" x14ac:dyDescent="0.2">
      <c r="A64" s="89">
        <v>52</v>
      </c>
      <c r="B64" s="93" t="s">
        <v>57</v>
      </c>
      <c r="C64" s="91">
        <f t="shared" si="0"/>
        <v>11000</v>
      </c>
      <c r="D64" s="91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/>
      <c r="L64" s="91"/>
      <c r="M64" s="91"/>
      <c r="N64" s="91">
        <f>22000-11000</f>
        <v>11000</v>
      </c>
      <c r="O64" s="91"/>
      <c r="P64" s="91">
        <v>0</v>
      </c>
    </row>
    <row r="65" spans="1:16" s="94" customFormat="1" ht="12" x14ac:dyDescent="0.2">
      <c r="A65" s="89">
        <v>53</v>
      </c>
      <c r="B65" s="93" t="s">
        <v>295</v>
      </c>
      <c r="C65" s="91">
        <f t="shared" si="0"/>
        <v>31724</v>
      </c>
      <c r="D65" s="91"/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/>
      <c r="L65" s="91"/>
      <c r="M65" s="91"/>
      <c r="N65" s="91"/>
      <c r="O65" s="91">
        <v>4600</v>
      </c>
      <c r="P65" s="91">
        <v>27124</v>
      </c>
    </row>
    <row r="66" spans="1:16" s="94" customFormat="1" ht="12" x14ac:dyDescent="0.2">
      <c r="A66" s="89">
        <v>54</v>
      </c>
      <c r="B66" s="90" t="s">
        <v>27</v>
      </c>
      <c r="C66" s="91">
        <f t="shared" si="0"/>
        <v>332134</v>
      </c>
      <c r="D66" s="91">
        <v>4721</v>
      </c>
      <c r="E66" s="91">
        <v>25389</v>
      </c>
      <c r="F66" s="91">
        <v>7380</v>
      </c>
      <c r="G66" s="91">
        <v>729</v>
      </c>
      <c r="H66" s="91">
        <v>39481</v>
      </c>
      <c r="I66" s="91">
        <v>45673</v>
      </c>
      <c r="J66" s="91">
        <v>1464</v>
      </c>
      <c r="K66" s="91">
        <v>1025</v>
      </c>
      <c r="L66" s="91">
        <v>439</v>
      </c>
      <c r="M66" s="91">
        <v>398</v>
      </c>
      <c r="N66" s="91"/>
      <c r="O66" s="91">
        <v>56995</v>
      </c>
      <c r="P66" s="91">
        <v>149904</v>
      </c>
    </row>
    <row r="67" spans="1:16" s="94" customFormat="1" ht="12" x14ac:dyDescent="0.2">
      <c r="A67" s="89">
        <v>55</v>
      </c>
      <c r="B67" s="93" t="s">
        <v>28</v>
      </c>
      <c r="C67" s="91">
        <f t="shared" si="0"/>
        <v>238257</v>
      </c>
      <c r="D67" s="91"/>
      <c r="E67" s="91">
        <v>18307</v>
      </c>
      <c r="F67" s="91">
        <v>3858</v>
      </c>
      <c r="G67" s="91">
        <v>154</v>
      </c>
      <c r="H67" s="91">
        <v>25310</v>
      </c>
      <c r="I67" s="91">
        <v>27653</v>
      </c>
      <c r="J67" s="91">
        <v>1464</v>
      </c>
      <c r="K67" s="91">
        <v>1025</v>
      </c>
      <c r="L67" s="91">
        <v>439</v>
      </c>
      <c r="M67" s="91"/>
      <c r="N67" s="91"/>
      <c r="O67" s="91">
        <v>29409</v>
      </c>
      <c r="P67" s="91">
        <v>132102</v>
      </c>
    </row>
    <row r="68" spans="1:16" s="94" customFormat="1" ht="12" x14ac:dyDescent="0.2">
      <c r="A68" s="89">
        <v>56</v>
      </c>
      <c r="B68" s="90" t="s">
        <v>296</v>
      </c>
      <c r="C68" s="91">
        <f t="shared" si="0"/>
        <v>302146</v>
      </c>
      <c r="D68" s="91">
        <v>38967</v>
      </c>
      <c r="E68" s="91">
        <v>19722</v>
      </c>
      <c r="F68" s="91">
        <v>5846</v>
      </c>
      <c r="G68" s="91">
        <v>319</v>
      </c>
      <c r="H68" s="91">
        <v>31594</v>
      </c>
      <c r="I68" s="91">
        <v>37756</v>
      </c>
      <c r="J68" s="91">
        <v>1464</v>
      </c>
      <c r="K68" s="91">
        <v>1025</v>
      </c>
      <c r="L68" s="91">
        <v>439</v>
      </c>
      <c r="M68" s="91">
        <v>1892</v>
      </c>
      <c r="N68" s="91"/>
      <c r="O68" s="91">
        <v>31209</v>
      </c>
      <c r="P68" s="91">
        <v>133377</v>
      </c>
    </row>
    <row r="69" spans="1:16" s="94" customFormat="1" ht="16.5" x14ac:dyDescent="0.2">
      <c r="A69" s="89">
        <v>57</v>
      </c>
      <c r="B69" s="90" t="s">
        <v>297</v>
      </c>
      <c r="C69" s="91">
        <f t="shared" si="0"/>
        <v>11200</v>
      </c>
      <c r="D69" s="91"/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/>
      <c r="L69" s="91"/>
      <c r="M69" s="91"/>
      <c r="N69" s="91">
        <v>11200</v>
      </c>
      <c r="O69" s="91"/>
      <c r="P69" s="91">
        <v>0</v>
      </c>
    </row>
    <row r="70" spans="1:16" s="94" customFormat="1" ht="12" x14ac:dyDescent="0.2">
      <c r="A70" s="89">
        <v>58</v>
      </c>
      <c r="B70" s="93" t="s">
        <v>29</v>
      </c>
      <c r="C70" s="91">
        <f t="shared" si="0"/>
        <v>102212</v>
      </c>
      <c r="D70" s="91"/>
      <c r="E70" s="91">
        <v>7864</v>
      </c>
      <c r="F70" s="91">
        <v>2149</v>
      </c>
      <c r="G70" s="91">
        <v>176</v>
      </c>
      <c r="H70" s="91">
        <v>10205</v>
      </c>
      <c r="I70" s="91">
        <v>11707</v>
      </c>
      <c r="J70" s="91">
        <v>1464</v>
      </c>
      <c r="K70" s="91">
        <v>1025</v>
      </c>
      <c r="L70" s="91">
        <v>439</v>
      </c>
      <c r="M70" s="91"/>
      <c r="N70" s="91"/>
      <c r="O70" s="91">
        <v>12454</v>
      </c>
      <c r="P70" s="91">
        <v>56193</v>
      </c>
    </row>
    <row r="71" spans="1:16" s="94" customFormat="1" ht="12" x14ac:dyDescent="0.2">
      <c r="A71" s="89">
        <v>59</v>
      </c>
      <c r="B71" s="90" t="s">
        <v>30</v>
      </c>
      <c r="C71" s="91">
        <f t="shared" si="0"/>
        <v>68573</v>
      </c>
      <c r="D71" s="91"/>
      <c r="E71" s="91">
        <v>5916</v>
      </c>
      <c r="F71" s="91">
        <v>1758</v>
      </c>
      <c r="G71" s="91">
        <v>125</v>
      </c>
      <c r="H71" s="91">
        <v>6667</v>
      </c>
      <c r="I71" s="91">
        <v>8340</v>
      </c>
      <c r="J71" s="91">
        <v>0</v>
      </c>
      <c r="K71" s="91"/>
      <c r="L71" s="91"/>
      <c r="M71" s="91"/>
      <c r="N71" s="91"/>
      <c r="O71" s="91">
        <v>7845</v>
      </c>
      <c r="P71" s="91">
        <v>37922</v>
      </c>
    </row>
    <row r="72" spans="1:16" s="94" customFormat="1" ht="12" x14ac:dyDescent="0.2">
      <c r="A72" s="89">
        <v>60</v>
      </c>
      <c r="B72" s="93" t="s">
        <v>31</v>
      </c>
      <c r="C72" s="91">
        <f t="shared" si="0"/>
        <v>51765</v>
      </c>
      <c r="D72" s="91"/>
      <c r="E72" s="91">
        <v>4950</v>
      </c>
      <c r="F72" s="91">
        <v>1135</v>
      </c>
      <c r="G72" s="91">
        <v>195</v>
      </c>
      <c r="H72" s="91">
        <v>6585</v>
      </c>
      <c r="I72" s="91">
        <v>6152</v>
      </c>
      <c r="J72" s="91">
        <v>0</v>
      </c>
      <c r="K72" s="91"/>
      <c r="L72" s="91"/>
      <c r="M72" s="91"/>
      <c r="N72" s="91"/>
      <c r="O72" s="91">
        <v>8128</v>
      </c>
      <c r="P72" s="91">
        <v>24620</v>
      </c>
    </row>
    <row r="73" spans="1:16" s="94" customFormat="1" ht="12" x14ac:dyDescent="0.2">
      <c r="A73" s="89">
        <v>61</v>
      </c>
      <c r="B73" s="90" t="s">
        <v>32</v>
      </c>
      <c r="C73" s="91">
        <f t="shared" ref="C73:C136" si="1">D73+E73+F73+G73+H73+I73+J73+M73+N73+O73+P73</f>
        <v>75176</v>
      </c>
      <c r="D73" s="91"/>
      <c r="E73" s="91">
        <v>6226</v>
      </c>
      <c r="F73" s="91">
        <v>1848</v>
      </c>
      <c r="G73" s="91">
        <v>124</v>
      </c>
      <c r="H73" s="91">
        <v>4024</v>
      </c>
      <c r="I73" s="91">
        <v>9415</v>
      </c>
      <c r="J73" s="91">
        <v>0</v>
      </c>
      <c r="K73" s="91"/>
      <c r="L73" s="91"/>
      <c r="M73" s="91"/>
      <c r="N73" s="91"/>
      <c r="O73" s="91">
        <v>15306</v>
      </c>
      <c r="P73" s="91">
        <v>38233</v>
      </c>
    </row>
    <row r="74" spans="1:16" s="94" customFormat="1" ht="12" x14ac:dyDescent="0.2">
      <c r="A74" s="89">
        <v>62</v>
      </c>
      <c r="B74" s="93" t="s">
        <v>33</v>
      </c>
      <c r="C74" s="91">
        <f t="shared" si="1"/>
        <v>35336</v>
      </c>
      <c r="D74" s="91"/>
      <c r="E74" s="91">
        <v>3190</v>
      </c>
      <c r="F74" s="91">
        <v>1048</v>
      </c>
      <c r="G74" s="91">
        <v>45</v>
      </c>
      <c r="H74" s="91">
        <v>5317</v>
      </c>
      <c r="I74" s="91">
        <v>2936</v>
      </c>
      <c r="J74" s="91">
        <v>0</v>
      </c>
      <c r="K74" s="91"/>
      <c r="L74" s="91"/>
      <c r="M74" s="91"/>
      <c r="N74" s="91"/>
      <c r="O74" s="91">
        <v>3114</v>
      </c>
      <c r="P74" s="91">
        <v>19686</v>
      </c>
    </row>
    <row r="75" spans="1:16" s="94" customFormat="1" ht="12" x14ac:dyDescent="0.2">
      <c r="A75" s="89">
        <v>63</v>
      </c>
      <c r="B75" s="93" t="s">
        <v>34</v>
      </c>
      <c r="C75" s="91">
        <f t="shared" si="1"/>
        <v>68611</v>
      </c>
      <c r="D75" s="91"/>
      <c r="E75" s="91">
        <v>5973</v>
      </c>
      <c r="F75" s="91">
        <v>1847</v>
      </c>
      <c r="G75" s="91">
        <v>20</v>
      </c>
      <c r="H75" s="91">
        <v>8539</v>
      </c>
      <c r="I75" s="91">
        <v>7617</v>
      </c>
      <c r="J75" s="91">
        <v>1464</v>
      </c>
      <c r="K75" s="91">
        <v>1025</v>
      </c>
      <c r="L75" s="91">
        <v>439</v>
      </c>
      <c r="M75" s="91"/>
      <c r="N75" s="91"/>
      <c r="O75" s="91">
        <v>8996</v>
      </c>
      <c r="P75" s="91">
        <v>34155</v>
      </c>
    </row>
    <row r="76" spans="1:16" s="94" customFormat="1" ht="12" x14ac:dyDescent="0.2">
      <c r="A76" s="89">
        <v>64</v>
      </c>
      <c r="B76" s="93" t="s">
        <v>35</v>
      </c>
      <c r="C76" s="91">
        <f t="shared" si="1"/>
        <v>98859</v>
      </c>
      <c r="D76" s="91"/>
      <c r="E76" s="91">
        <v>8694</v>
      </c>
      <c r="F76" s="91">
        <v>2114</v>
      </c>
      <c r="G76" s="91">
        <v>170</v>
      </c>
      <c r="H76" s="91">
        <v>12264</v>
      </c>
      <c r="I76" s="91">
        <v>11672</v>
      </c>
      <c r="J76" s="91">
        <v>0</v>
      </c>
      <c r="K76" s="91"/>
      <c r="L76" s="91"/>
      <c r="M76" s="91"/>
      <c r="N76" s="91"/>
      <c r="O76" s="91">
        <v>12008</v>
      </c>
      <c r="P76" s="91">
        <v>51937</v>
      </c>
    </row>
    <row r="77" spans="1:16" s="94" customFormat="1" ht="12" x14ac:dyDescent="0.2">
      <c r="A77" s="89">
        <v>65</v>
      </c>
      <c r="B77" s="90" t="s">
        <v>36</v>
      </c>
      <c r="C77" s="91">
        <f t="shared" si="1"/>
        <v>51511</v>
      </c>
      <c r="D77" s="91"/>
      <c r="E77" s="91">
        <v>4510</v>
      </c>
      <c r="F77" s="91">
        <v>998</v>
      </c>
      <c r="G77" s="91">
        <v>105</v>
      </c>
      <c r="H77" s="91">
        <v>6625</v>
      </c>
      <c r="I77" s="91">
        <v>6165</v>
      </c>
      <c r="J77" s="91">
        <v>0</v>
      </c>
      <c r="K77" s="91"/>
      <c r="L77" s="91"/>
      <c r="M77" s="91"/>
      <c r="N77" s="91"/>
      <c r="O77" s="91">
        <v>9835</v>
      </c>
      <c r="P77" s="91">
        <v>23273</v>
      </c>
    </row>
    <row r="78" spans="1:16" s="94" customFormat="1" ht="12" x14ac:dyDescent="0.2">
      <c r="A78" s="89">
        <v>66</v>
      </c>
      <c r="B78" s="93" t="s">
        <v>298</v>
      </c>
      <c r="C78" s="91">
        <f t="shared" si="1"/>
        <v>107</v>
      </c>
      <c r="D78" s="91"/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/>
      <c r="L78" s="91"/>
      <c r="M78" s="91"/>
      <c r="N78" s="91">
        <v>107</v>
      </c>
      <c r="O78" s="91"/>
      <c r="P78" s="91">
        <v>0</v>
      </c>
    </row>
    <row r="79" spans="1:16" s="94" customFormat="1" ht="12" x14ac:dyDescent="0.2">
      <c r="A79" s="89">
        <v>67</v>
      </c>
      <c r="B79" s="93" t="s">
        <v>299</v>
      </c>
      <c r="C79" s="91">
        <f t="shared" si="1"/>
        <v>100</v>
      </c>
      <c r="D79" s="91"/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/>
      <c r="L79" s="91"/>
      <c r="M79" s="91"/>
      <c r="N79" s="91">
        <v>100</v>
      </c>
      <c r="O79" s="91"/>
      <c r="P79" s="91">
        <v>0</v>
      </c>
    </row>
    <row r="80" spans="1:16" s="94" customFormat="1" ht="12" x14ac:dyDescent="0.2">
      <c r="A80" s="89">
        <v>68</v>
      </c>
      <c r="B80" s="93" t="s">
        <v>300</v>
      </c>
      <c r="C80" s="91">
        <f t="shared" si="1"/>
        <v>85</v>
      </c>
      <c r="D80" s="91"/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/>
      <c r="L80" s="91"/>
      <c r="M80" s="91"/>
      <c r="N80" s="91">
        <v>85</v>
      </c>
      <c r="O80" s="91"/>
      <c r="P80" s="91">
        <v>0</v>
      </c>
    </row>
    <row r="81" spans="1:16" s="94" customFormat="1" ht="16.5" x14ac:dyDescent="0.2">
      <c r="A81" s="89">
        <v>69</v>
      </c>
      <c r="B81" s="93" t="s">
        <v>301</v>
      </c>
      <c r="C81" s="91">
        <f t="shared" si="1"/>
        <v>25</v>
      </c>
      <c r="D81" s="91"/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/>
      <c r="L81" s="91"/>
      <c r="M81" s="91"/>
      <c r="N81" s="91">
        <v>25</v>
      </c>
      <c r="O81" s="91"/>
      <c r="P81" s="91">
        <v>0</v>
      </c>
    </row>
    <row r="82" spans="1:16" s="94" customFormat="1" ht="12" x14ac:dyDescent="0.2">
      <c r="A82" s="89">
        <v>70</v>
      </c>
      <c r="B82" s="99" t="s">
        <v>302</v>
      </c>
      <c r="C82" s="91">
        <f t="shared" si="1"/>
        <v>136422</v>
      </c>
      <c r="D82" s="91"/>
      <c r="E82" s="91">
        <v>0</v>
      </c>
      <c r="F82" s="91">
        <v>0</v>
      </c>
      <c r="G82" s="91">
        <v>270</v>
      </c>
      <c r="H82" s="91">
        <v>0</v>
      </c>
      <c r="I82" s="91">
        <v>58418</v>
      </c>
      <c r="J82" s="91">
        <v>0</v>
      </c>
      <c r="K82" s="91"/>
      <c r="L82" s="91"/>
      <c r="M82" s="91">
        <v>609</v>
      </c>
      <c r="N82" s="91"/>
      <c r="O82" s="91">
        <v>10096</v>
      </c>
      <c r="P82" s="91">
        <v>67029</v>
      </c>
    </row>
    <row r="83" spans="1:16" s="94" customFormat="1" ht="12" x14ac:dyDescent="0.2">
      <c r="A83" s="89">
        <v>71</v>
      </c>
      <c r="B83" s="99" t="s">
        <v>303</v>
      </c>
      <c r="C83" s="91">
        <f t="shared" si="1"/>
        <v>122959</v>
      </c>
      <c r="D83" s="91"/>
      <c r="E83" s="91">
        <v>0</v>
      </c>
      <c r="F83" s="91">
        <v>0</v>
      </c>
      <c r="G83" s="91">
        <v>418</v>
      </c>
      <c r="H83" s="91">
        <v>0</v>
      </c>
      <c r="I83" s="91">
        <v>51948</v>
      </c>
      <c r="J83" s="91">
        <v>0</v>
      </c>
      <c r="K83" s="91"/>
      <c r="L83" s="91"/>
      <c r="M83" s="91"/>
      <c r="N83" s="91"/>
      <c r="O83" s="91">
        <f>2720+900</f>
        <v>3620</v>
      </c>
      <c r="P83" s="91">
        <v>66973</v>
      </c>
    </row>
    <row r="84" spans="1:16" s="94" customFormat="1" ht="12" x14ac:dyDescent="0.2">
      <c r="A84" s="89">
        <v>72</v>
      </c>
      <c r="B84" s="99" t="s">
        <v>304</v>
      </c>
      <c r="C84" s="91">
        <f t="shared" si="1"/>
        <v>163683</v>
      </c>
      <c r="D84" s="91"/>
      <c r="E84" s="91">
        <v>0</v>
      </c>
      <c r="F84" s="91">
        <v>0</v>
      </c>
      <c r="G84" s="91">
        <v>75</v>
      </c>
      <c r="H84" s="91">
        <v>0</v>
      </c>
      <c r="I84" s="91">
        <v>72103</v>
      </c>
      <c r="J84" s="91">
        <v>0</v>
      </c>
      <c r="K84" s="91"/>
      <c r="L84" s="91"/>
      <c r="M84" s="91"/>
      <c r="N84" s="91"/>
      <c r="O84" s="91">
        <v>10494</v>
      </c>
      <c r="P84" s="91">
        <v>81011</v>
      </c>
    </row>
    <row r="85" spans="1:16" s="94" customFormat="1" ht="12" x14ac:dyDescent="0.2">
      <c r="A85" s="89">
        <v>73</v>
      </c>
      <c r="B85" s="99" t="s">
        <v>305</v>
      </c>
      <c r="C85" s="91">
        <f t="shared" si="1"/>
        <v>191932</v>
      </c>
      <c r="D85" s="91">
        <v>13644</v>
      </c>
      <c r="E85" s="91">
        <v>0</v>
      </c>
      <c r="F85" s="91">
        <v>0</v>
      </c>
      <c r="G85" s="91">
        <v>352</v>
      </c>
      <c r="H85" s="91">
        <v>0</v>
      </c>
      <c r="I85" s="91">
        <v>86765</v>
      </c>
      <c r="J85" s="91">
        <v>0</v>
      </c>
      <c r="K85" s="91"/>
      <c r="L85" s="91"/>
      <c r="M85" s="91"/>
      <c r="N85" s="91"/>
      <c r="O85" s="91">
        <v>32843</v>
      </c>
      <c r="P85" s="91">
        <v>58328</v>
      </c>
    </row>
    <row r="86" spans="1:16" s="94" customFormat="1" ht="12" x14ac:dyDescent="0.2">
      <c r="A86" s="89">
        <v>74</v>
      </c>
      <c r="B86" s="99" t="s">
        <v>306</v>
      </c>
      <c r="C86" s="91">
        <f t="shared" si="1"/>
        <v>78860</v>
      </c>
      <c r="D86" s="91"/>
      <c r="E86" s="91">
        <v>0</v>
      </c>
      <c r="F86" s="91">
        <v>0</v>
      </c>
      <c r="G86" s="91">
        <v>105</v>
      </c>
      <c r="H86" s="91">
        <v>0</v>
      </c>
      <c r="I86" s="91">
        <v>31386</v>
      </c>
      <c r="J86" s="91">
        <v>0</v>
      </c>
      <c r="K86" s="91"/>
      <c r="L86" s="91"/>
      <c r="M86" s="91"/>
      <c r="N86" s="91"/>
      <c r="O86" s="91">
        <v>4555</v>
      </c>
      <c r="P86" s="91">
        <v>42814</v>
      </c>
    </row>
    <row r="87" spans="1:16" s="94" customFormat="1" ht="16.5" x14ac:dyDescent="0.2">
      <c r="A87" s="89">
        <v>75</v>
      </c>
      <c r="B87" s="99" t="s">
        <v>307</v>
      </c>
      <c r="C87" s="91">
        <f t="shared" si="1"/>
        <v>29413</v>
      </c>
      <c r="D87" s="91"/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/>
      <c r="L87" s="91"/>
      <c r="M87" s="91"/>
      <c r="N87" s="91">
        <v>29413</v>
      </c>
      <c r="O87" s="91"/>
      <c r="P87" s="91">
        <v>0</v>
      </c>
    </row>
    <row r="88" spans="1:16" s="94" customFormat="1" ht="16.5" x14ac:dyDescent="0.2">
      <c r="A88" s="89">
        <v>76</v>
      </c>
      <c r="B88" s="99" t="s">
        <v>308</v>
      </c>
      <c r="C88" s="91">
        <f t="shared" si="1"/>
        <v>31369</v>
      </c>
      <c r="D88" s="91"/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/>
      <c r="L88" s="91"/>
      <c r="M88" s="91"/>
      <c r="N88" s="91">
        <v>31369</v>
      </c>
      <c r="O88" s="91"/>
      <c r="P88" s="91">
        <v>0</v>
      </c>
    </row>
    <row r="89" spans="1:16" s="94" customFormat="1" ht="12" x14ac:dyDescent="0.2">
      <c r="A89" s="89">
        <v>77</v>
      </c>
      <c r="B89" s="99" t="s">
        <v>309</v>
      </c>
      <c r="C89" s="91">
        <f t="shared" si="1"/>
        <v>112167</v>
      </c>
      <c r="D89" s="91"/>
      <c r="E89" s="91">
        <v>13167</v>
      </c>
      <c r="F89" s="91">
        <v>1852</v>
      </c>
      <c r="G89" s="91">
        <v>0</v>
      </c>
      <c r="H89" s="91">
        <v>12758</v>
      </c>
      <c r="I89" s="91">
        <v>3052</v>
      </c>
      <c r="J89" s="91">
        <v>478</v>
      </c>
      <c r="K89" s="91">
        <v>335</v>
      </c>
      <c r="L89" s="91">
        <v>143</v>
      </c>
      <c r="M89" s="91"/>
      <c r="N89" s="91"/>
      <c r="O89" s="91">
        <v>5042</v>
      </c>
      <c r="P89" s="91">
        <v>75818</v>
      </c>
    </row>
    <row r="90" spans="1:16" s="94" customFormat="1" ht="12" x14ac:dyDescent="0.2">
      <c r="A90" s="89">
        <v>78</v>
      </c>
      <c r="B90" s="99" t="s">
        <v>310</v>
      </c>
      <c r="C90" s="91">
        <f t="shared" si="1"/>
        <v>97129</v>
      </c>
      <c r="D90" s="91">
        <v>15603</v>
      </c>
      <c r="E90" s="91">
        <v>10125</v>
      </c>
      <c r="F90" s="91">
        <v>2996</v>
      </c>
      <c r="G90" s="91">
        <v>0</v>
      </c>
      <c r="H90" s="91">
        <v>18706</v>
      </c>
      <c r="I90" s="91">
        <v>0</v>
      </c>
      <c r="J90" s="91">
        <v>0</v>
      </c>
      <c r="K90" s="91"/>
      <c r="L90" s="91"/>
      <c r="M90" s="91"/>
      <c r="N90" s="91"/>
      <c r="O90" s="91">
        <v>7010</v>
      </c>
      <c r="P90" s="91">
        <v>42689</v>
      </c>
    </row>
    <row r="91" spans="1:16" s="94" customFormat="1" ht="12" x14ac:dyDescent="0.2">
      <c r="A91" s="89">
        <v>79</v>
      </c>
      <c r="B91" s="99" t="s">
        <v>311</v>
      </c>
      <c r="C91" s="91">
        <f t="shared" si="1"/>
        <v>79478</v>
      </c>
      <c r="D91" s="91"/>
      <c r="E91" s="91">
        <v>9919</v>
      </c>
      <c r="F91" s="91">
        <v>2729</v>
      </c>
      <c r="G91" s="91">
        <v>0</v>
      </c>
      <c r="H91" s="91">
        <v>16247</v>
      </c>
      <c r="I91" s="91">
        <v>0</v>
      </c>
      <c r="J91" s="91">
        <v>0</v>
      </c>
      <c r="K91" s="91"/>
      <c r="L91" s="91"/>
      <c r="M91" s="91"/>
      <c r="N91" s="91"/>
      <c r="O91" s="91">
        <v>13719</v>
      </c>
      <c r="P91" s="91">
        <v>36864</v>
      </c>
    </row>
    <row r="92" spans="1:16" s="94" customFormat="1" ht="12" x14ac:dyDescent="0.2">
      <c r="A92" s="89">
        <v>80</v>
      </c>
      <c r="B92" s="99" t="s">
        <v>312</v>
      </c>
      <c r="C92" s="91">
        <f t="shared" si="1"/>
        <v>83724</v>
      </c>
      <c r="D92" s="91">
        <v>23952</v>
      </c>
      <c r="E92" s="91">
        <v>7249</v>
      </c>
      <c r="F92" s="91">
        <v>1751</v>
      </c>
      <c r="G92" s="91">
        <v>0</v>
      </c>
      <c r="H92" s="91">
        <v>11524</v>
      </c>
      <c r="I92" s="91">
        <v>0</v>
      </c>
      <c r="J92" s="91">
        <v>0</v>
      </c>
      <c r="K92" s="91"/>
      <c r="L92" s="91"/>
      <c r="M92" s="91"/>
      <c r="N92" s="91"/>
      <c r="O92" s="91">
        <v>6437</v>
      </c>
      <c r="P92" s="91">
        <v>32811</v>
      </c>
    </row>
    <row r="93" spans="1:16" s="94" customFormat="1" ht="12" x14ac:dyDescent="0.2">
      <c r="A93" s="89">
        <v>81</v>
      </c>
      <c r="B93" s="99" t="s">
        <v>75</v>
      </c>
      <c r="C93" s="91">
        <f t="shared" si="1"/>
        <v>175906</v>
      </c>
      <c r="D93" s="91"/>
      <c r="E93" s="91">
        <v>16887</v>
      </c>
      <c r="F93" s="91">
        <v>4848</v>
      </c>
      <c r="G93" s="91">
        <v>0</v>
      </c>
      <c r="H93" s="91">
        <v>31053</v>
      </c>
      <c r="I93" s="91">
        <v>0</v>
      </c>
      <c r="J93" s="91">
        <v>1464</v>
      </c>
      <c r="K93" s="91">
        <v>1025</v>
      </c>
      <c r="L93" s="91">
        <v>439</v>
      </c>
      <c r="M93" s="91"/>
      <c r="N93" s="91"/>
      <c r="O93" s="91">
        <v>43044</v>
      </c>
      <c r="P93" s="91">
        <v>78610</v>
      </c>
    </row>
    <row r="94" spans="1:16" s="94" customFormat="1" ht="12" x14ac:dyDescent="0.2">
      <c r="A94" s="89">
        <v>82</v>
      </c>
      <c r="B94" s="99" t="s">
        <v>313</v>
      </c>
      <c r="C94" s="91">
        <f t="shared" si="1"/>
        <v>94201</v>
      </c>
      <c r="D94" s="91"/>
      <c r="E94" s="91">
        <v>9613</v>
      </c>
      <c r="F94" s="91">
        <v>2794</v>
      </c>
      <c r="G94" s="91">
        <v>0</v>
      </c>
      <c r="H94" s="91">
        <v>18936</v>
      </c>
      <c r="I94" s="91">
        <v>0</v>
      </c>
      <c r="J94" s="91">
        <v>512</v>
      </c>
      <c r="K94" s="91">
        <v>358</v>
      </c>
      <c r="L94" s="91">
        <v>154</v>
      </c>
      <c r="M94" s="91"/>
      <c r="N94" s="91"/>
      <c r="O94" s="91">
        <v>20397</v>
      </c>
      <c r="P94" s="91">
        <v>41949</v>
      </c>
    </row>
    <row r="95" spans="1:16" s="94" customFormat="1" ht="12" x14ac:dyDescent="0.2">
      <c r="A95" s="89">
        <v>83</v>
      </c>
      <c r="B95" s="99" t="s">
        <v>76</v>
      </c>
      <c r="C95" s="91">
        <f t="shared" si="1"/>
        <v>105791</v>
      </c>
      <c r="D95" s="91">
        <v>15811</v>
      </c>
      <c r="E95" s="91">
        <v>10776</v>
      </c>
      <c r="F95" s="91">
        <v>2720</v>
      </c>
      <c r="G95" s="91">
        <v>0</v>
      </c>
      <c r="H95" s="91">
        <v>16465</v>
      </c>
      <c r="I95" s="91">
        <v>0</v>
      </c>
      <c r="J95" s="91">
        <v>1464</v>
      </c>
      <c r="K95" s="91">
        <v>1025</v>
      </c>
      <c r="L95" s="91">
        <v>439</v>
      </c>
      <c r="M95" s="91">
        <v>661</v>
      </c>
      <c r="N95" s="91"/>
      <c r="O95" s="91">
        <v>10011</v>
      </c>
      <c r="P95" s="91">
        <v>47883</v>
      </c>
    </row>
    <row r="96" spans="1:16" s="94" customFormat="1" ht="12" x14ac:dyDescent="0.2">
      <c r="A96" s="89">
        <v>84</v>
      </c>
      <c r="B96" s="99" t="s">
        <v>314</v>
      </c>
      <c r="C96" s="91">
        <f t="shared" si="1"/>
        <v>54395</v>
      </c>
      <c r="D96" s="91"/>
      <c r="E96" s="91">
        <v>6544</v>
      </c>
      <c r="F96" s="91">
        <v>1802</v>
      </c>
      <c r="G96" s="91">
        <v>0</v>
      </c>
      <c r="H96" s="91">
        <v>10882</v>
      </c>
      <c r="I96" s="91">
        <v>0</v>
      </c>
      <c r="J96" s="91">
        <v>0</v>
      </c>
      <c r="K96" s="91"/>
      <c r="L96" s="91"/>
      <c r="M96" s="91"/>
      <c r="N96" s="91"/>
      <c r="O96" s="91">
        <v>4696</v>
      </c>
      <c r="P96" s="91">
        <v>30471</v>
      </c>
    </row>
    <row r="97" spans="1:16" s="94" customFormat="1" ht="12" x14ac:dyDescent="0.2">
      <c r="A97" s="89">
        <v>85</v>
      </c>
      <c r="B97" s="99" t="s">
        <v>315</v>
      </c>
      <c r="C97" s="91">
        <f t="shared" si="1"/>
        <v>182971</v>
      </c>
      <c r="D97" s="91"/>
      <c r="E97" s="91">
        <v>19313</v>
      </c>
      <c r="F97" s="91">
        <v>5991</v>
      </c>
      <c r="G97" s="91">
        <v>0</v>
      </c>
      <c r="H97" s="91">
        <v>31925</v>
      </c>
      <c r="I97" s="91">
        <v>0</v>
      </c>
      <c r="J97" s="91">
        <v>1464</v>
      </c>
      <c r="K97" s="91">
        <v>1025</v>
      </c>
      <c r="L97" s="91">
        <v>439</v>
      </c>
      <c r="M97" s="91"/>
      <c r="N97" s="91"/>
      <c r="O97" s="91">
        <v>29000</v>
      </c>
      <c r="P97" s="91">
        <v>95278</v>
      </c>
    </row>
    <row r="98" spans="1:16" s="94" customFormat="1" ht="12" x14ac:dyDescent="0.2">
      <c r="A98" s="89">
        <v>86</v>
      </c>
      <c r="B98" s="99" t="s">
        <v>316</v>
      </c>
      <c r="C98" s="91">
        <f t="shared" si="1"/>
        <v>68146</v>
      </c>
      <c r="D98" s="91"/>
      <c r="E98" s="91">
        <v>8077</v>
      </c>
      <c r="F98" s="91">
        <v>1909</v>
      </c>
      <c r="G98" s="91">
        <v>0</v>
      </c>
      <c r="H98" s="91">
        <v>14529</v>
      </c>
      <c r="I98" s="91">
        <v>0</v>
      </c>
      <c r="J98" s="91">
        <v>0</v>
      </c>
      <c r="K98" s="91"/>
      <c r="L98" s="91"/>
      <c r="M98" s="91"/>
      <c r="N98" s="91"/>
      <c r="O98" s="91">
        <v>7560</v>
      </c>
      <c r="P98" s="91">
        <v>36071</v>
      </c>
    </row>
    <row r="99" spans="1:16" s="94" customFormat="1" ht="12" x14ac:dyDescent="0.2">
      <c r="A99" s="89">
        <v>87</v>
      </c>
      <c r="B99" s="99" t="s">
        <v>317</v>
      </c>
      <c r="C99" s="91">
        <f t="shared" si="1"/>
        <v>66646</v>
      </c>
      <c r="D99" s="91"/>
      <c r="E99" s="91">
        <v>7672</v>
      </c>
      <c r="F99" s="91">
        <v>2106</v>
      </c>
      <c r="G99" s="91">
        <v>0</v>
      </c>
      <c r="H99" s="91">
        <v>10017</v>
      </c>
      <c r="I99" s="91">
        <v>0</v>
      </c>
      <c r="J99" s="91">
        <v>0</v>
      </c>
      <c r="K99" s="91"/>
      <c r="L99" s="91"/>
      <c r="M99" s="91"/>
      <c r="N99" s="91"/>
      <c r="O99" s="91">
        <f>10870+2500</f>
        <v>13370</v>
      </c>
      <c r="P99" s="91">
        <v>33481</v>
      </c>
    </row>
    <row r="100" spans="1:16" s="94" customFormat="1" ht="16.5" x14ac:dyDescent="0.2">
      <c r="A100" s="89">
        <v>88</v>
      </c>
      <c r="B100" s="99" t="s">
        <v>318</v>
      </c>
      <c r="C100" s="91">
        <f t="shared" si="1"/>
        <v>2646</v>
      </c>
      <c r="D100" s="91"/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/>
      <c r="L100" s="91"/>
      <c r="M100" s="91"/>
      <c r="N100" s="91">
        <v>2646</v>
      </c>
      <c r="O100" s="91"/>
      <c r="P100" s="91">
        <v>0</v>
      </c>
    </row>
    <row r="101" spans="1:16" s="94" customFormat="1" ht="16.5" x14ac:dyDescent="0.2">
      <c r="A101" s="89">
        <v>89</v>
      </c>
      <c r="B101" s="99" t="s">
        <v>319</v>
      </c>
      <c r="C101" s="91">
        <f t="shared" si="1"/>
        <v>3086</v>
      </c>
      <c r="D101" s="91"/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/>
      <c r="L101" s="91"/>
      <c r="M101" s="91"/>
      <c r="N101" s="91">
        <v>3086</v>
      </c>
      <c r="O101" s="91"/>
      <c r="P101" s="91">
        <v>0</v>
      </c>
    </row>
    <row r="102" spans="1:16" s="94" customFormat="1" ht="16.5" x14ac:dyDescent="0.2">
      <c r="A102" s="89">
        <v>90</v>
      </c>
      <c r="B102" s="99" t="s">
        <v>320</v>
      </c>
      <c r="C102" s="91">
        <f t="shared" si="1"/>
        <v>3661</v>
      </c>
      <c r="D102" s="91"/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/>
      <c r="L102" s="91"/>
      <c r="M102" s="91"/>
      <c r="N102" s="91">
        <v>3661</v>
      </c>
      <c r="O102" s="91"/>
      <c r="P102" s="91">
        <v>0</v>
      </c>
    </row>
    <row r="103" spans="1:16" s="94" customFormat="1" ht="16.5" x14ac:dyDescent="0.2">
      <c r="A103" s="89">
        <v>91</v>
      </c>
      <c r="B103" s="99" t="s">
        <v>321</v>
      </c>
      <c r="C103" s="91">
        <f t="shared" si="1"/>
        <v>2971</v>
      </c>
      <c r="D103" s="91"/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/>
      <c r="L103" s="91"/>
      <c r="M103" s="91"/>
      <c r="N103" s="91">
        <v>2971</v>
      </c>
      <c r="O103" s="91"/>
      <c r="P103" s="91">
        <v>0</v>
      </c>
    </row>
    <row r="104" spans="1:16" s="94" customFormat="1" ht="16.5" x14ac:dyDescent="0.2">
      <c r="A104" s="89">
        <v>92</v>
      </c>
      <c r="B104" s="99" t="s">
        <v>322</v>
      </c>
      <c r="C104" s="91">
        <f t="shared" si="1"/>
        <v>13089</v>
      </c>
      <c r="D104" s="91"/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/>
      <c r="L104" s="91"/>
      <c r="M104" s="91"/>
      <c r="N104" s="91">
        <v>13089</v>
      </c>
      <c r="O104" s="91"/>
      <c r="P104" s="91">
        <v>0</v>
      </c>
    </row>
    <row r="105" spans="1:16" s="94" customFormat="1" ht="16.5" x14ac:dyDescent="0.2">
      <c r="A105" s="89">
        <v>93</v>
      </c>
      <c r="B105" s="99" t="s">
        <v>323</v>
      </c>
      <c r="C105" s="91">
        <f t="shared" si="1"/>
        <v>2707</v>
      </c>
      <c r="D105" s="91"/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/>
      <c r="L105" s="91"/>
      <c r="M105" s="91"/>
      <c r="N105" s="91">
        <v>2707</v>
      </c>
      <c r="O105" s="91"/>
      <c r="P105" s="91">
        <v>0</v>
      </c>
    </row>
    <row r="106" spans="1:16" s="94" customFormat="1" ht="16.5" x14ac:dyDescent="0.2">
      <c r="A106" s="89">
        <v>94</v>
      </c>
      <c r="B106" s="99" t="s">
        <v>324</v>
      </c>
      <c r="C106" s="91">
        <f t="shared" si="1"/>
        <v>2344</v>
      </c>
      <c r="D106" s="91"/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/>
      <c r="L106" s="91"/>
      <c r="M106" s="91"/>
      <c r="N106" s="91">
        <v>2344</v>
      </c>
      <c r="O106" s="91"/>
      <c r="P106" s="91">
        <v>0</v>
      </c>
    </row>
    <row r="107" spans="1:16" s="94" customFormat="1" ht="12" x14ac:dyDescent="0.2">
      <c r="A107" s="89">
        <v>95</v>
      </c>
      <c r="B107" s="99" t="s">
        <v>325</v>
      </c>
      <c r="C107" s="91">
        <f t="shared" si="1"/>
        <v>159063</v>
      </c>
      <c r="D107" s="91">
        <v>12388</v>
      </c>
      <c r="E107" s="91">
        <v>10897</v>
      </c>
      <c r="F107" s="91">
        <v>2790</v>
      </c>
      <c r="G107" s="91">
        <v>185</v>
      </c>
      <c r="H107" s="91">
        <v>14812</v>
      </c>
      <c r="I107" s="91">
        <v>31674</v>
      </c>
      <c r="J107" s="91">
        <v>0</v>
      </c>
      <c r="K107" s="91"/>
      <c r="L107" s="91"/>
      <c r="M107" s="91"/>
      <c r="N107" s="91"/>
      <c r="O107" s="91">
        <v>24171</v>
      </c>
      <c r="P107" s="91">
        <v>62146</v>
      </c>
    </row>
    <row r="108" spans="1:16" s="94" customFormat="1" ht="12" x14ac:dyDescent="0.2">
      <c r="A108" s="89">
        <v>96</v>
      </c>
      <c r="B108" s="99" t="s">
        <v>326</v>
      </c>
      <c r="C108" s="91">
        <f t="shared" si="1"/>
        <v>117715.8</v>
      </c>
      <c r="D108" s="91"/>
      <c r="E108" s="91">
        <v>12001</v>
      </c>
      <c r="F108" s="91">
        <v>2036</v>
      </c>
      <c r="G108" s="91">
        <v>0</v>
      </c>
      <c r="H108" s="91">
        <v>23214</v>
      </c>
      <c r="I108" s="91">
        <v>0</v>
      </c>
      <c r="J108" s="91">
        <v>1463.8</v>
      </c>
      <c r="K108" s="91">
        <v>1024.8</v>
      </c>
      <c r="L108" s="91">
        <v>439</v>
      </c>
      <c r="M108" s="91">
        <v>2635</v>
      </c>
      <c r="N108" s="91"/>
      <c r="O108" s="91">
        <v>24330</v>
      </c>
      <c r="P108" s="91">
        <v>52036</v>
      </c>
    </row>
    <row r="109" spans="1:16" s="94" customFormat="1" ht="12" x14ac:dyDescent="0.2">
      <c r="A109" s="89">
        <v>97</v>
      </c>
      <c r="B109" s="99" t="s">
        <v>77</v>
      </c>
      <c r="C109" s="91">
        <f t="shared" si="1"/>
        <v>93720</v>
      </c>
      <c r="D109" s="91"/>
      <c r="E109" s="91">
        <v>9275</v>
      </c>
      <c r="F109" s="91">
        <v>2961</v>
      </c>
      <c r="G109" s="91">
        <v>0</v>
      </c>
      <c r="H109" s="91">
        <v>16527</v>
      </c>
      <c r="I109" s="91">
        <v>0</v>
      </c>
      <c r="J109" s="91">
        <v>0</v>
      </c>
      <c r="K109" s="91"/>
      <c r="L109" s="91"/>
      <c r="M109" s="91">
        <v>108</v>
      </c>
      <c r="N109" s="91"/>
      <c r="O109" s="91">
        <v>15592</v>
      </c>
      <c r="P109" s="91">
        <v>49257</v>
      </c>
    </row>
    <row r="110" spans="1:16" s="94" customFormat="1" ht="12" x14ac:dyDescent="0.2">
      <c r="A110" s="89">
        <v>98</v>
      </c>
      <c r="B110" s="99" t="s">
        <v>327</v>
      </c>
      <c r="C110" s="91">
        <f t="shared" si="1"/>
        <v>49348</v>
      </c>
      <c r="D110" s="91"/>
      <c r="E110" s="91">
        <v>5336</v>
      </c>
      <c r="F110" s="91">
        <v>1566</v>
      </c>
      <c r="G110" s="91">
        <v>0</v>
      </c>
      <c r="H110" s="91">
        <v>6563</v>
      </c>
      <c r="I110" s="91">
        <v>0</v>
      </c>
      <c r="J110" s="91">
        <v>0</v>
      </c>
      <c r="K110" s="91"/>
      <c r="L110" s="91"/>
      <c r="M110" s="91"/>
      <c r="N110" s="91"/>
      <c r="O110" s="91">
        <v>10416</v>
      </c>
      <c r="P110" s="91">
        <v>25467</v>
      </c>
    </row>
    <row r="111" spans="1:16" s="94" customFormat="1" ht="12" x14ac:dyDescent="0.2">
      <c r="A111" s="89">
        <v>99</v>
      </c>
      <c r="B111" s="99" t="s">
        <v>328</v>
      </c>
      <c r="C111" s="91">
        <f t="shared" si="1"/>
        <v>34571</v>
      </c>
      <c r="D111" s="91">
        <f>17052-3344</f>
        <v>13708</v>
      </c>
      <c r="E111" s="91">
        <v>2108</v>
      </c>
      <c r="F111" s="91">
        <v>523</v>
      </c>
      <c r="G111" s="91">
        <v>0</v>
      </c>
      <c r="H111" s="91">
        <v>3435</v>
      </c>
      <c r="I111" s="91">
        <v>0</v>
      </c>
      <c r="J111" s="91">
        <v>1464</v>
      </c>
      <c r="K111" s="91">
        <v>1025</v>
      </c>
      <c r="L111" s="91">
        <v>439</v>
      </c>
      <c r="M111" s="91"/>
      <c r="N111" s="91"/>
      <c r="O111" s="91">
        <v>467</v>
      </c>
      <c r="P111" s="91">
        <v>12866</v>
      </c>
    </row>
    <row r="112" spans="1:16" s="94" customFormat="1" ht="12" x14ac:dyDescent="0.2">
      <c r="A112" s="89">
        <v>100</v>
      </c>
      <c r="B112" s="99" t="s">
        <v>329</v>
      </c>
      <c r="C112" s="91">
        <f t="shared" si="1"/>
        <v>40306</v>
      </c>
      <c r="D112" s="91"/>
      <c r="E112" s="91">
        <v>3534</v>
      </c>
      <c r="F112" s="91">
        <v>681</v>
      </c>
      <c r="G112" s="91">
        <v>0</v>
      </c>
      <c r="H112" s="91">
        <v>3394</v>
      </c>
      <c r="I112" s="91">
        <v>0</v>
      </c>
      <c r="J112" s="91">
        <v>0</v>
      </c>
      <c r="K112" s="91"/>
      <c r="L112" s="91"/>
      <c r="M112" s="91"/>
      <c r="N112" s="91"/>
      <c r="O112" s="91">
        <v>8963</v>
      </c>
      <c r="P112" s="91">
        <v>23734</v>
      </c>
    </row>
    <row r="113" spans="1:16" s="94" customFormat="1" ht="12" x14ac:dyDescent="0.2">
      <c r="A113" s="89">
        <v>101</v>
      </c>
      <c r="B113" s="99" t="s">
        <v>78</v>
      </c>
      <c r="C113" s="91">
        <f t="shared" si="1"/>
        <v>286837</v>
      </c>
      <c r="D113" s="91"/>
      <c r="E113" s="91">
        <v>25723</v>
      </c>
      <c r="F113" s="91">
        <v>5859</v>
      </c>
      <c r="G113" s="91">
        <v>0</v>
      </c>
      <c r="H113" s="91">
        <v>43588</v>
      </c>
      <c r="I113" s="91">
        <v>0</v>
      </c>
      <c r="J113" s="91">
        <v>2928</v>
      </c>
      <c r="K113" s="91">
        <v>2050</v>
      </c>
      <c r="L113" s="91">
        <v>878</v>
      </c>
      <c r="M113" s="91">
        <v>21274</v>
      </c>
      <c r="N113" s="91"/>
      <c r="O113" s="91">
        <v>58119</v>
      </c>
      <c r="P113" s="91">
        <v>129346</v>
      </c>
    </row>
    <row r="114" spans="1:16" s="94" customFormat="1" ht="12" x14ac:dyDescent="0.2">
      <c r="A114" s="89">
        <v>102</v>
      </c>
      <c r="B114" s="99" t="s">
        <v>330</v>
      </c>
      <c r="C114" s="91">
        <f t="shared" si="1"/>
        <v>120791</v>
      </c>
      <c r="D114" s="91">
        <v>8683</v>
      </c>
      <c r="E114" s="91">
        <v>0</v>
      </c>
      <c r="F114" s="91">
        <v>0</v>
      </c>
      <c r="G114" s="91">
        <v>482</v>
      </c>
      <c r="H114" s="91">
        <v>0</v>
      </c>
      <c r="I114" s="91">
        <v>53219</v>
      </c>
      <c r="J114" s="91">
        <v>0</v>
      </c>
      <c r="K114" s="91"/>
      <c r="L114" s="91"/>
      <c r="M114" s="91"/>
      <c r="N114" s="91"/>
      <c r="O114" s="91">
        <v>4131</v>
      </c>
      <c r="P114" s="91">
        <v>54276</v>
      </c>
    </row>
    <row r="115" spans="1:16" s="94" customFormat="1" ht="12" x14ac:dyDescent="0.2">
      <c r="A115" s="89">
        <v>103</v>
      </c>
      <c r="B115" s="99" t="s">
        <v>71</v>
      </c>
      <c r="C115" s="91">
        <f t="shared" si="1"/>
        <v>114841</v>
      </c>
      <c r="D115" s="91">
        <v>16767</v>
      </c>
      <c r="E115" s="91">
        <v>7150</v>
      </c>
      <c r="F115" s="91">
        <v>1607</v>
      </c>
      <c r="G115" s="91">
        <v>0</v>
      </c>
      <c r="H115" s="91">
        <v>9971</v>
      </c>
      <c r="I115" s="91">
        <v>0</v>
      </c>
      <c r="J115" s="91">
        <v>0</v>
      </c>
      <c r="K115" s="91"/>
      <c r="L115" s="91"/>
      <c r="M115" s="91">
        <f>207+1160</f>
        <v>1367</v>
      </c>
      <c r="N115" s="91"/>
      <c r="O115" s="91">
        <v>17865</v>
      </c>
      <c r="P115" s="91">
        <v>60114</v>
      </c>
    </row>
    <row r="116" spans="1:16" s="94" customFormat="1" ht="12" x14ac:dyDescent="0.2">
      <c r="A116" s="89">
        <v>104</v>
      </c>
      <c r="B116" s="99" t="s">
        <v>79</v>
      </c>
      <c r="C116" s="91">
        <f t="shared" si="1"/>
        <v>44588</v>
      </c>
      <c r="D116" s="91"/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/>
      <c r="L116" s="91"/>
      <c r="M116" s="91"/>
      <c r="N116" s="91">
        <v>44588</v>
      </c>
      <c r="O116" s="91"/>
      <c r="P116" s="91">
        <v>0</v>
      </c>
    </row>
    <row r="117" spans="1:16" s="94" customFormat="1" ht="12" x14ac:dyDescent="0.2">
      <c r="A117" s="415">
        <v>105</v>
      </c>
      <c r="B117" s="99" t="s">
        <v>58</v>
      </c>
      <c r="C117" s="91">
        <f t="shared" si="1"/>
        <v>28235</v>
      </c>
      <c r="D117" s="91"/>
      <c r="E117" s="91">
        <v>904</v>
      </c>
      <c r="F117" s="91">
        <v>38</v>
      </c>
      <c r="G117" s="91">
        <v>0</v>
      </c>
      <c r="H117" s="91">
        <v>243</v>
      </c>
      <c r="I117" s="91">
        <v>0</v>
      </c>
      <c r="J117" s="91">
        <v>0</v>
      </c>
      <c r="K117" s="91"/>
      <c r="L117" s="91"/>
      <c r="M117" s="91">
        <v>8240</v>
      </c>
      <c r="N117" s="91"/>
      <c r="O117" s="91">
        <v>732</v>
      </c>
      <c r="P117" s="91">
        <v>18078</v>
      </c>
    </row>
    <row r="118" spans="1:16" s="94" customFormat="1" ht="16.5" x14ac:dyDescent="0.2">
      <c r="A118" s="415"/>
      <c r="B118" s="99" t="s">
        <v>331</v>
      </c>
      <c r="C118" s="91">
        <f t="shared" si="1"/>
        <v>3600</v>
      </c>
      <c r="D118" s="91"/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/>
      <c r="L118" s="91"/>
      <c r="M118" s="91"/>
      <c r="N118" s="91">
        <v>3600</v>
      </c>
      <c r="O118" s="91"/>
      <c r="P118" s="91">
        <v>0</v>
      </c>
    </row>
    <row r="119" spans="1:16" s="94" customFormat="1" ht="16.5" x14ac:dyDescent="0.2">
      <c r="A119" s="89">
        <v>106</v>
      </c>
      <c r="B119" s="99" t="s">
        <v>332</v>
      </c>
      <c r="C119" s="91">
        <f t="shared" si="1"/>
        <v>8362</v>
      </c>
      <c r="D119" s="91"/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/>
      <c r="L119" s="91"/>
      <c r="M119" s="91"/>
      <c r="N119" s="91">
        <v>8362</v>
      </c>
      <c r="O119" s="91"/>
      <c r="P119" s="91">
        <v>0</v>
      </c>
    </row>
    <row r="120" spans="1:16" s="94" customFormat="1" ht="12" x14ac:dyDescent="0.2">
      <c r="A120" s="89">
        <v>107</v>
      </c>
      <c r="B120" s="93" t="s">
        <v>333</v>
      </c>
      <c r="C120" s="91">
        <f t="shared" si="1"/>
        <v>12468</v>
      </c>
      <c r="D120" s="91"/>
      <c r="E120" s="91">
        <v>1444</v>
      </c>
      <c r="F120" s="91">
        <v>233</v>
      </c>
      <c r="G120" s="91">
        <v>0</v>
      </c>
      <c r="H120" s="91">
        <v>2895</v>
      </c>
      <c r="I120" s="91">
        <v>0</v>
      </c>
      <c r="J120" s="91">
        <v>0</v>
      </c>
      <c r="K120" s="91"/>
      <c r="L120" s="91"/>
      <c r="M120" s="91"/>
      <c r="N120" s="91"/>
      <c r="O120" s="91">
        <v>1140</v>
      </c>
      <c r="P120" s="91">
        <v>6756</v>
      </c>
    </row>
    <row r="121" spans="1:16" s="94" customFormat="1" ht="12" x14ac:dyDescent="0.2">
      <c r="A121" s="89">
        <v>108</v>
      </c>
      <c r="B121" s="90" t="s">
        <v>37</v>
      </c>
      <c r="C121" s="91">
        <f t="shared" si="1"/>
        <v>43143</v>
      </c>
      <c r="D121" s="91">
        <v>1170</v>
      </c>
      <c r="E121" s="91">
        <v>3397</v>
      </c>
      <c r="F121" s="91">
        <v>749</v>
      </c>
      <c r="G121" s="91">
        <v>93</v>
      </c>
      <c r="H121" s="91">
        <v>6054</v>
      </c>
      <c r="I121" s="91">
        <v>5499</v>
      </c>
      <c r="J121" s="91">
        <v>0</v>
      </c>
      <c r="K121" s="91"/>
      <c r="L121" s="91"/>
      <c r="M121" s="91"/>
      <c r="N121" s="91"/>
      <c r="O121" s="91">
        <f>5522+1476</f>
        <v>6998</v>
      </c>
      <c r="P121" s="91">
        <v>19183</v>
      </c>
    </row>
    <row r="122" spans="1:16" s="94" customFormat="1" ht="12" x14ac:dyDescent="0.2">
      <c r="A122" s="89">
        <v>109</v>
      </c>
      <c r="B122" s="93" t="s">
        <v>38</v>
      </c>
      <c r="C122" s="91">
        <f t="shared" si="1"/>
        <v>41576</v>
      </c>
      <c r="D122" s="91"/>
      <c r="E122" s="91">
        <v>3708</v>
      </c>
      <c r="F122" s="91">
        <v>855</v>
      </c>
      <c r="G122" s="91">
        <v>16</v>
      </c>
      <c r="H122" s="91">
        <v>6175</v>
      </c>
      <c r="I122" s="91">
        <v>5828</v>
      </c>
      <c r="J122" s="91">
        <v>0</v>
      </c>
      <c r="K122" s="91"/>
      <c r="L122" s="91"/>
      <c r="M122" s="91"/>
      <c r="N122" s="91"/>
      <c r="O122" s="91">
        <v>3826</v>
      </c>
      <c r="P122" s="91">
        <v>21168</v>
      </c>
    </row>
    <row r="123" spans="1:16" s="94" customFormat="1" ht="12" x14ac:dyDescent="0.2">
      <c r="A123" s="89">
        <v>110</v>
      </c>
      <c r="B123" s="90" t="s">
        <v>39</v>
      </c>
      <c r="C123" s="91">
        <f t="shared" si="1"/>
        <v>126844</v>
      </c>
      <c r="D123" s="91"/>
      <c r="E123" s="91">
        <v>8199</v>
      </c>
      <c r="F123" s="91">
        <v>1795</v>
      </c>
      <c r="G123" s="91">
        <v>180</v>
      </c>
      <c r="H123" s="91">
        <v>12391</v>
      </c>
      <c r="I123" s="91">
        <v>16917</v>
      </c>
      <c r="J123" s="91">
        <v>0</v>
      </c>
      <c r="K123" s="91"/>
      <c r="L123" s="91"/>
      <c r="M123" s="91"/>
      <c r="N123" s="91"/>
      <c r="O123" s="91">
        <v>15173</v>
      </c>
      <c r="P123" s="91">
        <v>72189</v>
      </c>
    </row>
    <row r="124" spans="1:16" s="94" customFormat="1" ht="12" x14ac:dyDescent="0.2">
      <c r="A124" s="89">
        <v>111</v>
      </c>
      <c r="B124" s="93" t="s">
        <v>40</v>
      </c>
      <c r="C124" s="91">
        <f t="shared" si="1"/>
        <v>54226</v>
      </c>
      <c r="D124" s="91"/>
      <c r="E124" s="91">
        <v>4583</v>
      </c>
      <c r="F124" s="91">
        <v>911</v>
      </c>
      <c r="G124" s="91">
        <v>42</v>
      </c>
      <c r="H124" s="91">
        <v>6365</v>
      </c>
      <c r="I124" s="91">
        <v>6949</v>
      </c>
      <c r="J124" s="91">
        <v>0</v>
      </c>
      <c r="K124" s="91"/>
      <c r="L124" s="91"/>
      <c r="M124" s="91"/>
      <c r="N124" s="91"/>
      <c r="O124" s="91">
        <v>7365</v>
      </c>
      <c r="P124" s="91">
        <v>28011</v>
      </c>
    </row>
    <row r="125" spans="1:16" s="94" customFormat="1" ht="12" x14ac:dyDescent="0.2">
      <c r="A125" s="89">
        <v>112</v>
      </c>
      <c r="B125" s="93" t="s">
        <v>41</v>
      </c>
      <c r="C125" s="91">
        <f t="shared" si="1"/>
        <v>70993</v>
      </c>
      <c r="D125" s="91"/>
      <c r="E125" s="91">
        <v>5985</v>
      </c>
      <c r="F125" s="91">
        <v>1574</v>
      </c>
      <c r="G125" s="91">
        <v>79</v>
      </c>
      <c r="H125" s="91">
        <v>7237</v>
      </c>
      <c r="I125" s="91">
        <v>7587</v>
      </c>
      <c r="J125" s="91">
        <v>322</v>
      </c>
      <c r="K125" s="91">
        <v>225</v>
      </c>
      <c r="L125" s="91">
        <v>97</v>
      </c>
      <c r="M125" s="91"/>
      <c r="N125" s="91"/>
      <c r="O125" s="91">
        <v>13792</v>
      </c>
      <c r="P125" s="91">
        <v>34417</v>
      </c>
    </row>
    <row r="126" spans="1:16" s="94" customFormat="1" ht="12" x14ac:dyDescent="0.2">
      <c r="A126" s="89">
        <v>113</v>
      </c>
      <c r="B126" s="90" t="s">
        <v>42</v>
      </c>
      <c r="C126" s="91">
        <f t="shared" si="1"/>
        <v>127064</v>
      </c>
      <c r="D126" s="91"/>
      <c r="E126" s="91">
        <v>9474</v>
      </c>
      <c r="F126" s="91">
        <v>2502</v>
      </c>
      <c r="G126" s="91">
        <v>265</v>
      </c>
      <c r="H126" s="91">
        <v>6553</v>
      </c>
      <c r="I126" s="91">
        <v>21082</v>
      </c>
      <c r="J126" s="91">
        <v>0</v>
      </c>
      <c r="K126" s="91"/>
      <c r="L126" s="91"/>
      <c r="M126" s="91"/>
      <c r="N126" s="91"/>
      <c r="O126" s="91">
        <v>10700</v>
      </c>
      <c r="P126" s="91">
        <v>76488</v>
      </c>
    </row>
    <row r="127" spans="1:16" s="94" customFormat="1" ht="12" x14ac:dyDescent="0.2">
      <c r="A127" s="89">
        <v>114</v>
      </c>
      <c r="B127" s="90" t="s">
        <v>43</v>
      </c>
      <c r="C127" s="91">
        <f t="shared" si="1"/>
        <v>123108</v>
      </c>
      <c r="D127" s="91"/>
      <c r="E127" s="91">
        <v>8337</v>
      </c>
      <c r="F127" s="91">
        <v>2153</v>
      </c>
      <c r="G127" s="91">
        <v>112</v>
      </c>
      <c r="H127" s="91">
        <v>8109</v>
      </c>
      <c r="I127" s="91">
        <v>15914</v>
      </c>
      <c r="J127" s="91">
        <v>0</v>
      </c>
      <c r="K127" s="91"/>
      <c r="L127" s="91"/>
      <c r="M127" s="91"/>
      <c r="N127" s="91"/>
      <c r="O127" s="91">
        <v>29227</v>
      </c>
      <c r="P127" s="91">
        <v>59256</v>
      </c>
    </row>
    <row r="128" spans="1:16" s="94" customFormat="1" ht="12" x14ac:dyDescent="0.2">
      <c r="A128" s="89">
        <v>115</v>
      </c>
      <c r="B128" s="93" t="s">
        <v>44</v>
      </c>
      <c r="C128" s="91">
        <f t="shared" si="1"/>
        <v>38453</v>
      </c>
      <c r="D128" s="91"/>
      <c r="E128" s="91">
        <v>3505</v>
      </c>
      <c r="F128" s="91">
        <v>918</v>
      </c>
      <c r="G128" s="91">
        <v>45</v>
      </c>
      <c r="H128" s="91">
        <v>2993</v>
      </c>
      <c r="I128" s="91">
        <v>5315</v>
      </c>
      <c r="J128" s="91">
        <v>0</v>
      </c>
      <c r="K128" s="91"/>
      <c r="L128" s="91"/>
      <c r="M128" s="91"/>
      <c r="N128" s="91"/>
      <c r="O128" s="91">
        <v>10114</v>
      </c>
      <c r="P128" s="91">
        <v>15563</v>
      </c>
    </row>
    <row r="129" spans="1:16" s="94" customFormat="1" ht="12" x14ac:dyDescent="0.2">
      <c r="A129" s="89">
        <v>116</v>
      </c>
      <c r="B129" s="90" t="s">
        <v>45</v>
      </c>
      <c r="C129" s="91">
        <f t="shared" si="1"/>
        <v>63390</v>
      </c>
      <c r="D129" s="91"/>
      <c r="E129" s="91">
        <v>5731</v>
      </c>
      <c r="F129" s="91">
        <v>1481</v>
      </c>
      <c r="G129" s="91">
        <v>72</v>
      </c>
      <c r="H129" s="91">
        <v>6063</v>
      </c>
      <c r="I129" s="91">
        <v>7573</v>
      </c>
      <c r="J129" s="91">
        <v>0</v>
      </c>
      <c r="K129" s="91"/>
      <c r="L129" s="91"/>
      <c r="M129" s="91"/>
      <c r="N129" s="91"/>
      <c r="O129" s="91">
        <v>8916</v>
      </c>
      <c r="P129" s="91">
        <v>33554</v>
      </c>
    </row>
    <row r="130" spans="1:16" s="94" customFormat="1" ht="12" x14ac:dyDescent="0.2">
      <c r="A130" s="89">
        <v>117</v>
      </c>
      <c r="B130" s="93" t="s">
        <v>46</v>
      </c>
      <c r="C130" s="91">
        <f t="shared" si="1"/>
        <v>61010</v>
      </c>
      <c r="D130" s="91"/>
      <c r="E130" s="91">
        <v>5189</v>
      </c>
      <c r="F130" s="91">
        <v>1396</v>
      </c>
      <c r="G130" s="91">
        <v>90</v>
      </c>
      <c r="H130" s="91">
        <v>6076</v>
      </c>
      <c r="I130" s="91">
        <v>8814</v>
      </c>
      <c r="J130" s="91">
        <v>0</v>
      </c>
      <c r="K130" s="91"/>
      <c r="L130" s="91"/>
      <c r="M130" s="91">
        <v>670</v>
      </c>
      <c r="N130" s="91"/>
      <c r="O130" s="91">
        <v>12372</v>
      </c>
      <c r="P130" s="91">
        <v>26403</v>
      </c>
    </row>
    <row r="131" spans="1:16" s="94" customFormat="1" ht="12" x14ac:dyDescent="0.2">
      <c r="A131" s="89">
        <v>118</v>
      </c>
      <c r="B131" s="93" t="s">
        <v>47</v>
      </c>
      <c r="C131" s="91">
        <f t="shared" si="1"/>
        <v>89323</v>
      </c>
      <c r="D131" s="91">
        <v>14795</v>
      </c>
      <c r="E131" s="91">
        <v>5248</v>
      </c>
      <c r="F131" s="91">
        <v>1339</v>
      </c>
      <c r="G131" s="91">
        <v>61</v>
      </c>
      <c r="H131" s="91">
        <v>6958</v>
      </c>
      <c r="I131" s="91">
        <v>10493</v>
      </c>
      <c r="J131" s="91">
        <v>1464</v>
      </c>
      <c r="K131" s="91">
        <v>1025</v>
      </c>
      <c r="L131" s="91">
        <v>439</v>
      </c>
      <c r="M131" s="91"/>
      <c r="N131" s="91"/>
      <c r="O131" s="91">
        <v>9040</v>
      </c>
      <c r="P131" s="91">
        <v>39925</v>
      </c>
    </row>
    <row r="132" spans="1:16" s="94" customFormat="1" ht="12" x14ac:dyDescent="0.2">
      <c r="A132" s="89">
        <v>119</v>
      </c>
      <c r="B132" s="90" t="s">
        <v>48</v>
      </c>
      <c r="C132" s="91">
        <f t="shared" si="1"/>
        <v>47030</v>
      </c>
      <c r="D132" s="91"/>
      <c r="E132" s="91">
        <v>4161</v>
      </c>
      <c r="F132" s="91">
        <v>1201</v>
      </c>
      <c r="G132" s="91">
        <v>113</v>
      </c>
      <c r="H132" s="91">
        <v>4861</v>
      </c>
      <c r="I132" s="91">
        <v>6434</v>
      </c>
      <c r="J132" s="91">
        <v>0</v>
      </c>
      <c r="K132" s="91"/>
      <c r="L132" s="91"/>
      <c r="M132" s="91"/>
      <c r="N132" s="91"/>
      <c r="O132" s="91">
        <v>11432</v>
      </c>
      <c r="P132" s="91">
        <v>18828</v>
      </c>
    </row>
    <row r="133" spans="1:16" s="94" customFormat="1" ht="12" x14ac:dyDescent="0.2">
      <c r="A133" s="89">
        <v>120</v>
      </c>
      <c r="B133" s="93" t="s">
        <v>49</v>
      </c>
      <c r="C133" s="91">
        <f t="shared" si="1"/>
        <v>70875</v>
      </c>
      <c r="D133" s="91"/>
      <c r="E133" s="91">
        <v>6228</v>
      </c>
      <c r="F133" s="91">
        <v>1685</v>
      </c>
      <c r="G133" s="91">
        <v>76</v>
      </c>
      <c r="H133" s="91">
        <v>7852</v>
      </c>
      <c r="I133" s="91">
        <v>8295</v>
      </c>
      <c r="J133" s="91">
        <v>0</v>
      </c>
      <c r="K133" s="91"/>
      <c r="L133" s="91"/>
      <c r="M133" s="91"/>
      <c r="N133" s="91"/>
      <c r="O133" s="91">
        <v>10947</v>
      </c>
      <c r="P133" s="91">
        <v>35792</v>
      </c>
    </row>
    <row r="134" spans="1:16" s="94" customFormat="1" ht="12" x14ac:dyDescent="0.2">
      <c r="A134" s="89">
        <v>121</v>
      </c>
      <c r="B134" s="93" t="s">
        <v>50</v>
      </c>
      <c r="C134" s="91">
        <f t="shared" si="1"/>
        <v>114911</v>
      </c>
      <c r="D134" s="91">
        <v>20</v>
      </c>
      <c r="E134" s="91">
        <v>9969</v>
      </c>
      <c r="F134" s="91">
        <v>2463</v>
      </c>
      <c r="G134" s="91">
        <v>75</v>
      </c>
      <c r="H134" s="91">
        <v>15491</v>
      </c>
      <c r="I134" s="91">
        <v>15440</v>
      </c>
      <c r="J134" s="91">
        <v>0</v>
      </c>
      <c r="K134" s="91"/>
      <c r="L134" s="91"/>
      <c r="M134" s="91"/>
      <c r="N134" s="91"/>
      <c r="O134" s="91">
        <v>19852</v>
      </c>
      <c r="P134" s="91">
        <v>51601</v>
      </c>
    </row>
    <row r="135" spans="1:16" s="94" customFormat="1" ht="12" x14ac:dyDescent="0.2">
      <c r="A135" s="89">
        <v>122</v>
      </c>
      <c r="B135" s="93" t="s">
        <v>51</v>
      </c>
      <c r="C135" s="91">
        <f t="shared" si="1"/>
        <v>54994</v>
      </c>
      <c r="D135" s="91"/>
      <c r="E135" s="91">
        <v>4793</v>
      </c>
      <c r="F135" s="91">
        <v>1199</v>
      </c>
      <c r="G135" s="91">
        <v>112</v>
      </c>
      <c r="H135" s="91">
        <v>7657</v>
      </c>
      <c r="I135" s="91">
        <v>6504</v>
      </c>
      <c r="J135" s="91">
        <v>0</v>
      </c>
      <c r="K135" s="91"/>
      <c r="L135" s="91"/>
      <c r="M135" s="91"/>
      <c r="N135" s="91"/>
      <c r="O135" s="91">
        <v>7145</v>
      </c>
      <c r="P135" s="91">
        <v>27584</v>
      </c>
    </row>
    <row r="136" spans="1:16" s="94" customFormat="1" ht="16.5" x14ac:dyDescent="0.2">
      <c r="A136" s="89">
        <v>123</v>
      </c>
      <c r="B136" s="99" t="s">
        <v>59</v>
      </c>
      <c r="C136" s="91">
        <f t="shared" si="1"/>
        <v>49782</v>
      </c>
      <c r="D136" s="91"/>
      <c r="E136" s="91">
        <v>3994</v>
      </c>
      <c r="F136" s="91">
        <v>989</v>
      </c>
      <c r="G136" s="91">
        <v>0</v>
      </c>
      <c r="H136" s="91">
        <v>4252</v>
      </c>
      <c r="I136" s="91">
        <v>0</v>
      </c>
      <c r="J136" s="91">
        <v>3080</v>
      </c>
      <c r="K136" s="91">
        <v>2156</v>
      </c>
      <c r="L136" s="91">
        <v>924</v>
      </c>
      <c r="M136" s="91"/>
      <c r="N136" s="91"/>
      <c r="O136" s="91">
        <v>4577</v>
      </c>
      <c r="P136" s="91">
        <v>32890</v>
      </c>
    </row>
    <row r="137" spans="1:16" s="94" customFormat="1" ht="12" x14ac:dyDescent="0.2">
      <c r="A137" s="89">
        <v>124</v>
      </c>
      <c r="B137" s="99" t="s">
        <v>334</v>
      </c>
      <c r="C137" s="91">
        <f t="shared" ref="C137:C173" si="2">D137+E137+F137+G137+H137+I137+J137+M137+N137+O137+P137</f>
        <v>0</v>
      </c>
      <c r="D137" s="91"/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/>
      <c r="L137" s="91"/>
      <c r="M137" s="91"/>
      <c r="N137" s="91">
        <v>0</v>
      </c>
      <c r="O137" s="91"/>
      <c r="P137" s="91">
        <v>0</v>
      </c>
    </row>
    <row r="138" spans="1:16" s="94" customFormat="1" ht="12" x14ac:dyDescent="0.2">
      <c r="A138" s="89">
        <v>125</v>
      </c>
      <c r="B138" s="99" t="s">
        <v>335</v>
      </c>
      <c r="C138" s="91">
        <f t="shared" si="2"/>
        <v>25</v>
      </c>
      <c r="D138" s="91"/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/>
      <c r="L138" s="91"/>
      <c r="M138" s="91"/>
      <c r="N138" s="91">
        <v>25</v>
      </c>
      <c r="O138" s="91"/>
      <c r="P138" s="91">
        <v>0</v>
      </c>
    </row>
    <row r="139" spans="1:16" s="98" customFormat="1" ht="11.25" x14ac:dyDescent="0.2">
      <c r="A139" s="89">
        <v>126</v>
      </c>
      <c r="B139" s="93" t="s">
        <v>336</v>
      </c>
      <c r="C139" s="91">
        <f t="shared" si="2"/>
        <v>0</v>
      </c>
      <c r="D139" s="91"/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/>
      <c r="L139" s="91"/>
      <c r="M139" s="91"/>
      <c r="N139" s="91"/>
      <c r="O139" s="91"/>
      <c r="P139" s="91">
        <v>0</v>
      </c>
    </row>
    <row r="140" spans="1:16" s="94" customFormat="1" ht="12" x14ac:dyDescent="0.2">
      <c r="A140" s="89">
        <v>127</v>
      </c>
      <c r="B140" s="93" t="s">
        <v>337</v>
      </c>
      <c r="C140" s="91">
        <f t="shared" si="2"/>
        <v>1</v>
      </c>
      <c r="D140" s="91"/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  <c r="K140" s="91"/>
      <c r="L140" s="91"/>
      <c r="M140" s="91"/>
      <c r="N140" s="91">
        <v>1</v>
      </c>
      <c r="O140" s="91"/>
      <c r="P140" s="91">
        <v>0</v>
      </c>
    </row>
    <row r="141" spans="1:16" s="94" customFormat="1" ht="12" x14ac:dyDescent="0.2">
      <c r="A141" s="89">
        <v>128</v>
      </c>
      <c r="B141" s="93" t="s">
        <v>338</v>
      </c>
      <c r="C141" s="91">
        <f t="shared" si="2"/>
        <v>0</v>
      </c>
      <c r="D141" s="91"/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/>
      <c r="L141" s="91"/>
      <c r="M141" s="91"/>
      <c r="N141" s="91">
        <v>0</v>
      </c>
      <c r="O141" s="91"/>
      <c r="P141" s="91">
        <v>0</v>
      </c>
    </row>
    <row r="142" spans="1:16" s="100" customFormat="1" ht="12" x14ac:dyDescent="0.2">
      <c r="A142" s="89">
        <v>129</v>
      </c>
      <c r="B142" s="90" t="s">
        <v>339</v>
      </c>
      <c r="C142" s="91">
        <f t="shared" si="2"/>
        <v>100</v>
      </c>
      <c r="D142" s="91"/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/>
      <c r="L142" s="91"/>
      <c r="M142" s="91"/>
      <c r="N142" s="91">
        <v>100</v>
      </c>
      <c r="O142" s="91"/>
      <c r="P142" s="91">
        <v>0</v>
      </c>
    </row>
    <row r="143" spans="1:16" x14ac:dyDescent="0.25">
      <c r="A143" s="89">
        <v>130</v>
      </c>
      <c r="B143" s="93" t="s">
        <v>340</v>
      </c>
      <c r="C143" s="91">
        <f t="shared" si="2"/>
        <v>0</v>
      </c>
      <c r="D143" s="91"/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/>
      <c r="L143" s="91"/>
      <c r="M143" s="91"/>
      <c r="N143" s="91">
        <v>0</v>
      </c>
      <c r="O143" s="91"/>
      <c r="P143" s="91">
        <v>0</v>
      </c>
    </row>
    <row r="144" spans="1:16" x14ac:dyDescent="0.25">
      <c r="A144" s="89">
        <v>131</v>
      </c>
      <c r="B144" s="93" t="s">
        <v>341</v>
      </c>
      <c r="C144" s="91">
        <f t="shared" si="2"/>
        <v>50</v>
      </c>
      <c r="D144" s="91"/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/>
      <c r="L144" s="91"/>
      <c r="M144" s="91"/>
      <c r="N144" s="91">
        <v>50</v>
      </c>
      <c r="O144" s="91"/>
      <c r="P144" s="91">
        <v>0</v>
      </c>
    </row>
    <row r="145" spans="1:16" x14ac:dyDescent="0.25">
      <c r="A145" s="89">
        <v>132</v>
      </c>
      <c r="B145" s="93" t="s">
        <v>342</v>
      </c>
      <c r="C145" s="91">
        <f t="shared" si="2"/>
        <v>40</v>
      </c>
      <c r="D145" s="91"/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/>
      <c r="L145" s="91"/>
      <c r="M145" s="91"/>
      <c r="N145" s="91">
        <v>40</v>
      </c>
      <c r="O145" s="91"/>
      <c r="P145" s="91">
        <v>0</v>
      </c>
    </row>
    <row r="146" spans="1:16" x14ac:dyDescent="0.25">
      <c r="A146" s="89">
        <v>133</v>
      </c>
      <c r="B146" s="93" t="s">
        <v>343</v>
      </c>
      <c r="C146" s="91">
        <f t="shared" si="2"/>
        <v>32</v>
      </c>
      <c r="D146" s="91"/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  <c r="K146" s="91"/>
      <c r="L146" s="91"/>
      <c r="M146" s="91"/>
      <c r="N146" s="91">
        <v>32</v>
      </c>
      <c r="O146" s="91"/>
      <c r="P146" s="91">
        <v>0</v>
      </c>
    </row>
    <row r="147" spans="1:16" x14ac:dyDescent="0.25">
      <c r="A147" s="89">
        <v>134</v>
      </c>
      <c r="B147" s="93" t="s">
        <v>344</v>
      </c>
      <c r="C147" s="91">
        <f t="shared" si="2"/>
        <v>0</v>
      </c>
      <c r="D147" s="91"/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/>
      <c r="L147" s="91"/>
      <c r="M147" s="91"/>
      <c r="N147" s="91">
        <v>0</v>
      </c>
      <c r="O147" s="91"/>
      <c r="P147" s="91">
        <v>0</v>
      </c>
    </row>
    <row r="148" spans="1:16" x14ac:dyDescent="0.25">
      <c r="A148" s="89">
        <v>135</v>
      </c>
      <c r="B148" s="93" t="s">
        <v>345</v>
      </c>
      <c r="C148" s="91">
        <f t="shared" si="2"/>
        <v>25</v>
      </c>
      <c r="D148" s="91"/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91">
        <v>0</v>
      </c>
      <c r="K148" s="91"/>
      <c r="L148" s="91"/>
      <c r="M148" s="91"/>
      <c r="N148" s="91">
        <v>25</v>
      </c>
      <c r="O148" s="91"/>
      <c r="P148" s="91">
        <v>0</v>
      </c>
    </row>
    <row r="149" spans="1:16" x14ac:dyDescent="0.25">
      <c r="A149" s="89">
        <v>136</v>
      </c>
      <c r="B149" s="93" t="s">
        <v>60</v>
      </c>
      <c r="C149" s="91">
        <f t="shared" si="2"/>
        <v>382</v>
      </c>
      <c r="D149" s="91"/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/>
      <c r="L149" s="91"/>
      <c r="M149" s="91"/>
      <c r="N149" s="91">
        <v>382</v>
      </c>
      <c r="O149" s="91"/>
      <c r="P149" s="91">
        <v>0</v>
      </c>
    </row>
    <row r="150" spans="1:16" x14ac:dyDescent="0.25">
      <c r="A150" s="89">
        <v>137</v>
      </c>
      <c r="B150" s="93" t="s">
        <v>346</v>
      </c>
      <c r="C150" s="91">
        <f t="shared" si="2"/>
        <v>46</v>
      </c>
      <c r="D150" s="91"/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/>
      <c r="L150" s="91"/>
      <c r="M150" s="91"/>
      <c r="N150" s="91">
        <f>90-44</f>
        <v>46</v>
      </c>
      <c r="O150" s="91"/>
      <c r="P150" s="91">
        <v>0</v>
      </c>
    </row>
    <row r="151" spans="1:16" x14ac:dyDescent="0.25">
      <c r="A151" s="89">
        <v>138</v>
      </c>
      <c r="B151" s="93" t="s">
        <v>347</v>
      </c>
      <c r="C151" s="91">
        <f t="shared" si="2"/>
        <v>82</v>
      </c>
      <c r="D151" s="91"/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/>
      <c r="L151" s="91"/>
      <c r="M151" s="91"/>
      <c r="N151" s="91">
        <v>82</v>
      </c>
      <c r="O151" s="91"/>
      <c r="P151" s="91">
        <v>0</v>
      </c>
    </row>
    <row r="152" spans="1:16" x14ac:dyDescent="0.25">
      <c r="A152" s="89">
        <v>139</v>
      </c>
      <c r="B152" s="93" t="s">
        <v>348</v>
      </c>
      <c r="C152" s="91">
        <f t="shared" si="2"/>
        <v>32</v>
      </c>
      <c r="D152" s="91"/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/>
      <c r="L152" s="91"/>
      <c r="M152" s="91"/>
      <c r="N152" s="91">
        <v>32</v>
      </c>
      <c r="O152" s="91"/>
      <c r="P152" s="91">
        <v>0</v>
      </c>
    </row>
    <row r="153" spans="1:16" x14ac:dyDescent="0.25">
      <c r="A153" s="89">
        <v>140</v>
      </c>
      <c r="B153" s="93" t="s">
        <v>349</v>
      </c>
      <c r="C153" s="91">
        <f t="shared" si="2"/>
        <v>25</v>
      </c>
      <c r="D153" s="91"/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/>
      <c r="L153" s="91"/>
      <c r="M153" s="91"/>
      <c r="N153" s="91">
        <v>25</v>
      </c>
      <c r="O153" s="91"/>
      <c r="P153" s="91">
        <v>0</v>
      </c>
    </row>
    <row r="154" spans="1:16" x14ac:dyDescent="0.25">
      <c r="A154" s="89">
        <v>141</v>
      </c>
      <c r="B154" s="93" t="s">
        <v>350</v>
      </c>
      <c r="C154" s="91">
        <f t="shared" si="2"/>
        <v>32</v>
      </c>
      <c r="D154" s="91"/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/>
      <c r="L154" s="91"/>
      <c r="M154" s="91"/>
      <c r="N154" s="91">
        <v>32</v>
      </c>
      <c r="O154" s="91"/>
      <c r="P154" s="91">
        <v>0</v>
      </c>
    </row>
    <row r="155" spans="1:16" ht="16.5" x14ac:dyDescent="0.25">
      <c r="A155" s="89">
        <v>142</v>
      </c>
      <c r="B155" s="93" t="s">
        <v>351</v>
      </c>
      <c r="C155" s="91">
        <f t="shared" si="2"/>
        <v>32</v>
      </c>
      <c r="D155" s="91"/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/>
      <c r="L155" s="91"/>
      <c r="M155" s="91"/>
      <c r="N155" s="91">
        <v>32</v>
      </c>
      <c r="O155" s="91"/>
      <c r="P155" s="91">
        <v>0</v>
      </c>
    </row>
    <row r="156" spans="1:16" x14ac:dyDescent="0.25">
      <c r="A156" s="89">
        <v>143</v>
      </c>
      <c r="B156" s="93" t="s">
        <v>352</v>
      </c>
      <c r="C156" s="91">
        <f t="shared" si="2"/>
        <v>32</v>
      </c>
      <c r="D156" s="91"/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/>
      <c r="L156" s="91"/>
      <c r="M156" s="91"/>
      <c r="N156" s="91">
        <v>32</v>
      </c>
      <c r="O156" s="91"/>
      <c r="P156" s="91">
        <v>0</v>
      </c>
    </row>
    <row r="157" spans="1:16" x14ac:dyDescent="0.25">
      <c r="A157" s="89">
        <v>144</v>
      </c>
      <c r="B157" s="93" t="s">
        <v>353</v>
      </c>
      <c r="C157" s="91">
        <f t="shared" si="2"/>
        <v>0</v>
      </c>
      <c r="D157" s="91"/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/>
      <c r="L157" s="91"/>
      <c r="M157" s="91"/>
      <c r="N157" s="91">
        <v>0</v>
      </c>
      <c r="O157" s="91"/>
      <c r="P157" s="91">
        <v>0</v>
      </c>
    </row>
    <row r="158" spans="1:16" x14ac:dyDescent="0.25">
      <c r="A158" s="89">
        <v>145</v>
      </c>
      <c r="B158" s="93" t="s">
        <v>354</v>
      </c>
      <c r="C158" s="91">
        <f t="shared" si="2"/>
        <v>0</v>
      </c>
      <c r="D158" s="91"/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/>
      <c r="L158" s="91"/>
      <c r="M158" s="91"/>
      <c r="N158" s="91">
        <v>0</v>
      </c>
      <c r="O158" s="91"/>
      <c r="P158" s="91">
        <v>0</v>
      </c>
    </row>
    <row r="159" spans="1:16" x14ac:dyDescent="0.25">
      <c r="A159" s="89">
        <v>146</v>
      </c>
      <c r="B159" s="93" t="s">
        <v>81</v>
      </c>
      <c r="C159" s="91">
        <f t="shared" si="2"/>
        <v>229358</v>
      </c>
      <c r="D159" s="91"/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/>
      <c r="L159" s="91"/>
      <c r="M159" s="91">
        <v>229358</v>
      </c>
      <c r="N159" s="91"/>
      <c r="O159" s="91"/>
      <c r="P159" s="91">
        <v>0</v>
      </c>
    </row>
    <row r="160" spans="1:16" x14ac:dyDescent="0.25">
      <c r="A160" s="89">
        <v>147</v>
      </c>
      <c r="B160" s="93" t="s">
        <v>355</v>
      </c>
      <c r="C160" s="91">
        <f t="shared" si="2"/>
        <v>124000</v>
      </c>
      <c r="D160" s="91"/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/>
      <c r="L160" s="91"/>
      <c r="M160" s="91">
        <v>124000</v>
      </c>
      <c r="N160" s="91"/>
      <c r="O160" s="91"/>
      <c r="P160" s="91">
        <v>0</v>
      </c>
    </row>
    <row r="161" spans="1:16" x14ac:dyDescent="0.25">
      <c r="A161" s="89">
        <v>148</v>
      </c>
      <c r="B161" s="93" t="s">
        <v>61</v>
      </c>
      <c r="C161" s="91">
        <f t="shared" si="2"/>
        <v>85000</v>
      </c>
      <c r="D161" s="91"/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/>
      <c r="L161" s="91"/>
      <c r="M161" s="91">
        <f>81000+4000</f>
        <v>85000</v>
      </c>
      <c r="N161" s="91"/>
      <c r="O161" s="91"/>
      <c r="P161" s="91">
        <v>0</v>
      </c>
    </row>
    <row r="162" spans="1:16" x14ac:dyDescent="0.25">
      <c r="A162" s="89">
        <v>149</v>
      </c>
      <c r="B162" s="93" t="s">
        <v>69</v>
      </c>
      <c r="C162" s="91">
        <f t="shared" si="2"/>
        <v>113000</v>
      </c>
      <c r="D162" s="91"/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/>
      <c r="L162" s="91"/>
      <c r="M162" s="91">
        <v>113000</v>
      </c>
      <c r="N162" s="91"/>
      <c r="O162" s="91"/>
      <c r="P162" s="91">
        <v>0</v>
      </c>
    </row>
    <row r="163" spans="1:16" x14ac:dyDescent="0.25">
      <c r="A163" s="89">
        <v>150</v>
      </c>
      <c r="B163" s="93" t="s">
        <v>62</v>
      </c>
      <c r="C163" s="91">
        <f t="shared" si="2"/>
        <v>7873</v>
      </c>
      <c r="D163" s="91"/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/>
      <c r="L163" s="91"/>
      <c r="M163" s="91">
        <v>7873</v>
      </c>
      <c r="N163" s="91">
        <v>0</v>
      </c>
      <c r="O163" s="91"/>
      <c r="P163" s="91">
        <v>0</v>
      </c>
    </row>
    <row r="164" spans="1:16" x14ac:dyDescent="0.25">
      <c r="A164" s="89">
        <v>151</v>
      </c>
      <c r="B164" s="93" t="s">
        <v>356</v>
      </c>
      <c r="C164" s="91">
        <f t="shared" si="2"/>
        <v>65356</v>
      </c>
      <c r="D164" s="91"/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/>
      <c r="L164" s="91"/>
      <c r="M164" s="91">
        <v>65356</v>
      </c>
      <c r="N164" s="91"/>
      <c r="O164" s="91"/>
      <c r="P164" s="91">
        <v>0</v>
      </c>
    </row>
    <row r="165" spans="1:16" x14ac:dyDescent="0.25">
      <c r="A165" s="89">
        <v>152</v>
      </c>
      <c r="B165" s="93" t="s">
        <v>357</v>
      </c>
      <c r="C165" s="91">
        <f t="shared" si="2"/>
        <v>54704</v>
      </c>
      <c r="D165" s="91"/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/>
      <c r="L165" s="91"/>
      <c r="M165" s="91">
        <v>4000</v>
      </c>
      <c r="N165" s="91">
        <v>50704</v>
      </c>
      <c r="O165" s="91"/>
      <c r="P165" s="91">
        <v>0</v>
      </c>
    </row>
    <row r="166" spans="1:16" x14ac:dyDescent="0.25">
      <c r="A166" s="89">
        <v>153</v>
      </c>
      <c r="B166" s="93" t="s">
        <v>80</v>
      </c>
      <c r="C166" s="91">
        <f t="shared" si="2"/>
        <v>68000</v>
      </c>
      <c r="D166" s="91"/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/>
      <c r="L166" s="91"/>
      <c r="M166" s="91">
        <v>68000</v>
      </c>
      <c r="N166" s="91"/>
      <c r="O166" s="91"/>
      <c r="P166" s="91">
        <v>0</v>
      </c>
    </row>
    <row r="167" spans="1:16" x14ac:dyDescent="0.25">
      <c r="A167" s="89">
        <v>154</v>
      </c>
      <c r="B167" s="93" t="s">
        <v>63</v>
      </c>
      <c r="C167" s="91">
        <f t="shared" si="2"/>
        <v>18984</v>
      </c>
      <c r="D167" s="91">
        <f>20199-1215</f>
        <v>18984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/>
      <c r="L167" s="91"/>
      <c r="M167" s="91"/>
      <c r="N167" s="91"/>
      <c r="O167" s="91"/>
      <c r="P167" s="91">
        <v>0</v>
      </c>
    </row>
    <row r="168" spans="1:16" x14ac:dyDescent="0.25">
      <c r="A168" s="89">
        <v>155</v>
      </c>
      <c r="B168" s="93" t="s">
        <v>64</v>
      </c>
      <c r="C168" s="91">
        <f t="shared" si="2"/>
        <v>57392</v>
      </c>
      <c r="D168" s="91"/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4392</v>
      </c>
      <c r="K168" s="91">
        <v>3074</v>
      </c>
      <c r="L168" s="91">
        <v>1318</v>
      </c>
      <c r="M168" s="91">
        <v>53000</v>
      </c>
      <c r="N168" s="91"/>
      <c r="O168" s="91"/>
      <c r="P168" s="91">
        <v>0</v>
      </c>
    </row>
    <row r="169" spans="1:16" x14ac:dyDescent="0.25">
      <c r="A169" s="89">
        <v>156</v>
      </c>
      <c r="B169" s="93" t="s">
        <v>70</v>
      </c>
      <c r="C169" s="91">
        <f t="shared" si="2"/>
        <v>800</v>
      </c>
      <c r="D169" s="91"/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/>
      <c r="L169" s="91"/>
      <c r="M169" s="91">
        <v>800</v>
      </c>
      <c r="N169" s="91"/>
      <c r="O169" s="91"/>
      <c r="P169" s="91">
        <v>0</v>
      </c>
    </row>
    <row r="170" spans="1:16" x14ac:dyDescent="0.25">
      <c r="A170" s="415">
        <v>157</v>
      </c>
      <c r="B170" s="93" t="s">
        <v>358</v>
      </c>
      <c r="C170" s="91">
        <f t="shared" si="2"/>
        <v>98677</v>
      </c>
      <c r="D170" s="91"/>
      <c r="E170" s="91">
        <v>7870</v>
      </c>
      <c r="F170" s="91">
        <v>2117</v>
      </c>
      <c r="G170" s="91">
        <v>0</v>
      </c>
      <c r="H170" s="91">
        <v>4190</v>
      </c>
      <c r="I170" s="91">
        <v>0</v>
      </c>
      <c r="J170" s="91">
        <v>0</v>
      </c>
      <c r="K170" s="91"/>
      <c r="L170" s="91"/>
      <c r="M170" s="91">
        <f>2686+1500</f>
        <v>4186</v>
      </c>
      <c r="N170" s="91"/>
      <c r="O170" s="91">
        <v>35950</v>
      </c>
      <c r="P170" s="91">
        <v>44364</v>
      </c>
    </row>
    <row r="171" spans="1:16" ht="26.25" x14ac:dyDescent="0.25">
      <c r="A171" s="415"/>
      <c r="B171" s="101" t="s">
        <v>65</v>
      </c>
      <c r="C171" s="91">
        <f t="shared" si="2"/>
        <v>176994</v>
      </c>
      <c r="D171" s="91"/>
      <c r="E171" s="91">
        <v>12440</v>
      </c>
      <c r="F171" s="91">
        <v>3394</v>
      </c>
      <c r="G171" s="91">
        <v>165</v>
      </c>
      <c r="H171" s="91">
        <v>20482</v>
      </c>
      <c r="I171" s="91">
        <v>35852</v>
      </c>
      <c r="J171" s="91">
        <v>0</v>
      </c>
      <c r="K171" s="91"/>
      <c r="L171" s="91"/>
      <c r="M171" s="91"/>
      <c r="N171" s="91"/>
      <c r="O171" s="91">
        <v>20230</v>
      </c>
      <c r="P171" s="91">
        <v>84431</v>
      </c>
    </row>
    <row r="172" spans="1:16" x14ac:dyDescent="0.25">
      <c r="A172" s="89">
        <v>158</v>
      </c>
      <c r="B172" s="93" t="s">
        <v>359</v>
      </c>
      <c r="C172" s="91">
        <f t="shared" si="2"/>
        <v>3000</v>
      </c>
      <c r="D172" s="91"/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/>
      <c r="L172" s="91"/>
      <c r="M172" s="91">
        <v>3000</v>
      </c>
      <c r="N172" s="91"/>
      <c r="O172" s="91"/>
      <c r="P172" s="91">
        <v>0</v>
      </c>
    </row>
    <row r="173" spans="1:16" x14ac:dyDescent="0.25">
      <c r="A173" s="89">
        <v>159</v>
      </c>
      <c r="B173" s="93" t="s">
        <v>360</v>
      </c>
      <c r="C173" s="91">
        <f t="shared" si="2"/>
        <v>9430</v>
      </c>
      <c r="D173" s="91"/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/>
      <c r="L173" s="91"/>
      <c r="M173" s="91">
        <v>9430</v>
      </c>
      <c r="N173" s="91"/>
      <c r="O173" s="91"/>
      <c r="P173" s="91">
        <v>0</v>
      </c>
    </row>
    <row r="174" spans="1:16" x14ac:dyDescent="0.25">
      <c r="A174" s="102"/>
      <c r="B174" s="93" t="s">
        <v>66</v>
      </c>
      <c r="C174" s="91">
        <f>315480-137-900-11207</f>
        <v>303236</v>
      </c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1:16" x14ac:dyDescent="0.25">
      <c r="A175" s="103"/>
      <c r="B175" s="103" t="s">
        <v>52</v>
      </c>
      <c r="C175" s="104">
        <f>SUM(C8:C174)</f>
        <v>11685415.800000001</v>
      </c>
      <c r="D175" s="104">
        <f t="shared" ref="D175:P175" si="3">SUM(D8:D174)</f>
        <v>405744</v>
      </c>
      <c r="E175" s="104">
        <f>SUM(E8:E174)</f>
        <v>764740</v>
      </c>
      <c r="F175" s="104">
        <f t="shared" ref="F175:I175" si="4">SUM(F8:F174)</f>
        <v>204950</v>
      </c>
      <c r="G175" s="104">
        <f t="shared" si="4"/>
        <v>11952</v>
      </c>
      <c r="H175" s="104">
        <f t="shared" si="4"/>
        <v>1095064</v>
      </c>
      <c r="I175" s="104">
        <f t="shared" si="4"/>
        <v>1333618</v>
      </c>
      <c r="J175" s="104">
        <f t="shared" si="3"/>
        <v>51239.8</v>
      </c>
      <c r="K175" s="104">
        <f t="shared" si="3"/>
        <v>35872.800000000003</v>
      </c>
      <c r="L175" s="104">
        <f t="shared" si="3"/>
        <v>15367</v>
      </c>
      <c r="M175" s="104">
        <f t="shared" si="3"/>
        <v>817431</v>
      </c>
      <c r="N175" s="104">
        <f t="shared" si="3"/>
        <v>294272</v>
      </c>
      <c r="O175" s="104">
        <f t="shared" si="3"/>
        <v>1424710</v>
      </c>
      <c r="P175" s="104">
        <f t="shared" si="3"/>
        <v>4978459</v>
      </c>
    </row>
    <row r="176" spans="1:16" x14ac:dyDescent="0.25"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 x14ac:dyDescent="0.25">
      <c r="B177" s="106"/>
      <c r="C177" s="105"/>
      <c r="D177" s="105"/>
      <c r="E177" s="105"/>
      <c r="F177" s="105"/>
      <c r="G177" s="107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 x14ac:dyDescent="0.2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 x14ac:dyDescent="0.25">
      <c r="J179" s="83"/>
      <c r="M179" s="110"/>
    </row>
    <row r="180" spans="2:16" x14ac:dyDescent="0.25">
      <c r="C180" s="92"/>
    </row>
  </sheetData>
  <mergeCells count="26">
    <mergeCell ref="O4:P5"/>
    <mergeCell ref="A1:P1"/>
    <mergeCell ref="O2:P2"/>
    <mergeCell ref="A3:A6"/>
    <mergeCell ref="B3:B6"/>
    <mergeCell ref="C3:C6"/>
    <mergeCell ref="D3:P3"/>
    <mergeCell ref="D4:D6"/>
    <mergeCell ref="E4:F4"/>
    <mergeCell ref="G4:G6"/>
    <mergeCell ref="H4:H6"/>
    <mergeCell ref="F5:F6"/>
    <mergeCell ref="K5:K6"/>
    <mergeCell ref="L5:L6"/>
    <mergeCell ref="I4:I6"/>
    <mergeCell ref="J4:J6"/>
    <mergeCell ref="K4:L4"/>
    <mergeCell ref="M4:M6"/>
    <mergeCell ref="N4:N6"/>
    <mergeCell ref="A48:A50"/>
    <mergeCell ref="A53:A54"/>
    <mergeCell ref="A117:A118"/>
    <mergeCell ref="A170:A171"/>
    <mergeCell ref="E5:E6"/>
    <mergeCell ref="A12:A13"/>
    <mergeCell ref="A42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ВМП Пр. 103</vt:lpstr>
      <vt:lpstr>КС Пр. 103 </vt:lpstr>
      <vt:lpstr>ДС Пр. 103</vt:lpstr>
      <vt:lpstr>Гемодиализ Пр. 103</vt:lpstr>
      <vt:lpstr>Гемодиализ АПУ по кв. Пр. 103</vt:lpstr>
      <vt:lpstr>Гемодиализ ДС по кв. Пр. 103 </vt:lpstr>
      <vt:lpstr>ЛДУ Пр. 103</vt:lpstr>
      <vt:lpstr>СБП Пр. 103</vt:lpstr>
      <vt:lpstr>АПУ проф.посещ.Пр.103</vt:lpstr>
      <vt:lpstr>АПУ проф.пос.по направ. Пр.103</vt:lpstr>
      <vt:lpstr>АПУ проф.мед.осмотры Прот.103</vt:lpstr>
      <vt:lpstr>ЦЗ Прот.103</vt:lpstr>
      <vt:lpstr>Частные МО Проф.посещ.Пр.103</vt:lpstr>
      <vt:lpstr>АПУ обращ., неот.пом. Прот.103</vt:lpstr>
      <vt:lpstr>Частные МО обращения Прот.103</vt:lpstr>
      <vt:lpstr>'КС Пр. 103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2019-05-27T09:54:23Z</cp:lastPrinted>
  <dcterms:created xsi:type="dcterms:W3CDTF">2018-12-06T04:36:54Z</dcterms:created>
  <dcterms:modified xsi:type="dcterms:W3CDTF">2019-10-03T06:32:01Z</dcterms:modified>
</cp:coreProperties>
</file>