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IO\Aйдар\изменения на сайт\"/>
    </mc:Choice>
  </mc:AlternateContent>
  <bookViews>
    <workbookView xWindow="0" yWindow="0" windowWidth="19200" windowHeight="10935" tabRatio="805" activeTab="2"/>
  </bookViews>
  <sheets>
    <sheet name="ВМП(пр.101)" sheetId="87" r:id="rId1"/>
    <sheet name="КС Пр.101" sheetId="86" r:id="rId2"/>
    <sheet name="ДС Пр. 101" sheetId="88" r:id="rId3"/>
    <sheet name="Гемодиализ Пр. 101" sheetId="90" r:id="rId4"/>
    <sheet name="ЛДУ Пр. 101" sheetId="89" r:id="rId5"/>
    <sheet name="АПУ неотл., обращ. Пр.101" sheetId="93" r:id="rId6"/>
    <sheet name="АПУ посещения Пр.101" sheetId="91" r:id="rId7"/>
    <sheet name="АПУпосещ. Пр. 101 по направ" sheetId="92" r:id="rId8"/>
    <sheet name="АПУ ЦЗ Пр. 101" sheetId="85" r:id="rId9"/>
  </sheets>
  <externalReferences>
    <externalReference r:id="rId10"/>
    <externalReference r:id="rId11"/>
    <externalReference r:id="rId12"/>
  </externalReferences>
  <definedNames>
    <definedName name="res2_range" localSheetId="0">#REF!</definedName>
    <definedName name="res2_range" localSheetId="1">#REF!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Д" localSheetId="0">[2]Данные!$B$1:$EF$178</definedName>
    <definedName name="Д">[3]Данные!$B$1:$EF$178</definedName>
    <definedName name="_xlnm.Print_Titles" localSheetId="5">'АПУ неотл., обращ. Пр.101'!$3:$6</definedName>
    <definedName name="_xlnm.Print_Titles" localSheetId="1">'КС Пр.101'!$3:$5</definedName>
    <definedName name="ЗД" localSheetId="0">[2]Данные!$BY$3:$DB$3</definedName>
    <definedName name="ЗД">[3]Данные!$BY$3:$DB$3</definedName>
    <definedName name="ФЗ" localSheetId="0">[2]Данные!$DC$3:$EF$3</definedName>
    <definedName name="ФЗ">[3]Данные!$DC$3:$EF$3</definedName>
    <definedName name="Шт" localSheetId="0">[2]Данные!$AU$3:$BX$3</definedName>
    <definedName name="Шт">[3]Данные!$AU$3:$BX$3</definedName>
  </definedNames>
  <calcPr calcId="152511"/>
</workbook>
</file>

<file path=xl/calcChain.xml><?xml version="1.0" encoding="utf-8"?>
<calcChain xmlns="http://schemas.openxmlformats.org/spreadsheetml/2006/main">
  <c r="D115" i="88" l="1"/>
  <c r="D116" i="88"/>
  <c r="N192" i="93" l="1"/>
  <c r="K192" i="93"/>
  <c r="H192" i="93"/>
  <c r="E192" i="93"/>
  <c r="L191" i="93"/>
  <c r="J191" i="93"/>
  <c r="F191" i="93"/>
  <c r="L190" i="93"/>
  <c r="F190" i="93"/>
  <c r="L189" i="93"/>
  <c r="F189" i="93"/>
  <c r="L188" i="93"/>
  <c r="F188" i="93" s="1"/>
  <c r="L187" i="93"/>
  <c r="F187" i="93"/>
  <c r="L186" i="93"/>
  <c r="F186" i="93" s="1"/>
  <c r="L185" i="93"/>
  <c r="F185" i="93"/>
  <c r="C185" i="93"/>
  <c r="L184" i="93"/>
  <c r="F184" i="93" s="1"/>
  <c r="C184" i="93"/>
  <c r="L183" i="93"/>
  <c r="F183" i="93"/>
  <c r="L182" i="93"/>
  <c r="F182" i="93"/>
  <c r="L181" i="93"/>
  <c r="F181" i="93"/>
  <c r="L180" i="93"/>
  <c r="J180" i="93"/>
  <c r="F180" i="93" s="1"/>
  <c r="D180" i="93"/>
  <c r="D192" i="93" s="1"/>
  <c r="C180" i="93"/>
  <c r="L179" i="93"/>
  <c r="J179" i="93"/>
  <c r="L178" i="93"/>
  <c r="I178" i="93"/>
  <c r="F178" i="93" s="1"/>
  <c r="C178" i="93"/>
  <c r="L177" i="93"/>
  <c r="I177" i="93"/>
  <c r="F177" i="93" s="1"/>
  <c r="L176" i="93"/>
  <c r="F176" i="93" s="1"/>
  <c r="I176" i="93"/>
  <c r="C176" i="93"/>
  <c r="L175" i="93"/>
  <c r="F175" i="93" s="1"/>
  <c r="L174" i="93"/>
  <c r="F174" i="93" s="1"/>
  <c r="L173" i="93"/>
  <c r="F173" i="93" s="1"/>
  <c r="L172" i="93"/>
  <c r="J172" i="93"/>
  <c r="L171" i="93"/>
  <c r="F171" i="93"/>
  <c r="L170" i="93"/>
  <c r="F170" i="93"/>
  <c r="L169" i="93"/>
  <c r="J169" i="93"/>
  <c r="F169" i="93" s="1"/>
  <c r="L168" i="93"/>
  <c r="F168" i="93" s="1"/>
  <c r="L167" i="93"/>
  <c r="F167" i="93" s="1"/>
  <c r="L166" i="93"/>
  <c r="F166" i="93" s="1"/>
  <c r="L165" i="93"/>
  <c r="F165" i="93" s="1"/>
  <c r="L164" i="93"/>
  <c r="F164" i="93" s="1"/>
  <c r="L163" i="93"/>
  <c r="F163" i="93" s="1"/>
  <c r="L162" i="93"/>
  <c r="I162" i="93"/>
  <c r="F162" i="93"/>
  <c r="L161" i="93"/>
  <c r="I161" i="93"/>
  <c r="L160" i="93"/>
  <c r="F160" i="93" s="1"/>
  <c r="L159" i="93"/>
  <c r="J159" i="93"/>
  <c r="F159" i="93" s="1"/>
  <c r="L158" i="93"/>
  <c r="F158" i="93"/>
  <c r="L157" i="93"/>
  <c r="F157" i="93" s="1"/>
  <c r="L156" i="93"/>
  <c r="I156" i="93"/>
  <c r="F156" i="93" s="1"/>
  <c r="L155" i="93"/>
  <c r="F155" i="93" s="1"/>
  <c r="L154" i="93"/>
  <c r="F154" i="93" s="1"/>
  <c r="L153" i="93"/>
  <c r="I153" i="93"/>
  <c r="C153" i="93"/>
  <c r="L152" i="93"/>
  <c r="I152" i="93"/>
  <c r="C152" i="93"/>
  <c r="L151" i="93"/>
  <c r="F151" i="93" s="1"/>
  <c r="L150" i="93"/>
  <c r="I150" i="93"/>
  <c r="F150" i="93"/>
  <c r="L149" i="93"/>
  <c r="J149" i="93"/>
  <c r="L148" i="93"/>
  <c r="F148" i="93" s="1"/>
  <c r="L147" i="93"/>
  <c r="F147" i="93" s="1"/>
  <c r="L146" i="93"/>
  <c r="F146" i="93" s="1"/>
  <c r="L145" i="93"/>
  <c r="F145" i="93" s="1"/>
  <c r="L144" i="93"/>
  <c r="F144" i="93" s="1"/>
  <c r="L143" i="93"/>
  <c r="F143" i="93" s="1"/>
  <c r="L142" i="93"/>
  <c r="F142" i="93" s="1"/>
  <c r="L141" i="93"/>
  <c r="F141" i="93" s="1"/>
  <c r="L140" i="93"/>
  <c r="F140" i="93" s="1"/>
  <c r="L139" i="93"/>
  <c r="F139" i="93" s="1"/>
  <c r="L138" i="93"/>
  <c r="F138" i="93" s="1"/>
  <c r="L137" i="93"/>
  <c r="F137" i="93" s="1"/>
  <c r="L136" i="93"/>
  <c r="F136" i="93" s="1"/>
  <c r="L135" i="93"/>
  <c r="F135" i="93" s="1"/>
  <c r="L134" i="93"/>
  <c r="F134" i="93" s="1"/>
  <c r="L133" i="93"/>
  <c r="F133" i="93" s="1"/>
  <c r="L132" i="93"/>
  <c r="F132" i="93" s="1"/>
  <c r="L131" i="93"/>
  <c r="F131" i="93" s="1"/>
  <c r="L130" i="93"/>
  <c r="F130" i="93" s="1"/>
  <c r="L129" i="93"/>
  <c r="F129" i="93" s="1"/>
  <c r="L128" i="93"/>
  <c r="F128" i="93" s="1"/>
  <c r="L127" i="93"/>
  <c r="F127" i="93" s="1"/>
  <c r="L126" i="93"/>
  <c r="F126" i="93" s="1"/>
  <c r="L125" i="93"/>
  <c r="G125" i="93"/>
  <c r="F125" i="93"/>
  <c r="C125" i="93"/>
  <c r="M124" i="93"/>
  <c r="L124" i="93" s="1"/>
  <c r="F124" i="93" s="1"/>
  <c r="L123" i="93"/>
  <c r="F123" i="93"/>
  <c r="L122" i="93"/>
  <c r="F122" i="93" s="1"/>
  <c r="L121" i="93"/>
  <c r="F121" i="93"/>
  <c r="L120" i="93"/>
  <c r="F120" i="93" s="1"/>
  <c r="D120" i="93"/>
  <c r="C120" i="93"/>
  <c r="L119" i="93"/>
  <c r="F119" i="93" s="1"/>
  <c r="C119" i="93"/>
  <c r="L118" i="93"/>
  <c r="F118" i="93" s="1"/>
  <c r="L117" i="93"/>
  <c r="F117" i="93" s="1"/>
  <c r="L116" i="93"/>
  <c r="F116" i="93" s="1"/>
  <c r="L115" i="93"/>
  <c r="F115" i="93" s="1"/>
  <c r="L114" i="93"/>
  <c r="F114" i="93" s="1"/>
  <c r="L113" i="93"/>
  <c r="F113" i="93" s="1"/>
  <c r="L112" i="93"/>
  <c r="F112" i="93" s="1"/>
  <c r="M111" i="93"/>
  <c r="L111" i="93" s="1"/>
  <c r="F111" i="93" s="1"/>
  <c r="L110" i="93"/>
  <c r="F110" i="93"/>
  <c r="L109" i="93"/>
  <c r="F109" i="93"/>
  <c r="L108" i="93"/>
  <c r="F108" i="93"/>
  <c r="L107" i="93"/>
  <c r="F107" i="93"/>
  <c r="L106" i="93"/>
  <c r="F106" i="93"/>
  <c r="L105" i="93"/>
  <c r="F105" i="93"/>
  <c r="L104" i="93"/>
  <c r="F104" i="93"/>
  <c r="L103" i="93"/>
  <c r="F103" i="93"/>
  <c r="L102" i="93"/>
  <c r="F102" i="93"/>
  <c r="L101" i="93"/>
  <c r="F101" i="93"/>
  <c r="L100" i="93"/>
  <c r="F100" i="93"/>
  <c r="L99" i="93"/>
  <c r="F99" i="93"/>
  <c r="L98" i="93"/>
  <c r="F98" i="93"/>
  <c r="C98" i="93"/>
  <c r="L97" i="93"/>
  <c r="F97" i="93" s="1"/>
  <c r="C97" i="93"/>
  <c r="L96" i="93"/>
  <c r="F96" i="93" s="1"/>
  <c r="C96" i="93"/>
  <c r="L95" i="93"/>
  <c r="F95" i="93" s="1"/>
  <c r="C95" i="93"/>
  <c r="L94" i="93"/>
  <c r="F94" i="93"/>
  <c r="C94" i="93"/>
  <c r="L93" i="93"/>
  <c r="F93" i="93" s="1"/>
  <c r="L92" i="93"/>
  <c r="F92" i="93" s="1"/>
  <c r="L91" i="93"/>
  <c r="F91" i="93" s="1"/>
  <c r="L90" i="93"/>
  <c r="F90" i="93" s="1"/>
  <c r="L89" i="93"/>
  <c r="F89" i="93" s="1"/>
  <c r="L88" i="93"/>
  <c r="F88" i="93" s="1"/>
  <c r="L87" i="93"/>
  <c r="F87" i="93" s="1"/>
  <c r="L86" i="93"/>
  <c r="F86" i="93" s="1"/>
  <c r="L85" i="93"/>
  <c r="F85" i="93" s="1"/>
  <c r="L84" i="93"/>
  <c r="F84" i="93" s="1"/>
  <c r="L83" i="93"/>
  <c r="F83" i="93" s="1"/>
  <c r="L82" i="93"/>
  <c r="F82" i="93" s="1"/>
  <c r="L81" i="93"/>
  <c r="F81" i="93" s="1"/>
  <c r="L80" i="93"/>
  <c r="F80" i="93" s="1"/>
  <c r="L79" i="93"/>
  <c r="F79" i="93" s="1"/>
  <c r="L78" i="93"/>
  <c r="G78" i="93"/>
  <c r="L77" i="93"/>
  <c r="F77" i="93"/>
  <c r="L76" i="93"/>
  <c r="F76" i="93"/>
  <c r="L75" i="93"/>
  <c r="F75" i="93"/>
  <c r="L74" i="93"/>
  <c r="F74" i="93"/>
  <c r="L73" i="93"/>
  <c r="F73" i="93"/>
  <c r="L72" i="93"/>
  <c r="I72" i="93"/>
  <c r="F72" i="93" s="1"/>
  <c r="C72" i="93"/>
  <c r="L71" i="93"/>
  <c r="F71" i="93"/>
  <c r="L70" i="93"/>
  <c r="F70" i="93" s="1"/>
  <c r="L69" i="93"/>
  <c r="F69" i="93"/>
  <c r="L68" i="93"/>
  <c r="F68" i="93" s="1"/>
  <c r="L67" i="93"/>
  <c r="F67" i="93"/>
  <c r="L66" i="93"/>
  <c r="F66" i="93" s="1"/>
  <c r="L65" i="93"/>
  <c r="F65" i="93"/>
  <c r="L64" i="93"/>
  <c r="F64" i="93" s="1"/>
  <c r="L63" i="93"/>
  <c r="F63" i="93"/>
  <c r="L62" i="93"/>
  <c r="F62" i="93" s="1"/>
  <c r="L61" i="93"/>
  <c r="G61" i="93"/>
  <c r="F61" i="93" s="1"/>
  <c r="L60" i="93"/>
  <c r="F60" i="93" s="1"/>
  <c r="L59" i="93"/>
  <c r="F59" i="93" s="1"/>
  <c r="L58" i="93"/>
  <c r="F58" i="93" s="1"/>
  <c r="L57" i="93"/>
  <c r="F57" i="93" s="1"/>
  <c r="C57" i="93"/>
  <c r="M56" i="93"/>
  <c r="L56" i="93"/>
  <c r="G56" i="93"/>
  <c r="F56" i="93"/>
  <c r="C56" i="93"/>
  <c r="L55" i="93"/>
  <c r="F55" i="93" s="1"/>
  <c r="L54" i="93"/>
  <c r="F54" i="93" s="1"/>
  <c r="L53" i="93"/>
  <c r="F53" i="93" s="1"/>
  <c r="L52" i="93"/>
  <c r="F52" i="93" s="1"/>
  <c r="L51" i="93"/>
  <c r="F51" i="93" s="1"/>
  <c r="M50" i="93"/>
  <c r="L50" i="93" s="1"/>
  <c r="F50" i="93" s="1"/>
  <c r="C50" i="93"/>
  <c r="L49" i="93"/>
  <c r="F49" i="93" s="1"/>
  <c r="L48" i="93"/>
  <c r="F48" i="93" s="1"/>
  <c r="L47" i="93"/>
  <c r="I47" i="93"/>
  <c r="L46" i="93"/>
  <c r="F46" i="93"/>
  <c r="L45" i="93"/>
  <c r="F45" i="93"/>
  <c r="L44" i="93"/>
  <c r="F44" i="93"/>
  <c r="M43" i="93"/>
  <c r="L43" i="93"/>
  <c r="F43" i="93" s="1"/>
  <c r="L42" i="93"/>
  <c r="F42" i="93" s="1"/>
  <c r="L41" i="93"/>
  <c r="F41" i="93" s="1"/>
  <c r="L40" i="93"/>
  <c r="F40" i="93" s="1"/>
  <c r="L39" i="93"/>
  <c r="F39" i="93" s="1"/>
  <c r="L38" i="93"/>
  <c r="F38" i="93" s="1"/>
  <c r="L37" i="93"/>
  <c r="F37" i="93" s="1"/>
  <c r="L36" i="93"/>
  <c r="F36" i="93" s="1"/>
  <c r="L35" i="93"/>
  <c r="F35" i="93" s="1"/>
  <c r="L34" i="93"/>
  <c r="F34" i="93" s="1"/>
  <c r="L33" i="93"/>
  <c r="F33" i="93" s="1"/>
  <c r="L32" i="93"/>
  <c r="F32" i="93" s="1"/>
  <c r="L31" i="93"/>
  <c r="F31" i="93" s="1"/>
  <c r="I31" i="93"/>
  <c r="L30" i="93"/>
  <c r="F30" i="93"/>
  <c r="L29" i="93"/>
  <c r="F29" i="93"/>
  <c r="F28" i="93"/>
  <c r="L27" i="93"/>
  <c r="F27" i="93" s="1"/>
  <c r="L26" i="93"/>
  <c r="F26" i="93" s="1"/>
  <c r="L25" i="93"/>
  <c r="F25" i="93" s="1"/>
  <c r="L24" i="93"/>
  <c r="F24" i="93" s="1"/>
  <c r="L23" i="93"/>
  <c r="F23" i="93" s="1"/>
  <c r="L22" i="93"/>
  <c r="I22" i="93"/>
  <c r="L21" i="93"/>
  <c r="F21" i="93"/>
  <c r="L20" i="93"/>
  <c r="F20" i="93"/>
  <c r="L19" i="93"/>
  <c r="F19" i="93"/>
  <c r="L18" i="93"/>
  <c r="F18" i="93"/>
  <c r="L17" i="93"/>
  <c r="F17" i="93"/>
  <c r="L16" i="93"/>
  <c r="F16" i="93"/>
  <c r="M15" i="93"/>
  <c r="M192" i="93" s="1"/>
  <c r="L15" i="93"/>
  <c r="F15" i="93" s="1"/>
  <c r="L14" i="93"/>
  <c r="F14" i="93" s="1"/>
  <c r="L13" i="93"/>
  <c r="F13" i="93" s="1"/>
  <c r="L12" i="93"/>
  <c r="F12" i="93" s="1"/>
  <c r="L11" i="93"/>
  <c r="F11" i="93" s="1"/>
  <c r="G11" i="93"/>
  <c r="L10" i="93"/>
  <c r="F10" i="93"/>
  <c r="L9" i="93"/>
  <c r="F9" i="93" s="1"/>
  <c r="C9" i="93"/>
  <c r="L8" i="93"/>
  <c r="F8" i="93" s="1"/>
  <c r="L7" i="93"/>
  <c r="L192" i="93" s="1"/>
  <c r="F47" i="93" l="1"/>
  <c r="F78" i="93"/>
  <c r="F172" i="93"/>
  <c r="C192" i="93"/>
  <c r="I192" i="93"/>
  <c r="F153" i="93"/>
  <c r="G192" i="93"/>
  <c r="F22" i="93"/>
  <c r="F149" i="93"/>
  <c r="F152" i="93"/>
  <c r="F161" i="93"/>
  <c r="F179" i="93"/>
  <c r="J192" i="93"/>
  <c r="F7" i="93"/>
  <c r="F192" i="93" s="1"/>
  <c r="L166" i="92" l="1"/>
  <c r="I166" i="92"/>
  <c r="H166" i="92"/>
  <c r="G166" i="92"/>
  <c r="F166" i="92"/>
  <c r="E166" i="92"/>
  <c r="K165" i="92"/>
  <c r="J165" i="92"/>
  <c r="D165" i="92"/>
  <c r="C165" i="92"/>
  <c r="J164" i="92"/>
  <c r="D164" i="92"/>
  <c r="C164" i="92"/>
  <c r="J163" i="92"/>
  <c r="C163" i="92" s="1"/>
  <c r="D163" i="92"/>
  <c r="J162" i="92"/>
  <c r="D162" i="92"/>
  <c r="K161" i="92"/>
  <c r="J161" i="92"/>
  <c r="D161" i="92"/>
  <c r="C161" i="92" s="1"/>
  <c r="J160" i="92"/>
  <c r="D160" i="92"/>
  <c r="C160" i="92"/>
  <c r="J159" i="92"/>
  <c r="D159" i="92"/>
  <c r="C159" i="92"/>
  <c r="J158" i="92"/>
  <c r="C158" i="92" s="1"/>
  <c r="D158" i="92"/>
  <c r="J157" i="92"/>
  <c r="D157" i="92"/>
  <c r="C157" i="92" s="1"/>
  <c r="J156" i="92"/>
  <c r="D156" i="92"/>
  <c r="C156" i="92" s="1"/>
  <c r="J155" i="92"/>
  <c r="D155" i="92"/>
  <c r="C155" i="92"/>
  <c r="J154" i="92"/>
  <c r="C154" i="92" s="1"/>
  <c r="D154" i="92"/>
  <c r="J153" i="92"/>
  <c r="D153" i="92"/>
  <c r="C153" i="92" s="1"/>
  <c r="J152" i="92"/>
  <c r="D152" i="92"/>
  <c r="C152" i="92"/>
  <c r="J151" i="92"/>
  <c r="D151" i="92"/>
  <c r="C151" i="92"/>
  <c r="J150" i="92"/>
  <c r="C150" i="92" s="1"/>
  <c r="D150" i="92"/>
  <c r="J149" i="92"/>
  <c r="D149" i="92"/>
  <c r="C149" i="92" s="1"/>
  <c r="J148" i="92"/>
  <c r="D148" i="92"/>
  <c r="C148" i="92" s="1"/>
  <c r="J147" i="92"/>
  <c r="D147" i="92"/>
  <c r="C147" i="92"/>
  <c r="J146" i="92"/>
  <c r="C146" i="92" s="1"/>
  <c r="D146" i="92"/>
  <c r="J145" i="92"/>
  <c r="D145" i="92"/>
  <c r="C145" i="92" s="1"/>
  <c r="J144" i="92"/>
  <c r="D144" i="92"/>
  <c r="C144" i="92"/>
  <c r="J143" i="92"/>
  <c r="D143" i="92"/>
  <c r="C143" i="92"/>
  <c r="J142" i="92"/>
  <c r="C142" i="92" s="1"/>
  <c r="D142" i="92"/>
  <c r="J141" i="92"/>
  <c r="D141" i="92"/>
  <c r="C141" i="92" s="1"/>
  <c r="J140" i="92"/>
  <c r="D140" i="92"/>
  <c r="C140" i="92" s="1"/>
  <c r="J139" i="92"/>
  <c r="D139" i="92"/>
  <c r="C139" i="92"/>
  <c r="J138" i="92"/>
  <c r="C138" i="92" s="1"/>
  <c r="D138" i="92"/>
  <c r="J137" i="92"/>
  <c r="D137" i="92"/>
  <c r="C137" i="92" s="1"/>
  <c r="J136" i="92"/>
  <c r="D136" i="92"/>
  <c r="C136" i="92"/>
  <c r="J135" i="92"/>
  <c r="D135" i="92"/>
  <c r="C135" i="92"/>
  <c r="J134" i="92"/>
  <c r="C134" i="92" s="1"/>
  <c r="D134" i="92"/>
  <c r="J133" i="92"/>
  <c r="D133" i="92"/>
  <c r="C133" i="92" s="1"/>
  <c r="J132" i="92"/>
  <c r="D132" i="92"/>
  <c r="C132" i="92" s="1"/>
  <c r="J131" i="92"/>
  <c r="D131" i="92"/>
  <c r="C131" i="92"/>
  <c r="J130" i="92"/>
  <c r="C130" i="92" s="1"/>
  <c r="D130" i="92"/>
  <c r="J129" i="92"/>
  <c r="D129" i="92"/>
  <c r="C129" i="92" s="1"/>
  <c r="J128" i="92"/>
  <c r="D128" i="92"/>
  <c r="C128" i="92"/>
  <c r="J127" i="92"/>
  <c r="D127" i="92"/>
  <c r="C127" i="92"/>
  <c r="J126" i="92"/>
  <c r="C126" i="92" s="1"/>
  <c r="D126" i="92"/>
  <c r="J125" i="92"/>
  <c r="D125" i="92"/>
  <c r="C125" i="92" s="1"/>
  <c r="J124" i="92"/>
  <c r="D124" i="92"/>
  <c r="C124" i="92" s="1"/>
  <c r="J123" i="92"/>
  <c r="D123" i="92"/>
  <c r="C123" i="92"/>
  <c r="J122" i="92"/>
  <c r="C122" i="92" s="1"/>
  <c r="D122" i="92"/>
  <c r="J121" i="92"/>
  <c r="D121" i="92"/>
  <c r="C121" i="92" s="1"/>
  <c r="J120" i="92"/>
  <c r="D120" i="92"/>
  <c r="C120" i="92"/>
  <c r="J119" i="92"/>
  <c r="D119" i="92"/>
  <c r="C119" i="92"/>
  <c r="J118" i="92"/>
  <c r="C118" i="92" s="1"/>
  <c r="D118" i="92"/>
  <c r="J117" i="92"/>
  <c r="D117" i="92"/>
  <c r="C117" i="92" s="1"/>
  <c r="J116" i="92"/>
  <c r="D116" i="92"/>
  <c r="C116" i="92" s="1"/>
  <c r="J115" i="92"/>
  <c r="D115" i="92"/>
  <c r="C115" i="92"/>
  <c r="J114" i="92"/>
  <c r="C114" i="92" s="1"/>
  <c r="D114" i="92"/>
  <c r="J113" i="92"/>
  <c r="D113" i="92"/>
  <c r="C113" i="92" s="1"/>
  <c r="J112" i="92"/>
  <c r="D112" i="92"/>
  <c r="C112" i="92"/>
  <c r="J111" i="92"/>
  <c r="D111" i="92"/>
  <c r="C111" i="92"/>
  <c r="J110" i="92"/>
  <c r="C110" i="92" s="1"/>
  <c r="D110" i="92"/>
  <c r="J109" i="92"/>
  <c r="D109" i="92"/>
  <c r="C109" i="92" s="1"/>
  <c r="J108" i="92"/>
  <c r="D108" i="92"/>
  <c r="C108" i="92" s="1"/>
  <c r="J107" i="92"/>
  <c r="D107" i="92"/>
  <c r="C107" i="92"/>
  <c r="J106" i="92"/>
  <c r="C106" i="92" s="1"/>
  <c r="D106" i="92"/>
  <c r="J105" i="92"/>
  <c r="D105" i="92"/>
  <c r="C105" i="92" s="1"/>
  <c r="J104" i="92"/>
  <c r="D104" i="92"/>
  <c r="C104" i="92"/>
  <c r="J103" i="92"/>
  <c r="D103" i="92"/>
  <c r="C103" i="92"/>
  <c r="J102" i="92"/>
  <c r="C102" i="92" s="1"/>
  <c r="D102" i="92"/>
  <c r="J101" i="92"/>
  <c r="D101" i="92"/>
  <c r="C101" i="92" s="1"/>
  <c r="J100" i="92"/>
  <c r="D100" i="92"/>
  <c r="C100" i="92" s="1"/>
  <c r="J99" i="92"/>
  <c r="D99" i="92"/>
  <c r="C99" i="92"/>
  <c r="J98" i="92"/>
  <c r="C98" i="92" s="1"/>
  <c r="D98" i="92"/>
  <c r="K97" i="92"/>
  <c r="J97" i="92"/>
  <c r="C97" i="92" s="1"/>
  <c r="D97" i="92"/>
  <c r="J96" i="92"/>
  <c r="D96" i="92"/>
  <c r="C96" i="92" s="1"/>
  <c r="J95" i="92"/>
  <c r="D95" i="92"/>
  <c r="C95" i="92"/>
  <c r="J94" i="92"/>
  <c r="D94" i="92"/>
  <c r="C94" i="92"/>
  <c r="J93" i="92"/>
  <c r="C93" i="92" s="1"/>
  <c r="D93" i="92"/>
  <c r="J92" i="92"/>
  <c r="D92" i="92"/>
  <c r="J91" i="92"/>
  <c r="D91" i="92"/>
  <c r="C91" i="92"/>
  <c r="J90" i="92"/>
  <c r="D90" i="92"/>
  <c r="C90" i="92"/>
  <c r="J89" i="92"/>
  <c r="C89" i="92" s="1"/>
  <c r="D89" i="92"/>
  <c r="J88" i="92"/>
  <c r="D88" i="92"/>
  <c r="C88" i="92" s="1"/>
  <c r="J87" i="92"/>
  <c r="D87" i="92"/>
  <c r="C87" i="92"/>
  <c r="J86" i="92"/>
  <c r="D86" i="92"/>
  <c r="C86" i="92"/>
  <c r="M85" i="92"/>
  <c r="J85" i="92" s="1"/>
  <c r="L85" i="92"/>
  <c r="K85" i="92"/>
  <c r="D85" i="92"/>
  <c r="J84" i="92"/>
  <c r="D84" i="92"/>
  <c r="C84" i="92" s="1"/>
  <c r="J83" i="92"/>
  <c r="D83" i="92"/>
  <c r="C83" i="92"/>
  <c r="J82" i="92"/>
  <c r="C82" i="92" s="1"/>
  <c r="D82" i="92"/>
  <c r="K81" i="92"/>
  <c r="K166" i="92" s="1"/>
  <c r="J81" i="92"/>
  <c r="C81" i="92" s="1"/>
  <c r="D81" i="92"/>
  <c r="J80" i="92"/>
  <c r="D80" i="92"/>
  <c r="C80" i="92" s="1"/>
  <c r="J79" i="92"/>
  <c r="D79" i="92"/>
  <c r="C79" i="92"/>
  <c r="J78" i="92"/>
  <c r="D78" i="92"/>
  <c r="C78" i="92"/>
  <c r="J77" i="92"/>
  <c r="C77" i="92" s="1"/>
  <c r="D77" i="92"/>
  <c r="J76" i="92"/>
  <c r="D76" i="92"/>
  <c r="J75" i="92"/>
  <c r="D75" i="92"/>
  <c r="C75" i="92"/>
  <c r="J74" i="92"/>
  <c r="D74" i="92"/>
  <c r="C74" i="92"/>
  <c r="J73" i="92"/>
  <c r="C73" i="92" s="1"/>
  <c r="D73" i="92"/>
  <c r="J72" i="92"/>
  <c r="D72" i="92"/>
  <c r="C72" i="92" s="1"/>
  <c r="J71" i="92"/>
  <c r="D71" i="92"/>
  <c r="C71" i="92"/>
  <c r="J70" i="92"/>
  <c r="D70" i="92"/>
  <c r="C70" i="92"/>
  <c r="J69" i="92"/>
  <c r="C69" i="92" s="1"/>
  <c r="D69" i="92"/>
  <c r="J68" i="92"/>
  <c r="D68" i="92"/>
  <c r="J67" i="92"/>
  <c r="D67" i="92"/>
  <c r="C67" i="92"/>
  <c r="J66" i="92"/>
  <c r="D66" i="92"/>
  <c r="C66" i="92"/>
  <c r="J65" i="92"/>
  <c r="C65" i="92" s="1"/>
  <c r="D65" i="92"/>
  <c r="J64" i="92"/>
  <c r="D64" i="92"/>
  <c r="C64" i="92" s="1"/>
  <c r="J63" i="92"/>
  <c r="D63" i="92"/>
  <c r="C63" i="92"/>
  <c r="M62" i="92"/>
  <c r="K62" i="92"/>
  <c r="J62" i="92"/>
  <c r="D62" i="92"/>
  <c r="C62" i="92" s="1"/>
  <c r="J61" i="92"/>
  <c r="D61" i="92"/>
  <c r="C61" i="92" s="1"/>
  <c r="J60" i="92"/>
  <c r="D60" i="92"/>
  <c r="C60" i="92"/>
  <c r="J59" i="92"/>
  <c r="C59" i="92" s="1"/>
  <c r="D59" i="92"/>
  <c r="J58" i="92"/>
  <c r="D58" i="92"/>
  <c r="C58" i="92" s="1"/>
  <c r="J57" i="92"/>
  <c r="D57" i="92"/>
  <c r="C57" i="92"/>
  <c r="J56" i="92"/>
  <c r="D56" i="92"/>
  <c r="C56" i="92"/>
  <c r="J55" i="92"/>
  <c r="C55" i="92" s="1"/>
  <c r="D55" i="92"/>
  <c r="J54" i="92"/>
  <c r="D54" i="92"/>
  <c r="C54" i="92" s="1"/>
  <c r="J53" i="92"/>
  <c r="D53" i="92"/>
  <c r="C53" i="92" s="1"/>
  <c r="J52" i="92"/>
  <c r="D52" i="92"/>
  <c r="C52" i="92"/>
  <c r="J51" i="92"/>
  <c r="C51" i="92" s="1"/>
  <c r="D51" i="92"/>
  <c r="J50" i="92"/>
  <c r="D50" i="92"/>
  <c r="C50" i="92" s="1"/>
  <c r="J49" i="92"/>
  <c r="D49" i="92"/>
  <c r="C49" i="92"/>
  <c r="J48" i="92"/>
  <c r="D48" i="92"/>
  <c r="C48" i="92"/>
  <c r="J47" i="92"/>
  <c r="C47" i="92" s="1"/>
  <c r="D47" i="92"/>
  <c r="M46" i="92"/>
  <c r="K46" i="92"/>
  <c r="J46" i="92" s="1"/>
  <c r="D46" i="92"/>
  <c r="C46" i="92"/>
  <c r="J45" i="92"/>
  <c r="C45" i="92" s="1"/>
  <c r="D45" i="92"/>
  <c r="J44" i="92"/>
  <c r="D44" i="92"/>
  <c r="C44" i="92" s="1"/>
  <c r="J43" i="92"/>
  <c r="D43" i="92"/>
  <c r="C43" i="92"/>
  <c r="J42" i="92"/>
  <c r="D42" i="92"/>
  <c r="C42" i="92"/>
  <c r="J41" i="92"/>
  <c r="C41" i="92" s="1"/>
  <c r="D41" i="92"/>
  <c r="J40" i="92"/>
  <c r="D40" i="92"/>
  <c r="C40" i="92" s="1"/>
  <c r="J39" i="92"/>
  <c r="D39" i="92"/>
  <c r="C39" i="92" s="1"/>
  <c r="J38" i="92"/>
  <c r="D38" i="92"/>
  <c r="C38" i="92"/>
  <c r="J37" i="92"/>
  <c r="C37" i="92" s="1"/>
  <c r="D37" i="92"/>
  <c r="J36" i="92"/>
  <c r="D36" i="92"/>
  <c r="C36" i="92" s="1"/>
  <c r="J35" i="92"/>
  <c r="D35" i="92"/>
  <c r="C35" i="92"/>
  <c r="J34" i="92"/>
  <c r="D34" i="92"/>
  <c r="C34" i="92"/>
  <c r="J33" i="92"/>
  <c r="C33" i="92" s="1"/>
  <c r="D33" i="92"/>
  <c r="J32" i="92"/>
  <c r="D32" i="92"/>
  <c r="C32" i="92" s="1"/>
  <c r="J31" i="92"/>
  <c r="D31" i="92"/>
  <c r="C31" i="92" s="1"/>
  <c r="J30" i="92"/>
  <c r="D30" i="92"/>
  <c r="C30" i="92"/>
  <c r="J29" i="92"/>
  <c r="C29" i="92" s="1"/>
  <c r="D29" i="92"/>
  <c r="J28" i="92"/>
  <c r="D28" i="92"/>
  <c r="C28" i="92" s="1"/>
  <c r="J27" i="92"/>
  <c r="D27" i="92"/>
  <c r="C27" i="92"/>
  <c r="J26" i="92"/>
  <c r="D26" i="92"/>
  <c r="C26" i="92"/>
  <c r="J25" i="92"/>
  <c r="C25" i="92" s="1"/>
  <c r="D25" i="92"/>
  <c r="J24" i="92"/>
  <c r="D24" i="92"/>
  <c r="C24" i="92" s="1"/>
  <c r="J23" i="92"/>
  <c r="D23" i="92"/>
  <c r="C23" i="92" s="1"/>
  <c r="J22" i="92"/>
  <c r="D22" i="92"/>
  <c r="C22" i="92"/>
  <c r="J21" i="92"/>
  <c r="C21" i="92" s="1"/>
  <c r="D21" i="92"/>
  <c r="J20" i="92"/>
  <c r="D20" i="92"/>
  <c r="C20" i="92" s="1"/>
  <c r="J19" i="92"/>
  <c r="D19" i="92"/>
  <c r="C19" i="92"/>
  <c r="J18" i="92"/>
  <c r="D18" i="92"/>
  <c r="C18" i="92"/>
  <c r="J17" i="92"/>
  <c r="C17" i="92" s="1"/>
  <c r="D17" i="92"/>
  <c r="J16" i="92"/>
  <c r="D16" i="92"/>
  <c r="C16" i="92" s="1"/>
  <c r="J15" i="92"/>
  <c r="D15" i="92"/>
  <c r="C15" i="92" s="1"/>
  <c r="J14" i="92"/>
  <c r="D14" i="92"/>
  <c r="C14" i="92"/>
  <c r="J13" i="92"/>
  <c r="D13" i="92"/>
  <c r="C13" i="92"/>
  <c r="J12" i="92"/>
  <c r="D12" i="92"/>
  <c r="J11" i="92"/>
  <c r="D11" i="92"/>
  <c r="C11" i="92"/>
  <c r="J10" i="92"/>
  <c r="D10" i="92"/>
  <c r="C10" i="92"/>
  <c r="J9" i="92"/>
  <c r="C9" i="92" s="1"/>
  <c r="D9" i="92"/>
  <c r="J8" i="92"/>
  <c r="D8" i="92"/>
  <c r="C8" i="92" s="1"/>
  <c r="P175" i="91"/>
  <c r="L175" i="91"/>
  <c r="K175" i="91"/>
  <c r="J175" i="91"/>
  <c r="I175" i="91"/>
  <c r="H175" i="91"/>
  <c r="G175" i="91"/>
  <c r="F175" i="91"/>
  <c r="E175" i="91"/>
  <c r="C174" i="91"/>
  <c r="C173" i="91"/>
  <c r="C172" i="91"/>
  <c r="C171" i="91"/>
  <c r="M170" i="91"/>
  <c r="M175" i="91" s="1"/>
  <c r="C169" i="91"/>
  <c r="C168" i="91"/>
  <c r="D167" i="91"/>
  <c r="C167" i="91" s="1"/>
  <c r="C166" i="91"/>
  <c r="C165" i="91"/>
  <c r="C164" i="91"/>
  <c r="C163" i="91"/>
  <c r="C162" i="91"/>
  <c r="C161" i="91"/>
  <c r="C160" i="91"/>
  <c r="C159" i="91"/>
  <c r="C158" i="91"/>
  <c r="C157" i="91"/>
  <c r="C156" i="91"/>
  <c r="C155" i="91"/>
  <c r="C154" i="91"/>
  <c r="C153" i="91"/>
  <c r="C152" i="91"/>
  <c r="C151" i="91"/>
  <c r="C150" i="91"/>
  <c r="C149" i="91"/>
  <c r="C148" i="91"/>
  <c r="C147" i="91"/>
  <c r="C146" i="91"/>
  <c r="C145" i="91"/>
  <c r="C144" i="91"/>
  <c r="C143" i="91"/>
  <c r="C142" i="91"/>
  <c r="C141" i="91"/>
  <c r="C140" i="91"/>
  <c r="C139" i="91"/>
  <c r="C138" i="91"/>
  <c r="C137" i="91"/>
  <c r="C136" i="91"/>
  <c r="C135" i="91"/>
  <c r="C134" i="91"/>
  <c r="C133" i="91"/>
  <c r="C132" i="91"/>
  <c r="D131" i="91"/>
  <c r="C131" i="91" s="1"/>
  <c r="C130" i="91"/>
  <c r="C129" i="91"/>
  <c r="C128" i="91"/>
  <c r="C127" i="91"/>
  <c r="C126" i="91"/>
  <c r="C125" i="91"/>
  <c r="C124" i="91"/>
  <c r="C123" i="91"/>
  <c r="C122" i="91"/>
  <c r="C121" i="91"/>
  <c r="C120" i="91"/>
  <c r="C119" i="91"/>
  <c r="C118" i="91"/>
  <c r="C117" i="91"/>
  <c r="C116" i="91"/>
  <c r="D115" i="91"/>
  <c r="C115" i="91"/>
  <c r="D114" i="91"/>
  <c r="C114" i="91"/>
  <c r="C113" i="91"/>
  <c r="C112" i="91"/>
  <c r="D111" i="91"/>
  <c r="C111" i="91"/>
  <c r="C110" i="91"/>
  <c r="C109" i="91"/>
  <c r="C108" i="91"/>
  <c r="D107" i="91"/>
  <c r="C107" i="91" s="1"/>
  <c r="C106" i="91"/>
  <c r="C105" i="91"/>
  <c r="C104" i="91"/>
  <c r="C103" i="91"/>
  <c r="C102" i="91"/>
  <c r="C101" i="91"/>
  <c r="C100" i="91"/>
  <c r="O99" i="91"/>
  <c r="C99" i="91" s="1"/>
  <c r="C98" i="91"/>
  <c r="C97" i="91"/>
  <c r="C96" i="91"/>
  <c r="D95" i="91"/>
  <c r="C95" i="91"/>
  <c r="C94" i="91"/>
  <c r="C93" i="91"/>
  <c r="D92" i="91"/>
  <c r="C92" i="91"/>
  <c r="C91" i="91"/>
  <c r="D90" i="91"/>
  <c r="C90" i="91" s="1"/>
  <c r="C89" i="91"/>
  <c r="C88" i="91"/>
  <c r="C87" i="91"/>
  <c r="C86" i="91"/>
  <c r="D85" i="91"/>
  <c r="C85" i="91"/>
  <c r="C84" i="91"/>
  <c r="O83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D66" i="91"/>
  <c r="C66" i="91" s="1"/>
  <c r="C65" i="91"/>
  <c r="N64" i="91"/>
  <c r="N175" i="91" s="1"/>
  <c r="C64" i="91"/>
  <c r="C63" i="91"/>
  <c r="C62" i="91"/>
  <c r="C61" i="91"/>
  <c r="C60" i="91"/>
  <c r="C59" i="91"/>
  <c r="C58" i="91"/>
  <c r="C57" i="91"/>
  <c r="C56" i="91"/>
  <c r="D55" i="91"/>
  <c r="C55" i="91"/>
  <c r="C54" i="91"/>
  <c r="D53" i="91"/>
  <c r="C52" i="91"/>
  <c r="C51" i="91"/>
  <c r="C50" i="91"/>
  <c r="C49" i="91"/>
  <c r="O48" i="91"/>
  <c r="D48" i="91"/>
  <c r="C48" i="91" s="1"/>
  <c r="C47" i="91"/>
  <c r="C46" i="91"/>
  <c r="D45" i="91"/>
  <c r="C45" i="91" s="1"/>
  <c r="C44" i="91"/>
  <c r="C43" i="91"/>
  <c r="C42" i="91"/>
  <c r="C41" i="91"/>
  <c r="D40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D28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D12" i="91"/>
  <c r="C12" i="91" s="1"/>
  <c r="C11" i="91"/>
  <c r="D10" i="91"/>
  <c r="C10" i="91"/>
  <c r="C9" i="91"/>
  <c r="D8" i="91"/>
  <c r="C8" i="91"/>
  <c r="J166" i="92" l="1"/>
  <c r="C85" i="92"/>
  <c r="C12" i="92"/>
  <c r="M166" i="92"/>
  <c r="C68" i="92"/>
  <c r="C166" i="92" s="1"/>
  <c r="C76" i="92"/>
  <c r="C92" i="92"/>
  <c r="C162" i="92"/>
  <c r="D166" i="92"/>
  <c r="O175" i="91"/>
  <c r="D175" i="91"/>
  <c r="C170" i="91"/>
  <c r="C53" i="91"/>
  <c r="C175" i="91" s="1"/>
  <c r="I112" i="86" l="1"/>
  <c r="G112" i="86"/>
  <c r="E112" i="86"/>
  <c r="F111" i="86"/>
  <c r="D111" i="86"/>
  <c r="F110" i="86"/>
  <c r="C110" i="86" s="1"/>
  <c r="C109" i="86"/>
  <c r="C108" i="86"/>
  <c r="C107" i="86"/>
  <c r="F106" i="86"/>
  <c r="D106" i="86"/>
  <c r="C106" i="86"/>
  <c r="F105" i="86"/>
  <c r="D105" i="86"/>
  <c r="C105" i="86" s="1"/>
  <c r="C104" i="86"/>
  <c r="F103" i="86"/>
  <c r="D103" i="86"/>
  <c r="C103" i="86" s="1"/>
  <c r="C102" i="86"/>
  <c r="F101" i="86"/>
  <c r="C101" i="86" s="1"/>
  <c r="F100" i="86"/>
  <c r="C100" i="86" s="1"/>
  <c r="D99" i="86"/>
  <c r="C99" i="86" s="1"/>
  <c r="C98" i="86"/>
  <c r="F97" i="86"/>
  <c r="D97" i="86"/>
  <c r="C96" i="86"/>
  <c r="C95" i="86"/>
  <c r="C94" i="86"/>
  <c r="C93" i="86"/>
  <c r="C92" i="86"/>
  <c r="D91" i="86"/>
  <c r="C91" i="86"/>
  <c r="C90" i="86"/>
  <c r="C89" i="86"/>
  <c r="C88" i="86"/>
  <c r="C87" i="86"/>
  <c r="C86" i="86"/>
  <c r="F85" i="86"/>
  <c r="C85" i="86" s="1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D71" i="86"/>
  <c r="C71" i="86" s="1"/>
  <c r="C70" i="86"/>
  <c r="F69" i="86"/>
  <c r="D69" i="86"/>
  <c r="C69" i="86" s="1"/>
  <c r="C68" i="86"/>
  <c r="C67" i="86"/>
  <c r="C66" i="86"/>
  <c r="C65" i="86"/>
  <c r="C64" i="86"/>
  <c r="H63" i="86"/>
  <c r="H112" i="86" s="1"/>
  <c r="C63" i="86"/>
  <c r="C62" i="86"/>
  <c r="C61" i="86"/>
  <c r="C60" i="86"/>
  <c r="C59" i="86"/>
  <c r="C58" i="86"/>
  <c r="C57" i="86"/>
  <c r="C56" i="86"/>
  <c r="C55" i="86"/>
  <c r="F54" i="86"/>
  <c r="C54" i="86"/>
  <c r="F53" i="86"/>
  <c r="C53" i="86" s="1"/>
  <c r="F52" i="86"/>
  <c r="C52" i="86" s="1"/>
  <c r="F51" i="86"/>
  <c r="D51" i="86"/>
  <c r="C51" i="86"/>
  <c r="F50" i="86"/>
  <c r="C50" i="86" s="1"/>
  <c r="C49" i="86"/>
  <c r="F48" i="86"/>
  <c r="C48" i="86"/>
  <c r="C47" i="86"/>
  <c r="C46" i="86"/>
  <c r="C45" i="86"/>
  <c r="C44" i="86"/>
  <c r="F43" i="86"/>
  <c r="C43" i="86" s="1"/>
  <c r="C42" i="86"/>
  <c r="C41" i="86"/>
  <c r="F40" i="86"/>
  <c r="C40" i="86" s="1"/>
  <c r="C39" i="86"/>
  <c r="F38" i="86"/>
  <c r="C38" i="86" s="1"/>
  <c r="C37" i="86"/>
  <c r="F36" i="86"/>
  <c r="D36" i="86"/>
  <c r="C36" i="86" s="1"/>
  <c r="C35" i="86"/>
  <c r="C34" i="86"/>
  <c r="C33" i="86"/>
  <c r="C32" i="86"/>
  <c r="C31" i="86"/>
  <c r="F30" i="86"/>
  <c r="C30" i="86"/>
  <c r="C29" i="86"/>
  <c r="F28" i="86"/>
  <c r="D28" i="86"/>
  <c r="C28" i="86"/>
  <c r="C27" i="86"/>
  <c r="C26" i="86"/>
  <c r="C25" i="86"/>
  <c r="C24" i="86"/>
  <c r="C23" i="86"/>
  <c r="C22" i="86"/>
  <c r="C21" i="86"/>
  <c r="C20" i="86"/>
  <c r="F19" i="86"/>
  <c r="C19" i="86" s="1"/>
  <c r="C18" i="86"/>
  <c r="C17" i="86"/>
  <c r="C16" i="86"/>
  <c r="C15" i="86"/>
  <c r="C14" i="86"/>
  <c r="C13" i="86"/>
  <c r="C12" i="86"/>
  <c r="C11" i="86"/>
  <c r="C10" i="86"/>
  <c r="C9" i="86"/>
  <c r="F8" i="86"/>
  <c r="F112" i="86" s="1"/>
  <c r="C7" i="86"/>
  <c r="A7" i="86"/>
  <c r="A8" i="86" s="1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5" i="86" s="1"/>
  <c r="A26" i="86" s="1"/>
  <c r="A27" i="86" s="1"/>
  <c r="A28" i="86" s="1"/>
  <c r="A29" i="86" s="1"/>
  <c r="A30" i="86" s="1"/>
  <c r="A31" i="86" s="1"/>
  <c r="A33" i="86" s="1"/>
  <c r="A34" i="86" s="1"/>
  <c r="A35" i="86" s="1"/>
  <c r="A36" i="86" s="1"/>
  <c r="A39" i="86" s="1"/>
  <c r="A40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63" i="86" s="1"/>
  <c r="A64" i="86" s="1"/>
  <c r="A65" i="86" s="1"/>
  <c r="A66" i="86" s="1"/>
  <c r="A67" i="86" s="1"/>
  <c r="A68" i="86" s="1"/>
  <c r="A69" i="86" s="1"/>
  <c r="A70" i="86" s="1"/>
  <c r="A71" i="86" s="1"/>
  <c r="A72" i="86" s="1"/>
  <c r="A73" i="86" s="1"/>
  <c r="A74" i="86" s="1"/>
  <c r="A75" i="86" s="1"/>
  <c r="A76" i="86" s="1"/>
  <c r="A77" i="86" s="1"/>
  <c r="A78" i="86" s="1"/>
  <c r="A79" i="86" s="1"/>
  <c r="A80" i="86" s="1"/>
  <c r="A81" i="86" s="1"/>
  <c r="A82" i="86" s="1"/>
  <c r="A83" i="86" s="1"/>
  <c r="A84" i="86" s="1"/>
  <c r="A85" i="86" s="1"/>
  <c r="A86" i="86" s="1"/>
  <c r="A87" i="86" s="1"/>
  <c r="A88" i="86" s="1"/>
  <c r="A89" i="86" s="1"/>
  <c r="A90" i="86" s="1"/>
  <c r="A91" i="86" s="1"/>
  <c r="A92" i="86" s="1"/>
  <c r="A93" i="86" s="1"/>
  <c r="A94" i="86" s="1"/>
  <c r="A95" i="86" s="1"/>
  <c r="A96" i="86" s="1"/>
  <c r="A97" i="86" s="1"/>
  <c r="A98" i="86" s="1"/>
  <c r="A99" i="86" s="1"/>
  <c r="A100" i="86" s="1"/>
  <c r="A101" i="86" s="1"/>
  <c r="A102" i="86" s="1"/>
  <c r="A103" i="86" s="1"/>
  <c r="A104" i="86" s="1"/>
  <c r="A105" i="86" s="1"/>
  <c r="A106" i="86" s="1"/>
  <c r="A108" i="86" s="1"/>
  <c r="C6" i="86"/>
  <c r="D112" i="86" l="1"/>
  <c r="C97" i="86"/>
  <c r="C111" i="86"/>
  <c r="C8" i="86"/>
  <c r="N55" i="89"/>
  <c r="L55" i="89"/>
  <c r="R54" i="89"/>
  <c r="M54" i="89"/>
  <c r="I54" i="89"/>
  <c r="G54" i="89"/>
  <c r="E54" i="89"/>
  <c r="C54" i="89"/>
  <c r="Q53" i="89"/>
  <c r="P53" i="89"/>
  <c r="J53" i="89"/>
  <c r="F53" i="89"/>
  <c r="R52" i="89"/>
  <c r="G52" i="89"/>
  <c r="J52" i="89" s="1"/>
  <c r="F52" i="89"/>
  <c r="S52" i="89" s="1"/>
  <c r="R51" i="89"/>
  <c r="J51" i="89"/>
  <c r="S51" i="89" s="1"/>
  <c r="F51" i="89"/>
  <c r="Q50" i="89"/>
  <c r="P50" i="89"/>
  <c r="J50" i="89"/>
  <c r="F50" i="89"/>
  <c r="R49" i="89"/>
  <c r="J49" i="89"/>
  <c r="F49" i="89"/>
  <c r="R48" i="89"/>
  <c r="J48" i="89"/>
  <c r="S48" i="89" s="1"/>
  <c r="F48" i="89"/>
  <c r="R47" i="89"/>
  <c r="O47" i="89"/>
  <c r="O55" i="89" s="1"/>
  <c r="J47" i="89"/>
  <c r="F47" i="89"/>
  <c r="R46" i="89"/>
  <c r="K46" i="89"/>
  <c r="M46" i="89" s="1"/>
  <c r="J46" i="89"/>
  <c r="C46" i="89"/>
  <c r="F46" i="89" s="1"/>
  <c r="S46" i="89" s="1"/>
  <c r="R45" i="89"/>
  <c r="H45" i="89"/>
  <c r="G45" i="89"/>
  <c r="F45" i="89"/>
  <c r="R44" i="89"/>
  <c r="J44" i="89"/>
  <c r="S44" i="89" s="1"/>
  <c r="F44" i="89"/>
  <c r="Q43" i="89"/>
  <c r="P43" i="89"/>
  <c r="I43" i="89"/>
  <c r="G43" i="89"/>
  <c r="F43" i="89"/>
  <c r="R42" i="89"/>
  <c r="J42" i="89"/>
  <c r="S42" i="89" s="1"/>
  <c r="F42" i="89"/>
  <c r="R41" i="89"/>
  <c r="M41" i="89"/>
  <c r="J41" i="89"/>
  <c r="E41" i="89"/>
  <c r="F41" i="89" s="1"/>
  <c r="S41" i="89" s="1"/>
  <c r="R40" i="89"/>
  <c r="M40" i="89"/>
  <c r="K40" i="89"/>
  <c r="I40" i="89"/>
  <c r="G40" i="89"/>
  <c r="E40" i="89"/>
  <c r="C40" i="89"/>
  <c r="R39" i="89"/>
  <c r="K39" i="89"/>
  <c r="K55" i="89" s="1"/>
  <c r="I39" i="89"/>
  <c r="G39" i="89"/>
  <c r="J39" i="89" s="1"/>
  <c r="E39" i="89"/>
  <c r="F39" i="89" s="1"/>
  <c r="R38" i="89"/>
  <c r="H38" i="89"/>
  <c r="G38" i="89"/>
  <c r="J38" i="89" s="1"/>
  <c r="F38" i="89"/>
  <c r="R37" i="89"/>
  <c r="J37" i="89"/>
  <c r="F37" i="89"/>
  <c r="S37" i="89" s="1"/>
  <c r="R36" i="89"/>
  <c r="G36" i="89"/>
  <c r="F36" i="89"/>
  <c r="R35" i="89"/>
  <c r="M35" i="89"/>
  <c r="J35" i="89"/>
  <c r="F35" i="89"/>
  <c r="Q34" i="89"/>
  <c r="P34" i="89"/>
  <c r="J34" i="89"/>
  <c r="F34" i="89"/>
  <c r="R33" i="89"/>
  <c r="J33" i="89"/>
  <c r="F33" i="89"/>
  <c r="S33" i="89" s="1"/>
  <c r="R32" i="89"/>
  <c r="J32" i="89"/>
  <c r="F32" i="89"/>
  <c r="Q31" i="89"/>
  <c r="P31" i="89"/>
  <c r="J31" i="89"/>
  <c r="C31" i="89"/>
  <c r="F31" i="89" s="1"/>
  <c r="R30" i="89"/>
  <c r="J30" i="89"/>
  <c r="S30" i="89" s="1"/>
  <c r="F30" i="89"/>
  <c r="R29" i="89"/>
  <c r="J29" i="89"/>
  <c r="F29" i="89"/>
  <c r="Q28" i="89"/>
  <c r="P28" i="89"/>
  <c r="R28" i="89" s="1"/>
  <c r="J28" i="89"/>
  <c r="F28" i="89"/>
  <c r="R27" i="89"/>
  <c r="J27" i="89"/>
  <c r="S27" i="89" s="1"/>
  <c r="F27" i="89"/>
  <c r="R26" i="89"/>
  <c r="J26" i="89"/>
  <c r="F26" i="89"/>
  <c r="Q25" i="89"/>
  <c r="P25" i="89"/>
  <c r="J25" i="89"/>
  <c r="F25" i="89"/>
  <c r="Q24" i="89"/>
  <c r="P24" i="89"/>
  <c r="R24" i="89" s="1"/>
  <c r="J24" i="89"/>
  <c r="F24" i="89"/>
  <c r="Q23" i="89"/>
  <c r="P23" i="89"/>
  <c r="Q22" i="89"/>
  <c r="P22" i="89"/>
  <c r="R22" i="89" s="1"/>
  <c r="J22" i="89"/>
  <c r="F22" i="89"/>
  <c r="Q21" i="89"/>
  <c r="P21" i="89"/>
  <c r="J21" i="89"/>
  <c r="F21" i="89"/>
  <c r="R20" i="89"/>
  <c r="J20" i="89"/>
  <c r="S20" i="89" s="1"/>
  <c r="F20" i="89"/>
  <c r="Q19" i="89"/>
  <c r="P19" i="89"/>
  <c r="J19" i="89"/>
  <c r="F19" i="89"/>
  <c r="R18" i="89"/>
  <c r="J18" i="89"/>
  <c r="F18" i="89"/>
  <c r="Q17" i="89"/>
  <c r="P17" i="89"/>
  <c r="J17" i="89"/>
  <c r="F17" i="89"/>
  <c r="R16" i="89"/>
  <c r="J16" i="89"/>
  <c r="E16" i="89"/>
  <c r="D16" i="89"/>
  <c r="D55" i="89" s="1"/>
  <c r="C16" i="89"/>
  <c r="R15" i="89"/>
  <c r="J15" i="89"/>
  <c r="F15" i="89"/>
  <c r="S15" i="89" s="1"/>
  <c r="R14" i="89"/>
  <c r="J14" i="89"/>
  <c r="F14" i="89"/>
  <c r="Q13" i="89"/>
  <c r="P13" i="89"/>
  <c r="J13" i="89"/>
  <c r="F13" i="89"/>
  <c r="R12" i="89"/>
  <c r="J12" i="89"/>
  <c r="F12" i="89"/>
  <c r="S12" i="89" s="1"/>
  <c r="Q11" i="89"/>
  <c r="P11" i="89"/>
  <c r="J11" i="89"/>
  <c r="F11" i="89"/>
  <c r="R10" i="89"/>
  <c r="J10" i="89"/>
  <c r="E10" i="89"/>
  <c r="E55" i="89" s="1"/>
  <c r="R9" i="89"/>
  <c r="J9" i="89"/>
  <c r="S9" i="89" s="1"/>
  <c r="F9" i="89"/>
  <c r="Q8" i="89"/>
  <c r="P8" i="89"/>
  <c r="J8" i="89"/>
  <c r="F8" i="89"/>
  <c r="R7" i="89"/>
  <c r="J7" i="89"/>
  <c r="F7" i="89"/>
  <c r="Q6" i="89"/>
  <c r="P6" i="89"/>
  <c r="R6" i="89" s="1"/>
  <c r="J6" i="89"/>
  <c r="F6" i="89"/>
  <c r="R5" i="89"/>
  <c r="J5" i="89"/>
  <c r="F5" i="89"/>
  <c r="D146" i="88"/>
  <c r="C146" i="88"/>
  <c r="C145" i="88"/>
  <c r="D144" i="88"/>
  <c r="C144" i="88" s="1"/>
  <c r="C143" i="88"/>
  <c r="C142" i="88"/>
  <c r="C141" i="88"/>
  <c r="I140" i="88"/>
  <c r="I147" i="88" s="1"/>
  <c r="H140" i="88"/>
  <c r="G140" i="88"/>
  <c r="F140" i="88"/>
  <c r="E140" i="88"/>
  <c r="D139" i="88"/>
  <c r="C139" i="88" s="1"/>
  <c r="C138" i="88"/>
  <c r="C137" i="88"/>
  <c r="C136" i="88"/>
  <c r="C135" i="88"/>
  <c r="G134" i="88"/>
  <c r="D134" i="88"/>
  <c r="C134" i="88" s="1"/>
  <c r="D133" i="88"/>
  <c r="C133" i="88" s="1"/>
  <c r="C132" i="88"/>
  <c r="D131" i="88"/>
  <c r="C131" i="88" s="1"/>
  <c r="E130" i="88"/>
  <c r="D130" i="88"/>
  <c r="C130" i="88"/>
  <c r="C129" i="88"/>
  <c r="H128" i="88"/>
  <c r="F128" i="88"/>
  <c r="F147" i="88" s="1"/>
  <c r="E128" i="88"/>
  <c r="D128" i="88"/>
  <c r="C128" i="88" s="1"/>
  <c r="C127" i="88"/>
  <c r="C126" i="88"/>
  <c r="C125" i="88"/>
  <c r="C124" i="88"/>
  <c r="D123" i="88"/>
  <c r="C123" i="88" s="1"/>
  <c r="D122" i="88"/>
  <c r="C122" i="88" s="1"/>
  <c r="G121" i="88"/>
  <c r="D121" i="88"/>
  <c r="C121" i="88" s="1"/>
  <c r="D120" i="88"/>
  <c r="C120" i="88" s="1"/>
  <c r="C119" i="88"/>
  <c r="G118" i="88"/>
  <c r="D118" i="88"/>
  <c r="C118" i="88" s="1"/>
  <c r="C117" i="88"/>
  <c r="C116" i="88"/>
  <c r="C115" i="88"/>
  <c r="C114" i="88"/>
  <c r="G113" i="88"/>
  <c r="G147" i="88" s="1"/>
  <c r="D113" i="88"/>
  <c r="C113" i="88"/>
  <c r="D112" i="88"/>
  <c r="C112" i="88"/>
  <c r="C111" i="88"/>
  <c r="C110" i="88"/>
  <c r="C109" i="88"/>
  <c r="C108" i="88"/>
  <c r="C107" i="88"/>
  <c r="C106" i="88"/>
  <c r="C105" i="88"/>
  <c r="C104" i="88"/>
  <c r="C103" i="88"/>
  <c r="C102" i="88"/>
  <c r="C101" i="88"/>
  <c r="C100" i="88"/>
  <c r="C99" i="88"/>
  <c r="C98" i="88"/>
  <c r="C97" i="88"/>
  <c r="C96" i="88"/>
  <c r="C95" i="88"/>
  <c r="C94" i="88"/>
  <c r="C93" i="88"/>
  <c r="C92" i="88"/>
  <c r="C91" i="88"/>
  <c r="C90" i="88"/>
  <c r="C89" i="88"/>
  <c r="C88" i="88"/>
  <c r="C87" i="88"/>
  <c r="C86" i="88"/>
  <c r="C85" i="88"/>
  <c r="D84" i="88"/>
  <c r="C84" i="88" s="1"/>
  <c r="D83" i="88"/>
  <c r="C83" i="88" s="1"/>
  <c r="D82" i="88"/>
  <c r="C82" i="88" s="1"/>
  <c r="C81" i="88"/>
  <c r="C80" i="88"/>
  <c r="D79" i="88"/>
  <c r="C79" i="88" s="1"/>
  <c r="C78" i="88"/>
  <c r="C77" i="88"/>
  <c r="C76" i="88"/>
  <c r="C75" i="88"/>
  <c r="D74" i="88"/>
  <c r="C74" i="88" s="1"/>
  <c r="E73" i="88"/>
  <c r="D73" i="88"/>
  <c r="C73" i="88" s="1"/>
  <c r="E72" i="88"/>
  <c r="D72" i="88"/>
  <c r="C72" i="88" s="1"/>
  <c r="E71" i="88"/>
  <c r="D71" i="88"/>
  <c r="C71" i="88"/>
  <c r="E70" i="88"/>
  <c r="D70" i="88"/>
  <c r="C70" i="88" s="1"/>
  <c r="E69" i="88"/>
  <c r="D69" i="88"/>
  <c r="C69" i="88" s="1"/>
  <c r="E68" i="88"/>
  <c r="D68" i="88"/>
  <c r="C68" i="88" s="1"/>
  <c r="C67" i="88"/>
  <c r="C66" i="88"/>
  <c r="C65" i="88"/>
  <c r="C64" i="88"/>
  <c r="C63" i="88"/>
  <c r="C62" i="88"/>
  <c r="C61" i="88"/>
  <c r="C60" i="88"/>
  <c r="C59" i="88"/>
  <c r="C58" i="88"/>
  <c r="C57" i="88"/>
  <c r="C56" i="88"/>
  <c r="H55" i="88"/>
  <c r="H147" i="88" s="1"/>
  <c r="D55" i="88"/>
  <c r="C55" i="88"/>
  <c r="D54" i="88"/>
  <c r="C54" i="88"/>
  <c r="C53" i="88"/>
  <c r="C52" i="88"/>
  <c r="C51" i="88"/>
  <c r="D50" i="88"/>
  <c r="C50" i="88" s="1"/>
  <c r="C49" i="88"/>
  <c r="D48" i="88"/>
  <c r="C48" i="88" s="1"/>
  <c r="C47" i="88"/>
  <c r="C46" i="88"/>
  <c r="C45" i="88"/>
  <c r="C44" i="88"/>
  <c r="C43" i="88"/>
  <c r="C42" i="88"/>
  <c r="D41" i="88"/>
  <c r="C41" i="88" s="1"/>
  <c r="D40" i="88"/>
  <c r="C40" i="88" s="1"/>
  <c r="D39" i="88"/>
  <c r="C39" i="88" s="1"/>
  <c r="C38" i="88"/>
  <c r="C37" i="88"/>
  <c r="C36" i="88"/>
  <c r="C35" i="88"/>
  <c r="C34" i="88"/>
  <c r="C33" i="88"/>
  <c r="C32" i="88"/>
  <c r="C31" i="88"/>
  <c r="C30" i="88"/>
  <c r="C29" i="88"/>
  <c r="D28" i="88"/>
  <c r="C28" i="88" s="1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D12" i="88"/>
  <c r="C12" i="88" s="1"/>
  <c r="C11" i="88"/>
  <c r="C10" i="88"/>
  <c r="C9" i="88"/>
  <c r="C8" i="88"/>
  <c r="D7" i="88"/>
  <c r="C7" i="88" s="1"/>
  <c r="D6" i="88"/>
  <c r="C6" i="88" s="1"/>
  <c r="C112" i="86" l="1"/>
  <c r="P55" i="89"/>
  <c r="S22" i="89"/>
  <c r="S24" i="89"/>
  <c r="S28" i="89"/>
  <c r="S50" i="89"/>
  <c r="S7" i="89"/>
  <c r="F10" i="89"/>
  <c r="R13" i="89"/>
  <c r="S14" i="89"/>
  <c r="S18" i="89"/>
  <c r="R19" i="89"/>
  <c r="S19" i="89" s="1"/>
  <c r="S26" i="89"/>
  <c r="S29" i="89"/>
  <c r="R31" i="89"/>
  <c r="S32" i="89"/>
  <c r="R34" i="89"/>
  <c r="S35" i="89"/>
  <c r="H55" i="89"/>
  <c r="I55" i="89"/>
  <c r="M39" i="89"/>
  <c r="S39" i="89" s="1"/>
  <c r="J40" i="89"/>
  <c r="J43" i="89"/>
  <c r="S43" i="89" s="1"/>
  <c r="R43" i="89"/>
  <c r="J45" i="89"/>
  <c r="S45" i="89" s="1"/>
  <c r="S47" i="89"/>
  <c r="S49" i="89"/>
  <c r="R50" i="89"/>
  <c r="S53" i="89"/>
  <c r="R53" i="89"/>
  <c r="F54" i="89"/>
  <c r="S54" i="89" s="1"/>
  <c r="J54" i="89"/>
  <c r="S17" i="89"/>
  <c r="S6" i="89"/>
  <c r="R11" i="89"/>
  <c r="S11" i="89" s="1"/>
  <c r="S13" i="89"/>
  <c r="S31" i="89"/>
  <c r="G55" i="89"/>
  <c r="J36" i="89"/>
  <c r="J55" i="89" s="1"/>
  <c r="S5" i="89"/>
  <c r="Q55" i="89"/>
  <c r="R8" i="89"/>
  <c r="S8" i="89" s="1"/>
  <c r="S10" i="89"/>
  <c r="C55" i="89"/>
  <c r="F16" i="89"/>
  <c r="S16" i="89" s="1"/>
  <c r="R17" i="89"/>
  <c r="R21" i="89"/>
  <c r="S21" i="89" s="1"/>
  <c r="R23" i="89"/>
  <c r="S23" i="89" s="1"/>
  <c r="R25" i="89"/>
  <c r="S25" i="89" s="1"/>
  <c r="S34" i="89"/>
  <c r="S36" i="89"/>
  <c r="S38" i="89"/>
  <c r="F40" i="89"/>
  <c r="S40" i="89" s="1"/>
  <c r="D140" i="88"/>
  <c r="C140" i="88" s="1"/>
  <c r="E147" i="88"/>
  <c r="C147" i="88"/>
  <c r="M55" i="89" l="1"/>
  <c r="F55" i="89"/>
  <c r="S55" i="89"/>
  <c r="R55" i="89"/>
  <c r="D147" i="88"/>
  <c r="J20" i="90" l="1"/>
  <c r="E20" i="90"/>
  <c r="M19" i="90"/>
  <c r="K19" i="90" s="1"/>
  <c r="I19" i="90"/>
  <c r="P18" i="90"/>
  <c r="K18" i="90"/>
  <c r="P17" i="90"/>
  <c r="K17" i="90"/>
  <c r="P16" i="90"/>
  <c r="K16" i="90"/>
  <c r="P15" i="90"/>
  <c r="K15" i="90"/>
  <c r="P14" i="90"/>
  <c r="K14" i="90"/>
  <c r="P13" i="90"/>
  <c r="K13" i="90"/>
  <c r="R12" i="90"/>
  <c r="P12" i="90" s="1"/>
  <c r="N12" i="90"/>
  <c r="M12" i="90"/>
  <c r="R11" i="90"/>
  <c r="P11" i="90" s="1"/>
  <c r="N11" i="90"/>
  <c r="M11" i="90"/>
  <c r="R10" i="90"/>
  <c r="P10" i="90" s="1"/>
  <c r="N10" i="90"/>
  <c r="M10" i="90"/>
  <c r="L10" i="90"/>
  <c r="R9" i="90"/>
  <c r="P9" i="90" s="1"/>
  <c r="N9" i="90"/>
  <c r="M9" i="90"/>
  <c r="K9" i="90" s="1"/>
  <c r="D9" i="90"/>
  <c r="T8" i="90"/>
  <c r="T20" i="90" s="1"/>
  <c r="S8" i="90"/>
  <c r="S20" i="90" s="1"/>
  <c r="R8" i="90"/>
  <c r="Q8" i="90"/>
  <c r="Q20" i="90" s="1"/>
  <c r="O8" i="90"/>
  <c r="O20" i="90" s="1"/>
  <c r="N8" i="90"/>
  <c r="M8" i="90"/>
  <c r="L8" i="90"/>
  <c r="K8" i="90" s="1"/>
  <c r="G8" i="90"/>
  <c r="G20" i="90" s="1"/>
  <c r="F8" i="90"/>
  <c r="R7" i="90"/>
  <c r="P7" i="90" s="1"/>
  <c r="M7" i="90"/>
  <c r="K10" i="90" l="1"/>
  <c r="H10" i="90" s="1"/>
  <c r="C10" i="90" s="1"/>
  <c r="I20" i="90"/>
  <c r="D20" i="90"/>
  <c r="L20" i="90"/>
  <c r="K12" i="90"/>
  <c r="H13" i="90"/>
  <c r="C13" i="90" s="1"/>
  <c r="H15" i="90"/>
  <c r="C15" i="90" s="1"/>
  <c r="H16" i="90"/>
  <c r="C16" i="90" s="1"/>
  <c r="H17" i="90"/>
  <c r="C17" i="90" s="1"/>
  <c r="N20" i="90"/>
  <c r="F20" i="90"/>
  <c r="M20" i="90"/>
  <c r="K11" i="90"/>
  <c r="H14" i="90"/>
  <c r="C14" i="90" s="1"/>
  <c r="H18" i="90"/>
  <c r="C18" i="90" s="1"/>
  <c r="H19" i="90"/>
  <c r="C19" i="90" s="1"/>
  <c r="H11" i="90"/>
  <c r="C11" i="90" s="1"/>
  <c r="H9" i="90"/>
  <c r="C9" i="90" s="1"/>
  <c r="R20" i="90"/>
  <c r="K7" i="90"/>
  <c r="P8" i="90"/>
  <c r="H12" i="90" l="1"/>
  <c r="C12" i="90" s="1"/>
  <c r="P20" i="90"/>
  <c r="K20" i="90"/>
  <c r="H7" i="90"/>
  <c r="C7" i="90" s="1"/>
  <c r="H8" i="90"/>
  <c r="C8" i="90" s="1"/>
  <c r="C20" i="90" l="1"/>
  <c r="H20" i="90"/>
  <c r="C78" i="87" l="1"/>
  <c r="D78" i="87"/>
  <c r="E78" i="87"/>
  <c r="F78" i="87"/>
  <c r="G78" i="87"/>
  <c r="H78" i="87"/>
  <c r="I78" i="87"/>
  <c r="J78" i="87"/>
  <c r="K78" i="87"/>
  <c r="L78" i="87"/>
  <c r="M78" i="87"/>
  <c r="N78" i="87"/>
  <c r="O78" i="87"/>
  <c r="P78" i="87"/>
  <c r="Q78" i="87"/>
  <c r="R78" i="87"/>
  <c r="S78" i="87"/>
  <c r="T78" i="87"/>
  <c r="U78" i="87"/>
  <c r="V78" i="87"/>
  <c r="W78" i="87"/>
  <c r="X78" i="87"/>
  <c r="Y78" i="87"/>
  <c r="Z78" i="87"/>
  <c r="B78" i="87"/>
  <c r="AA77" i="87" l="1"/>
  <c r="AA76" i="87"/>
  <c r="AA75" i="87"/>
  <c r="AA74" i="87"/>
  <c r="AA73" i="87"/>
  <c r="AA72" i="87"/>
  <c r="AA71" i="87"/>
  <c r="AA70" i="87"/>
  <c r="AA69" i="87"/>
  <c r="AA68" i="87"/>
  <c r="AA67" i="87"/>
  <c r="AA66" i="87"/>
  <c r="AA65" i="87"/>
  <c r="AA62" i="87"/>
  <c r="AA61" i="87"/>
  <c r="AA60" i="87"/>
  <c r="AA59" i="87"/>
  <c r="AA58" i="87"/>
  <c r="AA57" i="87"/>
  <c r="AA56" i="87"/>
  <c r="AA55" i="87"/>
  <c r="AA54" i="87"/>
  <c r="AA53" i="87"/>
  <c r="AA52" i="87"/>
  <c r="AA51" i="87"/>
  <c r="AA50" i="87"/>
  <c r="AA47" i="87"/>
  <c r="AA46" i="87"/>
  <c r="AA45" i="87"/>
  <c r="AA44" i="87"/>
  <c r="AA43" i="87"/>
  <c r="AA42" i="87"/>
  <c r="AA41" i="87"/>
  <c r="AA40" i="87"/>
  <c r="AA39" i="87"/>
  <c r="AA38" i="87"/>
  <c r="AA37" i="87"/>
  <c r="AA36" i="87"/>
  <c r="AA35" i="87"/>
  <c r="AA34" i="87"/>
  <c r="AA33" i="87"/>
  <c r="AA32" i="87"/>
  <c r="AA31" i="87"/>
  <c r="AA30" i="87"/>
  <c r="AA29" i="87"/>
  <c r="AA28" i="87"/>
  <c r="AA27" i="87"/>
  <c r="AA26" i="87"/>
  <c r="AA25" i="87"/>
  <c r="AA24" i="87"/>
  <c r="AA21" i="87"/>
  <c r="AA20" i="87"/>
  <c r="AA19" i="87"/>
  <c r="AA18" i="87"/>
  <c r="AA17" i="87"/>
  <c r="AA16" i="87"/>
  <c r="AA15" i="87"/>
  <c r="AA14" i="87"/>
  <c r="AA11" i="87"/>
  <c r="AA10" i="87"/>
  <c r="AA9" i="87"/>
  <c r="AA8" i="87"/>
  <c r="AA7" i="87"/>
  <c r="AA6" i="87"/>
  <c r="AA5" i="87"/>
  <c r="AA63" i="87" l="1"/>
  <c r="AA12" i="87"/>
  <c r="AA48" i="87"/>
  <c r="AA22" i="87"/>
  <c r="AA23" i="87"/>
  <c r="AA64" i="87"/>
  <c r="AA13" i="87"/>
  <c r="AA49" i="87"/>
  <c r="AA4" i="87" l="1"/>
  <c r="AA78" i="87"/>
  <c r="M31" i="85" l="1"/>
  <c r="L31" i="85"/>
  <c r="K31" i="85"/>
  <c r="J31" i="85"/>
  <c r="I31" i="85"/>
  <c r="H31" i="85"/>
  <c r="G31" i="85"/>
  <c r="F30" i="85"/>
  <c r="E30" i="85"/>
  <c r="D30" i="85"/>
  <c r="C30" i="85"/>
  <c r="B30" i="85" s="1"/>
  <c r="F29" i="85"/>
  <c r="E29" i="85"/>
  <c r="D29" i="85"/>
  <c r="B29" i="85" s="1"/>
  <c r="C29" i="85"/>
  <c r="F28" i="85"/>
  <c r="E28" i="85"/>
  <c r="B28" i="85" s="1"/>
  <c r="D28" i="85"/>
  <c r="C28" i="85"/>
  <c r="F27" i="85"/>
  <c r="E27" i="85"/>
  <c r="D27" i="85"/>
  <c r="C27" i="85"/>
  <c r="B27" i="85"/>
  <c r="F26" i="85"/>
  <c r="E26" i="85"/>
  <c r="D26" i="85"/>
  <c r="C26" i="85"/>
  <c r="B26" i="85" s="1"/>
  <c r="F25" i="85"/>
  <c r="E25" i="85"/>
  <c r="D25" i="85"/>
  <c r="B25" i="85" s="1"/>
  <c r="C25" i="85"/>
  <c r="F24" i="85"/>
  <c r="E24" i="85"/>
  <c r="B24" i="85" s="1"/>
  <c r="D24" i="85"/>
  <c r="C24" i="85"/>
  <c r="F23" i="85"/>
  <c r="E23" i="85"/>
  <c r="D23" i="85"/>
  <c r="C23" i="85"/>
  <c r="B23" i="85"/>
  <c r="F22" i="85"/>
  <c r="E22" i="85"/>
  <c r="D22" i="85"/>
  <c r="C22" i="85"/>
  <c r="B22" i="85" s="1"/>
  <c r="F21" i="85"/>
  <c r="E21" i="85"/>
  <c r="D21" i="85"/>
  <c r="B21" i="85" s="1"/>
  <c r="C21" i="85"/>
  <c r="F20" i="85"/>
  <c r="E20" i="85"/>
  <c r="B20" i="85" s="1"/>
  <c r="D20" i="85"/>
  <c r="C20" i="85"/>
  <c r="F19" i="85"/>
  <c r="E19" i="85"/>
  <c r="D19" i="85"/>
  <c r="C19" i="85"/>
  <c r="B19" i="85"/>
  <c r="F18" i="85"/>
  <c r="E18" i="85"/>
  <c r="D18" i="85"/>
  <c r="C18" i="85"/>
  <c r="B18" i="85" s="1"/>
  <c r="F17" i="85"/>
  <c r="E17" i="85"/>
  <c r="D17" i="85"/>
  <c r="B17" i="85" s="1"/>
  <c r="C17" i="85"/>
  <c r="F16" i="85"/>
  <c r="E16" i="85"/>
  <c r="B16" i="85" s="1"/>
  <c r="D16" i="85"/>
  <c r="C16" i="85"/>
  <c r="F15" i="85"/>
  <c r="E15" i="85"/>
  <c r="D15" i="85"/>
  <c r="C15" i="85"/>
  <c r="B15" i="85"/>
  <c r="F14" i="85"/>
  <c r="E14" i="85"/>
  <c r="D14" i="85"/>
  <c r="C14" i="85"/>
  <c r="B14" i="85" s="1"/>
  <c r="F13" i="85"/>
  <c r="E13" i="85"/>
  <c r="D13" i="85"/>
  <c r="B13" i="85" s="1"/>
  <c r="C13" i="85"/>
  <c r="F12" i="85"/>
  <c r="E12" i="85"/>
  <c r="B12" i="85" s="1"/>
  <c r="D12" i="85"/>
  <c r="C12" i="85"/>
  <c r="F11" i="85"/>
  <c r="E11" i="85"/>
  <c r="D11" i="85"/>
  <c r="C11" i="85"/>
  <c r="B11" i="85"/>
  <c r="F10" i="85"/>
  <c r="E10" i="85"/>
  <c r="D10" i="85"/>
  <c r="C10" i="85"/>
  <c r="B10" i="85" s="1"/>
  <c r="F9" i="85"/>
  <c r="E9" i="85"/>
  <c r="D9" i="85"/>
  <c r="B9" i="85" s="1"/>
  <c r="C9" i="85"/>
  <c r="F8" i="85"/>
  <c r="E8" i="85"/>
  <c r="B8" i="85" s="1"/>
  <c r="D8" i="85"/>
  <c r="C8" i="85"/>
  <c r="F7" i="85"/>
  <c r="F31" i="85" s="1"/>
  <c r="E7" i="85"/>
  <c r="E31" i="85" s="1"/>
  <c r="D7" i="85"/>
  <c r="D31" i="85" s="1"/>
  <c r="C7" i="85"/>
  <c r="C31" i="85" s="1"/>
  <c r="B7" i="85"/>
  <c r="B31" i="85" l="1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I19" authorId="0" shapeId="0">
      <text>
        <r>
          <rPr>
            <b/>
            <sz val="12"/>
            <color indexed="81"/>
            <rFont val="Tahoma"/>
            <family val="2"/>
            <charset val="204"/>
          </rPr>
          <t>на основании письма РКБ №39 от 04.10.2018</t>
        </r>
      </text>
    </comment>
  </commentList>
</comments>
</file>

<file path=xl/sharedStrings.xml><?xml version="1.0" encoding="utf-8"?>
<sst xmlns="http://schemas.openxmlformats.org/spreadsheetml/2006/main" count="1063" uniqueCount="458">
  <si>
    <t>№ п/п</t>
  </si>
  <si>
    <t>ГБУЗ РБ Бирская ЦРБ</t>
  </si>
  <si>
    <t>ГБУЗ РБ Дюртюлинская ЦРБ</t>
  </si>
  <si>
    <t>ГБУЗ РБ ГБ г. Нефтекамск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</si>
  <si>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</si>
  <si>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</si>
  <si>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</si>
  <si>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</si>
  <si>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</si>
  <si>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</si>
  <si>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</si>
  <si>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Мишкинская ЦРБ</t>
  </si>
  <si>
    <t>ГБУЗ РБ Баймакская ЦГБ</t>
  </si>
  <si>
    <t>ГБУЗ РБ Белорецкая ЦРКБ</t>
  </si>
  <si>
    <t>ГАУЗ РБ Учалинская ЦГБ</t>
  </si>
  <si>
    <t>ГБУЗ РБ Акъярская ЦРБ</t>
  </si>
  <si>
    <t>ГБУЗ РБ Аскаровская ЦРБ</t>
  </si>
  <si>
    <t>ГБУЗ РБ Бурзянская ЦРБ</t>
  </si>
  <si>
    <t>ГБУЗ РБ Зилаирская ЦРБ</t>
  </si>
  <si>
    <t>ГБУЗ РБ Ишимбайская ЦРБ</t>
  </si>
  <si>
    <t>ГБУЗ РБ Мелеузовская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</si>
  <si>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</si>
  <si>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</si>
  <si>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</si>
  <si>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</si>
  <si>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</si>
  <si>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</si>
  <si>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</si>
  <si>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Белебеевская ЦРБ</t>
  </si>
  <si>
    <t>ГБУЗ РБ Давлекановская ЦРБ</t>
  </si>
  <si>
    <t>ГБУЗ РБ Бакалинская ЦРБ</t>
  </si>
  <si>
    <t>ГБУЗ РБ Бижбулякская ЦРБ</t>
  </si>
  <si>
    <t>ГБУЗ РБ Верхнеяркеевская ЦРБ</t>
  </si>
  <si>
    <t>ГБУЗ РБ Ермекеевская ЦРБ</t>
  </si>
  <si>
    <t>ГБУЗ РБ Миякинская ЦРБ</t>
  </si>
  <si>
    <t>ГБУЗ РБ Раевская ЦРБ</t>
  </si>
  <si>
    <t>ГБУЗ РБ Шаранская ЦРБ</t>
  </si>
  <si>
    <t>ГБУЗ РБ Архангельская ЦРБ</t>
  </si>
  <si>
    <t>ГБУЗ РБ Белокатайская ЦРБ</t>
  </si>
  <si>
    <t>ГБУЗ РБ Благовещенская ЦРБ</t>
  </si>
  <si>
    <t>ГБУЗ РБ Большеустьикинская ЦРБ</t>
  </si>
  <si>
    <t>ГБУЗ РБ Буздякская ЦРБ</t>
  </si>
  <si>
    <t>ГБУЗ РБ Иглинская ЦРБ</t>
  </si>
  <si>
    <t>ГБУЗ РБ Кармаскалинская ЦРБ</t>
  </si>
  <si>
    <t>ГБУЗ РБ Кигинская ЦРБ</t>
  </si>
  <si>
    <t>ГБУЗ РБ Кушнаренковская ЦРБ</t>
  </si>
  <si>
    <t>ГБУЗ РБ Малоязовская ЦРБ</t>
  </si>
  <si>
    <t>ГБУЗ РБ Месягутовская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</si>
  <si>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</si>
  <si>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</si>
  <si>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</si>
  <si>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</si>
  <si>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ИТОГО</t>
  </si>
  <si>
    <t>Наименование медицинской организации</t>
  </si>
  <si>
    <t>ГБУЗ РБ Краснокамская ЦРБ</t>
  </si>
  <si>
    <t>ООО "Белый Жемчуг" (г.Нефтекамск)</t>
  </si>
  <si>
    <t>ООО МЦ "СЕМЕЙНЫЙ ДОКТОР" (г.Бирск)</t>
  </si>
  <si>
    <t>АНО "Перинатальный центр" (г. Салават)</t>
  </si>
  <si>
    <t>ФГБОУ ВО БГМУ Минздрава России</t>
  </si>
  <si>
    <t>НУЗ "Дорожный центр восстановительной медицины и реабилитации ОАО "РЖД"</t>
  </si>
  <si>
    <t>ООО "МЦ МЕГИ" (г.Уфа)</t>
  </si>
  <si>
    <t>ГБУЗ РКЦ</t>
  </si>
  <si>
    <t>ГБУ "УфНИИ ГБ АН РБ"</t>
  </si>
  <si>
    <t>ГАУЗ РВФД</t>
  </si>
  <si>
    <t>ГБУЗ РКГВВ</t>
  </si>
  <si>
    <t>Обособленное структурное подразделение ГБУЗ РБ ГКБ № 21 г. Уфа ранее именуемое ГБУЗ РБ Уфимская ЦРП</t>
  </si>
  <si>
    <t>Медицинская помощь за пределами РБ</t>
  </si>
  <si>
    <t>Итого</t>
  </si>
  <si>
    <t>Всего</t>
  </si>
  <si>
    <t>ГБУЗ РДКБ</t>
  </si>
  <si>
    <t>ГБУЗ РБ БСМП г.Уфа</t>
  </si>
  <si>
    <t>ГАУЗ РБ ГКБ №18 г.Уфа</t>
  </si>
  <si>
    <t>ГБУЗ РБ ЦГБ г.Сибай</t>
  </si>
  <si>
    <t>ГБУЗ РБ ГБ г.Салават</t>
  </si>
  <si>
    <t>ГБУЗ РБ ГБ г.Кумертау</t>
  </si>
  <si>
    <t>ГБУЗ РБ Поликлиника №43 г.Уфа</t>
  </si>
  <si>
    <t>ГБУЗ РБ Поликлиника №46 г.Уфа</t>
  </si>
  <si>
    <t>ГБУЗ РБ ГКБ №8 г.Уфа</t>
  </si>
  <si>
    <t>ГБУЗ РБ ГКБ №13 г.Уфа</t>
  </si>
  <si>
    <t>ГБУЗ РБ РД №3 г.Уфа</t>
  </si>
  <si>
    <t>ГБУЗ РМГЦ</t>
  </si>
  <si>
    <t>ГБУЗ РКБ им. Г.Г. Куватова</t>
  </si>
  <si>
    <t>в том числе</t>
  </si>
  <si>
    <t>ГБУЗ РКПЦ МЗ РБ</t>
  </si>
  <si>
    <t>ГАУЗ РКВД №1</t>
  </si>
  <si>
    <t>ФГБУ "ВЦГПХ" Минздрава России</t>
  </si>
  <si>
    <t>ГАУЗ РКОД  МЗ РБ</t>
  </si>
  <si>
    <t>Амбулаторно-поликлиническая помощь в части посещений с профилактической целью на 2019 год.</t>
  </si>
  <si>
    <t xml:space="preserve">посещения </t>
  </si>
  <si>
    <t>Наименование медицинских организаций</t>
  </si>
  <si>
    <t>ВСЕГО</t>
  </si>
  <si>
    <t>Центр здоровья</t>
  </si>
  <si>
    <t>Диспансеризация взрослого населения</t>
  </si>
  <si>
    <t xml:space="preserve"> Диспансе-ризация детей- сирот (комплексные посещения)</t>
  </si>
  <si>
    <t>Профилак-тический медосмотр взрослых, в том числе при первом посещении по поводу диспансерного наблюдения</t>
  </si>
  <si>
    <t>Профилак-тический медосмотр несовершен-нолетних (комплексные посещения)</t>
  </si>
  <si>
    <t>Гериатрия</t>
  </si>
  <si>
    <t>Консультативные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</si>
  <si>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</si>
  <si>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</si>
  <si>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1 этап  (комплексные посещения)</t>
  </si>
  <si>
    <t>2 этап</t>
  </si>
  <si>
    <t>первичный прием</t>
  </si>
  <si>
    <t>повторная консуль-тация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</si>
  <si>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</si>
  <si>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</si>
  <si>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</si>
  <si>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</si>
  <si>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</si>
  <si>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ООО "Авиценна (г.Нефтекамск)</t>
  </si>
  <si>
    <t>ООО "ВИП" (г.Некфтекамск)</t>
  </si>
  <si>
    <t>ООО "ВИТАЛ" (г.Нефтекамск)</t>
  </si>
  <si>
    <t>ООО "МедСервис" (г.Нефтекамск)</t>
  </si>
  <si>
    <t>ООО "СтомЭл" (г.Нефтекамск)</t>
  </si>
  <si>
    <t>ГАУЗ РБ Стоматологическая поликлиника г.Сибай</t>
  </si>
  <si>
    <t>ФГБУЗ МСЧ №142 ФМБА России</t>
  </si>
  <si>
    <t>ООО "Мой доктор" (с.Аскарово)</t>
  </si>
  <si>
    <t>ГБУЗ РБ КБ №1 г.Стерлитамак</t>
  </si>
  <si>
    <t>ГБУЗ РБ Городская больница №2 г.Стерлитамак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</si>
  <si>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</si>
  <si>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</si>
  <si>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</si>
  <si>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Городская инфекционная больница г.Стерлитамак</t>
  </si>
  <si>
    <t>ГБУЗ РБ Детская больница г.Стерлитамак</t>
  </si>
  <si>
    <t>ГБУЗ РБ Стоматологическая поликлиника г.Стерлитамак</t>
  </si>
  <si>
    <t>ГАУЗ РБ КВД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</si>
  <si>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</si>
  <si>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ГБУЗ РБ Стоматологическая поликлиника г.Салават</t>
  </si>
  <si>
    <t>ГАУЗ РБ КВД г.Салават</t>
  </si>
  <si>
    <t>Обособленное структурное подразделение ГБУЗ РБ ЦГБ города Кумертау, ранее именуемое ГБУЗ РБ Ермолаевская ЦРБ</t>
  </si>
  <si>
    <t>НУЗ "Узловая больница на ст.Стерлитамак ОАО "РЖД"</t>
  </si>
  <si>
    <t>ООО "Медсервис" (г.Салават)</t>
  </si>
  <si>
    <t>ГБУЗ РБ ГБ №1 г. Октябрьский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</si>
  <si>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</si>
  <si>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</si>
  <si>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</si>
  <si>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"Радуга" (с.Киргиз-Мияки)</t>
  </si>
  <si>
    <t>ООО "Центр здоровья и красоты" (с.Киргиз-Мияки)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</si>
  <si>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</si>
  <si>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</si>
  <si>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</si>
  <si>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</si>
  <si>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</si>
  <si>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</si>
  <si>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</si>
  <si>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</si>
  <si>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</si>
  <si>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</si>
  <si>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</si>
  <si>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№44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</si>
  <si>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</si>
  <si>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</si>
  <si>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</si>
  <si>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</si>
  <si>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</si>
  <si>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</si>
  <si>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</si>
  <si>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</si>
  <si>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</si>
  <si>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</si>
  <si>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</si>
  <si>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</si>
  <si>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ГБУЗ РБ ГКБ №5 г.Уфа</t>
  </si>
  <si>
    <t>ГБУЗ РБ ГБ №9 г.Уфа</t>
  </si>
  <si>
    <t>ГБУЗ РБ ГКБ №10 г.Уфа</t>
  </si>
  <si>
    <t>ГБУЗ РБ ГБ №12 г.Уфа</t>
  </si>
  <si>
    <t>ГБУЗ РБ ГДКБ №17 г.Уфа</t>
  </si>
  <si>
    <t>ФГБОУ ВО БГМУ Минздрава России (стоматология)</t>
  </si>
  <si>
    <t>ФКУЗ "МСЧ МВД России по Республике Башкортостан"</t>
  </si>
  <si>
    <t>УФИЦ РАН</t>
  </si>
  <si>
    <t>ООО "АЙМЕД" (г.Уфа)</t>
  </si>
  <si>
    <t>ООО "Академия здоровья" (г.Уфа)</t>
  </si>
  <si>
    <t>ООО "АНЭКО" (г.Уфа)</t>
  </si>
  <si>
    <t>ООО "Арт-Лион" (г.Уфа)</t>
  </si>
  <si>
    <t>ООО "Витадент Космо" (г.Уфа)</t>
  </si>
  <si>
    <t>ООО "Дантист" (г.Благовещенск)</t>
  </si>
  <si>
    <t>ООО "Евромед+" (г.Уфа)</t>
  </si>
  <si>
    <t>ООО "Евромед-Уфа" (г.Уфа)</t>
  </si>
  <si>
    <t>ООО "Клиника современной флебологии" (г.Уфа)</t>
  </si>
  <si>
    <t>ООО "МАСТЕР-ДЕНТ" (г.Уфа)</t>
  </si>
  <si>
    <t>ООО "Медик" (г.Уфа)</t>
  </si>
  <si>
    <t>ООО "Медицинский центр Семья" (г.Уфа)</t>
  </si>
  <si>
    <t>ООО "ПАЛИТРАДЕНТ" (с.Верхние Киги)</t>
  </si>
  <si>
    <t>ООО "Профи-клиник" (г.Уфа)</t>
  </si>
  <si>
    <t>ООО "Студия Стоматологии" (г.Уфа)</t>
  </si>
  <si>
    <t>ООО "ЦДХ" (г.Уфа)</t>
  </si>
  <si>
    <t>ООО "Эмидент Люкс" (г.Уфа, ул.Айская)</t>
  </si>
  <si>
    <t>ООО "Эмидент Люкс" (г.Уфа, ул.Революционная)</t>
  </si>
  <si>
    <t>ООО "Эмидент плюс" (г.Уфа)</t>
  </si>
  <si>
    <t>ООО "Эмидент" (г.Уфа, ул.Г.Амантая)</t>
  </si>
  <si>
    <t>ООО "ЮНИСТ" (г.Уфа)</t>
  </si>
  <si>
    <t xml:space="preserve">ГБУЗ РБ ГКБ №21 г.Уфа </t>
  </si>
  <si>
    <t>ГБУЗ РБ ИКБ №4 г.Уфа</t>
  </si>
  <si>
    <t>АУЗ РСП</t>
  </si>
  <si>
    <t>I. Посещения с профилактическими целями:</t>
  </si>
  <si>
    <t>II. Посещения с иными целями:</t>
  </si>
  <si>
    <t>в том числе:</t>
  </si>
  <si>
    <t xml:space="preserve">1. Проведение профилактических медицинских осмотров,в том числе в рамках диспансеризации: </t>
  </si>
  <si>
    <t>2. Посещения для проведения диспансеризации определенных групп населения
 (2-й этап)</t>
  </si>
  <si>
    <t>3. Посещения для проведения диспансерного наблюдения</t>
  </si>
  <si>
    <t>4. Посещения центров здоровья</t>
  </si>
  <si>
    <t>1. Разовые посещения в связи с заболеванием</t>
  </si>
  <si>
    <t>2. Посещения медицинских работников, имеющих среднее медицинское образование, ведущих самостоятельный прием</t>
  </si>
  <si>
    <t>3. Посещения с другими целями (патронаж, выдача справок и иных медицинских документов и др.)</t>
  </si>
  <si>
    <t>проведение профилактических медицинских осмотров, в том числе при первом посещении по поводу диспансерного наблюдения</t>
  </si>
  <si>
    <t>комплексные посещения в рамках диспансеризации</t>
  </si>
  <si>
    <t>ООО "МД Проект 2010" (г.Уфа)</t>
  </si>
  <si>
    <t>Амбулаторно-поликлиническая помощь в части обращений в связи с заболеваниями  и неотложной медицинской помощи на 2019 год.</t>
  </si>
  <si>
    <t>Неотложная медицинская помощь (посещение по неотложной медицинской помощи)</t>
  </si>
  <si>
    <t xml:space="preserve">в том числе посещения в травматологические пункты                                      </t>
  </si>
  <si>
    <t xml:space="preserve">Обращения </t>
  </si>
  <si>
    <t>ММОЦ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</si>
  <si>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</si>
  <si>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</si>
  <si>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</si>
  <si>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</si>
  <si>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по специальности "травматология и ортопедия"</t>
  </si>
  <si>
    <t>по специальности 
"офтальмология"</t>
  </si>
  <si>
    <t>ООО "Ваша стоматология" (г.Нефтекамск)</t>
  </si>
  <si>
    <t>ООО "Городская стоматологическая клиника" (г.Нефтекамск)</t>
  </si>
  <si>
    <t>ООО "Дантист+"(г. Нефтекамск)</t>
  </si>
  <si>
    <t>ООО "Дента" (г.Нефтекамск)</t>
  </si>
  <si>
    <t>ООО "Корона+" (г.Нефтекамск)</t>
  </si>
  <si>
    <t>ООО "СтомЭл" (г.Нефтекамс)</t>
  </si>
  <si>
    <t>ООО "ЭнжеДент" (г.Нефтекамс)</t>
  </si>
  <si>
    <t>ИП Искужин Р.Г. (с.Темясово)</t>
  </si>
  <si>
    <t>ООО "Медента" (г.Баймак)</t>
  </si>
  <si>
    <t>ООО "ММОЦ" (г.Стерлитамак)</t>
  </si>
  <si>
    <t>ООО СП "Берёзка" (г.Стерлитамак)</t>
  </si>
  <si>
    <t>ООО "Медсервис" (с.Верхнеяркеево)</t>
  </si>
  <si>
    <t>ООО "Экодент" (г.Белебей)</t>
  </si>
  <si>
    <t>ООО "МЦ "Агидель""</t>
  </si>
  <si>
    <t>ООО "ДЭНТА" (г.Уфа)</t>
  </si>
  <si>
    <t>ООО "Клиника Авиценна" (с.Нагаево)</t>
  </si>
  <si>
    <t>ООО "Лаборатория гемодиализа" (г.Уфа)</t>
  </si>
  <si>
    <t>ООО "Медхелп" (г.Уфа)</t>
  </si>
  <si>
    <t>ООО "Сфера-Эстейт" (г.Уфа)</t>
  </si>
  <si>
    <t>ООО "ЦМТ" (г.Уфа)</t>
  </si>
  <si>
    <t>ООО "Экома" (г.Уфа)</t>
  </si>
  <si>
    <t>ООО "Эмидент" (г.Уфа, ул. Г.Амантая)</t>
  </si>
  <si>
    <t>ООО "Эмидент" (г.Уфа, ул.Мира)</t>
  </si>
  <si>
    <t>Прирост регистра пациентов</t>
  </si>
  <si>
    <t>ЦАОП</t>
  </si>
  <si>
    <t>Медицинская помощь, оказываемая в центрах здоровья, на 2019 год.</t>
  </si>
  <si>
    <t>(посещение)</t>
  </si>
  <si>
    <t>Взрослое население</t>
  </si>
  <si>
    <t>Детское население</t>
  </si>
  <si>
    <t>первичное посещение</t>
  </si>
  <si>
    <t>динамическое наблюдение (комплексное)</t>
  </si>
  <si>
    <t>комплексное посещение</t>
  </si>
  <si>
    <t>посещение гигиениста стоматоло-гического</t>
  </si>
  <si>
    <t>посещение офтальмоло-гического кабинета</t>
  </si>
  <si>
    <t>ГБУЗ РБ ГБ г.Нефтекамск</t>
  </si>
  <si>
    <t>ГБУЗ РБ ДБ г.Стерлитамак</t>
  </si>
  <si>
    <t>ГБУЗ РБ ГБ №1 г.Октябрьский</t>
  </si>
  <si>
    <t>ГБУЗ РБ ГКБ Демского района г.Уфа</t>
  </si>
  <si>
    <t>Медицинская помощь, оказываемая в круглосуточных стационарах на 2019 год.</t>
  </si>
  <si>
    <t>(случаи госпитализации)</t>
  </si>
  <si>
    <t>Всего в рамках программы ОМС</t>
  </si>
  <si>
    <t>ВМП</t>
  </si>
  <si>
    <t xml:space="preserve">в том числе </t>
  </si>
  <si>
    <t xml:space="preserve">В рамках базовой программы ОМС </t>
  </si>
  <si>
    <t>В рамках  сверхбазовой программы ОМС (долечивание)</t>
  </si>
  <si>
    <t>профиль "онкология"</t>
  </si>
  <si>
    <t>медицинская реабилитация</t>
  </si>
  <si>
    <t>Обособленное структурное подразделение ГБУЗ РБ ГБ г. Нефтекамск, ранее именуемое ГБУЗ РБ Агидельская ГБ</t>
  </si>
  <si>
    <t>ГБУЗ РБ ЦГБ г. Сибай</t>
  </si>
  <si>
    <t>ФГБУЗ МСЧ № 142 ФМБА России</t>
  </si>
  <si>
    <t>ГБУЗ РБ КБ № 1 г. Стерлитамак</t>
  </si>
  <si>
    <t>ГБУЗ РБ Городская больница № 2 г. Стерлитамак</t>
  </si>
  <si>
    <t xml:space="preserve">ГБУЗ РБ ГБ № 3 г. Стерлитамак 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</si>
  <si>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</si>
  <si>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</si>
  <si>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Городская инфекционная больница                                                                            г. Стерлитамак</t>
  </si>
  <si>
    <t>ГБУЗ РБ ДБ г. Стерлитамак</t>
  </si>
  <si>
    <t xml:space="preserve">ГАУЗ РБ КВД г. Стерлитамак 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</si>
  <si>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</si>
  <si>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</si>
  <si>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ГАУЗ РБ КВД г. Салават</t>
  </si>
  <si>
    <t xml:space="preserve">ГБУЗ РБ ГБ г. Кумертау </t>
  </si>
  <si>
    <t>Обособленное структурное подразделение ГБУЗ РБ ГБ г. Кумертау ранее именуемое ГБУЗ РБ Ермолаевская ЦРБ</t>
  </si>
  <si>
    <t>ООО "Медсервис" (г. Салават)</t>
  </si>
  <si>
    <t>ГБУЗ РБ ГБ № 1 г. Октябрьский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</si>
  <si>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</si>
  <si>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</si>
  <si>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</si>
  <si>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</si>
  <si>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</si>
  <si>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</si>
  <si>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</si>
  <si>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</si>
  <si>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ГАУЗ РБ ГКБ № 18 г. Уфа</t>
  </si>
  <si>
    <t xml:space="preserve">ГБУЗ РБ РД № 3 г. Уфа  </t>
  </si>
  <si>
    <t>ФКУЗ «МСЧ МВД России по РБ»</t>
  </si>
  <si>
    <t>ООО "МД Проект 2010"</t>
  </si>
  <si>
    <t>ООО "Медицинский центр Семья"</t>
  </si>
  <si>
    <t>ООО «Санаторий "Зеленая роща"» РБ</t>
  </si>
  <si>
    <t>ООО  санаторий "Юматово"</t>
  </si>
  <si>
    <t>ООО "ЦМТ"</t>
  </si>
  <si>
    <t>ГБУЗ РКБ им. Г.Г.Куватова</t>
  </si>
  <si>
    <t>ГБУЗ " РДКБ"</t>
  </si>
  <si>
    <t>ГАУЗ РКВД № 1</t>
  </si>
  <si>
    <t>ГБУЗ "РКПЦ" МЗ РБ</t>
  </si>
  <si>
    <t xml:space="preserve">ГБУЗ РБ ГКБ № 21 г.Уфа 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</si>
  <si>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</si>
  <si>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</si>
  <si>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ФБУН  "Уфимский НИИ медицины труда и экологии человека"</t>
  </si>
  <si>
    <t>ФГБУ "ВЦГПХ" МЗ РФ</t>
  </si>
  <si>
    <t xml:space="preserve">Медицинская помощь за пределами РБ </t>
  </si>
  <si>
    <t>Объем, перечень видов ВМП, финансовое обеспечение которых осуществляется за счет средств ОМС, установленные Комиссией на 2019 год</t>
  </si>
  <si>
    <t>№ группы ВМП</t>
  </si>
  <si>
    <t>ГАУЗ РКОД МЗ РБ</t>
  </si>
  <si>
    <t>ГБУЗ РБ ГКБ №21 г. Уфа</t>
  </si>
  <si>
    <t>ГБУ  "УфНИИ ГБ АН РБ"</t>
  </si>
  <si>
    <t>ГБУЗ РБ ГБ №10 г. Уфа</t>
  </si>
  <si>
    <t>ГБУЗ РБ ГБ №13 г. Уфа</t>
  </si>
  <si>
    <t>ГБУЗ РБ ГДКБ № 17 г. Уфа</t>
  </si>
  <si>
    <t>ГАУЗ РБ ГКБ №18 г. Уфа</t>
  </si>
  <si>
    <t>ГБУЗ РБ РД №3 г. Уфа</t>
  </si>
  <si>
    <t>ГБУЗ ГБ г.Кумертау</t>
  </si>
  <si>
    <t>ГБУЗ РБ ГБ Салават</t>
  </si>
  <si>
    <t>ГБУЗ РБ КБ №1 г. Стерлитамак</t>
  </si>
  <si>
    <t>ООО "Медсервис" г.Салават</t>
  </si>
  <si>
    <t>ООО МД-Проект 2010</t>
  </si>
  <si>
    <t>ФГБОУ ВО БГМУ МЗ РФ</t>
  </si>
  <si>
    <t>Резерв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</si>
  <si>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</si>
  <si>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</si>
  <si>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</si>
  <si>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</si>
  <si>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</si>
  <si>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</si>
  <si>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</si>
  <si>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</si>
  <si>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</si>
  <si>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</si>
  <si>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</si>
  <si>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</si>
  <si>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</si>
  <si>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</si>
  <si>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</si>
  <si>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</si>
  <si>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</si>
  <si>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</si>
  <si>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</si>
  <si>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</si>
  <si>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</si>
  <si>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ГБУЗ РБ ГБ г.Нефтекакмск</t>
  </si>
  <si>
    <t>Медицинская помощь, оказываемая в условиях дневных стационаров всех типов, на 2019 год.</t>
  </si>
  <si>
    <t>(случай лечения)</t>
  </si>
  <si>
    <t>из них</t>
  </si>
  <si>
    <t>В рамках  сверхбазовой программы ОМС лечебные мероприятия "Кибер-нож"</t>
  </si>
  <si>
    <t>МП детям  при АПП (не менее)</t>
  </si>
  <si>
    <t>реабили-тация</t>
  </si>
  <si>
    <t>ЭКО для   каждого   этапа*</t>
  </si>
  <si>
    <t xml:space="preserve"> профиль "онкология"</t>
  </si>
  <si>
    <t>ГБУЗ РБ Городская инфекционная больница г. Стерлитамак</t>
  </si>
  <si>
    <t>ГАУЗ РБ "Санаторий для детей НУР г. Стерлитамак"</t>
  </si>
  <si>
    <t>Обособленное структурное подразделение ГБУЗ РБ ГБ г. Кумертау  ранее именуемое ГБУЗ РБ Ермолаевская ЦРБ</t>
  </si>
  <si>
    <t>НУЗ "Узловая больница на ст. Стерлитамак ОАО "РЖД"</t>
  </si>
  <si>
    <t>ООО "Клиника доктора Симаковой" (г.Стерлитамак)</t>
  </si>
  <si>
    <t>ООО "Медсервис" г. Салават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</si>
  <si>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</si>
  <si>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</si>
  <si>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</si>
  <si>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</si>
  <si>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t>ГБУЗ РБ Детская поликлиника № 6 г. 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</si>
  <si>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</si>
  <si>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</si>
  <si>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</si>
  <si>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</si>
  <si>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</si>
  <si>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</si>
  <si>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</si>
  <si>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</si>
  <si>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</si>
  <si>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</si>
  <si>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</si>
  <si>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Поликлиника УНЦ РАН</t>
  </si>
  <si>
    <t>ООО "МЦ "Агидель"</t>
  </si>
  <si>
    <t>ООО "АНЭКО"*</t>
  </si>
  <si>
    <t>ООО "Клиника глазных болезней" (г.Уфа)</t>
  </si>
  <si>
    <t>ООО "Лаборатория гемодиализа"</t>
  </si>
  <si>
    <t>ООО "Лаборатория гемодиализа" (гемодиализ ds18.002)</t>
  </si>
  <si>
    <t>ООО "Лаборатория гемодиализа" (гемодиализ ds18.003)</t>
  </si>
  <si>
    <t>ООО "МД Проект 2010"*</t>
  </si>
  <si>
    <t>ООО "Сфера-Эстейт"</t>
  </si>
  <si>
    <t>ООО "ЦМТ"*</t>
  </si>
  <si>
    <t>ООО "Экома"</t>
  </si>
  <si>
    <t>ГБУЗ РКБ им.Г.Г. Куватова</t>
  </si>
  <si>
    <t>ГБУЗ РКБ им.Г.Г. Куватова (без гемодиализа)</t>
  </si>
  <si>
    <t>ГБУЗ РКБ им.Г.Г. Куватова (гемодиализ ds18.002)</t>
  </si>
  <si>
    <t xml:space="preserve">ГБУЗ "РДКБ" </t>
  </si>
  <si>
    <t>ГБУЗ "РДКБ" (без гемодиализа)</t>
  </si>
  <si>
    <t>ГБУЗ "РДКБ" (гемодиализ ds18.002)</t>
  </si>
  <si>
    <t>ГБУЗ РМГЦ*</t>
  </si>
  <si>
    <t xml:space="preserve">ГБУЗ РБ ГКБ № 21 г. Уфа </t>
  </si>
  <si>
    <t>ГБУЗ РБ ИКБ № 4 г. Уфа</t>
  </si>
  <si>
    <t>ООО "ПЭТ-Технолоджи",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</si>
  <si>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</si>
  <si>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</si>
  <si>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</si>
  <si>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-'КТ/ПЭТ исследования</t>
  </si>
  <si>
    <t>ООО "Клиника лазерной хирургии"</t>
  </si>
  <si>
    <t>(процедуры)</t>
  </si>
  <si>
    <t>Наименование МО</t>
  </si>
  <si>
    <t>Объемы (сеансы)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</si>
  <si>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</si>
  <si>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</si>
  <si>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МП, оказываемая в амбулаторных условиях</t>
  </si>
  <si>
    <t>Круглосуточный стационар</t>
  </si>
  <si>
    <t>Медицинская помощь, оказываемая в амбулаторных условиях</t>
  </si>
  <si>
    <t>Дневной стационар</t>
  </si>
  <si>
    <t>гемодиализ интермит-тирующий высокопоточный (А18.05.002.001)</t>
  </si>
  <si>
    <t xml:space="preserve">Услуги диализа, оказываемые в отделениях фильтрации </t>
  </si>
  <si>
    <t>Перитонеальный диализ при нарушении ультра-фильтрации (А18.30.001.003)</t>
  </si>
  <si>
    <t>гемодиализ интермит-тирующий низкопоточный (А18.05.002,
А18.05.002.002)</t>
  </si>
  <si>
    <t>гемодиа-фильтрация (А18.05.011)</t>
  </si>
  <si>
    <t>Перитонеальный диализ при нарушении ультрафильтрации (А18.30.001.003)</t>
  </si>
  <si>
    <t xml:space="preserve">гемофильтрация крови продленная (А18.05.003.001)  </t>
  </si>
  <si>
    <t>селективная гемосорбция липополисахаридов (А18.05.006.001)</t>
  </si>
  <si>
    <t xml:space="preserve">ГБУЗ РБ ГБ г. Нефтекамск </t>
  </si>
  <si>
    <t>ГБУЗ РБ КБ № 1 г.Стерлитамак</t>
  </si>
  <si>
    <t xml:space="preserve">ИТОГО </t>
  </si>
  <si>
    <t xml:space="preserve">Объемы лечебно-диагностических исследований, оказываемых в амбулаторно-поликлинических условиях на 2019 год.                                                                                                                                                 </t>
  </si>
  <si>
    <t>(услуги)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</si>
  <si>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</si>
  <si>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</si>
  <si>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</si>
  <si>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</si>
  <si>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Компьютер-ная томо-графия в центре ПЭТ</t>
  </si>
  <si>
    <t>Скрининговое УЗИ при беременности</t>
  </si>
  <si>
    <t>без К</t>
  </si>
  <si>
    <t>с К</t>
  </si>
  <si>
    <t>с К  и исп. АИ</t>
  </si>
  <si>
    <t>сцинти-графия</t>
  </si>
  <si>
    <t xml:space="preserve">рено-графия </t>
  </si>
  <si>
    <t>11-14 недель</t>
  </si>
  <si>
    <t>18-21 неделя</t>
  </si>
  <si>
    <t>ГБУЗ РБ Большеустикинская ЦРБ</t>
  </si>
  <si>
    <t xml:space="preserve">ООО "МедТех"                                                            </t>
  </si>
  <si>
    <t>ГБУЗ РБ ГБ № 3 г.Стерлитамак</t>
  </si>
  <si>
    <t>АНО "Перинатальный центр"</t>
  </si>
  <si>
    <t>ГБУЗ РБ ГБ № 1 г.Октябрьский</t>
  </si>
  <si>
    <t xml:space="preserve">ГБУЗ РБ Поликлиника №50 г.Уфа </t>
  </si>
  <si>
    <t>ГБУЗ РБ ГКБ Демского района г. Уфа</t>
  </si>
  <si>
    <t xml:space="preserve">ГБУЗ РБ ГДКБ №17 г.Уфа </t>
  </si>
  <si>
    <t>ООО "МД Проект 2010""</t>
  </si>
  <si>
    <t>ООО "Клиника Эксперт Уфа"</t>
  </si>
  <si>
    <t xml:space="preserve">ООО  "ЛДЦ МИБС-Уфа"                                                                                           </t>
  </si>
  <si>
    <t xml:space="preserve">ООО "ПЭТ-Технолоджи" </t>
  </si>
  <si>
    <t>ГБУЗ РБ Поликлиника№32 г.Уфа</t>
  </si>
  <si>
    <t>НУЗ "Дорожный центр ВМ и Р ОАО "РЖД"</t>
  </si>
  <si>
    <t>ООО "Центр здоровья"</t>
  </si>
  <si>
    <t>Плановое количество сеансов заместительной почечной терапии методами гемодиализа и перитонеального диализа на 2019 год.</t>
  </si>
  <si>
    <t xml:space="preserve">Обособленное структурное подразделение Родильный дом ГБУЗ РБ ГБ г. Салават </t>
  </si>
  <si>
    <t>Обособленное структурное подразделение Родильный дом ГБУЗ РБ ГБ города Салават</t>
  </si>
  <si>
    <t>Обособленное структурное подразделение Родильный дом ГБУЗ РБ ГБ г.Салават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</si>
</sst>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\ _₽_-;\-* #,##0\ _₽_-;_-* &quot;-&quot;\ _₽_-;_-@_-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(\$* #,##0_);_(\$* \(#,##0\);_(\$* &quot;-&quot;_);_(@_)"/>
  </numFmts>
  <fonts count="10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6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925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1" applyNumberFormat="0" applyAlignment="0" applyProtection="0"/>
    <xf numFmtId="0" fontId="11" fillId="68" borderId="11"/>
    <xf numFmtId="0" fontId="12" fillId="69" borderId="12" applyNumberFormat="0" applyAlignment="0" applyProtection="0"/>
    <xf numFmtId="0" fontId="12" fillId="70" borderId="0"/>
    <xf numFmtId="165" fontId="13" fillId="0" borderId="0"/>
    <xf numFmtId="166" fontId="13" fillId="0" borderId="0" applyBorder="0" applyProtection="0"/>
    <xf numFmtId="165" fontId="13" fillId="0" borderId="0" applyBorder="0" applyProtection="0"/>
    <xf numFmtId="165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3" applyNumberFormat="0" applyFill="0" applyAlignment="0" applyProtection="0"/>
    <xf numFmtId="0" fontId="18" fillId="0" borderId="13"/>
    <xf numFmtId="0" fontId="19" fillId="0" borderId="14" applyNumberFormat="0" applyFill="0" applyAlignment="0" applyProtection="0"/>
    <xf numFmtId="0" fontId="19" fillId="0" borderId="14"/>
    <xf numFmtId="0" fontId="20" fillId="0" borderId="15" applyNumberFormat="0" applyFill="0" applyAlignment="0" applyProtection="0"/>
    <xf numFmtId="0" fontId="20" fillId="0" borderId="15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1" applyNumberFormat="0" applyAlignment="0" applyProtection="0"/>
    <xf numFmtId="0" fontId="21" fillId="39" borderId="11"/>
    <xf numFmtId="0" fontId="22" fillId="0" borderId="16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7" applyNumberFormat="0" applyFont="0" applyAlignment="0" applyProtection="0"/>
    <xf numFmtId="0" fontId="26" fillId="72" borderId="17"/>
    <xf numFmtId="0" fontId="27" fillId="50" borderId="18" applyNumberFormat="0" applyAlignment="0" applyProtection="0"/>
    <xf numFmtId="0" fontId="27" fillId="68" borderId="18"/>
    <xf numFmtId="0" fontId="28" fillId="0" borderId="0" applyNumberFormat="0" applyBorder="0" applyProtection="0"/>
    <xf numFmtId="167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9" applyNumberFormat="0" applyFill="0" applyAlignment="0" applyProtection="0"/>
    <xf numFmtId="0" fontId="30" fillId="0" borderId="20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2" applyNumberFormat="0" applyFill="0" applyAlignment="0" applyProtection="0"/>
    <xf numFmtId="0" fontId="20" fillId="0" borderId="15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3" applyNumberFormat="0" applyFill="0" applyAlignment="0" applyProtection="0"/>
    <xf numFmtId="0" fontId="30" fillId="0" borderId="2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2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2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7" applyNumberFormat="0" applyFont="0" applyAlignment="0" applyProtection="0"/>
    <xf numFmtId="0" fontId="49" fillId="41" borderId="17" applyNumberFormat="0" applyFont="0" applyAlignment="0" applyProtection="0"/>
    <xf numFmtId="0" fontId="43" fillId="41" borderId="17" applyNumberFormat="0" applyFont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6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6" fontId="5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6" fontId="51" fillId="0" borderId="0"/>
    <xf numFmtId="168" fontId="58" fillId="0" borderId="0"/>
    <xf numFmtId="43" fontId="8" fillId="0" borderId="0" applyFont="0" applyFill="0" applyBorder="0" applyAlignment="0" applyProtection="0"/>
    <xf numFmtId="166" fontId="51" fillId="0" borderId="0"/>
    <xf numFmtId="166" fontId="51" fillId="0" borderId="0" applyFill="0" applyBorder="0" applyAlignment="0" applyProtection="0"/>
    <xf numFmtId="166" fontId="51" fillId="0" borderId="0"/>
    <xf numFmtId="41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</cellStyleXfs>
  <cellXfs count="372">
    <xf numFmtId="0" fontId="0" fillId="0" borderId="0" xfId="0"/>
    <xf numFmtId="0" fontId="61" fillId="74" borderId="10" xfId="0" applyFont="1" applyFill="1" applyBorder="1" applyAlignment="1">
      <alignment horizontal="center" vertical="center"/>
    </xf>
    <xf numFmtId="4" fontId="69" fillId="74" borderId="10" xfId="59250" applyNumberFormat="1" applyFont="1" applyFill="1" applyBorder="1" applyAlignment="1">
      <alignment horizontal="left" vertical="center" wrapText="1"/>
    </xf>
    <xf numFmtId="0" fontId="69" fillId="74" borderId="0" xfId="0" applyFont="1" applyFill="1"/>
    <xf numFmtId="0" fontId="68" fillId="74" borderId="10" xfId="0" applyFont="1" applyFill="1" applyBorder="1" applyAlignment="1">
      <alignment horizontal="center" vertical="center"/>
    </xf>
    <xf numFmtId="0" fontId="0" fillId="74" borderId="0" xfId="0" applyFill="1"/>
    <xf numFmtId="0" fontId="62" fillId="74" borderId="0" xfId="0" applyFont="1" applyFill="1" applyAlignment="1">
      <alignment horizontal="justify" vertical="center"/>
    </xf>
    <xf numFmtId="0" fontId="66" fillId="74" borderId="0" xfId="0" applyFont="1" applyFill="1"/>
    <xf numFmtId="0" fontId="0" fillId="74" borderId="0" xfId="0" applyFill="1" applyAlignment="1">
      <alignment horizontal="center"/>
    </xf>
    <xf numFmtId="0" fontId="1" fillId="74" borderId="0" xfId="57572" applyFill="1"/>
    <xf numFmtId="4" fontId="72" fillId="74" borderId="10" xfId="0" applyNumberFormat="1" applyFont="1" applyFill="1" applyBorder="1" applyAlignment="1">
      <alignment horizontal="left" vertical="center" wrapText="1"/>
    </xf>
    <xf numFmtId="3" fontId="71" fillId="74" borderId="10" xfId="57572" applyNumberFormat="1" applyFont="1" applyFill="1" applyBorder="1" applyAlignment="1">
      <alignment horizontal="center" vertical="center"/>
    </xf>
    <xf numFmtId="0" fontId="73" fillId="74" borderId="0" xfId="0" applyFont="1" applyFill="1"/>
    <xf numFmtId="4" fontId="72" fillId="74" borderId="10" xfId="0" applyNumberFormat="1" applyFont="1" applyFill="1" applyBorder="1" applyAlignment="1">
      <alignment vertical="center" wrapText="1"/>
    </xf>
    <xf numFmtId="3" fontId="73" fillId="74" borderId="0" xfId="0" applyNumberFormat="1" applyFont="1" applyFill="1"/>
    <xf numFmtId="4" fontId="72" fillId="74" borderId="10" xfId="59250" applyNumberFormat="1" applyFont="1" applyFill="1" applyBorder="1" applyAlignment="1">
      <alignment vertical="center" wrapText="1"/>
    </xf>
    <xf numFmtId="4" fontId="74" fillId="74" borderId="10" xfId="59250" applyNumberFormat="1" applyFont="1" applyFill="1" applyBorder="1" applyAlignment="1">
      <alignment horizontal="left" vertical="center" wrapText="1"/>
    </xf>
    <xf numFmtId="4" fontId="72" fillId="74" borderId="10" xfId="59250" applyNumberFormat="1" applyFont="1" applyFill="1" applyBorder="1" applyAlignment="1">
      <alignment horizontal="left" vertical="center" wrapText="1"/>
    </xf>
    <xf numFmtId="3" fontId="75" fillId="74" borderId="0" xfId="0" applyNumberFormat="1" applyFont="1" applyFill="1"/>
    <xf numFmtId="3" fontId="72" fillId="74" borderId="10" xfId="0" applyNumberFormat="1" applyFont="1" applyFill="1" applyBorder="1" applyAlignment="1">
      <alignment vertical="center" wrapText="1"/>
    </xf>
    <xf numFmtId="3" fontId="76" fillId="74" borderId="0" xfId="0" applyNumberFormat="1" applyFont="1" applyFill="1"/>
    <xf numFmtId="0" fontId="74" fillId="74" borderId="10" xfId="0" applyFont="1" applyFill="1" applyBorder="1" applyAlignment="1">
      <alignment wrapText="1"/>
    </xf>
    <xf numFmtId="0" fontId="77" fillId="74" borderId="10" xfId="0" applyFont="1" applyFill="1" applyBorder="1" applyAlignment="1">
      <alignment horizontal="center" vertical="center"/>
    </xf>
    <xf numFmtId="3" fontId="77" fillId="74" borderId="10" xfId="0" applyNumberFormat="1" applyFont="1" applyFill="1" applyBorder="1" applyAlignment="1">
      <alignment horizontal="left" vertical="center"/>
    </xf>
    <xf numFmtId="3" fontId="78" fillId="74" borderId="10" xfId="0" applyNumberFormat="1" applyFont="1" applyFill="1" applyBorder="1" applyAlignment="1">
      <alignment horizontal="center"/>
    </xf>
    <xf numFmtId="3" fontId="79" fillId="74" borderId="0" xfId="0" applyNumberFormat="1" applyFont="1" applyFill="1"/>
    <xf numFmtId="3" fontId="71" fillId="74" borderId="0" xfId="57572" applyNumberFormat="1" applyFont="1" applyFill="1" applyBorder="1" applyAlignment="1">
      <alignment horizontal="center" vertical="center"/>
    </xf>
    <xf numFmtId="4" fontId="72" fillId="74" borderId="0" xfId="0" applyNumberFormat="1" applyFont="1" applyFill="1" applyBorder="1" applyAlignment="1">
      <alignment vertical="center" wrapText="1"/>
    </xf>
    <xf numFmtId="3" fontId="38" fillId="74" borderId="0" xfId="0" applyNumberFormat="1" applyFont="1" applyFill="1"/>
    <xf numFmtId="3" fontId="0" fillId="74" borderId="0" xfId="0" applyNumberFormat="1" applyFill="1"/>
    <xf numFmtId="0" fontId="1" fillId="74" borderId="0" xfId="57572" applyFill="1" applyAlignment="1">
      <alignment vertical="top"/>
    </xf>
    <xf numFmtId="0" fontId="71" fillId="74" borderId="53" xfId="57572" applyFont="1" applyFill="1" applyBorder="1" applyAlignment="1">
      <alignment horizontal="center" vertical="center" wrapText="1"/>
    </xf>
    <xf numFmtId="4" fontId="72" fillId="74" borderId="25" xfId="0" applyNumberFormat="1" applyFont="1" applyFill="1" applyBorder="1" applyAlignment="1">
      <alignment horizontal="left" vertical="center" wrapText="1"/>
    </xf>
    <xf numFmtId="3" fontId="71" fillId="74" borderId="53" xfId="57572" applyNumberFormat="1" applyFont="1" applyFill="1" applyBorder="1" applyAlignment="1">
      <alignment horizontal="center" vertical="center"/>
    </xf>
    <xf numFmtId="3" fontId="71" fillId="74" borderId="46" xfId="57572" applyNumberFormat="1" applyFont="1" applyFill="1" applyBorder="1" applyAlignment="1">
      <alignment horizontal="center" vertical="center"/>
    </xf>
    <xf numFmtId="3" fontId="71" fillId="74" borderId="48" xfId="57572" applyNumberFormat="1" applyFont="1" applyFill="1" applyBorder="1" applyAlignment="1">
      <alignment horizontal="center" vertical="center"/>
    </xf>
    <xf numFmtId="4" fontId="72" fillId="74" borderId="25" xfId="0" applyNumberFormat="1" applyFont="1" applyFill="1" applyBorder="1" applyAlignment="1">
      <alignment vertical="center" wrapText="1"/>
    </xf>
    <xf numFmtId="3" fontId="67" fillId="74" borderId="10" xfId="57572" applyNumberFormat="1" applyFont="1" applyFill="1" applyBorder="1" applyAlignment="1">
      <alignment horizontal="center" vertical="center"/>
    </xf>
    <xf numFmtId="4" fontId="72" fillId="74" borderId="25" xfId="59250" applyNumberFormat="1" applyFont="1" applyFill="1" applyBorder="1" applyAlignment="1">
      <alignment vertical="center" wrapText="1"/>
    </xf>
    <xf numFmtId="4" fontId="74" fillId="74" borderId="25" xfId="59250" applyNumberFormat="1" applyFont="1" applyFill="1" applyBorder="1" applyAlignment="1">
      <alignment horizontal="left" vertical="center" wrapText="1"/>
    </xf>
    <xf numFmtId="4" fontId="72" fillId="74" borderId="25" xfId="59250" applyNumberFormat="1" applyFont="1" applyFill="1" applyBorder="1" applyAlignment="1">
      <alignment horizontal="left" vertical="center" wrapText="1"/>
    </xf>
    <xf numFmtId="3" fontId="72" fillId="74" borderId="25" xfId="0" applyNumberFormat="1" applyFont="1" applyFill="1" applyBorder="1" applyAlignment="1">
      <alignment vertical="center" wrapText="1"/>
    </xf>
    <xf numFmtId="0" fontId="74" fillId="74" borderId="25" xfId="0" applyFont="1" applyFill="1" applyBorder="1" applyAlignment="1">
      <alignment wrapText="1"/>
    </xf>
    <xf numFmtId="0" fontId="77" fillId="74" borderId="46" xfId="0" applyFont="1" applyFill="1" applyBorder="1" applyAlignment="1">
      <alignment horizontal="center" vertical="center"/>
    </xf>
    <xf numFmtId="3" fontId="77" fillId="74" borderId="54" xfId="0" applyNumberFormat="1" applyFont="1" applyFill="1" applyBorder="1" applyAlignment="1">
      <alignment horizontal="left" vertical="center"/>
    </xf>
    <xf numFmtId="3" fontId="77" fillId="74" borderId="55" xfId="0" applyNumberFormat="1" applyFont="1" applyFill="1" applyBorder="1" applyAlignment="1">
      <alignment horizontal="left" vertical="center"/>
    </xf>
    <xf numFmtId="3" fontId="78" fillId="74" borderId="56" xfId="0" applyNumberFormat="1" applyFont="1" applyFill="1" applyBorder="1" applyAlignment="1">
      <alignment horizontal="center"/>
    </xf>
    <xf numFmtId="3" fontId="78" fillId="74" borderId="57" xfId="0" applyNumberFormat="1" applyFont="1" applyFill="1" applyBorder="1" applyAlignment="1">
      <alignment horizontal="center"/>
    </xf>
    <xf numFmtId="3" fontId="78" fillId="74" borderId="55" xfId="0" applyNumberFormat="1" applyFont="1" applyFill="1" applyBorder="1" applyAlignment="1">
      <alignment horizontal="center"/>
    </xf>
    <xf numFmtId="3" fontId="78" fillId="74" borderId="58" xfId="0" applyNumberFormat="1" applyFont="1" applyFill="1" applyBorder="1" applyAlignment="1">
      <alignment horizontal="center"/>
    </xf>
    <xf numFmtId="3" fontId="78" fillId="74" borderId="59" xfId="0" applyNumberFormat="1" applyFont="1" applyFill="1" applyBorder="1" applyAlignment="1">
      <alignment horizontal="center"/>
    </xf>
    <xf numFmtId="3" fontId="78" fillId="74" borderId="60" xfId="0" applyNumberFormat="1" applyFont="1" applyFill="1" applyBorder="1" applyAlignment="1">
      <alignment horizontal="center"/>
    </xf>
    <xf numFmtId="0" fontId="0" fillId="74" borderId="0" xfId="0" applyFill="1" applyBorder="1"/>
    <xf numFmtId="0" fontId="73" fillId="74" borderId="0" xfId="0" applyFont="1" applyFill="1" applyBorder="1"/>
    <xf numFmtId="3" fontId="73" fillId="74" borderId="0" xfId="0" applyNumberFormat="1" applyFont="1" applyFill="1" applyBorder="1"/>
    <xf numFmtId="0" fontId="64" fillId="74" borderId="0" xfId="0" applyFont="1" applyFill="1"/>
    <xf numFmtId="4" fontId="61" fillId="74" borderId="27" xfId="0" applyNumberFormat="1" applyFont="1" applyFill="1" applyBorder="1" applyAlignment="1">
      <alignment horizontal="left" vertical="center" wrapText="1"/>
    </xf>
    <xf numFmtId="3" fontId="80" fillId="74" borderId="10" xfId="0" applyNumberFormat="1" applyFont="1" applyFill="1" applyBorder="1" applyAlignment="1">
      <alignment horizontal="center" vertical="center" wrapText="1"/>
    </xf>
    <xf numFmtId="4" fontId="61" fillId="74" borderId="27" xfId="59250" applyNumberFormat="1" applyFont="1" applyFill="1" applyBorder="1" applyAlignment="1">
      <alignment vertical="center" wrapText="1"/>
    </xf>
    <xf numFmtId="3" fontId="64" fillId="74" borderId="0" xfId="0" applyNumberFormat="1" applyFont="1" applyFill="1"/>
    <xf numFmtId="4" fontId="61" fillId="74" borderId="27" xfId="0" applyNumberFormat="1" applyFont="1" applyFill="1" applyBorder="1" applyAlignment="1">
      <alignment vertical="center" wrapText="1"/>
    </xf>
    <xf numFmtId="3" fontId="61" fillId="74" borderId="27" xfId="0" applyNumberFormat="1" applyFont="1" applyFill="1" applyBorder="1" applyAlignment="1">
      <alignment vertical="center" wrapText="1"/>
    </xf>
    <xf numFmtId="3" fontId="68" fillId="74" borderId="10" xfId="0" applyNumberFormat="1" applyFont="1" applyFill="1" applyBorder="1" applyAlignment="1">
      <alignment horizontal="left" vertical="center"/>
    </xf>
    <xf numFmtId="3" fontId="64" fillId="74" borderId="0" xfId="0" applyNumberFormat="1" applyFont="1" applyFill="1" applyAlignment="1">
      <alignment horizontal="center"/>
    </xf>
    <xf numFmtId="0" fontId="81" fillId="74" borderId="24" xfId="0" applyFont="1" applyFill="1" applyBorder="1" applyAlignment="1">
      <alignment horizontal="center" vertical="center" wrapText="1"/>
    </xf>
    <xf numFmtId="0" fontId="82" fillId="74" borderId="24" xfId="0" applyFont="1" applyFill="1" applyBorder="1" applyAlignment="1">
      <alignment wrapText="1"/>
    </xf>
    <xf numFmtId="3" fontId="69" fillId="74" borderId="10" xfId="0" applyNumberFormat="1" applyFont="1" applyFill="1" applyBorder="1" applyAlignment="1">
      <alignment horizontal="center" vertical="center" wrapText="1"/>
    </xf>
    <xf numFmtId="0" fontId="84" fillId="74" borderId="0" xfId="0" applyFont="1" applyFill="1" applyAlignment="1">
      <alignment vertical="center"/>
    </xf>
    <xf numFmtId="4" fontId="61" fillId="74" borderId="27" xfId="59250" applyNumberFormat="1" applyFont="1" applyFill="1" applyBorder="1" applyAlignment="1">
      <alignment horizontal="left" vertical="center" wrapText="1"/>
    </xf>
    <xf numFmtId="4" fontId="61" fillId="74" borderId="27" xfId="57749" applyNumberFormat="1" applyFont="1" applyFill="1" applyBorder="1" applyAlignment="1">
      <alignment horizontal="left" vertical="center" wrapText="1"/>
    </xf>
    <xf numFmtId="4" fontId="61" fillId="74" borderId="10" xfId="0" applyNumberFormat="1" applyFont="1" applyFill="1" applyBorder="1" applyAlignment="1">
      <alignment vertical="center" wrapText="1"/>
    </xf>
    <xf numFmtId="3" fontId="69" fillId="74" borderId="27" xfId="0" applyNumberFormat="1" applyFont="1" applyFill="1" applyBorder="1" applyAlignment="1">
      <alignment vertical="center" wrapText="1"/>
    </xf>
    <xf numFmtId="3" fontId="85" fillId="74" borderId="10" xfId="0" applyNumberFormat="1" applyFont="1" applyFill="1" applyBorder="1" applyAlignment="1">
      <alignment horizontal="center" vertical="center" wrapText="1"/>
    </xf>
    <xf numFmtId="4" fontId="61" fillId="74" borderId="31" xfId="0" applyNumberFormat="1" applyFont="1" applyFill="1" applyBorder="1" applyAlignment="1">
      <alignment vertical="center" wrapText="1"/>
    </xf>
    <xf numFmtId="0" fontId="63" fillId="74" borderId="0" xfId="0" applyFont="1" applyFill="1" applyAlignment="1">
      <alignment horizontal="center"/>
    </xf>
    <xf numFmtId="0" fontId="64" fillId="74" borderId="0" xfId="0" applyFont="1" applyFill="1" applyAlignment="1">
      <alignment vertical="center"/>
    </xf>
    <xf numFmtId="3" fontId="69" fillId="74" borderId="0" xfId="0" applyNumberFormat="1" applyFont="1" applyFill="1" applyAlignment="1">
      <alignment vertical="center" wrapText="1"/>
    </xf>
    <xf numFmtId="3" fontId="84" fillId="74" borderId="0" xfId="0" applyNumberFormat="1" applyFont="1" applyFill="1" applyAlignment="1">
      <alignment vertical="center"/>
    </xf>
    <xf numFmtId="3" fontId="63" fillId="74" borderId="10" xfId="0" applyNumberFormat="1" applyFont="1" applyFill="1" applyBorder="1" applyAlignment="1">
      <alignment horizontal="center"/>
    </xf>
    <xf numFmtId="4" fontId="64" fillId="74" borderId="10" xfId="57896" applyNumberFormat="1" applyFont="1" applyFill="1" applyBorder="1" applyAlignment="1">
      <alignment vertical="center" wrapText="1"/>
    </xf>
    <xf numFmtId="3" fontId="79" fillId="74" borderId="0" xfId="0" applyNumberFormat="1" applyFont="1" applyFill="1" applyBorder="1"/>
    <xf numFmtId="3" fontId="0" fillId="74" borderId="0" xfId="0" applyNumberFormat="1" applyFill="1" applyBorder="1"/>
    <xf numFmtId="0" fontId="86" fillId="0" borderId="0" xfId="0" applyFont="1"/>
    <xf numFmtId="0" fontId="87" fillId="0" borderId="0" xfId="0" applyFont="1" applyFill="1" applyAlignment="1">
      <alignment horizontal="center" vertical="center"/>
    </xf>
    <xf numFmtId="0" fontId="86" fillId="0" borderId="0" xfId="0" applyFont="1" applyFill="1"/>
    <xf numFmtId="0" fontId="66" fillId="0" borderId="0" xfId="0" applyFont="1" applyFill="1" applyAlignment="1">
      <alignment horizontal="right"/>
    </xf>
    <xf numFmtId="0" fontId="66" fillId="0" borderId="0" xfId="0" applyFont="1"/>
    <xf numFmtId="0" fontId="86" fillId="0" borderId="10" xfId="0" applyFont="1" applyFill="1" applyBorder="1" applyAlignment="1">
      <alignment vertical="center"/>
    </xf>
    <xf numFmtId="3" fontId="86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vertical="center"/>
    </xf>
    <xf numFmtId="3" fontId="88" fillId="0" borderId="1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3" fontId="86" fillId="0" borderId="0" xfId="0" applyNumberFormat="1" applyFont="1"/>
    <xf numFmtId="3" fontId="86" fillId="0" borderId="0" xfId="0" applyNumberFormat="1" applyFont="1" applyAlignment="1">
      <alignment horizontal="center"/>
    </xf>
    <xf numFmtId="0" fontId="64" fillId="74" borderId="0" xfId="57580" applyFont="1" applyFill="1"/>
    <xf numFmtId="0" fontId="65" fillId="74" borderId="28" xfId="57580" applyFont="1" applyFill="1" applyBorder="1" applyAlignment="1" applyProtection="1">
      <alignment horizontal="center" vertical="center" wrapText="1"/>
      <protection locked="0"/>
    </xf>
    <xf numFmtId="0" fontId="66" fillId="74" borderId="25" xfId="57580" applyFont="1" applyFill="1" applyBorder="1" applyAlignment="1" applyProtection="1">
      <alignment horizontal="center" vertical="center" wrapText="1"/>
      <protection locked="0"/>
    </xf>
    <xf numFmtId="0" fontId="66" fillId="74" borderId="10" xfId="57580" applyFont="1" applyFill="1" applyBorder="1" applyAlignment="1" applyProtection="1">
      <alignment horizontal="center" vertical="center" wrapText="1"/>
      <protection locked="0"/>
    </xf>
    <xf numFmtId="0" fontId="60" fillId="74" borderId="10" xfId="57580" applyFont="1" applyFill="1" applyBorder="1" applyAlignment="1" applyProtection="1">
      <alignment horizontal="center" vertical="center" wrapText="1"/>
      <protection locked="0"/>
    </xf>
    <xf numFmtId="0" fontId="66" fillId="74" borderId="0" xfId="57580" applyFont="1" applyFill="1" applyAlignment="1" applyProtection="1">
      <alignment horizontal="center" vertical="center" wrapText="1"/>
      <protection locked="0"/>
    </xf>
    <xf numFmtId="0" fontId="67" fillId="74" borderId="10" xfId="57580" applyFont="1" applyFill="1" applyBorder="1" applyAlignment="1" applyProtection="1">
      <alignment horizontal="center" vertical="center" wrapText="1"/>
      <protection locked="0"/>
    </xf>
    <xf numFmtId="0" fontId="86" fillId="74" borderId="0" xfId="57580" applyFont="1" applyFill="1" applyProtection="1">
      <protection locked="0"/>
    </xf>
    <xf numFmtId="0" fontId="92" fillId="74" borderId="25" xfId="57580" applyFont="1" applyFill="1" applyBorder="1" applyAlignment="1" applyProtection="1">
      <alignment horizontal="center" vertical="center" wrapText="1"/>
      <protection locked="0"/>
    </xf>
    <xf numFmtId="3" fontId="88" fillId="74" borderId="10" xfId="57580" applyNumberFormat="1" applyFont="1" applyFill="1" applyBorder="1" applyAlignment="1" applyProtection="1">
      <alignment horizontal="center" vertical="center"/>
      <protection locked="0"/>
    </xf>
    <xf numFmtId="0" fontId="88" fillId="74" borderId="0" xfId="57580" applyFont="1" applyFill="1" applyProtection="1">
      <protection locked="0"/>
    </xf>
    <xf numFmtId="0" fontId="93" fillId="74" borderId="28" xfId="57580" applyFont="1" applyFill="1" applyBorder="1" applyAlignment="1" applyProtection="1">
      <alignment vertical="center" wrapText="1"/>
      <protection locked="0"/>
    </xf>
    <xf numFmtId="3" fontId="86" fillId="74" borderId="28" xfId="57580" applyNumberFormat="1" applyFont="1" applyFill="1" applyBorder="1" applyAlignment="1" applyProtection="1">
      <alignment horizontal="center" vertical="center"/>
      <protection locked="0"/>
    </xf>
    <xf numFmtId="3" fontId="94" fillId="74" borderId="28" xfId="57580" applyNumberFormat="1" applyFont="1" applyFill="1" applyBorder="1" applyAlignment="1" applyProtection="1">
      <alignment horizontal="center" vertical="center"/>
      <protection locked="0"/>
    </xf>
    <xf numFmtId="0" fontId="86" fillId="74" borderId="10" xfId="57580" applyFont="1" applyFill="1" applyBorder="1" applyProtection="1">
      <protection locked="0"/>
    </xf>
    <xf numFmtId="0" fontId="93" fillId="74" borderId="10" xfId="57580" applyFont="1" applyFill="1" applyBorder="1" applyAlignment="1" applyProtection="1">
      <alignment vertical="center" wrapText="1"/>
      <protection locked="0"/>
    </xf>
    <xf numFmtId="3" fontId="86" fillId="74" borderId="10" xfId="57580" applyNumberFormat="1" applyFont="1" applyFill="1" applyBorder="1" applyAlignment="1" applyProtection="1">
      <alignment horizontal="center" vertical="center"/>
      <protection locked="0"/>
    </xf>
    <xf numFmtId="3" fontId="94" fillId="74" borderId="10" xfId="57580" applyNumberFormat="1" applyFont="1" applyFill="1" applyBorder="1" applyAlignment="1" applyProtection="1">
      <alignment horizontal="center" vertical="center"/>
      <protection locked="0"/>
    </xf>
    <xf numFmtId="3" fontId="86" fillId="74" borderId="10" xfId="57580" applyNumberFormat="1" applyFont="1" applyFill="1" applyBorder="1" applyAlignment="1" applyProtection="1">
      <alignment vertical="center"/>
      <protection locked="0"/>
    </xf>
    <xf numFmtId="3" fontId="94" fillId="74" borderId="10" xfId="57580" applyNumberFormat="1" applyFont="1" applyFill="1" applyBorder="1" applyAlignment="1" applyProtection="1">
      <alignment vertical="center"/>
      <protection locked="0"/>
    </xf>
    <xf numFmtId="3" fontId="86" fillId="74" borderId="32" xfId="57580" applyNumberFormat="1" applyFont="1" applyFill="1" applyBorder="1" applyAlignment="1" applyProtection="1">
      <alignment horizontal="center" vertical="center"/>
      <protection locked="0"/>
    </xf>
    <xf numFmtId="3" fontId="94" fillId="74" borderId="32" xfId="57580" applyNumberFormat="1" applyFont="1" applyFill="1" applyBorder="1" applyAlignment="1" applyProtection="1">
      <alignment horizontal="center" vertical="center"/>
      <protection locked="0"/>
    </xf>
    <xf numFmtId="3" fontId="86" fillId="74" borderId="32" xfId="57580" applyNumberFormat="1" applyFont="1" applyFill="1" applyBorder="1" applyAlignment="1" applyProtection="1">
      <alignment vertical="center"/>
      <protection locked="0"/>
    </xf>
    <xf numFmtId="3" fontId="94" fillId="74" borderId="32" xfId="57580" applyNumberFormat="1" applyFont="1" applyFill="1" applyBorder="1" applyAlignment="1" applyProtection="1">
      <alignment vertical="center"/>
      <protection locked="0"/>
    </xf>
    <xf numFmtId="3" fontId="86" fillId="74" borderId="28" xfId="57580" applyNumberFormat="1" applyFont="1" applyFill="1" applyBorder="1" applyAlignment="1" applyProtection="1">
      <alignment vertical="center"/>
      <protection locked="0"/>
    </xf>
    <xf numFmtId="0" fontId="93" fillId="74" borderId="30" xfId="57580" applyFont="1" applyFill="1" applyBorder="1" applyAlignment="1" applyProtection="1">
      <alignment vertical="center" wrapText="1"/>
      <protection locked="0"/>
    </xf>
    <xf numFmtId="3" fontId="86" fillId="74" borderId="30" xfId="57580" applyNumberFormat="1" applyFont="1" applyFill="1" applyBorder="1" applyAlignment="1" applyProtection="1">
      <alignment horizontal="center" vertical="center"/>
      <protection locked="0"/>
    </xf>
    <xf numFmtId="3" fontId="86" fillId="74" borderId="30" xfId="57580" applyNumberFormat="1" applyFont="1" applyFill="1" applyBorder="1" applyAlignment="1" applyProtection="1">
      <alignment vertical="center"/>
      <protection locked="0"/>
    </xf>
    <xf numFmtId="0" fontId="86" fillId="74" borderId="10" xfId="57580" applyFont="1" applyFill="1" applyBorder="1" applyAlignment="1" applyProtection="1">
      <alignment horizontal="center"/>
      <protection locked="0"/>
    </xf>
    <xf numFmtId="3" fontId="88" fillId="74" borderId="10" xfId="57580" applyNumberFormat="1" applyFont="1" applyFill="1" applyBorder="1" applyAlignment="1" applyProtection="1">
      <alignment horizontal="center" vertical="center"/>
    </xf>
    <xf numFmtId="0" fontId="63" fillId="74" borderId="0" xfId="57580" applyFont="1" applyFill="1"/>
    <xf numFmtId="0" fontId="64" fillId="74" borderId="0" xfId="57580" applyFont="1" applyFill="1" applyAlignment="1">
      <alignment horizontal="center"/>
    </xf>
    <xf numFmtId="3" fontId="88" fillId="74" borderId="0" xfId="57580" applyNumberFormat="1" applyFont="1" applyFill="1" applyProtection="1">
      <protection locked="0"/>
    </xf>
    <xf numFmtId="3" fontId="88" fillId="74" borderId="10" xfId="57847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Fill="1"/>
    <xf numFmtId="3" fontId="91" fillId="0" borderId="0" xfId="0" applyNumberFormat="1" applyFont="1" applyFill="1" applyAlignment="1">
      <alignment vertical="center"/>
    </xf>
    <xf numFmtId="3" fontId="91" fillId="0" borderId="0" xfId="0" applyNumberFormat="1" applyFont="1" applyFill="1"/>
    <xf numFmtId="3" fontId="60" fillId="0" borderId="0" xfId="0" applyNumberFormat="1" applyFont="1" applyFill="1"/>
    <xf numFmtId="0" fontId="91" fillId="0" borderId="10" xfId="0" applyFont="1" applyFill="1" applyBorder="1" applyAlignment="1">
      <alignment horizontal="center" vertical="center" wrapText="1"/>
    </xf>
    <xf numFmtId="3" fontId="91" fillId="0" borderId="10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vertical="center"/>
    </xf>
    <xf numFmtId="3" fontId="91" fillId="0" borderId="10" xfId="0" applyNumberFormat="1" applyFont="1" applyFill="1" applyBorder="1" applyAlignment="1">
      <alignment horizontal="center"/>
    </xf>
    <xf numFmtId="3" fontId="91" fillId="0" borderId="10" xfId="0" applyNumberFormat="1" applyFont="1" applyFill="1" applyBorder="1" applyAlignment="1">
      <alignment vertical="center"/>
    </xf>
    <xf numFmtId="4" fontId="96" fillId="0" borderId="10" xfId="59250" applyNumberFormat="1" applyFont="1" applyFill="1" applyBorder="1" applyAlignment="1">
      <alignment horizontal="left" vertical="center" wrapText="1"/>
    </xf>
    <xf numFmtId="3" fontId="96" fillId="0" borderId="10" xfId="0" applyNumberFormat="1" applyFont="1" applyFill="1" applyBorder="1" applyAlignment="1">
      <alignment horizontal="center" vertical="center" wrapText="1"/>
    </xf>
    <xf numFmtId="3" fontId="96" fillId="0" borderId="0" xfId="0" applyNumberFormat="1" applyFont="1" applyFill="1"/>
    <xf numFmtId="4" fontId="91" fillId="0" borderId="10" xfId="59248" applyNumberFormat="1" applyFont="1" applyFill="1" applyBorder="1" applyAlignment="1">
      <alignment vertical="center" wrapText="1"/>
    </xf>
    <xf numFmtId="4" fontId="96" fillId="0" borderId="10" xfId="0" applyNumberFormat="1" applyFont="1" applyFill="1" applyBorder="1" applyAlignment="1">
      <alignment wrapText="1"/>
    </xf>
    <xf numFmtId="3" fontId="91" fillId="0" borderId="10" xfId="0" applyNumberFormat="1" applyFont="1" applyFill="1" applyBorder="1" applyAlignment="1">
      <alignment vertical="center" wrapText="1"/>
    </xf>
    <xf numFmtId="3" fontId="91" fillId="0" borderId="10" xfId="0" applyNumberFormat="1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/>
    </xf>
    <xf numFmtId="0" fontId="91" fillId="0" borderId="10" xfId="0" applyFont="1" applyFill="1" applyBorder="1"/>
    <xf numFmtId="0" fontId="91" fillId="0" borderId="10" xfId="0" applyFont="1" applyFill="1" applyBorder="1" applyAlignment="1">
      <alignment horizontal="left" vertical="center" wrapText="1"/>
    </xf>
    <xf numFmtId="3" fontId="96" fillId="0" borderId="10" xfId="0" applyNumberFormat="1" applyFont="1" applyFill="1" applyBorder="1" applyAlignment="1">
      <alignment horizontal="center" vertical="center"/>
    </xf>
    <xf numFmtId="3" fontId="91" fillId="0" borderId="10" xfId="0" applyNumberFormat="1" applyFont="1" applyFill="1" applyBorder="1"/>
    <xf numFmtId="49" fontId="91" fillId="0" borderId="10" xfId="0" applyNumberFormat="1" applyFont="1" applyFill="1" applyBorder="1" applyAlignment="1">
      <alignment vertical="center" wrapText="1"/>
    </xf>
    <xf numFmtId="3" fontId="97" fillId="0" borderId="10" xfId="0" applyNumberFormat="1" applyFont="1" applyFill="1" applyBorder="1" applyAlignment="1">
      <alignment horizontal="center" vertical="center"/>
    </xf>
    <xf numFmtId="3" fontId="97" fillId="0" borderId="10" xfId="0" applyNumberFormat="1" applyFont="1" applyFill="1" applyBorder="1" applyAlignment="1">
      <alignment horizontal="left" vertical="center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left"/>
    </xf>
    <xf numFmtId="3" fontId="99" fillId="0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10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Alignment="1">
      <alignment horizontal="center" vertical="center"/>
    </xf>
    <xf numFmtId="3" fontId="10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1" fillId="0" borderId="10" xfId="0" applyNumberFormat="1" applyFont="1" applyFill="1" applyBorder="1" applyAlignment="1" applyProtection="1">
      <alignment horizontal="center" vertical="center"/>
      <protection locked="0"/>
    </xf>
    <xf numFmtId="3" fontId="9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1" fillId="0" borderId="0" xfId="0" applyNumberFormat="1" applyFont="1" applyFill="1"/>
    <xf numFmtId="3" fontId="91" fillId="0" borderId="10" xfId="0" applyNumberFormat="1" applyFont="1" applyFill="1" applyBorder="1" applyAlignment="1" applyProtection="1">
      <alignment horizontal="left" vertical="center"/>
      <protection locked="0"/>
    </xf>
    <xf numFmtId="4" fontId="91" fillId="0" borderId="31" xfId="59248" applyNumberFormat="1" applyFont="1" applyFill="1" applyBorder="1" applyAlignment="1">
      <alignment vertical="center" wrapText="1"/>
    </xf>
    <xf numFmtId="164" fontId="60" fillId="0" borderId="10" xfId="0" applyNumberFormat="1" applyFont="1" applyFill="1" applyBorder="1" applyAlignment="1" applyProtection="1">
      <alignment vertical="center" wrapText="1"/>
      <protection locked="0"/>
    </xf>
    <xf numFmtId="0" fontId="88" fillId="0" borderId="10" xfId="0" applyFont="1" applyFill="1" applyBorder="1" applyAlignment="1" applyProtection="1">
      <alignment horizontal="left" vertical="center" wrapText="1"/>
      <protection locked="0"/>
    </xf>
    <xf numFmtId="0" fontId="91" fillId="0" borderId="0" xfId="0" applyFont="1" applyFill="1" applyAlignment="1">
      <alignment vertical="center"/>
    </xf>
    <xf numFmtId="3" fontId="91" fillId="0" borderId="10" xfId="0" applyNumberFormat="1" applyFont="1" applyFill="1" applyBorder="1" applyAlignment="1">
      <alignment horizontal="center" vertical="center" wrapText="1" shrinkToFit="1"/>
    </xf>
    <xf numFmtId="3" fontId="91" fillId="0" borderId="10" xfId="57742" applyNumberFormat="1" applyFont="1" applyFill="1" applyBorder="1" applyAlignment="1">
      <alignment horizontal="center" vertical="center" wrapText="1"/>
    </xf>
    <xf numFmtId="3" fontId="91" fillId="0" borderId="10" xfId="59252" applyNumberFormat="1" applyFont="1" applyFill="1" applyBorder="1" applyAlignment="1">
      <alignment horizontal="left" vertical="center" wrapText="1"/>
    </xf>
    <xf numFmtId="3" fontId="91" fillId="0" borderId="10" xfId="58106" applyNumberFormat="1" applyFont="1" applyFill="1" applyBorder="1" applyAlignment="1">
      <alignment horizontal="center" vertical="center" wrapText="1"/>
    </xf>
    <xf numFmtId="1" fontId="91" fillId="0" borderId="10" xfId="59252" applyNumberFormat="1" applyFont="1" applyFill="1" applyBorder="1" applyAlignment="1">
      <alignment horizontal="left" vertical="center" wrapText="1"/>
    </xf>
    <xf numFmtId="4" fontId="91" fillId="0" borderId="10" xfId="59250" applyNumberFormat="1" applyFont="1" applyFill="1" applyBorder="1" applyAlignment="1">
      <alignment horizontal="left" vertical="center" wrapText="1"/>
    </xf>
    <xf numFmtId="3" fontId="91" fillId="0" borderId="10" xfId="59249" applyNumberFormat="1" applyFont="1" applyFill="1" applyBorder="1" applyAlignment="1">
      <alignment horizontal="left" vertical="center" wrapText="1"/>
    </xf>
    <xf numFmtId="4" fontId="91" fillId="0" borderId="10" xfId="59252" applyNumberFormat="1" applyFont="1" applyFill="1" applyBorder="1" applyAlignment="1">
      <alignment horizontal="left" vertical="center" wrapText="1"/>
    </xf>
    <xf numFmtId="3" fontId="61" fillId="0" borderId="10" xfId="58106" applyNumberFormat="1" applyFont="1" applyFill="1" applyBorder="1" applyAlignment="1">
      <alignment horizontal="center" vertical="center" wrapText="1"/>
    </xf>
    <xf numFmtId="4" fontId="91" fillId="0" borderId="10" xfId="0" applyNumberFormat="1" applyFont="1" applyFill="1" applyBorder="1" applyAlignment="1">
      <alignment vertical="center" wrapText="1"/>
    </xf>
    <xf numFmtId="0" fontId="97" fillId="0" borderId="10" xfId="0" applyFont="1" applyFill="1" applyBorder="1"/>
    <xf numFmtId="3" fontId="97" fillId="0" borderId="10" xfId="0" applyNumberFormat="1" applyFont="1" applyFill="1" applyBorder="1" applyAlignment="1">
      <alignment horizontal="center"/>
    </xf>
    <xf numFmtId="3" fontId="61" fillId="0" borderId="27" xfId="0" applyNumberFormat="1" applyFont="1" applyFill="1" applyBorder="1" applyAlignment="1">
      <alignment horizontal="center" vertical="center"/>
    </xf>
    <xf numFmtId="3" fontId="97" fillId="0" borderId="25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4" fontId="96" fillId="0" borderId="10" xfId="0" applyNumberFormat="1" applyFont="1" applyFill="1" applyBorder="1" applyAlignment="1">
      <alignment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/>
    <xf numFmtId="0" fontId="68" fillId="0" borderId="0" xfId="0" applyFont="1" applyFill="1" applyAlignment="1">
      <alignment horizontal="center" vertical="center"/>
    </xf>
    <xf numFmtId="3" fontId="61" fillId="0" borderId="0" xfId="0" applyNumberFormat="1" applyFont="1" applyFill="1"/>
    <xf numFmtId="3" fontId="61" fillId="0" borderId="28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vertical="center"/>
    </xf>
    <xf numFmtId="3" fontId="61" fillId="0" borderId="10" xfId="0" applyNumberFormat="1" applyFont="1" applyFill="1" applyBorder="1" applyAlignment="1">
      <alignment horizontal="center" vertical="center"/>
    </xf>
    <xf numFmtId="4" fontId="69" fillId="0" borderId="10" xfId="59250" applyNumberFormat="1" applyFont="1" applyFill="1" applyBorder="1" applyAlignment="1">
      <alignment horizontal="left" vertical="center" wrapText="1"/>
    </xf>
    <xf numFmtId="3" fontId="69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wrapText="1"/>
    </xf>
    <xf numFmtId="0" fontId="69" fillId="0" borderId="0" xfId="0" applyFont="1" applyFill="1"/>
    <xf numFmtId="3" fontId="61" fillId="0" borderId="10" xfId="0" applyNumberFormat="1" applyFont="1" applyFill="1" applyBorder="1" applyAlignment="1">
      <alignment vertical="center" wrapText="1"/>
    </xf>
    <xf numFmtId="4" fontId="61" fillId="0" borderId="27" xfId="59248" applyNumberFormat="1" applyFont="1" applyFill="1" applyBorder="1" applyAlignment="1">
      <alignment horizontal="left" vertical="center" wrapText="1"/>
    </xf>
    <xf numFmtId="3" fontId="61" fillId="0" borderId="10" xfId="0" applyNumberFormat="1" applyFont="1" applyFill="1" applyBorder="1" applyAlignment="1">
      <alignment wrapText="1"/>
    </xf>
    <xf numFmtId="4" fontId="61" fillId="0" borderId="26" xfId="59248" applyNumberFormat="1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wrapText="1"/>
    </xf>
    <xf numFmtId="4" fontId="61" fillId="0" borderId="10" xfId="0" applyNumberFormat="1" applyFont="1" applyFill="1" applyBorder="1" applyAlignment="1">
      <alignment horizontal="left" vertical="center" wrapText="1"/>
    </xf>
    <xf numFmtId="4" fontId="61" fillId="0" borderId="10" xfId="59251" applyNumberFormat="1" applyFont="1" applyFill="1" applyBorder="1" applyAlignment="1">
      <alignment wrapText="1"/>
    </xf>
    <xf numFmtId="4" fontId="61" fillId="0" borderId="10" xfId="0" applyNumberFormat="1" applyFont="1" applyFill="1" applyBorder="1" applyAlignment="1">
      <alignment horizontal="left" wrapText="1"/>
    </xf>
    <xf numFmtId="3" fontId="61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4" fontId="69" fillId="0" borderId="10" xfId="0" applyNumberFormat="1" applyFont="1" applyFill="1" applyBorder="1" applyAlignment="1">
      <alignment vertical="center" wrapText="1"/>
    </xf>
    <xf numFmtId="3" fontId="60" fillId="74" borderId="10" xfId="57896" applyNumberFormat="1" applyFont="1" applyFill="1" applyBorder="1" applyAlignment="1">
      <alignment horizontal="center" vertical="center" wrapText="1"/>
    </xf>
    <xf numFmtId="0" fontId="72" fillId="74" borderId="10" xfId="0" applyFont="1" applyFill="1" applyBorder="1" applyAlignment="1">
      <alignment horizontal="center" vertical="center"/>
    </xf>
    <xf numFmtId="0" fontId="71" fillId="74" borderId="10" xfId="57572" applyFont="1" applyFill="1" applyBorder="1" applyAlignment="1">
      <alignment horizontal="center" vertical="center" wrapText="1"/>
    </xf>
    <xf numFmtId="0" fontId="71" fillId="74" borderId="25" xfId="57572" applyFont="1" applyFill="1" applyBorder="1" applyAlignment="1">
      <alignment horizontal="center" vertical="center" wrapText="1"/>
    </xf>
    <xf numFmtId="0" fontId="72" fillId="74" borderId="46" xfId="0" applyFont="1" applyFill="1" applyBorder="1" applyAlignment="1">
      <alignment horizontal="center" vertical="center"/>
    </xf>
    <xf numFmtId="0" fontId="71" fillId="74" borderId="27" xfId="57572" applyFont="1" applyFill="1" applyBorder="1" applyAlignment="1">
      <alignment horizontal="center" vertical="top" wrapText="1"/>
    </xf>
    <xf numFmtId="0" fontId="71" fillId="74" borderId="10" xfId="57572" applyFont="1" applyFill="1" applyBorder="1" applyAlignment="1">
      <alignment horizontal="center" vertical="top" wrapText="1"/>
    </xf>
    <xf numFmtId="0" fontId="71" fillId="74" borderId="46" xfId="57572" applyFont="1" applyFill="1" applyBorder="1" applyAlignment="1">
      <alignment horizontal="center" vertical="center" wrapText="1"/>
    </xf>
    <xf numFmtId="0" fontId="71" fillId="74" borderId="48" xfId="57572" applyFont="1" applyFill="1" applyBorder="1" applyAlignment="1">
      <alignment horizontal="center" vertical="center" wrapText="1"/>
    </xf>
    <xf numFmtId="2" fontId="64" fillId="74" borderId="0" xfId="0" applyNumberFormat="1" applyFont="1" applyFill="1"/>
    <xf numFmtId="4" fontId="69" fillId="74" borderId="27" xfId="59250" applyNumberFormat="1" applyFont="1" applyFill="1" applyBorder="1" applyAlignment="1">
      <alignment horizontal="left" vertical="center" wrapText="1"/>
    </xf>
    <xf numFmtId="0" fontId="63" fillId="74" borderId="24" xfId="5758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104" fillId="0" borderId="30" xfId="0" applyFont="1" applyFill="1" applyBorder="1" applyAlignment="1">
      <alignment horizontal="center" vertical="center"/>
    </xf>
    <xf numFmtId="2" fontId="89" fillId="0" borderId="0" xfId="0" applyNumberFormat="1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right" vertical="center"/>
    </xf>
    <xf numFmtId="3" fontId="61" fillId="0" borderId="28" xfId="0" applyNumberFormat="1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/>
    </xf>
    <xf numFmtId="3" fontId="91" fillId="0" borderId="10" xfId="0" applyNumberFormat="1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3" fontId="61" fillId="0" borderId="25" xfId="0" applyNumberFormat="1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/>
    <xf numFmtId="3" fontId="91" fillId="0" borderId="28" xfId="0" applyNumberFormat="1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3" fontId="91" fillId="0" borderId="24" xfId="0" applyNumberFormat="1" applyFont="1" applyFill="1" applyBorder="1" applyAlignment="1">
      <alignment horizontal="right"/>
    </xf>
    <xf numFmtId="3" fontId="91" fillId="0" borderId="25" xfId="0" applyNumberFormat="1" applyFont="1" applyFill="1" applyBorder="1" applyAlignment="1">
      <alignment horizontal="center" vertical="center" wrapText="1"/>
    </xf>
    <xf numFmtId="0" fontId="95" fillId="0" borderId="26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3" fontId="101" fillId="0" borderId="10" xfId="0" applyNumberFormat="1" applyFont="1" applyFill="1" applyBorder="1" applyAlignment="1">
      <alignment horizontal="center" vertical="center" wrapText="1"/>
    </xf>
    <xf numFmtId="3" fontId="101" fillId="0" borderId="10" xfId="0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3" fontId="91" fillId="0" borderId="24" xfId="0" applyNumberFormat="1" applyFont="1" applyFill="1" applyBorder="1" applyAlignment="1">
      <alignment horizontal="right" wrapText="1"/>
    </xf>
    <xf numFmtId="0" fontId="86" fillId="0" borderId="24" xfId="0" applyFont="1" applyFill="1" applyBorder="1" applyAlignment="1">
      <alignment horizontal="right" wrapText="1"/>
    </xf>
    <xf numFmtId="3" fontId="9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9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91" fillId="0" borderId="28" xfId="0" applyNumberFormat="1" applyFont="1" applyFill="1" applyBorder="1" applyAlignment="1" applyProtection="1">
      <alignment horizontal="center" vertical="center"/>
      <protection locked="0"/>
    </xf>
    <xf numFmtId="3" fontId="91" fillId="0" borderId="32" xfId="0" applyNumberFormat="1" applyFont="1" applyFill="1" applyBorder="1" applyAlignment="1" applyProtection="1">
      <alignment horizontal="center" vertical="center"/>
      <protection locked="0"/>
    </xf>
    <xf numFmtId="3" fontId="10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0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00" fillId="0" borderId="25" xfId="0" applyNumberFormat="1" applyFont="1" applyFill="1" applyBorder="1" applyAlignment="1">
      <alignment horizontal="center" vertical="center"/>
    </xf>
    <xf numFmtId="3" fontId="100" fillId="0" borderId="26" xfId="0" applyNumberFormat="1" applyFont="1" applyFill="1" applyBorder="1" applyAlignment="1">
      <alignment horizontal="center" vertical="center"/>
    </xf>
    <xf numFmtId="3" fontId="100" fillId="0" borderId="27" xfId="0" applyNumberFormat="1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3" fontId="101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0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0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0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01" fillId="0" borderId="25" xfId="0" applyNumberFormat="1" applyFont="1" applyFill="1" applyBorder="1" applyAlignment="1" applyProtection="1">
      <alignment horizontal="center" vertical="center"/>
      <protection locked="0"/>
    </xf>
    <xf numFmtId="3" fontId="101" fillId="0" borderId="26" xfId="0" applyNumberFormat="1" applyFont="1" applyFill="1" applyBorder="1" applyAlignment="1" applyProtection="1">
      <alignment horizontal="center" vertical="center"/>
      <protection locked="0"/>
    </xf>
    <xf numFmtId="3" fontId="101" fillId="0" borderId="28" xfId="0" applyNumberFormat="1" applyFont="1" applyFill="1" applyBorder="1" applyAlignment="1">
      <alignment horizontal="center" vertical="center"/>
    </xf>
    <xf numFmtId="3" fontId="101" fillId="0" borderId="32" xfId="0" applyNumberFormat="1" applyFont="1" applyFill="1" applyBorder="1" applyAlignment="1">
      <alignment horizontal="center" vertical="center"/>
    </xf>
    <xf numFmtId="3" fontId="101" fillId="0" borderId="30" xfId="0" applyNumberFormat="1" applyFont="1" applyFill="1" applyBorder="1" applyAlignment="1">
      <alignment horizontal="center" vertical="center"/>
    </xf>
    <xf numFmtId="3" fontId="101" fillId="0" borderId="25" xfId="0" applyNumberFormat="1" applyFont="1" applyFill="1" applyBorder="1" applyAlignment="1">
      <alignment horizontal="center" vertical="center" wrapText="1"/>
    </xf>
    <xf numFmtId="3" fontId="101" fillId="0" borderId="27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91" fillId="0" borderId="28" xfId="0" applyFont="1" applyFill="1" applyBorder="1" applyAlignment="1">
      <alignment horizontal="center" vertical="center" wrapText="1"/>
    </xf>
    <xf numFmtId="0" fontId="91" fillId="0" borderId="30" xfId="0" applyFont="1" applyFill="1" applyBorder="1" applyAlignment="1">
      <alignment horizontal="center" vertical="center" wrapText="1"/>
    </xf>
    <xf numFmtId="3" fontId="91" fillId="0" borderId="26" xfId="0" applyNumberFormat="1" applyFont="1" applyFill="1" applyBorder="1" applyAlignment="1">
      <alignment horizontal="center" vertical="center" wrapText="1"/>
    </xf>
    <xf numFmtId="3" fontId="91" fillId="0" borderId="27" xfId="0" applyNumberFormat="1" applyFont="1" applyFill="1" applyBorder="1" applyAlignment="1">
      <alignment horizontal="center" vertical="center" wrapText="1"/>
    </xf>
    <xf numFmtId="3" fontId="91" fillId="0" borderId="30" xfId="0" applyNumberFormat="1" applyFont="1" applyFill="1" applyBorder="1" applyAlignment="1">
      <alignment horizontal="center" vertical="center"/>
    </xf>
    <xf numFmtId="0" fontId="91" fillId="0" borderId="29" xfId="57742" applyFont="1" applyFill="1" applyBorder="1" applyAlignment="1">
      <alignment horizontal="center" vertical="center" wrapText="1"/>
    </xf>
    <xf numFmtId="0" fontId="91" fillId="0" borderId="62" xfId="57742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 wrapText="1"/>
    </xf>
    <xf numFmtId="0" fontId="81" fillId="74" borderId="0" xfId="0" applyFont="1" applyFill="1" applyAlignment="1">
      <alignment horizontal="center" vertical="center" wrapText="1"/>
    </xf>
    <xf numFmtId="0" fontId="0" fillId="74" borderId="0" xfId="0" applyFill="1" applyAlignment="1">
      <alignment wrapText="1"/>
    </xf>
    <xf numFmtId="0" fontId="65" fillId="74" borderId="28" xfId="0" applyFont="1" applyFill="1" applyBorder="1" applyAlignment="1">
      <alignment horizontal="center" vertical="center" wrapText="1"/>
    </xf>
    <xf numFmtId="0" fontId="65" fillId="74" borderId="32" xfId="0" applyFont="1" applyFill="1" applyBorder="1" applyAlignment="1">
      <alignment horizontal="center" vertical="center" wrapText="1"/>
    </xf>
    <xf numFmtId="0" fontId="65" fillId="74" borderId="30" xfId="0" applyFont="1" applyFill="1" applyBorder="1" applyAlignment="1">
      <alignment horizontal="center" vertical="center" wrapText="1"/>
    </xf>
    <xf numFmtId="3" fontId="83" fillId="74" borderId="28" xfId="0" applyNumberFormat="1" applyFont="1" applyFill="1" applyBorder="1" applyAlignment="1">
      <alignment horizontal="center" vertical="center" wrapText="1"/>
    </xf>
    <xf numFmtId="3" fontId="66" fillId="74" borderId="32" xfId="0" applyNumberFormat="1" applyFont="1" applyFill="1" applyBorder="1" applyAlignment="1">
      <alignment horizontal="center" vertical="center" wrapText="1"/>
    </xf>
    <xf numFmtId="3" fontId="66" fillId="74" borderId="30" xfId="0" applyNumberFormat="1" applyFont="1" applyFill="1" applyBorder="1" applyAlignment="1">
      <alignment horizontal="center" vertical="center" wrapText="1"/>
    </xf>
    <xf numFmtId="3" fontId="83" fillId="74" borderId="29" xfId="0" applyNumberFormat="1" applyFont="1" applyFill="1" applyBorder="1" applyAlignment="1">
      <alignment horizontal="center" vertical="center" wrapText="1"/>
    </xf>
    <xf numFmtId="3" fontId="66" fillId="74" borderId="31" xfId="0" applyNumberFormat="1" applyFont="1" applyFill="1" applyBorder="1" applyAlignment="1">
      <alignment horizontal="center" vertical="center" wrapText="1"/>
    </xf>
    <xf numFmtId="3" fontId="66" fillId="74" borderId="33" xfId="0" applyNumberFormat="1" applyFont="1" applyFill="1" applyBorder="1" applyAlignment="1">
      <alignment horizontal="center" vertical="center" wrapText="1"/>
    </xf>
    <xf numFmtId="3" fontId="66" fillId="74" borderId="61" xfId="0" applyNumberFormat="1" applyFont="1" applyFill="1" applyBorder="1" applyAlignment="1">
      <alignment horizontal="center" vertical="center" wrapText="1"/>
    </xf>
    <xf numFmtId="3" fontId="60" fillId="74" borderId="10" xfId="57896" applyNumberFormat="1" applyFont="1" applyFill="1" applyBorder="1" applyAlignment="1">
      <alignment horizontal="center" vertical="center" wrapText="1"/>
    </xf>
    <xf numFmtId="3" fontId="60" fillId="74" borderId="25" xfId="57896" applyNumberFormat="1" applyFont="1" applyFill="1" applyBorder="1" applyAlignment="1">
      <alignment horizontal="center" vertical="center" wrapText="1"/>
    </xf>
    <xf numFmtId="3" fontId="60" fillId="74" borderId="26" xfId="57896" applyNumberFormat="1" applyFont="1" applyFill="1" applyBorder="1" applyAlignment="1">
      <alignment horizontal="center" vertical="center" wrapText="1"/>
    </xf>
    <xf numFmtId="3" fontId="60" fillId="74" borderId="27" xfId="57896" applyNumberFormat="1" applyFont="1" applyFill="1" applyBorder="1" applyAlignment="1">
      <alignment horizontal="center" vertical="center" wrapText="1"/>
    </xf>
    <xf numFmtId="3" fontId="60" fillId="74" borderId="28" xfId="57896" applyNumberFormat="1" applyFont="1" applyFill="1" applyBorder="1" applyAlignment="1">
      <alignment horizontal="center" vertical="center" wrapText="1"/>
    </xf>
    <xf numFmtId="3" fontId="60" fillId="74" borderId="32" xfId="57896" applyNumberFormat="1" applyFont="1" applyFill="1" applyBorder="1" applyAlignment="1">
      <alignment horizontal="center" vertical="center" wrapText="1"/>
    </xf>
    <xf numFmtId="3" fontId="60" fillId="74" borderId="30" xfId="57896" applyNumberFormat="1" applyFont="1" applyFill="1" applyBorder="1" applyAlignment="1">
      <alignment horizontal="center" vertical="center" wrapText="1"/>
    </xf>
    <xf numFmtId="0" fontId="61" fillId="74" borderId="28" xfId="0" applyFont="1" applyFill="1" applyBorder="1" applyAlignment="1">
      <alignment horizontal="center" vertical="center"/>
    </xf>
    <xf numFmtId="0" fontId="61" fillId="74" borderId="30" xfId="0" applyFont="1" applyFill="1" applyBorder="1" applyAlignment="1">
      <alignment horizontal="center" vertical="center"/>
    </xf>
    <xf numFmtId="0" fontId="61" fillId="74" borderId="32" xfId="0" applyFont="1" applyFill="1" applyBorder="1" applyAlignment="1">
      <alignment horizontal="center" vertical="center"/>
    </xf>
    <xf numFmtId="0" fontId="71" fillId="74" borderId="10" xfId="57572" applyFont="1" applyFill="1" applyBorder="1" applyAlignment="1">
      <alignment horizontal="center" vertical="center" wrapText="1"/>
    </xf>
    <xf numFmtId="0" fontId="70" fillId="74" borderId="0" xfId="0" applyFont="1" applyFill="1" applyAlignment="1">
      <alignment horizontal="center" vertical="center"/>
    </xf>
    <xf numFmtId="0" fontId="66" fillId="74" borderId="24" xfId="0" applyFont="1" applyFill="1" applyBorder="1" applyAlignment="1">
      <alignment horizontal="center"/>
    </xf>
    <xf numFmtId="0" fontId="71" fillId="74" borderId="28" xfId="57572" applyFont="1" applyFill="1" applyBorder="1" applyAlignment="1">
      <alignment horizontal="center" vertical="center" wrapText="1"/>
    </xf>
    <xf numFmtId="0" fontId="71" fillId="74" borderId="32" xfId="57572" applyFont="1" applyFill="1" applyBorder="1" applyAlignment="1">
      <alignment horizontal="center" vertical="center" wrapText="1"/>
    </xf>
    <xf numFmtId="0" fontId="71" fillId="74" borderId="30" xfId="57572" applyFont="1" applyFill="1" applyBorder="1" applyAlignment="1">
      <alignment horizontal="center" vertical="center" wrapText="1"/>
    </xf>
    <xf numFmtId="0" fontId="71" fillId="74" borderId="25" xfId="57572" applyFont="1" applyFill="1" applyBorder="1" applyAlignment="1">
      <alignment horizontal="center" vertical="center" wrapText="1"/>
    </xf>
    <xf numFmtId="0" fontId="71" fillId="74" borderId="26" xfId="57572" applyFont="1" applyFill="1" applyBorder="1" applyAlignment="1">
      <alignment horizontal="center" vertical="center" wrapText="1"/>
    </xf>
    <xf numFmtId="0" fontId="72" fillId="74" borderId="28" xfId="0" applyFont="1" applyFill="1" applyBorder="1" applyAlignment="1">
      <alignment horizontal="center" vertical="center"/>
    </xf>
    <xf numFmtId="0" fontId="72" fillId="74" borderId="32" xfId="0" applyFont="1" applyFill="1" applyBorder="1" applyAlignment="1">
      <alignment horizontal="center" vertical="center"/>
    </xf>
    <xf numFmtId="0" fontId="72" fillId="74" borderId="30" xfId="0" applyFont="1" applyFill="1" applyBorder="1" applyAlignment="1">
      <alignment horizontal="center" vertical="center"/>
    </xf>
    <xf numFmtId="0" fontId="72" fillId="74" borderId="10" xfId="0" applyFont="1" applyFill="1" applyBorder="1" applyAlignment="1">
      <alignment horizontal="center" vertical="center"/>
    </xf>
    <xf numFmtId="0" fontId="71" fillId="74" borderId="34" xfId="57572" applyFont="1" applyFill="1" applyBorder="1" applyAlignment="1">
      <alignment horizontal="center" vertical="center" wrapText="1"/>
    </xf>
    <xf numFmtId="0" fontId="71" fillId="74" borderId="43" xfId="57572" applyFont="1" applyFill="1" applyBorder="1" applyAlignment="1">
      <alignment horizontal="center" vertical="center" wrapText="1"/>
    </xf>
    <xf numFmtId="0" fontId="71" fillId="74" borderId="50" xfId="57572" applyFont="1" applyFill="1" applyBorder="1" applyAlignment="1">
      <alignment horizontal="center" vertical="center" wrapText="1"/>
    </xf>
    <xf numFmtId="0" fontId="71" fillId="74" borderId="35" xfId="57572" applyFont="1" applyFill="1" applyBorder="1" applyAlignment="1">
      <alignment horizontal="center" vertical="center" wrapText="1"/>
    </xf>
    <xf numFmtId="0" fontId="71" fillId="74" borderId="44" xfId="57572" applyFont="1" applyFill="1" applyBorder="1" applyAlignment="1">
      <alignment horizontal="center" vertical="center" wrapText="1"/>
    </xf>
    <xf numFmtId="0" fontId="71" fillId="74" borderId="33" xfId="57572" applyFont="1" applyFill="1" applyBorder="1" applyAlignment="1">
      <alignment horizontal="center" vertical="center" wrapText="1"/>
    </xf>
    <xf numFmtId="0" fontId="71" fillId="74" borderId="36" xfId="57572" applyFont="1" applyFill="1" applyBorder="1" applyAlignment="1">
      <alignment horizontal="center" vertical="center" wrapText="1"/>
    </xf>
    <xf numFmtId="0" fontId="71" fillId="74" borderId="45" xfId="57572" applyFont="1" applyFill="1" applyBorder="1" applyAlignment="1">
      <alignment horizontal="center" vertical="center" wrapText="1"/>
    </xf>
    <xf numFmtId="0" fontId="71" fillId="74" borderId="51" xfId="57572" applyFont="1" applyFill="1" applyBorder="1" applyAlignment="1">
      <alignment horizontal="center" vertical="center" wrapText="1"/>
    </xf>
    <xf numFmtId="0" fontId="71" fillId="74" borderId="37" xfId="57572" applyFont="1" applyFill="1" applyBorder="1" applyAlignment="1">
      <alignment horizontal="center" vertical="center" wrapText="1"/>
    </xf>
    <xf numFmtId="0" fontId="71" fillId="74" borderId="38" xfId="57572" applyFont="1" applyFill="1" applyBorder="1" applyAlignment="1">
      <alignment horizontal="center" vertical="center" wrapText="1"/>
    </xf>
    <xf numFmtId="0" fontId="71" fillId="74" borderId="39" xfId="57572" applyFont="1" applyFill="1" applyBorder="1" applyAlignment="1">
      <alignment horizontal="center" vertical="center" wrapText="1"/>
    </xf>
    <xf numFmtId="0" fontId="71" fillId="74" borderId="40" xfId="57572" applyFont="1" applyFill="1" applyBorder="1" applyAlignment="1">
      <alignment horizontal="center" vertical="center" wrapText="1"/>
    </xf>
    <xf numFmtId="0" fontId="71" fillId="74" borderId="41" xfId="57572" applyFont="1" applyFill="1" applyBorder="1" applyAlignment="1">
      <alignment horizontal="center" vertical="center" wrapText="1"/>
    </xf>
    <xf numFmtId="0" fontId="71" fillId="74" borderId="42" xfId="57572" applyFont="1" applyFill="1" applyBorder="1" applyAlignment="1">
      <alignment horizontal="center" vertical="center" wrapText="1"/>
    </xf>
    <xf numFmtId="0" fontId="71" fillId="74" borderId="46" xfId="57572" applyFont="1" applyFill="1" applyBorder="1" applyAlignment="1">
      <alignment horizontal="center" vertical="center" wrapText="1"/>
    </xf>
    <xf numFmtId="0" fontId="71" fillId="74" borderId="47" xfId="57572" applyFont="1" applyFill="1" applyBorder="1" applyAlignment="1">
      <alignment horizontal="center" vertical="center" wrapText="1"/>
    </xf>
    <xf numFmtId="0" fontId="71" fillId="74" borderId="48" xfId="57572" applyFont="1" applyFill="1" applyBorder="1" applyAlignment="1">
      <alignment horizontal="center" vertical="center" wrapText="1"/>
    </xf>
    <xf numFmtId="0" fontId="72" fillId="74" borderId="46" xfId="0" applyFont="1" applyFill="1" applyBorder="1" applyAlignment="1">
      <alignment horizontal="center" vertical="center"/>
    </xf>
    <xf numFmtId="0" fontId="71" fillId="74" borderId="48" xfId="57572" applyFont="1" applyFill="1" applyBorder="1" applyAlignment="1">
      <alignment horizontal="center" vertical="top" wrapText="1"/>
    </xf>
    <xf numFmtId="0" fontId="72" fillId="74" borderId="31" xfId="0" applyFont="1" applyFill="1" applyBorder="1" applyAlignment="1">
      <alignment horizontal="center" vertical="center"/>
    </xf>
    <xf numFmtId="0" fontId="72" fillId="74" borderId="63" xfId="0" applyFont="1" applyFill="1" applyBorder="1" applyAlignment="1">
      <alignment horizontal="center" vertical="center"/>
    </xf>
    <xf numFmtId="0" fontId="72" fillId="74" borderId="61" xfId="0" applyFont="1" applyFill="1" applyBorder="1" applyAlignment="1">
      <alignment horizontal="center" vertical="center"/>
    </xf>
    <xf numFmtId="0" fontId="71" fillId="74" borderId="27" xfId="57572" applyFont="1" applyFill="1" applyBorder="1" applyAlignment="1">
      <alignment horizontal="center" vertical="top" wrapText="1"/>
    </xf>
    <xf numFmtId="0" fontId="71" fillId="74" borderId="10" xfId="57572" applyFont="1" applyFill="1" applyBorder="1" applyAlignment="1">
      <alignment horizontal="center" vertical="top" wrapText="1"/>
    </xf>
    <xf numFmtId="0" fontId="71" fillId="74" borderId="49" xfId="57572" applyFont="1" applyFill="1" applyBorder="1" applyAlignment="1">
      <alignment horizontal="center" vertical="top" wrapText="1"/>
    </xf>
    <xf numFmtId="0" fontId="71" fillId="74" borderId="52" xfId="57572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66" fillId="0" borderId="32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6" fillId="0" borderId="27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</cellXfs>
  <cellStyles count="5925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7 2" xfId="57737"/>
    <cellStyle name="Обычный 18" xfId="57738"/>
    <cellStyle name="Обычный 18 2" xfId="57739"/>
    <cellStyle name="Обычный 18 2 2" xfId="57740"/>
    <cellStyle name="Обычный 18 3" xfId="57741"/>
    <cellStyle name="Обычный 19" xfId="57742"/>
    <cellStyle name="Обычный 19 2" xfId="57743"/>
    <cellStyle name="Обычный 19 2 2" xfId="57744"/>
    <cellStyle name="Обычный 19 3" xfId="57745"/>
    <cellStyle name="Обычный 19 4" xfId="57746"/>
    <cellStyle name="Обычный 19 5" xfId="57747"/>
    <cellStyle name="Обычный 2" xfId="57748"/>
    <cellStyle name="Обычный 2 10" xfId="57749"/>
    <cellStyle name="Обычный 2 100" xfId="57750"/>
    <cellStyle name="Обычный 2 101" xfId="57751"/>
    <cellStyle name="Обычный 2 102" xfId="57752"/>
    <cellStyle name="Обычный 2 103" xfId="57753"/>
    <cellStyle name="Обычный 2 104" xfId="57754"/>
    <cellStyle name="Обычный 2 105" xfId="57755"/>
    <cellStyle name="Обычный 2 106" xfId="57756"/>
    <cellStyle name="Обычный 2 107" xfId="57757"/>
    <cellStyle name="Обычный 2 108" xfId="57758"/>
    <cellStyle name="Обычный 2 109" xfId="57759"/>
    <cellStyle name="Обычный 2 11" xfId="57760"/>
    <cellStyle name="Обычный 2 110" xfId="57761"/>
    <cellStyle name="Обычный 2 111" xfId="57762"/>
    <cellStyle name="Обычный 2 112" xfId="57763"/>
    <cellStyle name="Обычный 2 113" xfId="57764"/>
    <cellStyle name="Обычный 2 114" xfId="57765"/>
    <cellStyle name="Обычный 2 115" xfId="57766"/>
    <cellStyle name="Обычный 2 116" xfId="57767"/>
    <cellStyle name="Обычный 2 117" xfId="57768"/>
    <cellStyle name="Обычный 2 118" xfId="57769"/>
    <cellStyle name="Обычный 2 119" xfId="57770"/>
    <cellStyle name="Обычный 2 12" xfId="57771"/>
    <cellStyle name="Обычный 2 120" xfId="57772"/>
    <cellStyle name="Обычный 2 121" xfId="57773"/>
    <cellStyle name="Обычный 2 122" xfId="57774"/>
    <cellStyle name="Обычный 2 123" xfId="57775"/>
    <cellStyle name="Обычный 2 124" xfId="57776"/>
    <cellStyle name="Обычный 2 125" xfId="57777"/>
    <cellStyle name="Обычный 2 126" xfId="57778"/>
    <cellStyle name="Обычный 2 127" xfId="57779"/>
    <cellStyle name="Обычный 2 128" xfId="57780"/>
    <cellStyle name="Обычный 2 129" xfId="57781"/>
    <cellStyle name="Обычный 2 13" xfId="57782"/>
    <cellStyle name="Обычный 2 130" xfId="57783"/>
    <cellStyle name="Обычный 2 131" xfId="57784"/>
    <cellStyle name="Обычный 2 132" xfId="57785"/>
    <cellStyle name="Обычный 2 133" xfId="57786"/>
    <cellStyle name="Обычный 2 134" xfId="57787"/>
    <cellStyle name="Обычный 2 135" xfId="57788"/>
    <cellStyle name="Обычный 2 136" xfId="57789"/>
    <cellStyle name="Обычный 2 137" xfId="57790"/>
    <cellStyle name="Обычный 2 138" xfId="57791"/>
    <cellStyle name="Обычный 2 14" xfId="57792"/>
    <cellStyle name="Обычный 2 15" xfId="57793"/>
    <cellStyle name="Обычный 2 16" xfId="57794"/>
    <cellStyle name="Обычный 2 17" xfId="57795"/>
    <cellStyle name="Обычный 2 18" xfId="57796"/>
    <cellStyle name="Обычный 2 19" xfId="57797"/>
    <cellStyle name="Обычный 2 2" xfId="57798"/>
    <cellStyle name="Обычный 2 2 2" xfId="57799"/>
    <cellStyle name="Обычный 2 2 2 2" xfId="57800"/>
    <cellStyle name="Обычный 2 2 2 3" xfId="59248"/>
    <cellStyle name="Обычный 2 2 3" xfId="57801"/>
    <cellStyle name="Обычный 2 2 4" xfId="57802"/>
    <cellStyle name="Обычный 2 20" xfId="57803"/>
    <cellStyle name="Обычный 2 21" xfId="57804"/>
    <cellStyle name="Обычный 2 22" xfId="57805"/>
    <cellStyle name="Обычный 2 23" xfId="57806"/>
    <cellStyle name="Обычный 2 24" xfId="57807"/>
    <cellStyle name="Обычный 2 25" xfId="57808"/>
    <cellStyle name="Обычный 2 26" xfId="57809"/>
    <cellStyle name="Обычный 2 27" xfId="57810"/>
    <cellStyle name="Обычный 2 28" xfId="57811"/>
    <cellStyle name="Обычный 2 29" xfId="57812"/>
    <cellStyle name="Обычный 2 3" xfId="57813"/>
    <cellStyle name="Обычный 2 3 2" xfId="59249"/>
    <cellStyle name="Обычный 2 30" xfId="57814"/>
    <cellStyle name="Обычный 2 31" xfId="57815"/>
    <cellStyle name="Обычный 2 32" xfId="57816"/>
    <cellStyle name="Обычный 2 33" xfId="57817"/>
    <cellStyle name="Обычный 2 34" xfId="57818"/>
    <cellStyle name="Обычный 2 35" xfId="57819"/>
    <cellStyle name="Обычный 2 36" xfId="57820"/>
    <cellStyle name="Обычный 2 37" xfId="57821"/>
    <cellStyle name="Обычный 2 38" xfId="57822"/>
    <cellStyle name="Обычный 2 39" xfId="57823"/>
    <cellStyle name="Обычный 2 4" xfId="57824"/>
    <cellStyle name="Обычный 2 40" xfId="57825"/>
    <cellStyle name="Обычный 2 41" xfId="57826"/>
    <cellStyle name="Обычный 2 42" xfId="57827"/>
    <cellStyle name="Обычный 2 43" xfId="57828"/>
    <cellStyle name="Обычный 2 44" xfId="57829"/>
    <cellStyle name="Обычный 2 45" xfId="57830"/>
    <cellStyle name="Обычный 2 46" xfId="57831"/>
    <cellStyle name="Обычный 2 47" xfId="57832"/>
    <cellStyle name="Обычный 2 48" xfId="57833"/>
    <cellStyle name="Обычный 2 49" xfId="57834"/>
    <cellStyle name="Обычный 2 5" xfId="57835"/>
    <cellStyle name="Обычный 2 50" xfId="57836"/>
    <cellStyle name="Обычный 2 51" xfId="57837"/>
    <cellStyle name="Обычный 2 52" xfId="57838"/>
    <cellStyle name="Обычный 2 53" xfId="57839"/>
    <cellStyle name="Обычный 2 54" xfId="57840"/>
    <cellStyle name="Обычный 2 55" xfId="57841"/>
    <cellStyle name="Обычный 2 56" xfId="57842"/>
    <cellStyle name="Обычный 2 57" xfId="57843"/>
    <cellStyle name="Обычный 2 58" xfId="57844"/>
    <cellStyle name="Обычный 2 59" xfId="57845"/>
    <cellStyle name="Обычный 2 6" xfId="57846"/>
    <cellStyle name="Обычный 2 6 2" xfId="57847"/>
    <cellStyle name="Обычный 2 60" xfId="57848"/>
    <cellStyle name="Обычный 2 61" xfId="57849"/>
    <cellStyle name="Обычный 2 62" xfId="57850"/>
    <cellStyle name="Обычный 2 63" xfId="57851"/>
    <cellStyle name="Обычный 2 64" xfId="57852"/>
    <cellStyle name="Обычный 2 65" xfId="57853"/>
    <cellStyle name="Обычный 2 66" xfId="57854"/>
    <cellStyle name="Обычный 2 67" xfId="57855"/>
    <cellStyle name="Обычный 2 68" xfId="57856"/>
    <cellStyle name="Обычный 2 69" xfId="57857"/>
    <cellStyle name="Обычный 2 7" xfId="57858"/>
    <cellStyle name="Обычный 2 70" xfId="57859"/>
    <cellStyle name="Обычный 2 71" xfId="57860"/>
    <cellStyle name="Обычный 2 72" xfId="57861"/>
    <cellStyle name="Обычный 2 73" xfId="57862"/>
    <cellStyle name="Обычный 2 74" xfId="57863"/>
    <cellStyle name="Обычный 2 75" xfId="57864"/>
    <cellStyle name="Обычный 2 76" xfId="57865"/>
    <cellStyle name="Обычный 2 77" xfId="57866"/>
    <cellStyle name="Обычный 2 78" xfId="57867"/>
    <cellStyle name="Обычный 2 79" xfId="57868"/>
    <cellStyle name="Обычный 2 8" xfId="57869"/>
    <cellStyle name="Обычный 2 80" xfId="57870"/>
    <cellStyle name="Обычный 2 81" xfId="57871"/>
    <cellStyle name="Обычный 2 82" xfId="57872"/>
    <cellStyle name="Обычный 2 83" xfId="57873"/>
    <cellStyle name="Обычный 2 84" xfId="57874"/>
    <cellStyle name="Обычный 2 85" xfId="57875"/>
    <cellStyle name="Обычный 2 86" xfId="57876"/>
    <cellStyle name="Обычный 2 87" xfId="57877"/>
    <cellStyle name="Обычный 2 88" xfId="57878"/>
    <cellStyle name="Обычный 2 89" xfId="57879"/>
    <cellStyle name="Обычный 2 9" xfId="57880"/>
    <cellStyle name="Обычный 2 90" xfId="57881"/>
    <cellStyle name="Обычный 2 91" xfId="57882"/>
    <cellStyle name="Обычный 2 92" xfId="57883"/>
    <cellStyle name="Обычный 2 93" xfId="57884"/>
    <cellStyle name="Обычный 2 94" xfId="57885"/>
    <cellStyle name="Обычный 2 95" xfId="57886"/>
    <cellStyle name="Обычный 2 96" xfId="57887"/>
    <cellStyle name="Обычный 2 97" xfId="57888"/>
    <cellStyle name="Обычный 2 98" xfId="57889"/>
    <cellStyle name="Обычный 2 99" xfId="57890"/>
    <cellStyle name="Обычный 2_npa105B" xfId="57891"/>
    <cellStyle name="Обычный 20" xfId="57892"/>
    <cellStyle name="Обычный 20 2" xfId="57893"/>
    <cellStyle name="Обычный 20 2 2" xfId="57894"/>
    <cellStyle name="Обычный 20 3" xfId="57895"/>
    <cellStyle name="Обычный 20 4" xfId="57896"/>
    <cellStyle name="Обычный 21" xfId="57897"/>
    <cellStyle name="Обычный 21 2" xfId="57898"/>
    <cellStyle name="Обычный 21 2 2" xfId="57899"/>
    <cellStyle name="Обычный 21 3" xfId="57900"/>
    <cellStyle name="Обычный 22" xfId="57901"/>
    <cellStyle name="Обычный 22 2" xfId="57902"/>
    <cellStyle name="Обычный 22 3" xfId="57903"/>
    <cellStyle name="Обычный 23" xfId="57904"/>
    <cellStyle name="Обычный 23 2" xfId="57905"/>
    <cellStyle name="Обычный 24" xfId="57906"/>
    <cellStyle name="Обычный 24 2" xfId="57907"/>
    <cellStyle name="Обычный 25" xfId="57908"/>
    <cellStyle name="Обычный 26" xfId="57909"/>
    <cellStyle name="Обычный 26 10" xfId="57910"/>
    <cellStyle name="Обычный 26 11" xfId="57911"/>
    <cellStyle name="Обычный 26 12" xfId="57912"/>
    <cellStyle name="Обычный 26 13" xfId="57913"/>
    <cellStyle name="Обычный 26 14" xfId="57914"/>
    <cellStyle name="Обычный 26 15" xfId="57915"/>
    <cellStyle name="Обычный 26 2" xfId="57916"/>
    <cellStyle name="Обычный 26 2 2" xfId="57917"/>
    <cellStyle name="Обычный 26 2 2 2" xfId="57918"/>
    <cellStyle name="Обычный 26 2 3" xfId="57919"/>
    <cellStyle name="Обычный 26 3" xfId="57920"/>
    <cellStyle name="Обычный 26 4" xfId="57921"/>
    <cellStyle name="Обычный 26 4 2" xfId="57922"/>
    <cellStyle name="Обычный 26 4 2 2" xfId="57923"/>
    <cellStyle name="Обычный 26 4 3" xfId="57924"/>
    <cellStyle name="Обычный 26 5" xfId="57925"/>
    <cellStyle name="Обычный 26 5 2" xfId="57926"/>
    <cellStyle name="Обычный 26 6" xfId="57927"/>
    <cellStyle name="Обычный 26 6 2" xfId="57928"/>
    <cellStyle name="Обычный 26 7" xfId="57929"/>
    <cellStyle name="Обычный 26 8" xfId="57930"/>
    <cellStyle name="Обычный 26 9" xfId="57931"/>
    <cellStyle name="Обычный 27" xfId="57932"/>
    <cellStyle name="Обычный 27 2" xfId="57933"/>
    <cellStyle name="Обычный 27 2 2" xfId="57934"/>
    <cellStyle name="Обычный 27 2 2 2" xfId="57935"/>
    <cellStyle name="Обычный 27 2 3" xfId="57936"/>
    <cellStyle name="Обычный 27 3" xfId="57937"/>
    <cellStyle name="Обычный 27 3 2" xfId="57938"/>
    <cellStyle name="Обычный 27 4" xfId="57939"/>
    <cellStyle name="Обычный 27 4 2" xfId="57940"/>
    <cellStyle name="Обычный 27 5" xfId="57941"/>
    <cellStyle name="Обычный 27 6" xfId="57942"/>
    <cellStyle name="Обычный 27 7" xfId="57943"/>
    <cellStyle name="Обычный 27 8" xfId="57944"/>
    <cellStyle name="Обычный 27 9" xfId="57945"/>
    <cellStyle name="Обычный 28" xfId="57946"/>
    <cellStyle name="Обычный 28 2" xfId="57947"/>
    <cellStyle name="Обычный 28 2 2" xfId="57948"/>
    <cellStyle name="Обычный 28 2 2 2" xfId="57949"/>
    <cellStyle name="Обычный 28 2 3" xfId="57950"/>
    <cellStyle name="Обычный 28 3" xfId="57951"/>
    <cellStyle name="Обычный 28 3 2" xfId="57952"/>
    <cellStyle name="Обычный 28 4" xfId="57953"/>
    <cellStyle name="Обычный 28 4 2" xfId="57954"/>
    <cellStyle name="Обычный 28 5" xfId="57955"/>
    <cellStyle name="Обычный 28 6" xfId="57956"/>
    <cellStyle name="Обычный 28 7" xfId="57957"/>
    <cellStyle name="Обычный 28 8" xfId="57958"/>
    <cellStyle name="Обычный 28 9" xfId="57959"/>
    <cellStyle name="Обычный 29" xfId="57960"/>
    <cellStyle name="Обычный 29 2" xfId="57961"/>
    <cellStyle name="Обычный 29 2 2" xfId="57962"/>
    <cellStyle name="Обычный 29 2 2 2" xfId="57963"/>
    <cellStyle name="Обычный 29 2 3" xfId="57964"/>
    <cellStyle name="Обычный 29 3" xfId="57965"/>
    <cellStyle name="Обычный 29 3 2" xfId="57966"/>
    <cellStyle name="Обычный 29 4" xfId="57967"/>
    <cellStyle name="Обычный 29 4 2" xfId="57968"/>
    <cellStyle name="Обычный 29 5" xfId="57969"/>
    <cellStyle name="Обычный 29 6" xfId="57970"/>
    <cellStyle name="Обычный 29 7" xfId="57971"/>
    <cellStyle name="Обычный 29 8" xfId="57972"/>
    <cellStyle name="Обычный 29 9" xfId="57973"/>
    <cellStyle name="Обычный 3" xfId="57974"/>
    <cellStyle name="Обычный 3 10" xfId="57975"/>
    <cellStyle name="Обычный 3 11" xfId="57976"/>
    <cellStyle name="Обычный 3 12" xfId="57977"/>
    <cellStyle name="Обычный 3 13" xfId="57978"/>
    <cellStyle name="Обычный 3 14" xfId="57979"/>
    <cellStyle name="Обычный 3 15" xfId="57980"/>
    <cellStyle name="Обычный 3 16" xfId="57981"/>
    <cellStyle name="Обычный 3 17" xfId="57982"/>
    <cellStyle name="Обычный 3 18" xfId="57983"/>
    <cellStyle name="Обычный 3 2" xfId="57984"/>
    <cellStyle name="Обычный 3 3" xfId="57985"/>
    <cellStyle name="Обычный 3 3 2" xfId="57986"/>
    <cellStyle name="Обычный 3 4" xfId="57987"/>
    <cellStyle name="Обычный 3 4 2" xfId="57988"/>
    <cellStyle name="Обычный 3 4 2 2" xfId="57989"/>
    <cellStyle name="Обычный 3 4 3" xfId="57990"/>
    <cellStyle name="Обычный 3 5" xfId="57991"/>
    <cellStyle name="Обычный 3 5 2" xfId="57992"/>
    <cellStyle name="Обычный 3 5 2 2" xfId="57993"/>
    <cellStyle name="Обычный 3 5 3" xfId="57994"/>
    <cellStyle name="Обычный 3 6" xfId="57995"/>
    <cellStyle name="Обычный 3 6 2" xfId="57996"/>
    <cellStyle name="Обычный 3 7" xfId="57997"/>
    <cellStyle name="Обычный 3 8" xfId="57998"/>
    <cellStyle name="Обычный 3 9" xfId="57999"/>
    <cellStyle name="Обычный 30" xfId="58000"/>
    <cellStyle name="Обычный 30 2" xfId="58001"/>
    <cellStyle name="Обычный 30 2 2" xfId="58002"/>
    <cellStyle name="Обычный 30 3" xfId="58003"/>
    <cellStyle name="Обычный 30 3 2" xfId="58004"/>
    <cellStyle name="Обычный 30 4" xfId="58005"/>
    <cellStyle name="Обычный 30 5" xfId="58006"/>
    <cellStyle name="Обычный 30 6" xfId="58007"/>
    <cellStyle name="Обычный 30 7" xfId="58008"/>
    <cellStyle name="Обычный 30 8" xfId="58009"/>
    <cellStyle name="Обычный 31" xfId="58010"/>
    <cellStyle name="Обычный 31 2" xfId="58011"/>
    <cellStyle name="Обычный 32" xfId="58012"/>
    <cellStyle name="Обычный 32 2" xfId="58013"/>
    <cellStyle name="Обычный 33" xfId="58014"/>
    <cellStyle name="Обычный 34" xfId="58015"/>
    <cellStyle name="Обычный 35" xfId="58016"/>
    <cellStyle name="Обычный 36" xfId="58017"/>
    <cellStyle name="Обычный 37" xfId="58018"/>
    <cellStyle name="Обычный 38" xfId="58019"/>
    <cellStyle name="Обычный 39" xfId="58020"/>
    <cellStyle name="Обычный 4" xfId="58021"/>
    <cellStyle name="Обычный 4 10" xfId="58022"/>
    <cellStyle name="Обычный 4 11" xfId="58023"/>
    <cellStyle name="Обычный 4 12" xfId="58024"/>
    <cellStyle name="Обычный 4 13" xfId="58025"/>
    <cellStyle name="Обычный 4 14" xfId="58026"/>
    <cellStyle name="Обычный 4 15" xfId="58027"/>
    <cellStyle name="Обычный 4 16" xfId="58028"/>
    <cellStyle name="Обычный 4 16 2" xfId="58029"/>
    <cellStyle name="Обычный 4 16 2 2" xfId="58030"/>
    <cellStyle name="Обычный 4 16 3" xfId="58031"/>
    <cellStyle name="Обычный 4 17" xfId="58032"/>
    <cellStyle name="Обычный 4 17 2" xfId="58033"/>
    <cellStyle name="Обычный 4 17 2 2" xfId="58034"/>
    <cellStyle name="Обычный 4 17 3" xfId="58035"/>
    <cellStyle name="Обычный 4 18" xfId="58036"/>
    <cellStyle name="Обычный 4 18 2" xfId="58037"/>
    <cellStyle name="Обычный 4 18 2 2" xfId="58038"/>
    <cellStyle name="Обычный 4 18 3" xfId="58039"/>
    <cellStyle name="Обычный 4 19" xfId="58040"/>
    <cellStyle name="Обычный 4 19 2" xfId="58041"/>
    <cellStyle name="Обычный 4 2" xfId="58042"/>
    <cellStyle name="Обычный 4 2 2" xfId="58043"/>
    <cellStyle name="Обычный 4 20" xfId="58044"/>
    <cellStyle name="Обычный 4 20 2" xfId="58045"/>
    <cellStyle name="Обычный 4 21" xfId="58046"/>
    <cellStyle name="Обычный 4 21 2" xfId="58047"/>
    <cellStyle name="Обычный 4 22" xfId="58048"/>
    <cellStyle name="Обычный 4 23" xfId="58049"/>
    <cellStyle name="Обычный 4 24" xfId="58050"/>
    <cellStyle name="Обычный 4 25" xfId="58051"/>
    <cellStyle name="Обычный 4 26" xfId="58052"/>
    <cellStyle name="Обычный 4 27" xfId="58053"/>
    <cellStyle name="Обычный 4 28" xfId="58054"/>
    <cellStyle name="Обычный 4 29" xfId="58055"/>
    <cellStyle name="Обычный 4 3" xfId="58056"/>
    <cellStyle name="Обычный 4 3 2" xfId="58057"/>
    <cellStyle name="Обычный 4 3 2 2" xfId="58058"/>
    <cellStyle name="Обычный 4 3 3" xfId="58059"/>
    <cellStyle name="Обычный 4 30" xfId="58060"/>
    <cellStyle name="Обычный 4 31" xfId="58061"/>
    <cellStyle name="Обычный 4 32" xfId="58062"/>
    <cellStyle name="Обычный 4 4" xfId="58063"/>
    <cellStyle name="Обычный 4 4 2" xfId="58064"/>
    <cellStyle name="Обычный 4 4 2 2" xfId="58065"/>
    <cellStyle name="Обычный 4 4 3" xfId="58066"/>
    <cellStyle name="Обычный 4 5" xfId="58067"/>
    <cellStyle name="Обычный 4 5 2" xfId="58068"/>
    <cellStyle name="Обычный 4 6" xfId="58069"/>
    <cellStyle name="Обычный 4 7" xfId="58070"/>
    <cellStyle name="Обычный 4 8" xfId="58071"/>
    <cellStyle name="Обычный 4 9" xfId="58072"/>
    <cellStyle name="Обычный 4_СМО" xfId="58073"/>
    <cellStyle name="Обычный 40" xfId="58074"/>
    <cellStyle name="Обычный 41" xfId="58075"/>
    <cellStyle name="Обычный 42" xfId="58076"/>
    <cellStyle name="Обычный 43" xfId="58077"/>
    <cellStyle name="Обычный 44" xfId="58078"/>
    <cellStyle name="Обычный 45" xfId="58079"/>
    <cellStyle name="Обычный 46" xfId="58080"/>
    <cellStyle name="Обычный 47" xfId="58081"/>
    <cellStyle name="Обычный 48" xfId="58082"/>
    <cellStyle name="Обычный 49" xfId="58083"/>
    <cellStyle name="Обычный 5" xfId="58084"/>
    <cellStyle name="Обычный 5 2" xfId="58085"/>
    <cellStyle name="Обычный 50" xfId="58086"/>
    <cellStyle name="Обычный 51" xfId="58087"/>
    <cellStyle name="Обычный 52" xfId="58088"/>
    <cellStyle name="Обычный 53" xfId="58089"/>
    <cellStyle name="Обычный 54" xfId="58090"/>
    <cellStyle name="Обычный 55" xfId="58091"/>
    <cellStyle name="Обычный 56" xfId="58092"/>
    <cellStyle name="Обычный 57" xfId="58093"/>
    <cellStyle name="Обычный 58" xfId="58094"/>
    <cellStyle name="Обычный 59" xfId="58095"/>
    <cellStyle name="Обычный 6" xfId="58096"/>
    <cellStyle name="Обычный 6 10" xfId="58097"/>
    <cellStyle name="Обычный 6 11" xfId="58098"/>
    <cellStyle name="Обычный 6 12" xfId="58099"/>
    <cellStyle name="Обычный 6 13" xfId="58100"/>
    <cellStyle name="Обычный 6 14" xfId="58101"/>
    <cellStyle name="Обычный 6 15" xfId="58102"/>
    <cellStyle name="Обычный 6 16" xfId="58103"/>
    <cellStyle name="Обычный 6 17" xfId="58104"/>
    <cellStyle name="Обычный 6 18" xfId="58105"/>
    <cellStyle name="Обычный 6 19" xfId="58106"/>
    <cellStyle name="Обычный 6 2" xfId="58107"/>
    <cellStyle name="Обычный 6 2 2" xfId="58108"/>
    <cellStyle name="Обычный 6 2 2 2" xfId="58109"/>
    <cellStyle name="Обычный 6 2 3" xfId="58110"/>
    <cellStyle name="Обычный 6 3" xfId="58111"/>
    <cellStyle name="Обычный 6 3 2" xfId="58112"/>
    <cellStyle name="Обычный 6 3 2 2" xfId="58113"/>
    <cellStyle name="Обычный 6 3 3" xfId="58114"/>
    <cellStyle name="Обычный 6 4" xfId="58115"/>
    <cellStyle name="Обычный 6 4 2" xfId="58116"/>
    <cellStyle name="Обычный 6 4 2 2" xfId="58117"/>
    <cellStyle name="Обычный 6 4 3" xfId="58118"/>
    <cellStyle name="Обычный 6 5" xfId="58119"/>
    <cellStyle name="Обычный 6 5 2" xfId="58120"/>
    <cellStyle name="Обычный 6 6" xfId="58121"/>
    <cellStyle name="Обычный 6 6 2" xfId="58122"/>
    <cellStyle name="Обычный 6 7" xfId="58123"/>
    <cellStyle name="Обычный 6 7 2" xfId="58124"/>
    <cellStyle name="Обычный 6 8" xfId="58125"/>
    <cellStyle name="Обычный 6 9" xfId="58126"/>
    <cellStyle name="Обычный 60" xfId="58127"/>
    <cellStyle name="Обычный 61" xfId="58128"/>
    <cellStyle name="Обычный 62" xfId="58129"/>
    <cellStyle name="Обычный 63" xfId="58130"/>
    <cellStyle name="Обычный 64" xfId="58131"/>
    <cellStyle name="Обычный 65" xfId="58132"/>
    <cellStyle name="Обычный 66" xfId="58133"/>
    <cellStyle name="Обычный 67" xfId="58134"/>
    <cellStyle name="Обычный 68" xfId="58135"/>
    <cellStyle name="Обычный 69" xfId="58136"/>
    <cellStyle name="Обычный 7" xfId="58137"/>
    <cellStyle name="Обычный 7 2" xfId="58138"/>
    <cellStyle name="Обычный 7 2 2" xfId="58139"/>
    <cellStyle name="Обычный 7 2 2 2" xfId="58140"/>
    <cellStyle name="Обычный 7 2 3" xfId="58141"/>
    <cellStyle name="Обычный 7 3" xfId="58142"/>
    <cellStyle name="Обычный 7 4" xfId="58143"/>
    <cellStyle name="Обычный 70" xfId="58144"/>
    <cellStyle name="Обычный 71" xfId="58145"/>
    <cellStyle name="Обычный 72" xfId="58146"/>
    <cellStyle name="Обычный 73" xfId="58147"/>
    <cellStyle name="Обычный 74" xfId="58148"/>
    <cellStyle name="Обычный 75" xfId="58149"/>
    <cellStyle name="Обычный 76" xfId="58150"/>
    <cellStyle name="Обычный 77" xfId="58151"/>
    <cellStyle name="Обычный 78" xfId="58152"/>
    <cellStyle name="Обычный 8" xfId="58153"/>
    <cellStyle name="Обычный 8 2" xfId="58154"/>
    <cellStyle name="Обычный 8 2 2" xfId="58155"/>
    <cellStyle name="Обычный 8 2 2 2" xfId="58156"/>
    <cellStyle name="Обычный 8 2 3" xfId="58157"/>
    <cellStyle name="Обычный 8 3" xfId="58158"/>
    <cellStyle name="Обычный 8 4" xfId="58159"/>
    <cellStyle name="Обычный 9" xfId="58160"/>
    <cellStyle name="Обычный 9 2" xfId="58161"/>
    <cellStyle name="Обычный 9 2 2" xfId="58162"/>
    <cellStyle name="Обычный 9 2 2 2" xfId="58163"/>
    <cellStyle name="Обычный 9 2 3" xfId="58164"/>
    <cellStyle name="Обычный 9 3" xfId="58165"/>
    <cellStyle name="Обычный 9 4" xfId="58166"/>
    <cellStyle name="Обычный 91" xfId="58167"/>
    <cellStyle name="Обычный 92" xfId="58168"/>
    <cellStyle name="Обычный 93" xfId="58169"/>
    <cellStyle name="Обычный 94" xfId="58170"/>
    <cellStyle name="Обычный 95" xfId="58171"/>
    <cellStyle name="Обычный 96" xfId="58172"/>
    <cellStyle name="Обычный 97" xfId="58173"/>
    <cellStyle name="Обычный 98" xfId="58174"/>
    <cellStyle name="Обычный 99" xfId="58175"/>
    <cellStyle name="Обычный_17.04.2007 Свод(общий)" xfId="59252"/>
    <cellStyle name="Обычный_Ежемесячный отчет 2004 г." xfId="59250"/>
    <cellStyle name="Обычный_Лист1" xfId="59251"/>
    <cellStyle name="Плохой 10" xfId="58176"/>
    <cellStyle name="Плохой 100" xfId="58177"/>
    <cellStyle name="Плохой 101" xfId="58178"/>
    <cellStyle name="Плохой 102" xfId="58179"/>
    <cellStyle name="Плохой 103" xfId="58180"/>
    <cellStyle name="Плохой 104" xfId="58181"/>
    <cellStyle name="Плохой 105" xfId="58182"/>
    <cellStyle name="Плохой 106" xfId="58183"/>
    <cellStyle name="Плохой 107" xfId="58184"/>
    <cellStyle name="Плохой 108" xfId="58185"/>
    <cellStyle name="Плохой 109" xfId="58186"/>
    <cellStyle name="Плохой 11" xfId="58187"/>
    <cellStyle name="Плохой 110" xfId="58188"/>
    <cellStyle name="Плохой 111" xfId="58189"/>
    <cellStyle name="Плохой 112" xfId="58190"/>
    <cellStyle name="Плохой 113" xfId="58191"/>
    <cellStyle name="Плохой 114" xfId="58192"/>
    <cellStyle name="Плохой 115" xfId="58193"/>
    <cellStyle name="Плохой 116" xfId="58194"/>
    <cellStyle name="Плохой 117" xfId="58195"/>
    <cellStyle name="Плохой 118" xfId="58196"/>
    <cellStyle name="Плохой 119" xfId="58197"/>
    <cellStyle name="Плохой 12" xfId="58198"/>
    <cellStyle name="Плохой 120" xfId="58199"/>
    <cellStyle name="Плохой 121" xfId="58200"/>
    <cellStyle name="Плохой 122" xfId="58201"/>
    <cellStyle name="Плохой 123" xfId="58202"/>
    <cellStyle name="Плохой 124" xfId="58203"/>
    <cellStyle name="Плохой 125" xfId="58204"/>
    <cellStyle name="Плохой 126" xfId="58205"/>
    <cellStyle name="Плохой 127" xfId="58206"/>
    <cellStyle name="Плохой 128" xfId="58207"/>
    <cellStyle name="Плохой 129" xfId="58208"/>
    <cellStyle name="Плохой 13" xfId="58209"/>
    <cellStyle name="Плохой 130" xfId="58210"/>
    <cellStyle name="Плохой 131" xfId="58211"/>
    <cellStyle name="Плохой 132" xfId="58212"/>
    <cellStyle name="Плохой 133" xfId="58213"/>
    <cellStyle name="Плохой 134" xfId="58214"/>
    <cellStyle name="Плохой 135" xfId="58215"/>
    <cellStyle name="Плохой 136" xfId="58216"/>
    <cellStyle name="Плохой 137" xfId="58217"/>
    <cellStyle name="Плохой 138" xfId="58218"/>
    <cellStyle name="Плохой 139" xfId="58219"/>
    <cellStyle name="Плохой 14" xfId="58220"/>
    <cellStyle name="Плохой 140" xfId="58221"/>
    <cellStyle name="Плохой 141" xfId="58222"/>
    <cellStyle name="Плохой 142" xfId="58223"/>
    <cellStyle name="Плохой 143" xfId="58224"/>
    <cellStyle name="Плохой 144" xfId="58225"/>
    <cellStyle name="Плохой 145" xfId="58226"/>
    <cellStyle name="Плохой 146" xfId="58227"/>
    <cellStyle name="Плохой 147" xfId="58228"/>
    <cellStyle name="Плохой 148" xfId="58229"/>
    <cellStyle name="Плохой 149" xfId="58230"/>
    <cellStyle name="Плохой 15" xfId="58231"/>
    <cellStyle name="Плохой 150" xfId="58232"/>
    <cellStyle name="Плохой 151" xfId="58233"/>
    <cellStyle name="Плохой 152" xfId="58234"/>
    <cellStyle name="Плохой 153" xfId="58235"/>
    <cellStyle name="Плохой 16" xfId="58236"/>
    <cellStyle name="Плохой 17" xfId="58237"/>
    <cellStyle name="Плохой 18" xfId="58238"/>
    <cellStyle name="Плохой 19" xfId="58239"/>
    <cellStyle name="Плохой 2" xfId="58240"/>
    <cellStyle name="Плохой 2 2" xfId="58241"/>
    <cellStyle name="Плохой 2 2 10" xfId="58242"/>
    <cellStyle name="Плохой 2 2 11" xfId="58243"/>
    <cellStyle name="Плохой 2 2 12" xfId="58244"/>
    <cellStyle name="Плохой 2 2 13" xfId="58245"/>
    <cellStyle name="Плохой 2 2 2" xfId="58246"/>
    <cellStyle name="Плохой 2 2 3" xfId="58247"/>
    <cellStyle name="Плохой 2 2 4" xfId="58248"/>
    <cellStyle name="Плохой 2 2 5" xfId="58249"/>
    <cellStyle name="Плохой 2 2 6" xfId="58250"/>
    <cellStyle name="Плохой 2 2 7" xfId="58251"/>
    <cellStyle name="Плохой 2 2 8" xfId="58252"/>
    <cellStyle name="Плохой 2 2 9" xfId="58253"/>
    <cellStyle name="Плохой 2 3" xfId="58254"/>
    <cellStyle name="Плохой 20" xfId="58255"/>
    <cellStyle name="Плохой 21" xfId="58256"/>
    <cellStyle name="Плохой 22" xfId="58257"/>
    <cellStyle name="Плохой 23" xfId="58258"/>
    <cellStyle name="Плохой 24" xfId="58259"/>
    <cellStyle name="Плохой 25" xfId="58260"/>
    <cellStyle name="Плохой 26" xfId="58261"/>
    <cellStyle name="Плохой 27" xfId="58262"/>
    <cellStyle name="Плохой 28" xfId="58263"/>
    <cellStyle name="Плохой 29" xfId="58264"/>
    <cellStyle name="Плохой 3" xfId="58265"/>
    <cellStyle name="Плохой 30" xfId="58266"/>
    <cellStyle name="Плохой 31" xfId="58267"/>
    <cellStyle name="Плохой 32" xfId="58268"/>
    <cellStyle name="Плохой 33" xfId="58269"/>
    <cellStyle name="Плохой 34" xfId="58270"/>
    <cellStyle name="Плохой 35" xfId="58271"/>
    <cellStyle name="Плохой 36" xfId="58272"/>
    <cellStyle name="Плохой 37" xfId="58273"/>
    <cellStyle name="Плохой 38" xfId="58274"/>
    <cellStyle name="Плохой 39" xfId="58275"/>
    <cellStyle name="Плохой 4" xfId="58276"/>
    <cellStyle name="Плохой 40" xfId="58277"/>
    <cellStyle name="Плохой 41" xfId="58278"/>
    <cellStyle name="Плохой 42" xfId="58279"/>
    <cellStyle name="Плохой 43" xfId="58280"/>
    <cellStyle name="Плохой 44" xfId="58281"/>
    <cellStyle name="Плохой 45" xfId="58282"/>
    <cellStyle name="Плохой 46" xfId="58283"/>
    <cellStyle name="Плохой 47" xfId="58284"/>
    <cellStyle name="Плохой 48" xfId="58285"/>
    <cellStyle name="Плохой 49" xfId="58286"/>
    <cellStyle name="Плохой 5" xfId="58287"/>
    <cellStyle name="Плохой 50" xfId="58288"/>
    <cellStyle name="Плохой 51" xfId="58289"/>
    <cellStyle name="Плохой 52" xfId="58290"/>
    <cellStyle name="Плохой 53" xfId="58291"/>
    <cellStyle name="Плохой 54" xfId="58292"/>
    <cellStyle name="Плохой 55" xfId="58293"/>
    <cellStyle name="Плохой 56" xfId="58294"/>
    <cellStyle name="Плохой 57" xfId="58295"/>
    <cellStyle name="Плохой 58" xfId="58296"/>
    <cellStyle name="Плохой 59" xfId="58297"/>
    <cellStyle name="Плохой 6" xfId="58298"/>
    <cellStyle name="Плохой 60" xfId="58299"/>
    <cellStyle name="Плохой 61" xfId="58300"/>
    <cellStyle name="Плохой 62" xfId="58301"/>
    <cellStyle name="Плохой 63" xfId="58302"/>
    <cellStyle name="Плохой 64" xfId="58303"/>
    <cellStyle name="Плохой 65" xfId="58304"/>
    <cellStyle name="Плохой 66" xfId="58305"/>
    <cellStyle name="Плохой 67" xfId="58306"/>
    <cellStyle name="Плохой 68" xfId="58307"/>
    <cellStyle name="Плохой 69" xfId="58308"/>
    <cellStyle name="Плохой 7" xfId="58309"/>
    <cellStyle name="Плохой 70" xfId="58310"/>
    <cellStyle name="Плохой 71" xfId="58311"/>
    <cellStyle name="Плохой 72" xfId="58312"/>
    <cellStyle name="Плохой 73" xfId="58313"/>
    <cellStyle name="Плохой 74" xfId="58314"/>
    <cellStyle name="Плохой 75" xfId="58315"/>
    <cellStyle name="Плохой 76" xfId="58316"/>
    <cellStyle name="Плохой 77" xfId="58317"/>
    <cellStyle name="Плохой 78" xfId="58318"/>
    <cellStyle name="Плохой 79" xfId="58319"/>
    <cellStyle name="Плохой 8" xfId="58320"/>
    <cellStyle name="Плохой 80" xfId="58321"/>
    <cellStyle name="Плохой 81" xfId="58322"/>
    <cellStyle name="Плохой 82" xfId="58323"/>
    <cellStyle name="Плохой 83" xfId="58324"/>
    <cellStyle name="Плохой 84" xfId="58325"/>
    <cellStyle name="Плохой 85" xfId="58326"/>
    <cellStyle name="Плохой 86" xfId="58327"/>
    <cellStyle name="Плохой 87" xfId="58328"/>
    <cellStyle name="Плохой 88" xfId="58329"/>
    <cellStyle name="Плохой 89" xfId="58330"/>
    <cellStyle name="Плохой 9" xfId="58331"/>
    <cellStyle name="Плохой 90" xfId="58332"/>
    <cellStyle name="Плохой 91" xfId="58333"/>
    <cellStyle name="Плохой 92" xfId="58334"/>
    <cellStyle name="Плохой 93" xfId="58335"/>
    <cellStyle name="Плохой 94" xfId="58336"/>
    <cellStyle name="Плохой 95" xfId="58337"/>
    <cellStyle name="Плохой 96" xfId="58338"/>
    <cellStyle name="Плохой 97" xfId="58339"/>
    <cellStyle name="Плохой 98" xfId="58340"/>
    <cellStyle name="Плохой 99" xfId="58341"/>
    <cellStyle name="Пояснение 10" xfId="58342"/>
    <cellStyle name="Пояснение 100" xfId="58343"/>
    <cellStyle name="Пояснение 101" xfId="58344"/>
    <cellStyle name="Пояснение 102" xfId="58345"/>
    <cellStyle name="Пояснение 103" xfId="58346"/>
    <cellStyle name="Пояснение 104" xfId="58347"/>
    <cellStyle name="Пояснение 105" xfId="58348"/>
    <cellStyle name="Пояснение 106" xfId="58349"/>
    <cellStyle name="Пояснение 107" xfId="58350"/>
    <cellStyle name="Пояснение 108" xfId="58351"/>
    <cellStyle name="Пояснение 109" xfId="58352"/>
    <cellStyle name="Пояснение 11" xfId="58353"/>
    <cellStyle name="Пояснение 110" xfId="58354"/>
    <cellStyle name="Пояснение 111" xfId="58355"/>
    <cellStyle name="Пояснение 112" xfId="58356"/>
    <cellStyle name="Пояснение 113" xfId="58357"/>
    <cellStyle name="Пояснение 114" xfId="58358"/>
    <cellStyle name="Пояснение 115" xfId="58359"/>
    <cellStyle name="Пояснение 116" xfId="58360"/>
    <cellStyle name="Пояснение 117" xfId="58361"/>
    <cellStyle name="Пояснение 118" xfId="58362"/>
    <cellStyle name="Пояснение 119" xfId="58363"/>
    <cellStyle name="Пояснение 12" xfId="58364"/>
    <cellStyle name="Пояснение 120" xfId="58365"/>
    <cellStyle name="Пояснение 121" xfId="58366"/>
    <cellStyle name="Пояснение 122" xfId="58367"/>
    <cellStyle name="Пояснение 123" xfId="58368"/>
    <cellStyle name="Пояснение 124" xfId="58369"/>
    <cellStyle name="Пояснение 125" xfId="58370"/>
    <cellStyle name="Пояснение 126" xfId="58371"/>
    <cellStyle name="Пояснение 127" xfId="58372"/>
    <cellStyle name="Пояснение 128" xfId="58373"/>
    <cellStyle name="Пояснение 129" xfId="58374"/>
    <cellStyle name="Пояснение 13" xfId="58375"/>
    <cellStyle name="Пояснение 130" xfId="58376"/>
    <cellStyle name="Пояснение 131" xfId="58377"/>
    <cellStyle name="Пояснение 132" xfId="58378"/>
    <cellStyle name="Пояснение 133" xfId="58379"/>
    <cellStyle name="Пояснение 134" xfId="58380"/>
    <cellStyle name="Пояснение 135" xfId="58381"/>
    <cellStyle name="Пояснение 136" xfId="58382"/>
    <cellStyle name="Пояснение 137" xfId="58383"/>
    <cellStyle name="Пояснение 138" xfId="58384"/>
    <cellStyle name="Пояснение 139" xfId="58385"/>
    <cellStyle name="Пояснение 14" xfId="58386"/>
    <cellStyle name="Пояснение 140" xfId="58387"/>
    <cellStyle name="Пояснение 141" xfId="58388"/>
    <cellStyle name="Пояснение 142" xfId="58389"/>
    <cellStyle name="Пояснение 143" xfId="58390"/>
    <cellStyle name="Пояснение 144" xfId="58391"/>
    <cellStyle name="Пояснение 145" xfId="58392"/>
    <cellStyle name="Пояснение 146" xfId="58393"/>
    <cellStyle name="Пояснение 147" xfId="58394"/>
    <cellStyle name="Пояснение 148" xfId="58395"/>
    <cellStyle name="Пояснение 149" xfId="58396"/>
    <cellStyle name="Пояснение 15" xfId="58397"/>
    <cellStyle name="Пояснение 150" xfId="58398"/>
    <cellStyle name="Пояснение 151" xfId="58399"/>
    <cellStyle name="Пояснение 152" xfId="58400"/>
    <cellStyle name="Пояснение 153" xfId="58401"/>
    <cellStyle name="Пояснение 16" xfId="58402"/>
    <cellStyle name="Пояснение 17" xfId="58403"/>
    <cellStyle name="Пояснение 18" xfId="58404"/>
    <cellStyle name="Пояснение 19" xfId="58405"/>
    <cellStyle name="Пояснение 2" xfId="58406"/>
    <cellStyle name="Пояснение 2 2" xfId="58407"/>
    <cellStyle name="Пояснение 2 2 10" xfId="58408"/>
    <cellStyle name="Пояснение 2 2 11" xfId="58409"/>
    <cellStyle name="Пояснение 2 2 12" xfId="58410"/>
    <cellStyle name="Пояснение 2 2 13" xfId="58411"/>
    <cellStyle name="Пояснение 2 2 2" xfId="58412"/>
    <cellStyle name="Пояснение 2 2 3" xfId="58413"/>
    <cellStyle name="Пояснение 2 2 4" xfId="58414"/>
    <cellStyle name="Пояснение 2 2 5" xfId="58415"/>
    <cellStyle name="Пояснение 2 2 6" xfId="58416"/>
    <cellStyle name="Пояснение 2 2 7" xfId="58417"/>
    <cellStyle name="Пояснение 2 2 8" xfId="58418"/>
    <cellStyle name="Пояснение 2 2 9" xfId="58419"/>
    <cellStyle name="Пояснение 2 3" xfId="58420"/>
    <cellStyle name="Пояснение 20" xfId="58421"/>
    <cellStyle name="Пояснение 21" xfId="58422"/>
    <cellStyle name="Пояснение 22" xfId="58423"/>
    <cellStyle name="Пояснение 23" xfId="58424"/>
    <cellStyle name="Пояснение 24" xfId="58425"/>
    <cellStyle name="Пояснение 25" xfId="58426"/>
    <cellStyle name="Пояснение 26" xfId="58427"/>
    <cellStyle name="Пояснение 27" xfId="58428"/>
    <cellStyle name="Пояснение 28" xfId="58429"/>
    <cellStyle name="Пояснение 29" xfId="58430"/>
    <cellStyle name="Пояснение 3" xfId="58431"/>
    <cellStyle name="Пояснение 30" xfId="58432"/>
    <cellStyle name="Пояснение 31" xfId="58433"/>
    <cellStyle name="Пояснение 32" xfId="58434"/>
    <cellStyle name="Пояснение 33" xfId="58435"/>
    <cellStyle name="Пояснение 34" xfId="58436"/>
    <cellStyle name="Пояснение 35" xfId="58437"/>
    <cellStyle name="Пояснение 36" xfId="58438"/>
    <cellStyle name="Пояснение 37" xfId="58439"/>
    <cellStyle name="Пояснение 38" xfId="58440"/>
    <cellStyle name="Пояснение 39" xfId="58441"/>
    <cellStyle name="Пояснение 4" xfId="58442"/>
    <cellStyle name="Пояснение 40" xfId="58443"/>
    <cellStyle name="Пояснение 41" xfId="58444"/>
    <cellStyle name="Пояснение 42" xfId="58445"/>
    <cellStyle name="Пояснение 43" xfId="58446"/>
    <cellStyle name="Пояснение 44" xfId="58447"/>
    <cellStyle name="Пояснение 45" xfId="58448"/>
    <cellStyle name="Пояснение 46" xfId="58449"/>
    <cellStyle name="Пояснение 47" xfId="58450"/>
    <cellStyle name="Пояснение 48" xfId="58451"/>
    <cellStyle name="Пояснение 49" xfId="58452"/>
    <cellStyle name="Пояснение 5" xfId="58453"/>
    <cellStyle name="Пояснение 50" xfId="58454"/>
    <cellStyle name="Пояснение 51" xfId="58455"/>
    <cellStyle name="Пояснение 52" xfId="58456"/>
    <cellStyle name="Пояснение 53" xfId="58457"/>
    <cellStyle name="Пояснение 54" xfId="58458"/>
    <cellStyle name="Пояснение 55" xfId="58459"/>
    <cellStyle name="Пояснение 56" xfId="58460"/>
    <cellStyle name="Пояснение 57" xfId="58461"/>
    <cellStyle name="Пояснение 58" xfId="58462"/>
    <cellStyle name="Пояснение 59" xfId="58463"/>
    <cellStyle name="Пояснение 6" xfId="58464"/>
    <cellStyle name="Пояснение 60" xfId="58465"/>
    <cellStyle name="Пояснение 61" xfId="58466"/>
    <cellStyle name="Пояснение 62" xfId="58467"/>
    <cellStyle name="Пояснение 63" xfId="58468"/>
    <cellStyle name="Пояснение 64" xfId="58469"/>
    <cellStyle name="Пояснение 65" xfId="58470"/>
    <cellStyle name="Пояснение 66" xfId="58471"/>
    <cellStyle name="Пояснение 67" xfId="58472"/>
    <cellStyle name="Пояснение 68" xfId="58473"/>
    <cellStyle name="Пояснение 69" xfId="58474"/>
    <cellStyle name="Пояснение 7" xfId="58475"/>
    <cellStyle name="Пояснение 70" xfId="58476"/>
    <cellStyle name="Пояснение 71" xfId="58477"/>
    <cellStyle name="Пояснение 72" xfId="58478"/>
    <cellStyle name="Пояснение 73" xfId="58479"/>
    <cellStyle name="Пояснение 74" xfId="58480"/>
    <cellStyle name="Пояснение 75" xfId="58481"/>
    <cellStyle name="Пояснение 76" xfId="58482"/>
    <cellStyle name="Пояснение 77" xfId="58483"/>
    <cellStyle name="Пояснение 78" xfId="58484"/>
    <cellStyle name="Пояснение 79" xfId="58485"/>
    <cellStyle name="Пояснение 8" xfId="58486"/>
    <cellStyle name="Пояснение 80" xfId="58487"/>
    <cellStyle name="Пояснение 81" xfId="58488"/>
    <cellStyle name="Пояснение 82" xfId="58489"/>
    <cellStyle name="Пояснение 83" xfId="58490"/>
    <cellStyle name="Пояснение 84" xfId="58491"/>
    <cellStyle name="Пояснение 85" xfId="58492"/>
    <cellStyle name="Пояснение 86" xfId="58493"/>
    <cellStyle name="Пояснение 87" xfId="58494"/>
    <cellStyle name="Пояснение 88" xfId="58495"/>
    <cellStyle name="Пояснение 89" xfId="58496"/>
    <cellStyle name="Пояснение 9" xfId="58497"/>
    <cellStyle name="Пояснение 90" xfId="58498"/>
    <cellStyle name="Пояснение 91" xfId="58499"/>
    <cellStyle name="Пояснение 92" xfId="58500"/>
    <cellStyle name="Пояснение 93" xfId="58501"/>
    <cellStyle name="Пояснение 94" xfId="58502"/>
    <cellStyle name="Пояснение 95" xfId="58503"/>
    <cellStyle name="Пояснение 96" xfId="58504"/>
    <cellStyle name="Пояснение 97" xfId="58505"/>
    <cellStyle name="Пояснение 98" xfId="58506"/>
    <cellStyle name="Пояснение 99" xfId="58507"/>
    <cellStyle name="Примечание 10" xfId="58508"/>
    <cellStyle name="Примечание 10 2" xfId="58509"/>
    <cellStyle name="Примечание 10 3" xfId="58510"/>
    <cellStyle name="Примечание 100" xfId="58511"/>
    <cellStyle name="Примечание 101" xfId="58512"/>
    <cellStyle name="Примечание 102" xfId="58513"/>
    <cellStyle name="Примечание 103" xfId="58514"/>
    <cellStyle name="Примечание 104" xfId="58515"/>
    <cellStyle name="Примечание 105" xfId="58516"/>
    <cellStyle name="Примечание 106" xfId="58517"/>
    <cellStyle name="Примечание 107" xfId="58518"/>
    <cellStyle name="Примечание 108" xfId="58519"/>
    <cellStyle name="Примечание 109" xfId="58520"/>
    <cellStyle name="Примечание 11" xfId="58521"/>
    <cellStyle name="Примечание 11 2" xfId="58522"/>
    <cellStyle name="Примечание 11 3" xfId="58523"/>
    <cellStyle name="Примечание 110" xfId="58524"/>
    <cellStyle name="Примечание 111" xfId="58525"/>
    <cellStyle name="Примечание 112" xfId="58526"/>
    <cellStyle name="Примечание 113" xfId="58527"/>
    <cellStyle name="Примечание 114" xfId="58528"/>
    <cellStyle name="Примечание 115" xfId="58529"/>
    <cellStyle name="Примечание 116" xfId="58530"/>
    <cellStyle name="Примечание 117" xfId="58531"/>
    <cellStyle name="Примечание 118" xfId="58532"/>
    <cellStyle name="Примечание 119" xfId="58533"/>
    <cellStyle name="Примечание 12" xfId="58534"/>
    <cellStyle name="Примечание 12 2" xfId="58535"/>
    <cellStyle name="Примечание 12 3" xfId="58536"/>
    <cellStyle name="Примечание 120" xfId="58537"/>
    <cellStyle name="Примечание 121" xfId="58538"/>
    <cellStyle name="Примечание 122" xfId="58539"/>
    <cellStyle name="Примечание 123" xfId="58540"/>
    <cellStyle name="Примечание 124" xfId="58541"/>
    <cellStyle name="Примечание 125" xfId="58542"/>
    <cellStyle name="Примечание 126" xfId="58543"/>
    <cellStyle name="Примечание 127" xfId="58544"/>
    <cellStyle name="Примечание 128" xfId="58545"/>
    <cellStyle name="Примечание 129" xfId="58546"/>
    <cellStyle name="Примечание 13" xfId="58547"/>
    <cellStyle name="Примечание 13 2" xfId="58548"/>
    <cellStyle name="Примечание 13 3" xfId="58549"/>
    <cellStyle name="Примечание 130" xfId="58550"/>
    <cellStyle name="Примечание 131" xfId="58551"/>
    <cellStyle name="Примечание 132" xfId="58552"/>
    <cellStyle name="Примечание 133" xfId="58553"/>
    <cellStyle name="Примечание 134" xfId="58554"/>
    <cellStyle name="Примечание 135" xfId="58555"/>
    <cellStyle name="Примечание 136" xfId="58556"/>
    <cellStyle name="Примечание 137" xfId="58557"/>
    <cellStyle name="Примечание 138" xfId="58558"/>
    <cellStyle name="Примечание 139" xfId="58559"/>
    <cellStyle name="Примечание 14" xfId="58560"/>
    <cellStyle name="Примечание 140" xfId="58561"/>
    <cellStyle name="Примечание 141" xfId="58562"/>
    <cellStyle name="Примечание 142" xfId="58563"/>
    <cellStyle name="Примечание 143" xfId="58564"/>
    <cellStyle name="Примечание 144" xfId="58565"/>
    <cellStyle name="Примечание 145" xfId="58566"/>
    <cellStyle name="Примечание 146" xfId="58567"/>
    <cellStyle name="Примечание 147" xfId="58568"/>
    <cellStyle name="Примечание 148" xfId="58569"/>
    <cellStyle name="Примечание 149" xfId="58570"/>
    <cellStyle name="Примечание 15" xfId="58571"/>
    <cellStyle name="Примечание 150" xfId="58572"/>
    <cellStyle name="Примечание 151" xfId="58573"/>
    <cellStyle name="Примечание 152" xfId="58574"/>
    <cellStyle name="Примечание 153" xfId="58575"/>
    <cellStyle name="Примечание 154" xfId="58576"/>
    <cellStyle name="Примечание 155" xfId="58577"/>
    <cellStyle name="Примечание 156" xfId="58578"/>
    <cellStyle name="Примечание 157" xfId="58579"/>
    <cellStyle name="Примечание 158" xfId="58580"/>
    <cellStyle name="Примечание 159" xfId="58581"/>
    <cellStyle name="Примечание 16" xfId="58582"/>
    <cellStyle name="Примечание 160" xfId="58583"/>
    <cellStyle name="Примечание 161" xfId="58584"/>
    <cellStyle name="Примечание 162" xfId="58585"/>
    <cellStyle name="Примечание 163" xfId="58586"/>
    <cellStyle name="Примечание 164" xfId="58587"/>
    <cellStyle name="Примечание 17" xfId="58588"/>
    <cellStyle name="Примечание 18" xfId="58589"/>
    <cellStyle name="Примечание 19" xfId="58590"/>
    <cellStyle name="Примечание 2" xfId="58591"/>
    <cellStyle name="Примечание 2 2" xfId="58592"/>
    <cellStyle name="Примечание 2 3" xfId="58593"/>
    <cellStyle name="Примечание 2 4" xfId="58594"/>
    <cellStyle name="Примечание 20" xfId="58595"/>
    <cellStyle name="Примечание 21" xfId="58596"/>
    <cellStyle name="Примечание 22" xfId="58597"/>
    <cellStyle name="Примечание 23" xfId="58598"/>
    <cellStyle name="Примечание 24" xfId="58599"/>
    <cellStyle name="Примечание 25" xfId="58600"/>
    <cellStyle name="Примечание 26" xfId="58601"/>
    <cellStyle name="Примечание 27" xfId="58602"/>
    <cellStyle name="Примечание 28" xfId="58603"/>
    <cellStyle name="Примечание 29" xfId="58604"/>
    <cellStyle name="Примечание 3" xfId="58605"/>
    <cellStyle name="Примечание 3 2" xfId="58606"/>
    <cellStyle name="Примечание 3 3" xfId="58607"/>
    <cellStyle name="Примечание 30" xfId="58608"/>
    <cellStyle name="Примечание 31" xfId="58609"/>
    <cellStyle name="Примечание 32" xfId="58610"/>
    <cellStyle name="Примечание 33" xfId="58611"/>
    <cellStyle name="Примечание 34" xfId="58612"/>
    <cellStyle name="Примечание 35" xfId="58613"/>
    <cellStyle name="Примечание 36" xfId="58614"/>
    <cellStyle name="Примечание 37" xfId="58615"/>
    <cellStyle name="Примечание 38" xfId="58616"/>
    <cellStyle name="Примечание 39" xfId="58617"/>
    <cellStyle name="Примечание 4" xfId="58618"/>
    <cellStyle name="Примечание 4 2" xfId="58619"/>
    <cellStyle name="Примечание 4 3" xfId="58620"/>
    <cellStyle name="Примечание 40" xfId="58621"/>
    <cellStyle name="Примечание 41" xfId="58622"/>
    <cellStyle name="Примечание 42" xfId="58623"/>
    <cellStyle name="Примечание 43" xfId="58624"/>
    <cellStyle name="Примечание 44" xfId="58625"/>
    <cellStyle name="Примечание 45" xfId="58626"/>
    <cellStyle name="Примечание 46" xfId="58627"/>
    <cellStyle name="Примечание 47" xfId="58628"/>
    <cellStyle name="Примечание 48" xfId="58629"/>
    <cellStyle name="Примечание 49" xfId="58630"/>
    <cellStyle name="Примечание 5" xfId="58631"/>
    <cellStyle name="Примечание 5 2" xfId="58632"/>
    <cellStyle name="Примечание 5 3" xfId="58633"/>
    <cellStyle name="Примечание 50" xfId="58634"/>
    <cellStyle name="Примечание 51" xfId="58635"/>
    <cellStyle name="Примечание 52" xfId="58636"/>
    <cellStyle name="Примечание 53" xfId="58637"/>
    <cellStyle name="Примечание 54" xfId="58638"/>
    <cellStyle name="Примечание 55" xfId="58639"/>
    <cellStyle name="Примечание 56" xfId="58640"/>
    <cellStyle name="Примечание 57" xfId="58641"/>
    <cellStyle name="Примечание 58" xfId="58642"/>
    <cellStyle name="Примечание 59" xfId="58643"/>
    <cellStyle name="Примечание 6" xfId="58644"/>
    <cellStyle name="Примечание 6 2" xfId="58645"/>
    <cellStyle name="Примечание 6 3" xfId="58646"/>
    <cellStyle name="Примечание 60" xfId="58647"/>
    <cellStyle name="Примечание 61" xfId="58648"/>
    <cellStyle name="Примечание 62" xfId="58649"/>
    <cellStyle name="Примечание 63" xfId="58650"/>
    <cellStyle name="Примечание 64" xfId="58651"/>
    <cellStyle name="Примечание 65" xfId="58652"/>
    <cellStyle name="Примечание 66" xfId="58653"/>
    <cellStyle name="Примечание 67" xfId="58654"/>
    <cellStyle name="Примечание 68" xfId="58655"/>
    <cellStyle name="Примечание 69" xfId="58656"/>
    <cellStyle name="Примечание 7" xfId="58657"/>
    <cellStyle name="Примечание 7 2" xfId="58658"/>
    <cellStyle name="Примечание 7 3" xfId="58659"/>
    <cellStyle name="Примечание 70" xfId="58660"/>
    <cellStyle name="Примечание 71" xfId="58661"/>
    <cellStyle name="Примечание 72" xfId="58662"/>
    <cellStyle name="Примечание 73" xfId="58663"/>
    <cellStyle name="Примечание 74" xfId="58664"/>
    <cellStyle name="Примечание 75" xfId="58665"/>
    <cellStyle name="Примечание 76" xfId="58666"/>
    <cellStyle name="Примечание 77" xfId="58667"/>
    <cellStyle name="Примечание 78" xfId="58668"/>
    <cellStyle name="Примечание 79" xfId="58669"/>
    <cellStyle name="Примечание 8" xfId="58670"/>
    <cellStyle name="Примечание 8 2" xfId="58671"/>
    <cellStyle name="Примечание 8 3" xfId="58672"/>
    <cellStyle name="Примечание 80" xfId="58673"/>
    <cellStyle name="Примечание 81" xfId="58674"/>
    <cellStyle name="Примечание 82" xfId="58675"/>
    <cellStyle name="Примечание 83" xfId="58676"/>
    <cellStyle name="Примечание 84" xfId="58677"/>
    <cellStyle name="Примечание 85" xfId="58678"/>
    <cellStyle name="Примечание 86" xfId="58679"/>
    <cellStyle name="Примечание 87" xfId="58680"/>
    <cellStyle name="Примечание 88" xfId="58681"/>
    <cellStyle name="Примечание 89" xfId="58682"/>
    <cellStyle name="Примечание 9" xfId="58683"/>
    <cellStyle name="Примечание 9 2" xfId="58684"/>
    <cellStyle name="Примечание 9 3" xfId="58685"/>
    <cellStyle name="Примечание 90" xfId="58686"/>
    <cellStyle name="Примечание 91" xfId="58687"/>
    <cellStyle name="Примечание 92" xfId="58688"/>
    <cellStyle name="Примечание 93" xfId="58689"/>
    <cellStyle name="Примечание 94" xfId="58690"/>
    <cellStyle name="Примечание 95" xfId="58691"/>
    <cellStyle name="Примечание 96" xfId="58692"/>
    <cellStyle name="Примечание 97" xfId="58693"/>
    <cellStyle name="Примечание 98" xfId="58694"/>
    <cellStyle name="Примечание 99" xfId="58695"/>
    <cellStyle name="Процентный 2" xfId="58696"/>
    <cellStyle name="Процентный 3" xfId="58697"/>
    <cellStyle name="Процентный 4" xfId="58698"/>
    <cellStyle name="Связанная ячейка 10" xfId="58699"/>
    <cellStyle name="Связанная ячейка 100" xfId="58700"/>
    <cellStyle name="Связанная ячейка 101" xfId="58701"/>
    <cellStyle name="Связанная ячейка 102" xfId="58702"/>
    <cellStyle name="Связанная ячейка 103" xfId="58703"/>
    <cellStyle name="Связанная ячейка 104" xfId="58704"/>
    <cellStyle name="Связанная ячейка 105" xfId="58705"/>
    <cellStyle name="Связанная ячейка 106" xfId="58706"/>
    <cellStyle name="Связанная ячейка 107" xfId="58707"/>
    <cellStyle name="Связанная ячейка 108" xfId="58708"/>
    <cellStyle name="Связанная ячейка 109" xfId="58709"/>
    <cellStyle name="Связанная ячейка 11" xfId="58710"/>
    <cellStyle name="Связанная ячейка 110" xfId="58711"/>
    <cellStyle name="Связанная ячейка 111" xfId="58712"/>
    <cellStyle name="Связанная ячейка 112" xfId="58713"/>
    <cellStyle name="Связанная ячейка 113" xfId="58714"/>
    <cellStyle name="Связанная ячейка 114" xfId="58715"/>
    <cellStyle name="Связанная ячейка 115" xfId="58716"/>
    <cellStyle name="Связанная ячейка 116" xfId="58717"/>
    <cellStyle name="Связанная ячейка 117" xfId="58718"/>
    <cellStyle name="Связанная ячейка 118" xfId="58719"/>
    <cellStyle name="Связанная ячейка 119" xfId="58720"/>
    <cellStyle name="Связанная ячейка 12" xfId="58721"/>
    <cellStyle name="Связанная ячейка 120" xfId="58722"/>
    <cellStyle name="Связанная ячейка 121" xfId="58723"/>
    <cellStyle name="Связанная ячейка 122" xfId="58724"/>
    <cellStyle name="Связанная ячейка 123" xfId="58725"/>
    <cellStyle name="Связанная ячейка 124" xfId="58726"/>
    <cellStyle name="Связанная ячейка 125" xfId="58727"/>
    <cellStyle name="Связанная ячейка 126" xfId="58728"/>
    <cellStyle name="Связанная ячейка 127" xfId="58729"/>
    <cellStyle name="Связанная ячейка 128" xfId="58730"/>
    <cellStyle name="Связанная ячейка 129" xfId="58731"/>
    <cellStyle name="Связанная ячейка 13" xfId="58732"/>
    <cellStyle name="Связанная ячейка 130" xfId="58733"/>
    <cellStyle name="Связанная ячейка 131" xfId="58734"/>
    <cellStyle name="Связанная ячейка 132" xfId="58735"/>
    <cellStyle name="Связанная ячейка 133" xfId="58736"/>
    <cellStyle name="Связанная ячейка 134" xfId="58737"/>
    <cellStyle name="Связанная ячейка 135" xfId="58738"/>
    <cellStyle name="Связанная ячейка 136" xfId="58739"/>
    <cellStyle name="Связанная ячейка 137" xfId="58740"/>
    <cellStyle name="Связанная ячейка 138" xfId="58741"/>
    <cellStyle name="Связанная ячейка 139" xfId="58742"/>
    <cellStyle name="Связанная ячейка 14" xfId="58743"/>
    <cellStyle name="Связанная ячейка 140" xfId="58744"/>
    <cellStyle name="Связанная ячейка 141" xfId="58745"/>
    <cellStyle name="Связанная ячейка 142" xfId="58746"/>
    <cellStyle name="Связанная ячейка 143" xfId="58747"/>
    <cellStyle name="Связанная ячейка 144" xfId="58748"/>
    <cellStyle name="Связанная ячейка 145" xfId="58749"/>
    <cellStyle name="Связанная ячейка 146" xfId="58750"/>
    <cellStyle name="Связанная ячейка 147" xfId="58751"/>
    <cellStyle name="Связанная ячейка 148" xfId="58752"/>
    <cellStyle name="Связанная ячейка 149" xfId="58753"/>
    <cellStyle name="Связанная ячейка 15" xfId="58754"/>
    <cellStyle name="Связанная ячейка 150" xfId="58755"/>
    <cellStyle name="Связанная ячейка 151" xfId="58756"/>
    <cellStyle name="Связанная ячейка 152" xfId="58757"/>
    <cellStyle name="Связанная ячейка 153" xfId="58758"/>
    <cellStyle name="Связанная ячейка 16" xfId="58759"/>
    <cellStyle name="Связанная ячейка 17" xfId="58760"/>
    <cellStyle name="Связанная ячейка 18" xfId="58761"/>
    <cellStyle name="Связанная ячейка 19" xfId="58762"/>
    <cellStyle name="Связанная ячейка 2" xfId="58763"/>
    <cellStyle name="Связанная ячейка 2 2" xfId="58764"/>
    <cellStyle name="Связанная ячейка 2 2 10" xfId="58765"/>
    <cellStyle name="Связанная ячейка 2 2 11" xfId="58766"/>
    <cellStyle name="Связанная ячейка 2 2 12" xfId="58767"/>
    <cellStyle name="Связанная ячейка 2 2 13" xfId="58768"/>
    <cellStyle name="Связанная ячейка 2 2 2" xfId="58769"/>
    <cellStyle name="Связанная ячейка 2 2 3" xfId="58770"/>
    <cellStyle name="Связанная ячейка 2 2 4" xfId="58771"/>
    <cellStyle name="Связанная ячейка 2 2 5" xfId="58772"/>
    <cellStyle name="Связанная ячейка 2 2 6" xfId="58773"/>
    <cellStyle name="Связанная ячейка 2 2 7" xfId="58774"/>
    <cellStyle name="Связанная ячейка 2 2 8" xfId="58775"/>
    <cellStyle name="Связанная ячейка 2 2 9" xfId="58776"/>
    <cellStyle name="Связанная ячейка 2 3" xfId="58777"/>
    <cellStyle name="Связанная ячейка 20" xfId="58778"/>
    <cellStyle name="Связанная ячейка 21" xfId="58779"/>
    <cellStyle name="Связанная ячейка 22" xfId="58780"/>
    <cellStyle name="Связанная ячейка 23" xfId="58781"/>
    <cellStyle name="Связанная ячейка 24" xfId="58782"/>
    <cellStyle name="Связанная ячейка 25" xfId="58783"/>
    <cellStyle name="Связанная ячейка 26" xfId="58784"/>
    <cellStyle name="Связанная ячейка 27" xfId="58785"/>
    <cellStyle name="Связанная ячейка 28" xfId="58786"/>
    <cellStyle name="Связанная ячейка 29" xfId="58787"/>
    <cellStyle name="Связанная ячейка 3" xfId="58788"/>
    <cellStyle name="Связанная ячейка 30" xfId="58789"/>
    <cellStyle name="Связанная ячейка 31" xfId="58790"/>
    <cellStyle name="Связанная ячейка 32" xfId="58791"/>
    <cellStyle name="Связанная ячейка 33" xfId="58792"/>
    <cellStyle name="Связанная ячейка 34" xfId="58793"/>
    <cellStyle name="Связанная ячейка 35" xfId="58794"/>
    <cellStyle name="Связанная ячейка 36" xfId="58795"/>
    <cellStyle name="Связанная ячейка 37" xfId="58796"/>
    <cellStyle name="Связанная ячейка 38" xfId="58797"/>
    <cellStyle name="Связанная ячейка 39" xfId="58798"/>
    <cellStyle name="Связанная ячейка 4" xfId="58799"/>
    <cellStyle name="Связанная ячейка 40" xfId="58800"/>
    <cellStyle name="Связанная ячейка 41" xfId="58801"/>
    <cellStyle name="Связанная ячейка 42" xfId="58802"/>
    <cellStyle name="Связанная ячейка 43" xfId="58803"/>
    <cellStyle name="Связанная ячейка 44" xfId="58804"/>
    <cellStyle name="Связанная ячейка 45" xfId="58805"/>
    <cellStyle name="Связанная ячейка 46" xfId="58806"/>
    <cellStyle name="Связанная ячейка 47" xfId="58807"/>
    <cellStyle name="Связанная ячейка 48" xfId="58808"/>
    <cellStyle name="Связанная ячейка 49" xfId="58809"/>
    <cellStyle name="Связанная ячейка 5" xfId="58810"/>
    <cellStyle name="Связанная ячейка 50" xfId="58811"/>
    <cellStyle name="Связанная ячейка 51" xfId="58812"/>
    <cellStyle name="Связанная ячейка 52" xfId="58813"/>
    <cellStyle name="Связанная ячейка 53" xfId="58814"/>
    <cellStyle name="Связанная ячейка 54" xfId="58815"/>
    <cellStyle name="Связанная ячейка 55" xfId="58816"/>
    <cellStyle name="Связанная ячейка 56" xfId="58817"/>
    <cellStyle name="Связанная ячейка 57" xfId="58818"/>
    <cellStyle name="Связанная ячейка 58" xfId="58819"/>
    <cellStyle name="Связанная ячейка 59" xfId="58820"/>
    <cellStyle name="Связанная ячейка 6" xfId="58821"/>
    <cellStyle name="Связанная ячейка 60" xfId="58822"/>
    <cellStyle name="Связанная ячейка 61" xfId="58823"/>
    <cellStyle name="Связанная ячейка 62" xfId="58824"/>
    <cellStyle name="Связанная ячейка 63" xfId="58825"/>
    <cellStyle name="Связанная ячейка 64" xfId="58826"/>
    <cellStyle name="Связанная ячейка 65" xfId="58827"/>
    <cellStyle name="Связанная ячейка 66" xfId="58828"/>
    <cellStyle name="Связанная ячейка 67" xfId="58829"/>
    <cellStyle name="Связанная ячейка 68" xfId="58830"/>
    <cellStyle name="Связанная ячейка 69" xfId="58831"/>
    <cellStyle name="Связанная ячейка 7" xfId="58832"/>
    <cellStyle name="Связанная ячейка 70" xfId="58833"/>
    <cellStyle name="Связанная ячейка 71" xfId="58834"/>
    <cellStyle name="Связанная ячейка 72" xfId="58835"/>
    <cellStyle name="Связанная ячейка 73" xfId="58836"/>
    <cellStyle name="Связанная ячейка 74" xfId="58837"/>
    <cellStyle name="Связанная ячейка 75" xfId="58838"/>
    <cellStyle name="Связанная ячейка 76" xfId="58839"/>
    <cellStyle name="Связанная ячейка 77" xfId="58840"/>
    <cellStyle name="Связанная ячейка 78" xfId="58841"/>
    <cellStyle name="Связанная ячейка 79" xfId="58842"/>
    <cellStyle name="Связанная ячейка 8" xfId="58843"/>
    <cellStyle name="Связанная ячейка 80" xfId="58844"/>
    <cellStyle name="Связанная ячейка 81" xfId="58845"/>
    <cellStyle name="Связанная ячейка 82" xfId="58846"/>
    <cellStyle name="Связанная ячейка 83" xfId="58847"/>
    <cellStyle name="Связанная ячейка 84" xfId="58848"/>
    <cellStyle name="Связанная ячейка 85" xfId="58849"/>
    <cellStyle name="Связанная ячейка 86" xfId="58850"/>
    <cellStyle name="Связанная ячейка 87" xfId="58851"/>
    <cellStyle name="Связанная ячейка 88" xfId="58852"/>
    <cellStyle name="Связанная ячейка 89" xfId="58853"/>
    <cellStyle name="Связанная ячейка 9" xfId="58854"/>
    <cellStyle name="Связанная ячейка 90" xfId="58855"/>
    <cellStyle name="Связанная ячейка 91" xfId="58856"/>
    <cellStyle name="Связанная ячейка 92" xfId="58857"/>
    <cellStyle name="Связанная ячейка 93" xfId="58858"/>
    <cellStyle name="Связанная ячейка 94" xfId="58859"/>
    <cellStyle name="Связанная ячейка 95" xfId="58860"/>
    <cellStyle name="Связанная ячейка 96" xfId="58861"/>
    <cellStyle name="Связанная ячейка 97" xfId="58862"/>
    <cellStyle name="Связанная ячейка 98" xfId="58863"/>
    <cellStyle name="Связанная ячейка 99" xfId="58864"/>
    <cellStyle name="Стиль 1" xfId="58865"/>
    <cellStyle name="Текст предупреждения 10" xfId="58866"/>
    <cellStyle name="Текст предупреждения 100" xfId="58867"/>
    <cellStyle name="Текст предупреждения 101" xfId="58868"/>
    <cellStyle name="Текст предупреждения 102" xfId="58869"/>
    <cellStyle name="Текст предупреждения 103" xfId="58870"/>
    <cellStyle name="Текст предупреждения 104" xfId="58871"/>
    <cellStyle name="Текст предупреждения 105" xfId="58872"/>
    <cellStyle name="Текст предупреждения 106" xfId="58873"/>
    <cellStyle name="Текст предупреждения 107" xfId="58874"/>
    <cellStyle name="Текст предупреждения 108" xfId="58875"/>
    <cellStyle name="Текст предупреждения 109" xfId="58876"/>
    <cellStyle name="Текст предупреждения 11" xfId="58877"/>
    <cellStyle name="Текст предупреждения 110" xfId="58878"/>
    <cellStyle name="Текст предупреждения 111" xfId="58879"/>
    <cellStyle name="Текст предупреждения 112" xfId="58880"/>
    <cellStyle name="Текст предупреждения 113" xfId="58881"/>
    <cellStyle name="Текст предупреждения 114" xfId="58882"/>
    <cellStyle name="Текст предупреждения 115" xfId="58883"/>
    <cellStyle name="Текст предупреждения 116" xfId="58884"/>
    <cellStyle name="Текст предупреждения 117" xfId="58885"/>
    <cellStyle name="Текст предупреждения 118" xfId="58886"/>
    <cellStyle name="Текст предупреждения 119" xfId="58887"/>
    <cellStyle name="Текст предупреждения 12" xfId="58888"/>
    <cellStyle name="Текст предупреждения 120" xfId="58889"/>
    <cellStyle name="Текст предупреждения 121" xfId="58890"/>
    <cellStyle name="Текст предупреждения 122" xfId="58891"/>
    <cellStyle name="Текст предупреждения 123" xfId="58892"/>
    <cellStyle name="Текст предупреждения 124" xfId="58893"/>
    <cellStyle name="Текст предупреждения 125" xfId="58894"/>
    <cellStyle name="Текст предупреждения 126" xfId="58895"/>
    <cellStyle name="Текст предупреждения 127" xfId="58896"/>
    <cellStyle name="Текст предупреждения 128" xfId="58897"/>
    <cellStyle name="Текст предупреждения 129" xfId="58898"/>
    <cellStyle name="Текст предупреждения 13" xfId="58899"/>
    <cellStyle name="Текст предупреждения 130" xfId="58900"/>
    <cellStyle name="Текст предупреждения 131" xfId="58901"/>
    <cellStyle name="Текст предупреждения 132" xfId="58902"/>
    <cellStyle name="Текст предупреждения 133" xfId="58903"/>
    <cellStyle name="Текст предупреждения 134" xfId="58904"/>
    <cellStyle name="Текст предупреждения 135" xfId="58905"/>
    <cellStyle name="Текст предупреждения 136" xfId="58906"/>
    <cellStyle name="Текст предупреждения 137" xfId="58907"/>
    <cellStyle name="Текст предупреждения 138" xfId="58908"/>
    <cellStyle name="Текст предупреждения 139" xfId="58909"/>
    <cellStyle name="Текст предупреждения 14" xfId="58910"/>
    <cellStyle name="Текст предупреждения 140" xfId="58911"/>
    <cellStyle name="Текст предупреждения 141" xfId="58912"/>
    <cellStyle name="Текст предупреждения 142" xfId="58913"/>
    <cellStyle name="Текст предупреждения 143" xfId="58914"/>
    <cellStyle name="Текст предупреждения 144" xfId="58915"/>
    <cellStyle name="Текст предупреждения 145" xfId="58916"/>
    <cellStyle name="Текст предупреждения 146" xfId="58917"/>
    <cellStyle name="Текст предупреждения 147" xfId="58918"/>
    <cellStyle name="Текст предупреждения 148" xfId="58919"/>
    <cellStyle name="Текст предупреждения 149" xfId="58920"/>
    <cellStyle name="Текст предупреждения 15" xfId="58921"/>
    <cellStyle name="Текст предупреждения 150" xfId="58922"/>
    <cellStyle name="Текст предупреждения 151" xfId="58923"/>
    <cellStyle name="Текст предупреждения 152" xfId="58924"/>
    <cellStyle name="Текст предупреждения 153" xfId="58925"/>
    <cellStyle name="Текст предупреждения 16" xfId="58926"/>
    <cellStyle name="Текст предупреждения 17" xfId="58927"/>
    <cellStyle name="Текст предупреждения 18" xfId="58928"/>
    <cellStyle name="Текст предупреждения 19" xfId="58929"/>
    <cellStyle name="Текст предупреждения 2" xfId="58930"/>
    <cellStyle name="Текст предупреждения 2 2" xfId="58931"/>
    <cellStyle name="Текст предупреждения 2 2 10" xfId="58932"/>
    <cellStyle name="Текст предупреждения 2 2 11" xfId="58933"/>
    <cellStyle name="Текст предупреждения 2 2 12" xfId="58934"/>
    <cellStyle name="Текст предупреждения 2 2 13" xfId="58935"/>
    <cellStyle name="Текст предупреждения 2 2 2" xfId="58936"/>
    <cellStyle name="Текст предупреждения 2 2 3" xfId="58937"/>
    <cellStyle name="Текст предупреждения 2 2 4" xfId="58938"/>
    <cellStyle name="Текст предупреждения 2 2 5" xfId="58939"/>
    <cellStyle name="Текст предупреждения 2 2 6" xfId="58940"/>
    <cellStyle name="Текст предупреждения 2 2 7" xfId="58941"/>
    <cellStyle name="Текст предупреждения 2 2 8" xfId="58942"/>
    <cellStyle name="Текст предупреждения 2 2 9" xfId="58943"/>
    <cellStyle name="Текст предупреждения 2 3" xfId="58944"/>
    <cellStyle name="Текст предупреждения 20" xfId="58945"/>
    <cellStyle name="Текст предупреждения 21" xfId="58946"/>
    <cellStyle name="Текст предупреждения 22" xfId="58947"/>
    <cellStyle name="Текст предупреждения 23" xfId="58948"/>
    <cellStyle name="Текст предупреждения 24" xfId="58949"/>
    <cellStyle name="Текст предупреждения 25" xfId="58950"/>
    <cellStyle name="Текст предупреждения 26" xfId="58951"/>
    <cellStyle name="Текст предупреждения 27" xfId="58952"/>
    <cellStyle name="Текст предупреждения 28" xfId="58953"/>
    <cellStyle name="Текст предупреждения 29" xfId="58954"/>
    <cellStyle name="Текст предупреждения 3" xfId="58955"/>
    <cellStyle name="Текст предупреждения 30" xfId="58956"/>
    <cellStyle name="Текст предупреждения 31" xfId="58957"/>
    <cellStyle name="Текст предупреждения 32" xfId="58958"/>
    <cellStyle name="Текст предупреждения 33" xfId="58959"/>
    <cellStyle name="Текст предупреждения 34" xfId="58960"/>
    <cellStyle name="Текст предупреждения 35" xfId="58961"/>
    <cellStyle name="Текст предупреждения 36" xfId="58962"/>
    <cellStyle name="Текст предупреждения 37" xfId="58963"/>
    <cellStyle name="Текст предупреждения 38" xfId="58964"/>
    <cellStyle name="Текст предупреждения 39" xfId="58965"/>
    <cellStyle name="Текст предупреждения 4" xfId="58966"/>
    <cellStyle name="Текст предупреждения 40" xfId="58967"/>
    <cellStyle name="Текст предупреждения 41" xfId="58968"/>
    <cellStyle name="Текст предупреждения 42" xfId="58969"/>
    <cellStyle name="Текст предупреждения 43" xfId="58970"/>
    <cellStyle name="Текст предупреждения 44" xfId="58971"/>
    <cellStyle name="Текст предупреждения 45" xfId="58972"/>
    <cellStyle name="Текст предупреждения 46" xfId="58973"/>
    <cellStyle name="Текст предупреждения 47" xfId="58974"/>
    <cellStyle name="Текст предупреждения 48" xfId="58975"/>
    <cellStyle name="Текст предупреждения 49" xfId="58976"/>
    <cellStyle name="Текст предупреждения 5" xfId="58977"/>
    <cellStyle name="Текст предупреждения 50" xfId="58978"/>
    <cellStyle name="Текст предупреждения 51" xfId="58979"/>
    <cellStyle name="Текст предупреждения 52" xfId="58980"/>
    <cellStyle name="Текст предупреждения 53" xfId="58981"/>
    <cellStyle name="Текст предупреждения 54" xfId="58982"/>
    <cellStyle name="Текст предупреждения 55" xfId="58983"/>
    <cellStyle name="Текст предупреждения 56" xfId="58984"/>
    <cellStyle name="Текст предупреждения 57" xfId="58985"/>
    <cellStyle name="Текст предупреждения 58" xfId="58986"/>
    <cellStyle name="Текст предупреждения 59" xfId="58987"/>
    <cellStyle name="Текст предупреждения 6" xfId="58988"/>
    <cellStyle name="Текст предупреждения 60" xfId="58989"/>
    <cellStyle name="Текст предупреждения 61" xfId="58990"/>
    <cellStyle name="Текст предупреждения 62" xfId="58991"/>
    <cellStyle name="Текст предупреждения 63" xfId="58992"/>
    <cellStyle name="Текст предупреждения 64" xfId="58993"/>
    <cellStyle name="Текст предупреждения 65" xfId="58994"/>
    <cellStyle name="Текст предупреждения 66" xfId="58995"/>
    <cellStyle name="Текст предупреждения 67" xfId="58996"/>
    <cellStyle name="Текст предупреждения 68" xfId="58997"/>
    <cellStyle name="Текст предупреждения 69" xfId="58998"/>
    <cellStyle name="Текст предупреждения 7" xfId="58999"/>
    <cellStyle name="Текст предупреждения 70" xfId="59000"/>
    <cellStyle name="Текст предупреждения 71" xfId="59001"/>
    <cellStyle name="Текст предупреждения 72" xfId="59002"/>
    <cellStyle name="Текст предупреждения 73" xfId="59003"/>
    <cellStyle name="Текст предупреждения 74" xfId="59004"/>
    <cellStyle name="Текст предупреждения 75" xfId="59005"/>
    <cellStyle name="Текст предупреждения 76" xfId="59006"/>
    <cellStyle name="Текст предупреждения 77" xfId="59007"/>
    <cellStyle name="Текст предупреждения 78" xfId="59008"/>
    <cellStyle name="Текст предупреждения 79" xfId="59009"/>
    <cellStyle name="Текст предупреждения 8" xfId="59010"/>
    <cellStyle name="Текст предупреждения 80" xfId="59011"/>
    <cellStyle name="Текст предупреждения 81" xfId="59012"/>
    <cellStyle name="Текст предупреждения 82" xfId="59013"/>
    <cellStyle name="Текст предупреждения 83" xfId="59014"/>
    <cellStyle name="Текст предупреждения 84" xfId="59015"/>
    <cellStyle name="Текст предупреждения 85" xfId="59016"/>
    <cellStyle name="Текст предупреждения 86" xfId="59017"/>
    <cellStyle name="Текст предупреждения 87" xfId="59018"/>
    <cellStyle name="Текст предупреждения 88" xfId="59019"/>
    <cellStyle name="Текст предупреждения 89" xfId="59020"/>
    <cellStyle name="Текст предупреждения 9" xfId="59021"/>
    <cellStyle name="Текст предупреждения 90" xfId="59022"/>
    <cellStyle name="Текст предупреждения 91" xfId="59023"/>
    <cellStyle name="Текст предупреждения 92" xfId="59024"/>
    <cellStyle name="Текст предупреждения 93" xfId="59025"/>
    <cellStyle name="Текст предупреждения 94" xfId="59026"/>
    <cellStyle name="Текст предупреждения 95" xfId="59027"/>
    <cellStyle name="Текст предупреждения 96" xfId="59028"/>
    <cellStyle name="Текст предупреждения 97" xfId="59029"/>
    <cellStyle name="Текст предупреждения 98" xfId="59030"/>
    <cellStyle name="Текст предупреждения 99" xfId="59031"/>
    <cellStyle name="Финансовый 10" xfId="59032"/>
    <cellStyle name="Финансовый 2" xfId="59033"/>
    <cellStyle name="Финансовый 2 10" xfId="59034"/>
    <cellStyle name="Финансовый 2 11" xfId="59035"/>
    <cellStyle name="Финансовый 2 12" xfId="59036"/>
    <cellStyle name="Финансовый 2 13" xfId="59037"/>
    <cellStyle name="Финансовый 2 14" xfId="59038"/>
    <cellStyle name="Финансовый 2 15" xfId="59039"/>
    <cellStyle name="Финансовый 2 16" xfId="59040"/>
    <cellStyle name="Финансовый 2 17" xfId="59041"/>
    <cellStyle name="Финансовый 2 2" xfId="59042"/>
    <cellStyle name="Финансовый 2 2 2" xfId="59043"/>
    <cellStyle name="Финансовый 2 2 2 2" xfId="59044"/>
    <cellStyle name="Финансовый 2 2 3" xfId="59045"/>
    <cellStyle name="Финансовый 2 3" xfId="59046"/>
    <cellStyle name="Финансовый 2 3 2" xfId="59047"/>
    <cellStyle name="Финансовый 2 3 2 2" xfId="59048"/>
    <cellStyle name="Финансовый 2 3 3" xfId="59049"/>
    <cellStyle name="Финансовый 2 4" xfId="59050"/>
    <cellStyle name="Финансовый 2 4 2" xfId="59051"/>
    <cellStyle name="Финансовый 2 4 2 2" xfId="59052"/>
    <cellStyle name="Финансовый 2 4 3" xfId="59053"/>
    <cellStyle name="Финансовый 2 5" xfId="59054"/>
    <cellStyle name="Финансовый 2 5 2" xfId="59055"/>
    <cellStyle name="Финансовый 2 6" xfId="59056"/>
    <cellStyle name="Финансовый 2 6 2" xfId="59057"/>
    <cellStyle name="Финансовый 2 7" xfId="59058"/>
    <cellStyle name="Финансовый 2 7 2" xfId="59059"/>
    <cellStyle name="Финансовый 2 8" xfId="59060"/>
    <cellStyle name="Финансовый 2 9" xfId="59061"/>
    <cellStyle name="Финансовый 3" xfId="59062"/>
    <cellStyle name="Финансовый 3 2" xfId="59063"/>
    <cellStyle name="Финансовый 3 2 2" xfId="59064"/>
    <cellStyle name="Финансовый 3 3" xfId="59065"/>
    <cellStyle name="Финансовый 3 4" xfId="59066"/>
    <cellStyle name="Финансовый 3 5" xfId="59067"/>
    <cellStyle name="Финансовый 3 6" xfId="59068"/>
    <cellStyle name="Финансовый 3 7" xfId="59069"/>
    <cellStyle name="Финансовый 3 8" xfId="59070"/>
    <cellStyle name="Финансовый 3 9" xfId="59071"/>
    <cellStyle name="Финансовый 4" xfId="59072"/>
    <cellStyle name="Финансовый 4 2" xfId="59073"/>
    <cellStyle name="Финансовый 4 3" xfId="59074"/>
    <cellStyle name="Финансовый 5" xfId="59075"/>
    <cellStyle name="Финансовый 5 2" xfId="59076"/>
    <cellStyle name="Финансовый 6" xfId="59077"/>
    <cellStyle name="Финансовый 6 2" xfId="59078"/>
    <cellStyle name="Финансовый 7" xfId="59079"/>
    <cellStyle name="Финансовый 8" xfId="59080"/>
    <cellStyle name="Финансовый 9" xfId="59081"/>
    <cellStyle name="Хороший 10" xfId="59082"/>
    <cellStyle name="Хороший 100" xfId="59083"/>
    <cellStyle name="Хороший 101" xfId="59084"/>
    <cellStyle name="Хороший 102" xfId="59085"/>
    <cellStyle name="Хороший 103" xfId="59086"/>
    <cellStyle name="Хороший 104" xfId="59087"/>
    <cellStyle name="Хороший 105" xfId="59088"/>
    <cellStyle name="Хороший 106" xfId="59089"/>
    <cellStyle name="Хороший 107" xfId="59090"/>
    <cellStyle name="Хороший 108" xfId="59091"/>
    <cellStyle name="Хороший 109" xfId="59092"/>
    <cellStyle name="Хороший 11" xfId="59093"/>
    <cellStyle name="Хороший 110" xfId="59094"/>
    <cellStyle name="Хороший 111" xfId="59095"/>
    <cellStyle name="Хороший 112" xfId="59096"/>
    <cellStyle name="Хороший 113" xfId="59097"/>
    <cellStyle name="Хороший 114" xfId="59098"/>
    <cellStyle name="Хороший 115" xfId="59099"/>
    <cellStyle name="Хороший 116" xfId="59100"/>
    <cellStyle name="Хороший 117" xfId="59101"/>
    <cellStyle name="Хороший 118" xfId="59102"/>
    <cellStyle name="Хороший 119" xfId="59103"/>
    <cellStyle name="Хороший 12" xfId="59104"/>
    <cellStyle name="Хороший 120" xfId="59105"/>
    <cellStyle name="Хороший 121" xfId="59106"/>
    <cellStyle name="Хороший 122" xfId="59107"/>
    <cellStyle name="Хороший 123" xfId="59108"/>
    <cellStyle name="Хороший 124" xfId="59109"/>
    <cellStyle name="Хороший 125" xfId="59110"/>
    <cellStyle name="Хороший 126" xfId="59111"/>
    <cellStyle name="Хороший 127" xfId="59112"/>
    <cellStyle name="Хороший 128" xfId="59113"/>
    <cellStyle name="Хороший 129" xfId="59114"/>
    <cellStyle name="Хороший 13" xfId="59115"/>
    <cellStyle name="Хороший 130" xfId="59116"/>
    <cellStyle name="Хороший 131" xfId="59117"/>
    <cellStyle name="Хороший 132" xfId="59118"/>
    <cellStyle name="Хороший 133" xfId="59119"/>
    <cellStyle name="Хороший 134" xfId="59120"/>
    <cellStyle name="Хороший 135" xfId="59121"/>
    <cellStyle name="Хороший 136" xfId="59122"/>
    <cellStyle name="Хороший 137" xfId="59123"/>
    <cellStyle name="Хороший 138" xfId="59124"/>
    <cellStyle name="Хороший 139" xfId="59125"/>
    <cellStyle name="Хороший 14" xfId="59126"/>
    <cellStyle name="Хороший 140" xfId="59127"/>
    <cellStyle name="Хороший 141" xfId="59128"/>
    <cellStyle name="Хороший 142" xfId="59129"/>
    <cellStyle name="Хороший 143" xfId="59130"/>
    <cellStyle name="Хороший 144" xfId="59131"/>
    <cellStyle name="Хороший 145" xfId="59132"/>
    <cellStyle name="Хороший 146" xfId="59133"/>
    <cellStyle name="Хороший 147" xfId="59134"/>
    <cellStyle name="Хороший 148" xfId="59135"/>
    <cellStyle name="Хороший 149" xfId="59136"/>
    <cellStyle name="Хороший 15" xfId="59137"/>
    <cellStyle name="Хороший 150" xfId="59138"/>
    <cellStyle name="Хороший 151" xfId="59139"/>
    <cellStyle name="Хороший 152" xfId="59140"/>
    <cellStyle name="Хороший 153" xfId="59141"/>
    <cellStyle name="Хороший 16" xfId="59142"/>
    <cellStyle name="Хороший 17" xfId="59143"/>
    <cellStyle name="Хороший 18" xfId="59144"/>
    <cellStyle name="Хороший 19" xfId="59145"/>
    <cellStyle name="Хороший 2" xfId="59146"/>
    <cellStyle name="Хороший 2 2" xfId="59147"/>
    <cellStyle name="Хороший 2 2 10" xfId="59148"/>
    <cellStyle name="Хороший 2 2 11" xfId="59149"/>
    <cellStyle name="Хороший 2 2 12" xfId="59150"/>
    <cellStyle name="Хороший 2 2 13" xfId="59151"/>
    <cellStyle name="Хороший 2 2 2" xfId="59152"/>
    <cellStyle name="Хороший 2 2 3" xfId="59153"/>
    <cellStyle name="Хороший 2 2 4" xfId="59154"/>
    <cellStyle name="Хороший 2 2 5" xfId="59155"/>
    <cellStyle name="Хороший 2 2 6" xfId="59156"/>
    <cellStyle name="Хороший 2 2 7" xfId="59157"/>
    <cellStyle name="Хороший 2 2 8" xfId="59158"/>
    <cellStyle name="Хороший 2 2 9" xfId="59159"/>
    <cellStyle name="Хороший 2 3" xfId="59160"/>
    <cellStyle name="Хороший 20" xfId="59161"/>
    <cellStyle name="Хороший 21" xfId="59162"/>
    <cellStyle name="Хороший 22" xfId="59163"/>
    <cellStyle name="Хороший 23" xfId="59164"/>
    <cellStyle name="Хороший 24" xfId="59165"/>
    <cellStyle name="Хороший 25" xfId="59166"/>
    <cellStyle name="Хороший 26" xfId="59167"/>
    <cellStyle name="Хороший 27" xfId="59168"/>
    <cellStyle name="Хороший 28" xfId="59169"/>
    <cellStyle name="Хороший 29" xfId="59170"/>
    <cellStyle name="Хороший 3" xfId="59171"/>
    <cellStyle name="Хороший 30" xfId="59172"/>
    <cellStyle name="Хороший 31" xfId="59173"/>
    <cellStyle name="Хороший 32" xfId="59174"/>
    <cellStyle name="Хороший 33" xfId="59175"/>
    <cellStyle name="Хороший 34" xfId="59176"/>
    <cellStyle name="Хороший 35" xfId="59177"/>
    <cellStyle name="Хороший 36" xfId="59178"/>
    <cellStyle name="Хороший 37" xfId="59179"/>
    <cellStyle name="Хороший 38" xfId="59180"/>
    <cellStyle name="Хороший 39" xfId="59181"/>
    <cellStyle name="Хороший 4" xfId="59182"/>
    <cellStyle name="Хороший 40" xfId="59183"/>
    <cellStyle name="Хороший 41" xfId="59184"/>
    <cellStyle name="Хороший 42" xfId="59185"/>
    <cellStyle name="Хороший 43" xfId="59186"/>
    <cellStyle name="Хороший 44" xfId="59187"/>
    <cellStyle name="Хороший 45" xfId="59188"/>
    <cellStyle name="Хороший 46" xfId="59189"/>
    <cellStyle name="Хороший 47" xfId="59190"/>
    <cellStyle name="Хороший 48" xfId="59191"/>
    <cellStyle name="Хороший 49" xfId="59192"/>
    <cellStyle name="Хороший 5" xfId="59193"/>
    <cellStyle name="Хороший 50" xfId="59194"/>
    <cellStyle name="Хороший 51" xfId="59195"/>
    <cellStyle name="Хороший 52" xfId="59196"/>
    <cellStyle name="Хороший 53" xfId="59197"/>
    <cellStyle name="Хороший 54" xfId="59198"/>
    <cellStyle name="Хороший 55" xfId="59199"/>
    <cellStyle name="Хороший 56" xfId="59200"/>
    <cellStyle name="Хороший 57" xfId="59201"/>
    <cellStyle name="Хороший 58" xfId="59202"/>
    <cellStyle name="Хороший 59" xfId="59203"/>
    <cellStyle name="Хороший 6" xfId="59204"/>
    <cellStyle name="Хороший 60" xfId="59205"/>
    <cellStyle name="Хороший 61" xfId="59206"/>
    <cellStyle name="Хороший 62" xfId="59207"/>
    <cellStyle name="Хороший 63" xfId="59208"/>
    <cellStyle name="Хороший 64" xfId="59209"/>
    <cellStyle name="Хороший 65" xfId="59210"/>
    <cellStyle name="Хороший 66" xfId="59211"/>
    <cellStyle name="Хороший 67" xfId="59212"/>
    <cellStyle name="Хороший 68" xfId="59213"/>
    <cellStyle name="Хороший 69" xfId="59214"/>
    <cellStyle name="Хороший 7" xfId="59215"/>
    <cellStyle name="Хороший 70" xfId="59216"/>
    <cellStyle name="Хороший 71" xfId="59217"/>
    <cellStyle name="Хороший 72" xfId="59218"/>
    <cellStyle name="Хороший 73" xfId="59219"/>
    <cellStyle name="Хороший 74" xfId="59220"/>
    <cellStyle name="Хороший 75" xfId="59221"/>
    <cellStyle name="Хороший 76" xfId="59222"/>
    <cellStyle name="Хороший 77" xfId="59223"/>
    <cellStyle name="Хороший 78" xfId="59224"/>
    <cellStyle name="Хороший 79" xfId="59225"/>
    <cellStyle name="Хороший 8" xfId="59226"/>
    <cellStyle name="Хороший 80" xfId="59227"/>
    <cellStyle name="Хороший 81" xfId="59228"/>
    <cellStyle name="Хороший 82" xfId="59229"/>
    <cellStyle name="Хороший 83" xfId="59230"/>
    <cellStyle name="Хороший 84" xfId="59231"/>
    <cellStyle name="Хороший 85" xfId="59232"/>
    <cellStyle name="Хороший 86" xfId="59233"/>
    <cellStyle name="Хороший 87" xfId="59234"/>
    <cellStyle name="Хороший 88" xfId="59235"/>
    <cellStyle name="Хороший 89" xfId="59236"/>
    <cellStyle name="Хороший 9" xfId="59237"/>
    <cellStyle name="Хороший 90" xfId="59238"/>
    <cellStyle name="Хороший 91" xfId="59239"/>
    <cellStyle name="Хороший 92" xfId="59240"/>
    <cellStyle name="Хороший 93" xfId="59241"/>
    <cellStyle name="Хороший 94" xfId="59242"/>
    <cellStyle name="Хороший 95" xfId="59243"/>
    <cellStyle name="Хороший 96" xfId="59244"/>
    <cellStyle name="Хороший 97" xfId="59245"/>
    <cellStyle name="Хороший 98" xfId="59246"/>
    <cellStyle name="Хороший 99" xfId="59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zoomScale="110" zoomScaleNormal="110" zoomScaleSheetLayoutView="70" workbookViewId="0">
      <pane xSplit="1" ySplit="2" topLeftCell="O60" activePane="bottomRight" state="frozen"/>
      <selection pane="topRight" activeCell="E1" sqref="E1"/>
      <selection pane="bottomLeft" activeCell="A4" sqref="A4"/>
      <selection pane="bottomRight" activeCell="H82" sqref="H82"/>
    </sheetView>
  </sheetViews>
  <sheetFormatPr defaultRowHeight="12.75" x14ac:dyDescent="0.2"/>
  <cols>
    <col min="1" max="1" width="19.85546875" style="125" customWidth="1"/>
    <col min="2" max="2" width="10.28515625" style="126" customWidth="1"/>
    <col min="3" max="3" width="10.42578125" style="126" customWidth="1"/>
    <col min="4" max="4" width="8.28515625" style="126" customWidth="1"/>
    <col min="5" max="5" width="9.5703125" style="126" customWidth="1"/>
    <col min="6" max="6" width="8.28515625" style="126" customWidth="1"/>
    <col min="7" max="7" width="7.28515625" style="95" customWidth="1"/>
    <col min="8" max="8" width="7" style="126" customWidth="1"/>
    <col min="9" max="9" width="7.5703125" style="126" customWidth="1"/>
    <col min="10" max="10" width="9" style="126" customWidth="1"/>
    <col min="11" max="14" width="9" style="95" customWidth="1"/>
    <col min="15" max="15" width="8.7109375" style="126" customWidth="1"/>
    <col min="16" max="16" width="8.140625" style="126" customWidth="1"/>
    <col min="17" max="17" width="9" style="95" customWidth="1"/>
    <col min="18" max="19" width="11" style="126" customWidth="1"/>
    <col min="20" max="21" width="8.5703125" style="95" customWidth="1"/>
    <col min="22" max="22" width="10" style="126" customWidth="1"/>
    <col min="23" max="23" width="9.42578125" style="126" customWidth="1"/>
    <col min="24" max="24" width="10" style="126" customWidth="1"/>
    <col min="25" max="25" width="9.140625" style="126" customWidth="1"/>
    <col min="26" max="26" width="5.85546875" style="95" customWidth="1"/>
    <col min="27" max="27" width="8.140625" style="126" customWidth="1"/>
    <col min="28" max="16384" width="9.140625" style="95"/>
  </cols>
  <sheetData>
    <row r="1" spans="1:29" ht="22.5" customHeight="1" x14ac:dyDescent="0.2">
      <c r="A1" s="227" t="s">
        <v>309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9" s="100" customFormat="1" ht="48.75" customHeight="1" x14ac:dyDescent="0.25">
      <c r="A2" s="96" t="s">
        <v>310</v>
      </c>
      <c r="B2" s="97" t="s">
        <v>299</v>
      </c>
      <c r="C2" s="97" t="s">
        <v>311</v>
      </c>
      <c r="D2" s="98" t="s">
        <v>61</v>
      </c>
      <c r="E2" s="99" t="s">
        <v>69</v>
      </c>
      <c r="F2" s="97" t="s">
        <v>83</v>
      </c>
      <c r="G2" s="98" t="s">
        <v>84</v>
      </c>
      <c r="H2" s="97" t="s">
        <v>64</v>
      </c>
      <c r="I2" s="97" t="s">
        <v>70</v>
      </c>
      <c r="J2" s="97" t="s">
        <v>312</v>
      </c>
      <c r="K2" s="97" t="s">
        <v>85</v>
      </c>
      <c r="L2" s="97" t="s">
        <v>313</v>
      </c>
      <c r="M2" s="97" t="s">
        <v>314</v>
      </c>
      <c r="N2" s="97" t="s">
        <v>315</v>
      </c>
      <c r="O2" s="97" t="s">
        <v>316</v>
      </c>
      <c r="P2" s="97" t="s">
        <v>317</v>
      </c>
      <c r="Q2" s="97" t="s">
        <v>318</v>
      </c>
      <c r="R2" s="97" t="s">
        <v>47</v>
      </c>
      <c r="S2" s="97" t="s">
        <v>347</v>
      </c>
      <c r="T2" s="97" t="s">
        <v>319</v>
      </c>
      <c r="U2" s="97" t="s">
        <v>320</v>
      </c>
      <c r="V2" s="97" t="s">
        <v>321</v>
      </c>
      <c r="W2" s="97" t="s">
        <v>322</v>
      </c>
      <c r="X2" s="97" t="s">
        <v>323</v>
      </c>
      <c r="Y2" s="97" t="s">
        <v>324</v>
      </c>
      <c r="Z2" s="97" t="s">
        <v>325</v>
      </c>
      <c r="AA2" s="98" t="s">
        <v>326</v>
      </c>
    </row>
    <row r="3" spans="1:29" s="102" customFormat="1" ht="11.25" customHeight="1" x14ac:dyDescent="0.2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  <c r="G3" s="101">
        <v>7</v>
      </c>
      <c r="H3" s="101">
        <v>8</v>
      </c>
      <c r="I3" s="101">
        <v>9</v>
      </c>
      <c r="J3" s="101">
        <v>10</v>
      </c>
      <c r="K3" s="101">
        <v>11</v>
      </c>
      <c r="L3" s="101">
        <v>12</v>
      </c>
      <c r="M3" s="101">
        <v>13</v>
      </c>
      <c r="N3" s="101">
        <v>14</v>
      </c>
      <c r="O3" s="101">
        <v>15</v>
      </c>
      <c r="P3" s="101">
        <v>16</v>
      </c>
      <c r="Q3" s="101">
        <v>17</v>
      </c>
      <c r="R3" s="101">
        <v>18</v>
      </c>
      <c r="S3" s="101">
        <v>19</v>
      </c>
      <c r="T3" s="101">
        <v>20</v>
      </c>
      <c r="U3" s="101">
        <v>21</v>
      </c>
      <c r="V3" s="101">
        <v>22</v>
      </c>
      <c r="W3" s="101">
        <v>23</v>
      </c>
      <c r="X3" s="101">
        <v>24</v>
      </c>
      <c r="Y3" s="101">
        <v>25</v>
      </c>
      <c r="Z3" s="101">
        <v>26</v>
      </c>
      <c r="AA3" s="101">
        <v>27</v>
      </c>
    </row>
    <row r="4" spans="1:29" s="105" customFormat="1" ht="20.25" customHeight="1" x14ac:dyDescent="0.2">
      <c r="A4" s="103" t="s">
        <v>327</v>
      </c>
      <c r="B4" s="104">
        <v>120</v>
      </c>
      <c r="C4" s="104">
        <v>0</v>
      </c>
      <c r="D4" s="104">
        <v>0</v>
      </c>
      <c r="E4" s="104">
        <v>0</v>
      </c>
      <c r="F4" s="104">
        <v>0</v>
      </c>
      <c r="G4" s="104">
        <v>0</v>
      </c>
      <c r="H4" s="104">
        <v>0</v>
      </c>
      <c r="I4" s="104">
        <v>0</v>
      </c>
      <c r="J4" s="104">
        <v>60</v>
      </c>
      <c r="K4" s="104">
        <v>0</v>
      </c>
      <c r="L4" s="104">
        <v>0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4">
        <v>0</v>
      </c>
      <c r="S4" s="104">
        <v>0</v>
      </c>
      <c r="T4" s="104">
        <v>0</v>
      </c>
      <c r="U4" s="104">
        <v>0</v>
      </c>
      <c r="V4" s="104">
        <v>0</v>
      </c>
      <c r="W4" s="104">
        <v>0</v>
      </c>
      <c r="X4" s="104">
        <v>20</v>
      </c>
      <c r="Y4" s="104">
        <v>40</v>
      </c>
      <c r="Z4" s="104">
        <v>0</v>
      </c>
      <c r="AA4" s="104">
        <f t="shared" ref="AA4:AA67" si="0">SUM(B4:Z4)</f>
        <v>240</v>
      </c>
      <c r="AC4" s="127"/>
    </row>
    <row r="5" spans="1:29" s="102" customFormat="1" ht="13.5" customHeight="1" x14ac:dyDescent="0.2">
      <c r="A5" s="106">
        <v>1</v>
      </c>
      <c r="B5" s="107">
        <v>115</v>
      </c>
      <c r="C5" s="107"/>
      <c r="D5" s="107"/>
      <c r="E5" s="107"/>
      <c r="F5" s="108"/>
      <c r="G5" s="107"/>
      <c r="H5" s="107"/>
      <c r="I5" s="107"/>
      <c r="J5" s="107">
        <v>60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  <c r="V5" s="107"/>
      <c r="W5" s="107"/>
      <c r="X5" s="107">
        <v>15</v>
      </c>
      <c r="Y5" s="107">
        <v>30</v>
      </c>
      <c r="Z5" s="109"/>
      <c r="AA5" s="104">
        <f t="shared" si="0"/>
        <v>220</v>
      </c>
      <c r="AC5" s="127"/>
    </row>
    <row r="6" spans="1:29" s="102" customFormat="1" ht="13.5" customHeight="1" x14ac:dyDescent="0.2">
      <c r="A6" s="110">
        <v>2</v>
      </c>
      <c r="B6" s="111">
        <v>5</v>
      </c>
      <c r="C6" s="111"/>
      <c r="D6" s="111"/>
      <c r="E6" s="111"/>
      <c r="F6" s="112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07"/>
      <c r="U6" s="108"/>
      <c r="V6" s="111"/>
      <c r="W6" s="111"/>
      <c r="X6" s="111">
        <v>5</v>
      </c>
      <c r="Y6" s="111">
        <v>10</v>
      </c>
      <c r="Z6" s="109"/>
      <c r="AA6" s="104">
        <f t="shared" si="0"/>
        <v>20</v>
      </c>
      <c r="AC6" s="127"/>
    </row>
    <row r="7" spans="1:29" s="105" customFormat="1" ht="24" customHeight="1" x14ac:dyDescent="0.2">
      <c r="A7" s="103" t="s">
        <v>328</v>
      </c>
      <c r="B7" s="104">
        <v>400</v>
      </c>
      <c r="C7" s="104">
        <v>0</v>
      </c>
      <c r="D7" s="104">
        <v>0</v>
      </c>
      <c r="E7" s="104">
        <v>12</v>
      </c>
      <c r="F7" s="104">
        <v>267</v>
      </c>
      <c r="G7" s="104">
        <v>0</v>
      </c>
      <c r="H7" s="104">
        <v>0</v>
      </c>
      <c r="I7" s="104">
        <v>0</v>
      </c>
      <c r="J7" s="104">
        <v>50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180</v>
      </c>
      <c r="Q7" s="104">
        <v>20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180</v>
      </c>
      <c r="Y7" s="104">
        <v>300</v>
      </c>
      <c r="Z7" s="104">
        <v>0</v>
      </c>
      <c r="AA7" s="104">
        <f t="shared" si="0"/>
        <v>1409</v>
      </c>
      <c r="AC7" s="127"/>
    </row>
    <row r="8" spans="1:29" s="102" customFormat="1" ht="13.5" customHeight="1" x14ac:dyDescent="0.2">
      <c r="A8" s="110">
        <v>3</v>
      </c>
      <c r="B8" s="107">
        <v>280</v>
      </c>
      <c r="C8" s="107"/>
      <c r="D8" s="107"/>
      <c r="E8" s="107"/>
      <c r="F8" s="107">
        <v>178</v>
      </c>
      <c r="G8" s="107"/>
      <c r="H8" s="107"/>
      <c r="I8" s="107"/>
      <c r="J8" s="107">
        <v>25</v>
      </c>
      <c r="K8" s="107"/>
      <c r="L8" s="107"/>
      <c r="M8" s="107"/>
      <c r="N8" s="107">
        <v>0</v>
      </c>
      <c r="O8" s="107"/>
      <c r="P8" s="107">
        <v>105</v>
      </c>
      <c r="Q8" s="107">
        <v>20</v>
      </c>
      <c r="R8" s="107"/>
      <c r="S8" s="107"/>
      <c r="T8" s="107"/>
      <c r="U8" s="107"/>
      <c r="V8" s="107"/>
      <c r="W8" s="107"/>
      <c r="X8" s="107">
        <v>150</v>
      </c>
      <c r="Y8" s="107">
        <v>300</v>
      </c>
      <c r="Z8" s="109"/>
      <c r="AA8" s="104">
        <f t="shared" si="0"/>
        <v>1058</v>
      </c>
      <c r="AC8" s="127"/>
    </row>
    <row r="9" spans="1:29" s="102" customFormat="1" ht="13.5" customHeight="1" x14ac:dyDescent="0.2">
      <c r="A9" s="110">
        <v>4</v>
      </c>
      <c r="B9" s="111">
        <v>120</v>
      </c>
      <c r="C9" s="111"/>
      <c r="D9" s="111"/>
      <c r="E9" s="111">
        <v>12</v>
      </c>
      <c r="F9" s="112">
        <v>89</v>
      </c>
      <c r="G9" s="113"/>
      <c r="H9" s="111"/>
      <c r="I9" s="111"/>
      <c r="J9" s="111">
        <v>25</v>
      </c>
      <c r="K9" s="107"/>
      <c r="L9" s="113"/>
      <c r="M9" s="113"/>
      <c r="N9" s="113">
        <v>0</v>
      </c>
      <c r="O9" s="111"/>
      <c r="P9" s="111">
        <v>75</v>
      </c>
      <c r="Q9" s="113"/>
      <c r="R9" s="111"/>
      <c r="S9" s="111"/>
      <c r="T9" s="107"/>
      <c r="U9" s="114"/>
      <c r="V9" s="111"/>
      <c r="W9" s="111"/>
      <c r="X9" s="111">
        <v>30</v>
      </c>
      <c r="Y9" s="111"/>
      <c r="Z9" s="109"/>
      <c r="AA9" s="104">
        <f t="shared" si="0"/>
        <v>351</v>
      </c>
      <c r="AC9" s="127"/>
    </row>
    <row r="10" spans="1:29" s="102" customFormat="1" ht="20.25" customHeight="1" x14ac:dyDescent="0.2">
      <c r="A10" s="103" t="s">
        <v>329</v>
      </c>
      <c r="B10" s="104">
        <v>50</v>
      </c>
      <c r="C10" s="104">
        <v>0</v>
      </c>
      <c r="D10" s="104">
        <v>0</v>
      </c>
      <c r="E10" s="104">
        <v>32</v>
      </c>
      <c r="F10" s="104">
        <v>0</v>
      </c>
      <c r="G10" s="104">
        <v>0</v>
      </c>
      <c r="H10" s="104">
        <v>0</v>
      </c>
      <c r="I10" s="104">
        <v>0</v>
      </c>
      <c r="J10" s="104">
        <v>60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40</v>
      </c>
      <c r="Z10" s="104">
        <v>0</v>
      </c>
      <c r="AA10" s="104">
        <f t="shared" si="0"/>
        <v>182</v>
      </c>
      <c r="AC10" s="127"/>
    </row>
    <row r="11" spans="1:29" s="102" customFormat="1" ht="15" customHeight="1" x14ac:dyDescent="0.2">
      <c r="A11" s="110">
        <v>5</v>
      </c>
      <c r="B11" s="111">
        <v>50</v>
      </c>
      <c r="C11" s="111"/>
      <c r="D11" s="111"/>
      <c r="E11" s="111">
        <v>32</v>
      </c>
      <c r="F11" s="112"/>
      <c r="G11" s="111"/>
      <c r="H11" s="111"/>
      <c r="I11" s="111"/>
      <c r="J11" s="111">
        <v>60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07"/>
      <c r="U11" s="108"/>
      <c r="V11" s="111"/>
      <c r="W11" s="111"/>
      <c r="X11" s="111"/>
      <c r="Y11" s="111">
        <v>40</v>
      </c>
      <c r="Z11" s="109"/>
      <c r="AA11" s="104">
        <f t="shared" si="0"/>
        <v>182</v>
      </c>
      <c r="AC11" s="127"/>
    </row>
    <row r="12" spans="1:29" s="102" customFormat="1" ht="20.25" customHeight="1" x14ac:dyDescent="0.2">
      <c r="A12" s="103" t="s">
        <v>330</v>
      </c>
      <c r="B12" s="104">
        <v>40</v>
      </c>
      <c r="C12" s="104">
        <v>0</v>
      </c>
      <c r="D12" s="104">
        <v>0</v>
      </c>
      <c r="E12" s="104">
        <v>24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12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60</v>
      </c>
      <c r="Z12" s="104">
        <v>0</v>
      </c>
      <c r="AA12" s="104">
        <f t="shared" si="0"/>
        <v>136</v>
      </c>
      <c r="AC12" s="127"/>
    </row>
    <row r="13" spans="1:29" s="102" customFormat="1" ht="12.75" customHeight="1" x14ac:dyDescent="0.2">
      <c r="A13" s="110">
        <v>6</v>
      </c>
      <c r="B13" s="111">
        <v>40</v>
      </c>
      <c r="C13" s="111"/>
      <c r="D13" s="111"/>
      <c r="E13" s="111">
        <v>24</v>
      </c>
      <c r="F13" s="112"/>
      <c r="G13" s="111"/>
      <c r="H13" s="111"/>
      <c r="I13" s="111"/>
      <c r="J13" s="111"/>
      <c r="K13" s="111"/>
      <c r="L13" s="111"/>
      <c r="M13" s="111"/>
      <c r="N13" s="111">
        <v>12</v>
      </c>
      <c r="O13" s="111"/>
      <c r="P13" s="111"/>
      <c r="Q13" s="111"/>
      <c r="R13" s="111"/>
      <c r="S13" s="111"/>
      <c r="T13" s="107"/>
      <c r="U13" s="108"/>
      <c r="V13" s="111"/>
      <c r="W13" s="111"/>
      <c r="X13" s="111"/>
      <c r="Y13" s="111">
        <v>60</v>
      </c>
      <c r="Z13" s="109"/>
      <c r="AA13" s="104">
        <f t="shared" si="0"/>
        <v>136</v>
      </c>
      <c r="AC13" s="127"/>
    </row>
    <row r="14" spans="1:29" s="102" customFormat="1" ht="18.75" customHeight="1" x14ac:dyDescent="0.2">
      <c r="A14" s="110">
        <v>7</v>
      </c>
      <c r="B14" s="111"/>
      <c r="C14" s="111"/>
      <c r="D14" s="111"/>
      <c r="E14" s="111"/>
      <c r="F14" s="112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07"/>
      <c r="U14" s="111"/>
      <c r="V14" s="111"/>
      <c r="W14" s="111"/>
      <c r="X14" s="111"/>
      <c r="Y14" s="111"/>
      <c r="Z14" s="109"/>
      <c r="AA14" s="104">
        <f t="shared" si="0"/>
        <v>0</v>
      </c>
      <c r="AC14" s="127"/>
    </row>
    <row r="15" spans="1:29" s="102" customFormat="1" ht="21.75" customHeight="1" x14ac:dyDescent="0.2">
      <c r="A15" s="103" t="s">
        <v>331</v>
      </c>
      <c r="B15" s="104">
        <v>0</v>
      </c>
      <c r="C15" s="104">
        <v>0</v>
      </c>
      <c r="D15" s="104">
        <v>0</v>
      </c>
      <c r="E15" s="104">
        <v>10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f t="shared" si="0"/>
        <v>10</v>
      </c>
      <c r="AC15" s="127"/>
    </row>
    <row r="16" spans="1:29" s="102" customFormat="1" ht="14.25" customHeight="1" x14ac:dyDescent="0.2">
      <c r="A16" s="110">
        <v>8</v>
      </c>
      <c r="B16" s="111"/>
      <c r="C16" s="111"/>
      <c r="D16" s="111"/>
      <c r="E16" s="111">
        <v>10</v>
      </c>
      <c r="F16" s="112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07"/>
      <c r="U16" s="112"/>
      <c r="V16" s="111"/>
      <c r="W16" s="111"/>
      <c r="X16" s="111"/>
      <c r="Y16" s="111"/>
      <c r="Z16" s="109"/>
      <c r="AA16" s="104">
        <f t="shared" si="0"/>
        <v>10</v>
      </c>
      <c r="AC16" s="127"/>
    </row>
    <row r="17" spans="1:29" s="102" customFormat="1" ht="18" customHeight="1" x14ac:dyDescent="0.2">
      <c r="A17" s="103" t="s">
        <v>332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52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f t="shared" si="0"/>
        <v>52</v>
      </c>
      <c r="AC17" s="127"/>
    </row>
    <row r="18" spans="1:29" s="102" customFormat="1" ht="15.75" customHeight="1" x14ac:dyDescent="0.2">
      <c r="A18" s="110">
        <v>9</v>
      </c>
      <c r="B18" s="111"/>
      <c r="C18" s="111"/>
      <c r="D18" s="111"/>
      <c r="E18" s="111"/>
      <c r="F18" s="112"/>
      <c r="G18" s="111">
        <v>52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07"/>
      <c r="U18" s="108"/>
      <c r="V18" s="111"/>
      <c r="W18" s="111"/>
      <c r="X18" s="111"/>
      <c r="Y18" s="111"/>
      <c r="Z18" s="109"/>
      <c r="AA18" s="104">
        <f t="shared" si="0"/>
        <v>52</v>
      </c>
      <c r="AC18" s="127"/>
    </row>
    <row r="19" spans="1:29" s="102" customFormat="1" ht="12.75" customHeight="1" x14ac:dyDescent="0.2">
      <c r="A19" s="103" t="s">
        <v>333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100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15</v>
      </c>
      <c r="W19" s="104">
        <v>0</v>
      </c>
      <c r="X19" s="104">
        <v>0</v>
      </c>
      <c r="Y19" s="104">
        <v>0</v>
      </c>
      <c r="Z19" s="104">
        <v>0</v>
      </c>
      <c r="AA19" s="104">
        <f t="shared" si="0"/>
        <v>115</v>
      </c>
      <c r="AC19" s="127"/>
    </row>
    <row r="20" spans="1:29" s="102" customFormat="1" ht="14.25" customHeight="1" x14ac:dyDescent="0.2">
      <c r="A20" s="110">
        <v>10</v>
      </c>
      <c r="B20" s="111"/>
      <c r="C20" s="111"/>
      <c r="D20" s="111"/>
      <c r="E20" s="111"/>
      <c r="F20" s="112"/>
      <c r="G20" s="113"/>
      <c r="H20" s="111"/>
      <c r="I20" s="111"/>
      <c r="J20" s="111"/>
      <c r="K20" s="113"/>
      <c r="L20" s="113"/>
      <c r="M20" s="113"/>
      <c r="N20" s="113"/>
      <c r="O20" s="111"/>
      <c r="P20" s="111">
        <v>90</v>
      </c>
      <c r="Q20" s="113"/>
      <c r="R20" s="111"/>
      <c r="S20" s="111"/>
      <c r="T20" s="107"/>
      <c r="U20" s="114"/>
      <c r="V20" s="111">
        <v>15</v>
      </c>
      <c r="W20" s="111"/>
      <c r="X20" s="111"/>
      <c r="Y20" s="111"/>
      <c r="Z20" s="109"/>
      <c r="AA20" s="104">
        <f t="shared" si="0"/>
        <v>105</v>
      </c>
      <c r="AC20" s="127"/>
    </row>
    <row r="21" spans="1:29" s="102" customFormat="1" ht="14.25" customHeight="1" x14ac:dyDescent="0.2">
      <c r="A21" s="110">
        <v>11</v>
      </c>
      <c r="B21" s="115"/>
      <c r="C21" s="115"/>
      <c r="D21" s="115"/>
      <c r="E21" s="115"/>
      <c r="F21" s="116"/>
      <c r="G21" s="117"/>
      <c r="H21" s="115"/>
      <c r="I21" s="115"/>
      <c r="J21" s="115"/>
      <c r="K21" s="117"/>
      <c r="L21" s="117"/>
      <c r="M21" s="117"/>
      <c r="N21" s="117"/>
      <c r="O21" s="115"/>
      <c r="P21" s="115">
        <v>10</v>
      </c>
      <c r="Q21" s="117"/>
      <c r="R21" s="115"/>
      <c r="S21" s="115"/>
      <c r="T21" s="111"/>
      <c r="U21" s="118"/>
      <c r="V21" s="115"/>
      <c r="W21" s="115"/>
      <c r="X21" s="115"/>
      <c r="Y21" s="115"/>
      <c r="Z21" s="109"/>
      <c r="AA21" s="104">
        <f t="shared" si="0"/>
        <v>10</v>
      </c>
      <c r="AC21" s="127"/>
    </row>
    <row r="22" spans="1:29" s="102" customFormat="1" ht="21" customHeight="1" x14ac:dyDescent="0.2">
      <c r="A22" s="103" t="s">
        <v>334</v>
      </c>
      <c r="B22" s="104">
        <v>370</v>
      </c>
      <c r="C22" s="104">
        <v>0</v>
      </c>
      <c r="D22" s="104">
        <v>0</v>
      </c>
      <c r="E22" s="104">
        <v>141</v>
      </c>
      <c r="F22" s="104">
        <v>0</v>
      </c>
      <c r="G22" s="104">
        <v>0</v>
      </c>
      <c r="H22" s="104">
        <v>0</v>
      </c>
      <c r="I22" s="104">
        <v>78</v>
      </c>
      <c r="J22" s="104">
        <v>127</v>
      </c>
      <c r="K22" s="104">
        <v>0</v>
      </c>
      <c r="L22" s="104">
        <v>0</v>
      </c>
      <c r="M22" s="104">
        <v>0</v>
      </c>
      <c r="N22" s="104">
        <v>0</v>
      </c>
      <c r="O22" s="104">
        <v>21</v>
      </c>
      <c r="P22" s="104">
        <v>0</v>
      </c>
      <c r="Q22" s="104">
        <v>0</v>
      </c>
      <c r="R22" s="104">
        <v>0</v>
      </c>
      <c r="S22" s="104">
        <v>0</v>
      </c>
      <c r="T22" s="104">
        <v>7</v>
      </c>
      <c r="U22" s="104">
        <v>0</v>
      </c>
      <c r="V22" s="104">
        <v>194</v>
      </c>
      <c r="W22" s="104">
        <v>0</v>
      </c>
      <c r="X22" s="104">
        <v>0</v>
      </c>
      <c r="Y22" s="104">
        <v>60</v>
      </c>
      <c r="Z22" s="104">
        <v>0</v>
      </c>
      <c r="AA22" s="104">
        <f t="shared" si="0"/>
        <v>998</v>
      </c>
      <c r="AC22" s="127"/>
    </row>
    <row r="23" spans="1:29" s="102" customFormat="1" ht="14.25" customHeight="1" x14ac:dyDescent="0.2">
      <c r="A23" s="110">
        <v>12</v>
      </c>
      <c r="B23" s="107">
        <v>320</v>
      </c>
      <c r="C23" s="107"/>
      <c r="D23" s="107"/>
      <c r="E23" s="107">
        <v>70</v>
      </c>
      <c r="F23" s="108"/>
      <c r="G23" s="107"/>
      <c r="H23" s="107"/>
      <c r="I23" s="107">
        <v>60</v>
      </c>
      <c r="J23" s="107">
        <v>107</v>
      </c>
      <c r="K23" s="107"/>
      <c r="L23" s="107"/>
      <c r="M23" s="107"/>
      <c r="N23" s="107"/>
      <c r="O23" s="107">
        <v>6</v>
      </c>
      <c r="P23" s="107"/>
      <c r="Q23" s="108"/>
      <c r="R23" s="107"/>
      <c r="S23" s="107"/>
      <c r="T23" s="107">
        <v>5</v>
      </c>
      <c r="U23" s="108"/>
      <c r="V23" s="107">
        <v>178</v>
      </c>
      <c r="W23" s="107"/>
      <c r="X23" s="107"/>
      <c r="Y23" s="107">
        <v>60</v>
      </c>
      <c r="Z23" s="109"/>
      <c r="AA23" s="104">
        <f t="shared" si="0"/>
        <v>806</v>
      </c>
      <c r="AC23" s="127"/>
    </row>
    <row r="24" spans="1:29" s="102" customFormat="1" ht="14.25" customHeight="1" x14ac:dyDescent="0.2">
      <c r="A24" s="110">
        <v>13</v>
      </c>
      <c r="B24" s="107">
        <v>5</v>
      </c>
      <c r="C24" s="107"/>
      <c r="D24" s="107"/>
      <c r="E24" s="107"/>
      <c r="F24" s="107"/>
      <c r="G24" s="119"/>
      <c r="H24" s="107"/>
      <c r="I24" s="107"/>
      <c r="J24" s="107"/>
      <c r="K24" s="119"/>
      <c r="L24" s="119"/>
      <c r="M24" s="119"/>
      <c r="N24" s="119"/>
      <c r="O24" s="107"/>
      <c r="P24" s="107"/>
      <c r="Q24" s="119"/>
      <c r="R24" s="107"/>
      <c r="S24" s="107"/>
      <c r="T24" s="107"/>
      <c r="U24" s="119"/>
      <c r="V24" s="107">
        <v>4</v>
      </c>
      <c r="W24" s="107"/>
      <c r="X24" s="107"/>
      <c r="Y24" s="107"/>
      <c r="Z24" s="109"/>
      <c r="AA24" s="104">
        <f t="shared" si="0"/>
        <v>9</v>
      </c>
      <c r="AC24" s="127"/>
    </row>
    <row r="25" spans="1:29" s="102" customFormat="1" ht="14.25" customHeight="1" x14ac:dyDescent="0.2">
      <c r="A25" s="110">
        <v>14</v>
      </c>
      <c r="B25" s="111">
        <v>15</v>
      </c>
      <c r="C25" s="111"/>
      <c r="D25" s="111"/>
      <c r="E25" s="111"/>
      <c r="F25" s="112"/>
      <c r="G25" s="113"/>
      <c r="H25" s="111"/>
      <c r="I25" s="111">
        <v>3</v>
      </c>
      <c r="J25" s="111">
        <v>10</v>
      </c>
      <c r="K25" s="113"/>
      <c r="L25" s="113"/>
      <c r="M25" s="113"/>
      <c r="N25" s="113"/>
      <c r="O25" s="111">
        <v>0</v>
      </c>
      <c r="P25" s="111"/>
      <c r="Q25" s="113"/>
      <c r="R25" s="111"/>
      <c r="S25" s="111"/>
      <c r="T25" s="111"/>
      <c r="U25" s="114"/>
      <c r="V25" s="111">
        <v>12</v>
      </c>
      <c r="W25" s="111"/>
      <c r="X25" s="111"/>
      <c r="Y25" s="111"/>
      <c r="Z25" s="109"/>
      <c r="AA25" s="104">
        <f t="shared" si="0"/>
        <v>40</v>
      </c>
      <c r="AC25" s="127"/>
    </row>
    <row r="26" spans="1:29" s="102" customFormat="1" ht="12.75" customHeight="1" x14ac:dyDescent="0.2">
      <c r="A26" s="110">
        <v>15</v>
      </c>
      <c r="B26" s="115"/>
      <c r="C26" s="115"/>
      <c r="D26" s="115"/>
      <c r="E26" s="115">
        <v>71</v>
      </c>
      <c r="F26" s="116"/>
      <c r="G26" s="117"/>
      <c r="H26" s="115"/>
      <c r="I26" s="115"/>
      <c r="J26" s="115"/>
      <c r="K26" s="117"/>
      <c r="L26" s="117"/>
      <c r="M26" s="117"/>
      <c r="N26" s="117"/>
      <c r="O26" s="115">
        <v>15</v>
      </c>
      <c r="P26" s="115"/>
      <c r="Q26" s="117"/>
      <c r="R26" s="115"/>
      <c r="S26" s="115"/>
      <c r="T26" s="111"/>
      <c r="U26" s="118"/>
      <c r="V26" s="115"/>
      <c r="W26" s="115"/>
      <c r="X26" s="115"/>
      <c r="Y26" s="115"/>
      <c r="Z26" s="109"/>
      <c r="AA26" s="104">
        <f t="shared" si="0"/>
        <v>86</v>
      </c>
      <c r="AC26" s="127"/>
    </row>
    <row r="27" spans="1:29" s="102" customFormat="1" ht="14.25" customHeight="1" x14ac:dyDescent="0.2">
      <c r="A27" s="110">
        <v>16</v>
      </c>
      <c r="B27" s="111">
        <v>15</v>
      </c>
      <c r="C27" s="111"/>
      <c r="D27" s="111"/>
      <c r="E27" s="111"/>
      <c r="F27" s="112"/>
      <c r="G27" s="113"/>
      <c r="H27" s="111"/>
      <c r="I27" s="111"/>
      <c r="J27" s="111"/>
      <c r="K27" s="113"/>
      <c r="L27" s="113"/>
      <c r="M27" s="113"/>
      <c r="N27" s="113"/>
      <c r="O27" s="111"/>
      <c r="P27" s="111"/>
      <c r="Q27" s="113"/>
      <c r="R27" s="111"/>
      <c r="S27" s="111"/>
      <c r="T27" s="111">
        <v>2</v>
      </c>
      <c r="U27" s="114"/>
      <c r="V27" s="111"/>
      <c r="W27" s="111"/>
      <c r="X27" s="111"/>
      <c r="Y27" s="111"/>
      <c r="Z27" s="109"/>
      <c r="AA27" s="104">
        <f t="shared" si="0"/>
        <v>17</v>
      </c>
      <c r="AC27" s="127"/>
    </row>
    <row r="28" spans="1:29" s="102" customFormat="1" ht="14.25" customHeight="1" x14ac:dyDescent="0.2">
      <c r="A28" s="110">
        <v>17</v>
      </c>
      <c r="B28" s="115">
        <v>15</v>
      </c>
      <c r="C28" s="115"/>
      <c r="D28" s="115"/>
      <c r="E28" s="115"/>
      <c r="F28" s="116"/>
      <c r="G28" s="117"/>
      <c r="H28" s="115"/>
      <c r="I28" s="115">
        <v>15</v>
      </c>
      <c r="J28" s="115">
        <v>10</v>
      </c>
      <c r="K28" s="117"/>
      <c r="L28" s="117"/>
      <c r="M28" s="117"/>
      <c r="N28" s="117"/>
      <c r="O28" s="115"/>
      <c r="P28" s="115"/>
      <c r="Q28" s="117"/>
      <c r="R28" s="115"/>
      <c r="S28" s="115"/>
      <c r="T28" s="111"/>
      <c r="U28" s="118"/>
      <c r="V28" s="115"/>
      <c r="W28" s="115"/>
      <c r="X28" s="115"/>
      <c r="Y28" s="115"/>
      <c r="Z28" s="109"/>
      <c r="AA28" s="104">
        <f t="shared" si="0"/>
        <v>40</v>
      </c>
      <c r="AC28" s="127"/>
    </row>
    <row r="29" spans="1:29" s="102" customFormat="1" ht="18.75" customHeight="1" x14ac:dyDescent="0.2">
      <c r="A29" s="103" t="s">
        <v>335</v>
      </c>
      <c r="B29" s="104">
        <v>160</v>
      </c>
      <c r="C29" s="104">
        <v>0</v>
      </c>
      <c r="D29" s="104">
        <v>0</v>
      </c>
      <c r="E29" s="104">
        <v>180</v>
      </c>
      <c r="F29" s="104">
        <v>380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158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78</v>
      </c>
      <c r="Z29" s="104">
        <v>0</v>
      </c>
      <c r="AA29" s="104">
        <f t="shared" si="0"/>
        <v>956</v>
      </c>
      <c r="AC29" s="127"/>
    </row>
    <row r="30" spans="1:29" s="102" customFormat="1" ht="14.25" customHeight="1" x14ac:dyDescent="0.2">
      <c r="A30" s="110">
        <v>18</v>
      </c>
      <c r="B30" s="107">
        <v>105</v>
      </c>
      <c r="C30" s="107"/>
      <c r="D30" s="107"/>
      <c r="E30" s="107">
        <v>134</v>
      </c>
      <c r="F30" s="107">
        <v>200</v>
      </c>
      <c r="G30" s="107"/>
      <c r="H30" s="107"/>
      <c r="I30" s="107"/>
      <c r="J30" s="107"/>
      <c r="K30" s="107"/>
      <c r="L30" s="107"/>
      <c r="M30" s="107"/>
      <c r="N30" s="107"/>
      <c r="O30" s="107">
        <v>120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>
        <v>64</v>
      </c>
      <c r="Z30" s="109"/>
      <c r="AA30" s="104">
        <f t="shared" si="0"/>
        <v>623</v>
      </c>
      <c r="AC30" s="127"/>
    </row>
    <row r="31" spans="1:29" s="102" customFormat="1" ht="14.25" customHeight="1" x14ac:dyDescent="0.2">
      <c r="A31" s="110">
        <v>19</v>
      </c>
      <c r="B31" s="107">
        <v>55</v>
      </c>
      <c r="C31" s="107"/>
      <c r="D31" s="107"/>
      <c r="E31" s="107">
        <v>46</v>
      </c>
      <c r="F31" s="107">
        <v>180</v>
      </c>
      <c r="G31" s="107"/>
      <c r="H31" s="107"/>
      <c r="I31" s="107"/>
      <c r="J31" s="107"/>
      <c r="K31" s="107"/>
      <c r="L31" s="107"/>
      <c r="M31" s="107"/>
      <c r="N31" s="107"/>
      <c r="O31" s="107">
        <v>38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>
        <v>14</v>
      </c>
      <c r="Z31" s="109"/>
      <c r="AA31" s="104">
        <f t="shared" si="0"/>
        <v>333</v>
      </c>
      <c r="AC31" s="127"/>
    </row>
    <row r="32" spans="1:29" s="102" customFormat="1" ht="18.75" customHeight="1" x14ac:dyDescent="0.2">
      <c r="A32" s="103" t="s">
        <v>336</v>
      </c>
      <c r="B32" s="104">
        <v>101</v>
      </c>
      <c r="C32" s="104">
        <v>1224</v>
      </c>
      <c r="D32" s="104">
        <v>0</v>
      </c>
      <c r="E32" s="104">
        <v>103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62</v>
      </c>
      <c r="W32" s="104">
        <v>20</v>
      </c>
      <c r="X32" s="104">
        <v>0</v>
      </c>
      <c r="Y32" s="104">
        <v>150</v>
      </c>
      <c r="Z32" s="104">
        <v>0</v>
      </c>
      <c r="AA32" s="104">
        <f t="shared" si="0"/>
        <v>1660</v>
      </c>
      <c r="AC32" s="127"/>
    </row>
    <row r="33" spans="1:29" s="102" customFormat="1" ht="14.25" customHeight="1" x14ac:dyDescent="0.2">
      <c r="A33" s="110">
        <v>20</v>
      </c>
      <c r="B33" s="107">
        <v>41</v>
      </c>
      <c r="C33" s="107">
        <v>940</v>
      </c>
      <c r="D33" s="107"/>
      <c r="E33" s="107">
        <v>3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>
        <v>62</v>
      </c>
      <c r="W33" s="107">
        <v>20</v>
      </c>
      <c r="X33" s="107"/>
      <c r="Y33" s="107">
        <v>100</v>
      </c>
      <c r="Z33" s="109"/>
      <c r="AA33" s="104">
        <f t="shared" si="0"/>
        <v>1166</v>
      </c>
      <c r="AC33" s="127"/>
    </row>
    <row r="34" spans="1:29" s="102" customFormat="1" ht="14.25" customHeight="1" x14ac:dyDescent="0.2">
      <c r="A34" s="110">
        <v>21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07"/>
      <c r="U34" s="111"/>
      <c r="V34" s="111"/>
      <c r="W34" s="111"/>
      <c r="X34" s="111"/>
      <c r="Y34" s="111"/>
      <c r="Z34" s="109"/>
      <c r="AA34" s="104">
        <f t="shared" si="0"/>
        <v>0</v>
      </c>
      <c r="AC34" s="127"/>
    </row>
    <row r="35" spans="1:29" s="102" customFormat="1" ht="14.25" customHeight="1" x14ac:dyDescent="0.2">
      <c r="A35" s="110">
        <v>22</v>
      </c>
      <c r="B35" s="115">
        <v>60</v>
      </c>
      <c r="C35" s="115">
        <v>284</v>
      </c>
      <c r="D35" s="115"/>
      <c r="E35" s="115">
        <v>100</v>
      </c>
      <c r="F35" s="115"/>
      <c r="G35" s="117"/>
      <c r="H35" s="115"/>
      <c r="I35" s="115"/>
      <c r="J35" s="115"/>
      <c r="K35" s="115"/>
      <c r="L35" s="117"/>
      <c r="M35" s="117"/>
      <c r="N35" s="117"/>
      <c r="O35" s="115"/>
      <c r="P35" s="115"/>
      <c r="Q35" s="117"/>
      <c r="R35" s="115"/>
      <c r="S35" s="115"/>
      <c r="T35" s="107"/>
      <c r="U35" s="117"/>
      <c r="V35" s="115"/>
      <c r="W35" s="115"/>
      <c r="X35" s="115"/>
      <c r="Y35" s="115">
        <v>50</v>
      </c>
      <c r="Z35" s="109"/>
      <c r="AA35" s="104">
        <f t="shared" si="0"/>
        <v>494</v>
      </c>
      <c r="AC35" s="127"/>
    </row>
    <row r="36" spans="1:29" s="102" customFormat="1" ht="19.5" customHeight="1" x14ac:dyDescent="0.2">
      <c r="A36" s="103" t="s">
        <v>337</v>
      </c>
      <c r="B36" s="104">
        <v>120</v>
      </c>
      <c r="C36" s="104">
        <v>0</v>
      </c>
      <c r="D36" s="104">
        <v>0</v>
      </c>
      <c r="E36" s="104">
        <v>50</v>
      </c>
      <c r="F36" s="104">
        <v>0</v>
      </c>
      <c r="G36" s="104">
        <v>0</v>
      </c>
      <c r="H36" s="104">
        <v>0</v>
      </c>
      <c r="I36" s="104">
        <v>15</v>
      </c>
      <c r="J36" s="104">
        <v>65</v>
      </c>
      <c r="K36" s="104">
        <v>0</v>
      </c>
      <c r="L36" s="104">
        <v>0</v>
      </c>
      <c r="M36" s="104">
        <v>0</v>
      </c>
      <c r="N36" s="104">
        <v>92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f t="shared" si="0"/>
        <v>342</v>
      </c>
      <c r="AC36" s="127"/>
    </row>
    <row r="37" spans="1:29" s="102" customFormat="1" ht="15" customHeight="1" x14ac:dyDescent="0.2">
      <c r="A37" s="110">
        <v>23</v>
      </c>
      <c r="B37" s="111">
        <v>95</v>
      </c>
      <c r="C37" s="111"/>
      <c r="D37" s="111"/>
      <c r="E37" s="111">
        <v>27</v>
      </c>
      <c r="F37" s="111"/>
      <c r="G37" s="111"/>
      <c r="H37" s="111"/>
      <c r="I37" s="111">
        <v>10</v>
      </c>
      <c r="J37" s="111">
        <v>20</v>
      </c>
      <c r="K37" s="111"/>
      <c r="L37" s="111"/>
      <c r="M37" s="111"/>
      <c r="N37" s="111">
        <v>52</v>
      </c>
      <c r="O37" s="111"/>
      <c r="P37" s="111"/>
      <c r="Q37" s="111"/>
      <c r="R37" s="111"/>
      <c r="S37" s="111"/>
      <c r="T37" s="107"/>
      <c r="U37" s="111"/>
      <c r="V37" s="111"/>
      <c r="W37" s="111"/>
      <c r="X37" s="111"/>
      <c r="Y37" s="111"/>
      <c r="Z37" s="109"/>
      <c r="AA37" s="104">
        <f t="shared" si="0"/>
        <v>204</v>
      </c>
      <c r="AC37" s="127"/>
    </row>
    <row r="38" spans="1:29" s="102" customFormat="1" ht="15" customHeight="1" x14ac:dyDescent="0.2">
      <c r="A38" s="110">
        <v>24</v>
      </c>
      <c r="B38" s="111">
        <v>25</v>
      </c>
      <c r="C38" s="107"/>
      <c r="D38" s="111"/>
      <c r="E38" s="111">
        <v>23</v>
      </c>
      <c r="F38" s="107"/>
      <c r="G38" s="111"/>
      <c r="H38" s="111"/>
      <c r="I38" s="111">
        <v>5</v>
      </c>
      <c r="J38" s="111">
        <v>45</v>
      </c>
      <c r="K38" s="107"/>
      <c r="L38" s="111"/>
      <c r="M38" s="111"/>
      <c r="N38" s="107">
        <v>40</v>
      </c>
      <c r="O38" s="111"/>
      <c r="P38" s="107"/>
      <c r="Q38" s="107"/>
      <c r="R38" s="111"/>
      <c r="S38" s="111"/>
      <c r="T38" s="107"/>
      <c r="U38" s="111"/>
      <c r="V38" s="107"/>
      <c r="W38" s="107"/>
      <c r="X38" s="107"/>
      <c r="Y38" s="107"/>
      <c r="Z38" s="109"/>
      <c r="AA38" s="104">
        <f t="shared" si="0"/>
        <v>138</v>
      </c>
      <c r="AC38" s="127"/>
    </row>
    <row r="39" spans="1:29" s="102" customFormat="1" ht="19.5" customHeight="1" x14ac:dyDescent="0.2">
      <c r="A39" s="103" t="s">
        <v>338</v>
      </c>
      <c r="B39" s="104">
        <v>0</v>
      </c>
      <c r="C39" s="104">
        <v>0</v>
      </c>
      <c r="D39" s="104">
        <v>0</v>
      </c>
      <c r="E39" s="104">
        <v>60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300</v>
      </c>
      <c r="L39" s="104">
        <v>2424</v>
      </c>
      <c r="M39" s="104">
        <v>200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f t="shared" si="0"/>
        <v>2984</v>
      </c>
      <c r="AC39" s="127"/>
    </row>
    <row r="40" spans="1:29" s="102" customFormat="1" ht="14.25" customHeight="1" x14ac:dyDescent="0.2">
      <c r="A40" s="110">
        <v>25</v>
      </c>
      <c r="B40" s="111"/>
      <c r="C40" s="111"/>
      <c r="D40" s="111"/>
      <c r="E40" s="111">
        <v>60</v>
      </c>
      <c r="F40" s="111"/>
      <c r="G40" s="107"/>
      <c r="H40" s="111"/>
      <c r="I40" s="111"/>
      <c r="J40" s="111"/>
      <c r="K40" s="111">
        <v>290</v>
      </c>
      <c r="L40" s="111">
        <v>2400</v>
      </c>
      <c r="M40" s="111">
        <v>200</v>
      </c>
      <c r="N40" s="111"/>
      <c r="O40" s="111"/>
      <c r="P40" s="111"/>
      <c r="Q40" s="111"/>
      <c r="R40" s="111"/>
      <c r="S40" s="111"/>
      <c r="T40" s="107"/>
      <c r="U40" s="111"/>
      <c r="V40" s="111"/>
      <c r="W40" s="111"/>
      <c r="X40" s="111"/>
      <c r="Y40" s="111"/>
      <c r="Z40" s="109"/>
      <c r="AA40" s="104">
        <f t="shared" si="0"/>
        <v>2950</v>
      </c>
      <c r="AC40" s="127"/>
    </row>
    <row r="41" spans="1:29" s="102" customFormat="1" ht="14.25" customHeight="1" x14ac:dyDescent="0.2">
      <c r="A41" s="110">
        <v>26</v>
      </c>
      <c r="B41" s="111"/>
      <c r="C41" s="111"/>
      <c r="D41" s="111"/>
      <c r="E41" s="111"/>
      <c r="F41" s="111"/>
      <c r="G41" s="115"/>
      <c r="H41" s="111"/>
      <c r="I41" s="111"/>
      <c r="J41" s="111"/>
      <c r="K41" s="111">
        <v>10</v>
      </c>
      <c r="L41" s="111">
        <v>24</v>
      </c>
      <c r="M41" s="111"/>
      <c r="N41" s="111"/>
      <c r="O41" s="111"/>
      <c r="P41" s="111"/>
      <c r="Q41" s="111"/>
      <c r="R41" s="111"/>
      <c r="S41" s="111"/>
      <c r="T41" s="107"/>
      <c r="U41" s="111"/>
      <c r="V41" s="111"/>
      <c r="W41" s="111"/>
      <c r="X41" s="111"/>
      <c r="Y41" s="111"/>
      <c r="Z41" s="109"/>
      <c r="AA41" s="104">
        <f t="shared" si="0"/>
        <v>34</v>
      </c>
      <c r="AC41" s="127"/>
    </row>
    <row r="42" spans="1:29" s="102" customFormat="1" ht="18.75" customHeight="1" x14ac:dyDescent="0.2">
      <c r="A42" s="103" t="s">
        <v>339</v>
      </c>
      <c r="B42" s="104">
        <v>0</v>
      </c>
      <c r="C42" s="104">
        <v>0</v>
      </c>
      <c r="D42" s="104">
        <v>0</v>
      </c>
      <c r="E42" s="104">
        <v>40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f t="shared" si="0"/>
        <v>40</v>
      </c>
      <c r="AC42" s="127"/>
    </row>
    <row r="43" spans="1:29" s="102" customFormat="1" ht="15" customHeight="1" x14ac:dyDescent="0.2">
      <c r="A43" s="110">
        <v>27</v>
      </c>
      <c r="B43" s="111"/>
      <c r="C43" s="107"/>
      <c r="D43" s="107"/>
      <c r="E43" s="107">
        <v>3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9"/>
      <c r="AA43" s="104">
        <f t="shared" si="0"/>
        <v>3</v>
      </c>
      <c r="AC43" s="127"/>
    </row>
    <row r="44" spans="1:29" s="102" customFormat="1" ht="13.5" customHeight="1" x14ac:dyDescent="0.2">
      <c r="A44" s="110">
        <v>28</v>
      </c>
      <c r="B44" s="111"/>
      <c r="C44" s="111"/>
      <c r="D44" s="111"/>
      <c r="E44" s="111">
        <v>37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07"/>
      <c r="U44" s="111"/>
      <c r="V44" s="111"/>
      <c r="W44" s="111"/>
      <c r="X44" s="111"/>
      <c r="Y44" s="111"/>
      <c r="Z44" s="109"/>
      <c r="AA44" s="104">
        <f t="shared" si="0"/>
        <v>37</v>
      </c>
      <c r="AC44" s="127"/>
    </row>
    <row r="45" spans="1:29" s="102" customFormat="1" ht="15" customHeight="1" x14ac:dyDescent="0.2">
      <c r="A45" s="106">
        <v>29</v>
      </c>
      <c r="B45" s="115"/>
      <c r="C45" s="115"/>
      <c r="D45" s="115"/>
      <c r="E45" s="115"/>
      <c r="F45" s="115"/>
      <c r="G45" s="117"/>
      <c r="H45" s="115"/>
      <c r="I45" s="115"/>
      <c r="J45" s="115"/>
      <c r="K45" s="117"/>
      <c r="L45" s="117"/>
      <c r="M45" s="117"/>
      <c r="N45" s="117"/>
      <c r="O45" s="115"/>
      <c r="P45" s="115"/>
      <c r="Q45" s="117"/>
      <c r="R45" s="115"/>
      <c r="S45" s="115"/>
      <c r="T45" s="107"/>
      <c r="U45" s="117"/>
      <c r="V45" s="115"/>
      <c r="W45" s="115"/>
      <c r="X45" s="115"/>
      <c r="Y45" s="115"/>
      <c r="Z45" s="109"/>
      <c r="AA45" s="104">
        <f t="shared" si="0"/>
        <v>0</v>
      </c>
      <c r="AC45" s="127"/>
    </row>
    <row r="46" spans="1:29" s="102" customFormat="1" ht="17.25" customHeight="1" x14ac:dyDescent="0.2">
      <c r="A46" s="103" t="s">
        <v>340</v>
      </c>
      <c r="B46" s="104">
        <v>200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100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60</v>
      </c>
      <c r="W46" s="104">
        <v>0</v>
      </c>
      <c r="X46" s="104">
        <v>0</v>
      </c>
      <c r="Y46" s="104">
        <v>40</v>
      </c>
      <c r="Z46" s="104">
        <v>0</v>
      </c>
      <c r="AA46" s="104">
        <f t="shared" si="0"/>
        <v>400</v>
      </c>
      <c r="AC46" s="127"/>
    </row>
    <row r="47" spans="1:29" s="102" customFormat="1" ht="14.25" customHeight="1" x14ac:dyDescent="0.2">
      <c r="A47" s="120">
        <v>30</v>
      </c>
      <c r="B47" s="107">
        <v>200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>
        <v>100</v>
      </c>
      <c r="O47" s="107"/>
      <c r="P47" s="107"/>
      <c r="Q47" s="107"/>
      <c r="R47" s="107"/>
      <c r="S47" s="107"/>
      <c r="T47" s="107"/>
      <c r="U47" s="107"/>
      <c r="V47" s="107">
        <v>60</v>
      </c>
      <c r="W47" s="107"/>
      <c r="X47" s="107"/>
      <c r="Y47" s="107">
        <v>40</v>
      </c>
      <c r="Z47" s="109"/>
      <c r="AA47" s="104">
        <f t="shared" si="0"/>
        <v>400</v>
      </c>
      <c r="AC47" s="127"/>
    </row>
    <row r="48" spans="1:29" s="102" customFormat="1" ht="26.25" customHeight="1" x14ac:dyDescent="0.2">
      <c r="A48" s="103" t="s">
        <v>341</v>
      </c>
      <c r="B48" s="104">
        <v>323</v>
      </c>
      <c r="C48" s="104">
        <v>0</v>
      </c>
      <c r="D48" s="104">
        <v>3318</v>
      </c>
      <c r="E48" s="104">
        <v>0</v>
      </c>
      <c r="F48" s="104">
        <v>0</v>
      </c>
      <c r="G48" s="104">
        <v>0</v>
      </c>
      <c r="H48" s="104">
        <v>0</v>
      </c>
      <c r="I48" s="104">
        <v>763</v>
      </c>
      <c r="J48" s="104">
        <v>573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175</v>
      </c>
      <c r="Q48" s="104">
        <v>0</v>
      </c>
      <c r="R48" s="104">
        <v>213</v>
      </c>
      <c r="S48" s="104">
        <v>133</v>
      </c>
      <c r="T48" s="104">
        <v>0</v>
      </c>
      <c r="U48" s="104">
        <v>0</v>
      </c>
      <c r="V48" s="104">
        <v>362</v>
      </c>
      <c r="W48" s="104">
        <v>219</v>
      </c>
      <c r="X48" s="104">
        <v>0</v>
      </c>
      <c r="Y48" s="104">
        <v>555</v>
      </c>
      <c r="Z48" s="104">
        <v>0</v>
      </c>
      <c r="AA48" s="104">
        <f t="shared" si="0"/>
        <v>6634</v>
      </c>
      <c r="AC48" s="127"/>
    </row>
    <row r="49" spans="1:29" s="102" customFormat="1" ht="14.25" customHeight="1" x14ac:dyDescent="0.2">
      <c r="A49" s="110">
        <v>31</v>
      </c>
      <c r="B49" s="121">
        <v>41</v>
      </c>
      <c r="C49" s="121"/>
      <c r="D49" s="121">
        <v>323</v>
      </c>
      <c r="E49" s="121"/>
      <c r="F49" s="121"/>
      <c r="G49" s="122"/>
      <c r="H49" s="121"/>
      <c r="I49" s="121">
        <v>263</v>
      </c>
      <c r="J49" s="121">
        <v>160</v>
      </c>
      <c r="K49" s="122"/>
      <c r="L49" s="122"/>
      <c r="M49" s="122"/>
      <c r="N49" s="122"/>
      <c r="O49" s="121"/>
      <c r="P49" s="121">
        <v>35</v>
      </c>
      <c r="Q49" s="122"/>
      <c r="R49" s="121">
        <v>118</v>
      </c>
      <c r="S49" s="121">
        <v>20</v>
      </c>
      <c r="T49" s="107"/>
      <c r="U49" s="122"/>
      <c r="V49" s="121">
        <v>233</v>
      </c>
      <c r="W49" s="121">
        <v>86</v>
      </c>
      <c r="X49" s="121"/>
      <c r="Y49" s="121">
        <v>106</v>
      </c>
      <c r="Z49" s="123">
        <v>0</v>
      </c>
      <c r="AA49" s="104">
        <f t="shared" si="0"/>
        <v>1385</v>
      </c>
      <c r="AC49" s="127"/>
    </row>
    <row r="50" spans="1:29" s="102" customFormat="1" ht="14.25" customHeight="1" x14ac:dyDescent="0.2">
      <c r="A50" s="110">
        <v>32</v>
      </c>
      <c r="B50" s="111">
        <v>50</v>
      </c>
      <c r="C50" s="111"/>
      <c r="D50" s="111">
        <v>133</v>
      </c>
      <c r="E50" s="111"/>
      <c r="F50" s="111"/>
      <c r="G50" s="111"/>
      <c r="H50" s="111"/>
      <c r="I50" s="111">
        <v>90</v>
      </c>
      <c r="J50" s="111">
        <v>64</v>
      </c>
      <c r="K50" s="111"/>
      <c r="L50" s="111"/>
      <c r="M50" s="111"/>
      <c r="N50" s="111"/>
      <c r="O50" s="111"/>
      <c r="P50" s="111">
        <v>50</v>
      </c>
      <c r="Q50" s="111"/>
      <c r="R50" s="111">
        <v>74</v>
      </c>
      <c r="S50" s="111">
        <v>10</v>
      </c>
      <c r="T50" s="107"/>
      <c r="U50" s="111"/>
      <c r="V50" s="111">
        <v>23</v>
      </c>
      <c r="W50" s="111">
        <v>47</v>
      </c>
      <c r="X50" s="111"/>
      <c r="Y50" s="111">
        <v>31</v>
      </c>
      <c r="Z50" s="123">
        <v>0</v>
      </c>
      <c r="AA50" s="104">
        <f t="shared" si="0"/>
        <v>572</v>
      </c>
      <c r="AC50" s="127"/>
    </row>
    <row r="51" spans="1:29" s="102" customFormat="1" ht="14.25" customHeight="1" x14ac:dyDescent="0.2">
      <c r="A51" s="110">
        <v>33</v>
      </c>
      <c r="B51" s="111">
        <v>11</v>
      </c>
      <c r="C51" s="111"/>
      <c r="D51" s="111">
        <v>38</v>
      </c>
      <c r="E51" s="111"/>
      <c r="F51" s="111"/>
      <c r="G51" s="113"/>
      <c r="H51" s="111"/>
      <c r="I51" s="111">
        <v>20</v>
      </c>
      <c r="J51" s="111">
        <v>8</v>
      </c>
      <c r="K51" s="113"/>
      <c r="L51" s="113"/>
      <c r="M51" s="113"/>
      <c r="N51" s="113"/>
      <c r="O51" s="111"/>
      <c r="P51" s="111">
        <v>15</v>
      </c>
      <c r="Q51" s="113"/>
      <c r="R51" s="111">
        <v>21</v>
      </c>
      <c r="S51" s="111">
        <v>3</v>
      </c>
      <c r="T51" s="107"/>
      <c r="U51" s="113"/>
      <c r="V51" s="111">
        <v>2</v>
      </c>
      <c r="W51" s="111">
        <v>22</v>
      </c>
      <c r="X51" s="111"/>
      <c r="Y51" s="111">
        <v>6</v>
      </c>
      <c r="Z51" s="123">
        <v>0</v>
      </c>
      <c r="AA51" s="104">
        <f t="shared" si="0"/>
        <v>146</v>
      </c>
      <c r="AC51" s="127"/>
    </row>
    <row r="52" spans="1:29" s="102" customFormat="1" ht="14.25" customHeight="1" x14ac:dyDescent="0.2">
      <c r="A52" s="110">
        <v>34</v>
      </c>
      <c r="B52" s="111">
        <v>118</v>
      </c>
      <c r="C52" s="111"/>
      <c r="D52" s="111">
        <v>680</v>
      </c>
      <c r="E52" s="111"/>
      <c r="F52" s="111"/>
      <c r="G52" s="113"/>
      <c r="H52" s="111"/>
      <c r="I52" s="111">
        <v>290</v>
      </c>
      <c r="J52" s="111">
        <v>308</v>
      </c>
      <c r="K52" s="113"/>
      <c r="L52" s="113"/>
      <c r="M52" s="113"/>
      <c r="N52" s="113"/>
      <c r="O52" s="111"/>
      <c r="P52" s="111">
        <v>25</v>
      </c>
      <c r="Q52" s="113"/>
      <c r="R52" s="111"/>
      <c r="S52" s="111">
        <v>70</v>
      </c>
      <c r="T52" s="107"/>
      <c r="U52" s="113"/>
      <c r="V52" s="111">
        <v>91</v>
      </c>
      <c r="W52" s="111">
        <v>29</v>
      </c>
      <c r="X52" s="111"/>
      <c r="Y52" s="111">
        <v>253</v>
      </c>
      <c r="Z52" s="123">
        <v>0</v>
      </c>
      <c r="AA52" s="104">
        <f t="shared" si="0"/>
        <v>1864</v>
      </c>
      <c r="AC52" s="127"/>
    </row>
    <row r="53" spans="1:29" s="102" customFormat="1" ht="14.25" customHeight="1" x14ac:dyDescent="0.2">
      <c r="A53" s="110">
        <v>35</v>
      </c>
      <c r="B53" s="111">
        <v>72</v>
      </c>
      <c r="C53" s="111"/>
      <c r="D53" s="111">
        <v>228</v>
      </c>
      <c r="E53" s="111"/>
      <c r="F53" s="111"/>
      <c r="G53" s="111"/>
      <c r="H53" s="111"/>
      <c r="I53" s="111">
        <v>80</v>
      </c>
      <c r="J53" s="111">
        <v>25</v>
      </c>
      <c r="K53" s="111"/>
      <c r="L53" s="111"/>
      <c r="M53" s="111"/>
      <c r="N53" s="111"/>
      <c r="O53" s="111"/>
      <c r="P53" s="111">
        <v>40</v>
      </c>
      <c r="Q53" s="111"/>
      <c r="R53" s="111"/>
      <c r="S53" s="111">
        <v>20</v>
      </c>
      <c r="T53" s="107"/>
      <c r="U53" s="111"/>
      <c r="V53" s="111">
        <v>13</v>
      </c>
      <c r="W53" s="111">
        <v>25</v>
      </c>
      <c r="X53" s="111"/>
      <c r="Y53" s="111">
        <v>48</v>
      </c>
      <c r="Z53" s="123">
        <v>0</v>
      </c>
      <c r="AA53" s="104">
        <f t="shared" si="0"/>
        <v>551</v>
      </c>
      <c r="AC53" s="127"/>
    </row>
    <row r="54" spans="1:29" s="102" customFormat="1" ht="14.25" customHeight="1" x14ac:dyDescent="0.2">
      <c r="A54" s="110">
        <v>36</v>
      </c>
      <c r="B54" s="111">
        <v>31</v>
      </c>
      <c r="C54" s="111"/>
      <c r="D54" s="111">
        <v>71</v>
      </c>
      <c r="E54" s="111"/>
      <c r="F54" s="111"/>
      <c r="G54" s="111"/>
      <c r="H54" s="111"/>
      <c r="I54" s="111">
        <v>20</v>
      </c>
      <c r="J54" s="111">
        <v>8</v>
      </c>
      <c r="K54" s="111"/>
      <c r="L54" s="111"/>
      <c r="M54" s="111"/>
      <c r="N54" s="111"/>
      <c r="O54" s="111"/>
      <c r="P54" s="111">
        <v>10</v>
      </c>
      <c r="Q54" s="111"/>
      <c r="R54" s="111"/>
      <c r="S54" s="111">
        <v>10</v>
      </c>
      <c r="T54" s="107"/>
      <c r="U54" s="111"/>
      <c r="V54" s="111"/>
      <c r="W54" s="111">
        <v>10</v>
      </c>
      <c r="X54" s="111"/>
      <c r="Y54" s="111">
        <v>6</v>
      </c>
      <c r="Z54" s="123">
        <v>0</v>
      </c>
      <c r="AA54" s="104">
        <f t="shared" si="0"/>
        <v>166</v>
      </c>
      <c r="AC54" s="127"/>
    </row>
    <row r="55" spans="1:29" s="102" customFormat="1" ht="14.25" customHeight="1" x14ac:dyDescent="0.2">
      <c r="A55" s="110">
        <v>37</v>
      </c>
      <c r="B55" s="111"/>
      <c r="C55" s="111"/>
      <c r="D55" s="111">
        <v>230</v>
      </c>
      <c r="E55" s="111"/>
      <c r="F55" s="111"/>
      <c r="G55" s="113"/>
      <c r="H55" s="111"/>
      <c r="I55" s="111"/>
      <c r="J55" s="111"/>
      <c r="K55" s="113"/>
      <c r="L55" s="113"/>
      <c r="M55" s="113"/>
      <c r="N55" s="113"/>
      <c r="O55" s="111"/>
      <c r="P55" s="111"/>
      <c r="Q55" s="113"/>
      <c r="R55" s="111"/>
      <c r="S55" s="111"/>
      <c r="T55" s="107"/>
      <c r="U55" s="113"/>
      <c r="V55" s="111"/>
      <c r="W55" s="111"/>
      <c r="X55" s="111"/>
      <c r="Y55" s="111"/>
      <c r="Z55" s="123"/>
      <c r="AA55" s="104">
        <f t="shared" si="0"/>
        <v>230</v>
      </c>
      <c r="AC55" s="127"/>
    </row>
    <row r="56" spans="1:29" s="102" customFormat="1" ht="14.25" customHeight="1" x14ac:dyDescent="0.2">
      <c r="A56" s="110">
        <v>38</v>
      </c>
      <c r="B56" s="111"/>
      <c r="C56" s="111"/>
      <c r="D56" s="111">
        <v>300</v>
      </c>
      <c r="E56" s="111"/>
      <c r="F56" s="111"/>
      <c r="G56" s="113"/>
      <c r="H56" s="111"/>
      <c r="I56" s="111"/>
      <c r="J56" s="111"/>
      <c r="K56" s="113"/>
      <c r="L56" s="113"/>
      <c r="M56" s="113"/>
      <c r="N56" s="113"/>
      <c r="O56" s="111"/>
      <c r="P56" s="111"/>
      <c r="Q56" s="113"/>
      <c r="R56" s="111"/>
      <c r="S56" s="111"/>
      <c r="T56" s="107"/>
      <c r="U56" s="113"/>
      <c r="V56" s="111"/>
      <c r="W56" s="111"/>
      <c r="X56" s="111"/>
      <c r="Y56" s="111">
        <v>10</v>
      </c>
      <c r="Z56" s="109"/>
      <c r="AA56" s="104">
        <f t="shared" si="0"/>
        <v>310</v>
      </c>
      <c r="AC56" s="127"/>
    </row>
    <row r="57" spans="1:29" s="102" customFormat="1" ht="14.25" customHeight="1" x14ac:dyDescent="0.2">
      <c r="A57" s="110">
        <v>39</v>
      </c>
      <c r="B57" s="111"/>
      <c r="C57" s="111"/>
      <c r="D57" s="111">
        <v>5</v>
      </c>
      <c r="E57" s="111"/>
      <c r="F57" s="111"/>
      <c r="G57" s="113"/>
      <c r="H57" s="111"/>
      <c r="I57" s="111"/>
      <c r="J57" s="111"/>
      <c r="K57" s="113"/>
      <c r="L57" s="113"/>
      <c r="M57" s="113"/>
      <c r="N57" s="113"/>
      <c r="O57" s="111"/>
      <c r="P57" s="111"/>
      <c r="Q57" s="113"/>
      <c r="R57" s="111"/>
      <c r="S57" s="111"/>
      <c r="T57" s="107"/>
      <c r="U57" s="113"/>
      <c r="V57" s="111"/>
      <c r="W57" s="111"/>
      <c r="X57" s="111"/>
      <c r="Y57" s="111"/>
      <c r="Z57" s="109"/>
      <c r="AA57" s="104">
        <f t="shared" si="0"/>
        <v>5</v>
      </c>
      <c r="AC57" s="127"/>
    </row>
    <row r="58" spans="1:29" s="102" customFormat="1" ht="14.25" customHeight="1" x14ac:dyDescent="0.2">
      <c r="A58" s="110">
        <v>40</v>
      </c>
      <c r="B58" s="111"/>
      <c r="C58" s="111"/>
      <c r="D58" s="111">
        <v>810</v>
      </c>
      <c r="E58" s="111"/>
      <c r="F58" s="111"/>
      <c r="G58" s="113"/>
      <c r="H58" s="111"/>
      <c r="I58" s="111"/>
      <c r="J58" s="111"/>
      <c r="K58" s="113"/>
      <c r="L58" s="113"/>
      <c r="M58" s="113"/>
      <c r="N58" s="113"/>
      <c r="O58" s="111"/>
      <c r="P58" s="111"/>
      <c r="Q58" s="113"/>
      <c r="R58" s="111"/>
      <c r="S58" s="111"/>
      <c r="T58" s="107"/>
      <c r="U58" s="113"/>
      <c r="V58" s="111"/>
      <c r="W58" s="111"/>
      <c r="X58" s="111"/>
      <c r="Y58" s="111">
        <v>10</v>
      </c>
      <c r="Z58" s="109"/>
      <c r="AA58" s="104">
        <f t="shared" si="0"/>
        <v>820</v>
      </c>
      <c r="AC58" s="127"/>
    </row>
    <row r="59" spans="1:29" s="102" customFormat="1" ht="14.25" customHeight="1" x14ac:dyDescent="0.2">
      <c r="A59" s="110">
        <v>41</v>
      </c>
      <c r="B59" s="107"/>
      <c r="C59" s="107"/>
      <c r="D59" s="107">
        <v>500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>
        <v>85</v>
      </c>
      <c r="Z59" s="109"/>
      <c r="AA59" s="104">
        <f t="shared" si="0"/>
        <v>585</v>
      </c>
      <c r="AC59" s="127"/>
    </row>
    <row r="60" spans="1:29" s="102" customFormat="1" ht="19.5" customHeight="1" x14ac:dyDescent="0.2">
      <c r="A60" s="103" t="s">
        <v>342</v>
      </c>
      <c r="B60" s="104">
        <v>30</v>
      </c>
      <c r="C60" s="104">
        <v>0</v>
      </c>
      <c r="D60" s="104">
        <v>0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50</v>
      </c>
      <c r="Z60" s="104">
        <v>0</v>
      </c>
      <c r="AA60" s="104">
        <f t="shared" si="0"/>
        <v>80</v>
      </c>
      <c r="AC60" s="127"/>
    </row>
    <row r="61" spans="1:29" s="102" customFormat="1" ht="15.75" customHeight="1" x14ac:dyDescent="0.2">
      <c r="A61" s="110">
        <v>42</v>
      </c>
      <c r="B61" s="111">
        <v>20</v>
      </c>
      <c r="C61" s="111"/>
      <c r="D61" s="111"/>
      <c r="E61" s="111"/>
      <c r="F61" s="111"/>
      <c r="G61" s="113"/>
      <c r="H61" s="111"/>
      <c r="I61" s="111"/>
      <c r="J61" s="111"/>
      <c r="K61" s="113"/>
      <c r="L61" s="113"/>
      <c r="M61" s="113"/>
      <c r="N61" s="113"/>
      <c r="O61" s="111"/>
      <c r="P61" s="111"/>
      <c r="Q61" s="113"/>
      <c r="R61" s="111"/>
      <c r="S61" s="111"/>
      <c r="T61" s="107"/>
      <c r="U61" s="113"/>
      <c r="V61" s="111"/>
      <c r="W61" s="111"/>
      <c r="X61" s="111"/>
      <c r="Y61" s="111">
        <v>50</v>
      </c>
      <c r="Z61" s="109"/>
      <c r="AA61" s="104">
        <f t="shared" si="0"/>
        <v>70</v>
      </c>
      <c r="AC61" s="127"/>
    </row>
    <row r="62" spans="1:29" s="102" customFormat="1" ht="14.25" customHeight="1" x14ac:dyDescent="0.2">
      <c r="A62" s="110">
        <v>43</v>
      </c>
      <c r="B62" s="107">
        <v>10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9"/>
      <c r="AA62" s="104">
        <f t="shared" si="0"/>
        <v>10</v>
      </c>
      <c r="AC62" s="127"/>
    </row>
    <row r="63" spans="1:29" s="102" customFormat="1" ht="24" customHeight="1" x14ac:dyDescent="0.2">
      <c r="A63" s="103" t="s">
        <v>343</v>
      </c>
      <c r="B63" s="104">
        <v>355</v>
      </c>
      <c r="C63" s="104">
        <v>0</v>
      </c>
      <c r="D63" s="104">
        <v>0</v>
      </c>
      <c r="E63" s="104">
        <v>60</v>
      </c>
      <c r="F63" s="104">
        <v>0</v>
      </c>
      <c r="G63" s="104">
        <v>0</v>
      </c>
      <c r="H63" s="104">
        <v>216</v>
      </c>
      <c r="I63" s="104">
        <v>215</v>
      </c>
      <c r="J63" s="104">
        <v>200</v>
      </c>
      <c r="K63" s="104">
        <v>0</v>
      </c>
      <c r="L63" s="104">
        <v>0</v>
      </c>
      <c r="M63" s="104">
        <v>0</v>
      </c>
      <c r="N63" s="104">
        <v>73</v>
      </c>
      <c r="O63" s="104">
        <v>228</v>
      </c>
      <c r="P63" s="104">
        <v>210</v>
      </c>
      <c r="Q63" s="104">
        <v>0</v>
      </c>
      <c r="R63" s="104">
        <v>25</v>
      </c>
      <c r="S63" s="104">
        <v>0</v>
      </c>
      <c r="T63" s="104">
        <v>25</v>
      </c>
      <c r="U63" s="104">
        <v>20</v>
      </c>
      <c r="V63" s="104">
        <v>129</v>
      </c>
      <c r="W63" s="104">
        <v>15</v>
      </c>
      <c r="X63" s="104">
        <v>0</v>
      </c>
      <c r="Y63" s="104">
        <v>50</v>
      </c>
      <c r="Z63" s="104">
        <v>0</v>
      </c>
      <c r="AA63" s="104">
        <f t="shared" si="0"/>
        <v>1821</v>
      </c>
      <c r="AC63" s="127"/>
    </row>
    <row r="64" spans="1:29" s="102" customFormat="1" ht="15.75" customHeight="1" x14ac:dyDescent="0.2">
      <c r="A64" s="106">
        <v>44</v>
      </c>
      <c r="B64" s="107">
        <v>70</v>
      </c>
      <c r="C64" s="107"/>
      <c r="D64" s="107"/>
      <c r="E64" s="107">
        <v>55</v>
      </c>
      <c r="F64" s="107"/>
      <c r="G64" s="107"/>
      <c r="H64" s="107">
        <v>54</v>
      </c>
      <c r="I64" s="107">
        <v>80</v>
      </c>
      <c r="J64" s="107">
        <v>55</v>
      </c>
      <c r="K64" s="107"/>
      <c r="L64" s="107"/>
      <c r="M64" s="107"/>
      <c r="N64" s="107">
        <v>20</v>
      </c>
      <c r="O64" s="107">
        <v>217</v>
      </c>
      <c r="P64" s="107">
        <v>10</v>
      </c>
      <c r="Q64" s="107"/>
      <c r="R64" s="107">
        <v>7</v>
      </c>
      <c r="S64" s="107"/>
      <c r="T64" s="107">
        <v>15</v>
      </c>
      <c r="U64" s="107"/>
      <c r="V64" s="107">
        <v>42</v>
      </c>
      <c r="W64" s="107"/>
      <c r="X64" s="107"/>
      <c r="Y64" s="107"/>
      <c r="Z64" s="109"/>
      <c r="AA64" s="104">
        <f t="shared" si="0"/>
        <v>625</v>
      </c>
      <c r="AC64" s="127"/>
    </row>
    <row r="65" spans="1:29" s="102" customFormat="1" ht="15.75" customHeight="1" x14ac:dyDescent="0.2">
      <c r="A65" s="106">
        <v>45</v>
      </c>
      <c r="B65" s="107">
        <v>30</v>
      </c>
      <c r="C65" s="107"/>
      <c r="D65" s="107"/>
      <c r="E65" s="107"/>
      <c r="F65" s="107"/>
      <c r="G65" s="107"/>
      <c r="H65" s="107"/>
      <c r="I65" s="107">
        <v>35</v>
      </c>
      <c r="J65" s="107">
        <v>20</v>
      </c>
      <c r="K65" s="107"/>
      <c r="L65" s="107"/>
      <c r="M65" s="107"/>
      <c r="N65" s="107">
        <v>18</v>
      </c>
      <c r="O65" s="107">
        <v>3</v>
      </c>
      <c r="P65" s="107"/>
      <c r="Q65" s="107"/>
      <c r="R65" s="107">
        <v>8</v>
      </c>
      <c r="S65" s="107"/>
      <c r="T65" s="107">
        <v>8</v>
      </c>
      <c r="U65" s="107">
        <v>20</v>
      </c>
      <c r="V65" s="107">
        <v>57</v>
      </c>
      <c r="W65" s="107"/>
      <c r="X65" s="107"/>
      <c r="Y65" s="107"/>
      <c r="Z65" s="109"/>
      <c r="AA65" s="104">
        <f t="shared" si="0"/>
        <v>199</v>
      </c>
      <c r="AC65" s="127"/>
    </row>
    <row r="66" spans="1:29" s="102" customFormat="1" ht="15.75" customHeight="1" x14ac:dyDescent="0.2">
      <c r="A66" s="106">
        <v>46</v>
      </c>
      <c r="B66" s="107"/>
      <c r="C66" s="107"/>
      <c r="D66" s="107"/>
      <c r="E66" s="107">
        <v>5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>
        <v>2</v>
      </c>
      <c r="U66" s="107"/>
      <c r="V66" s="107"/>
      <c r="W66" s="107">
        <v>0</v>
      </c>
      <c r="X66" s="107"/>
      <c r="Y66" s="107"/>
      <c r="Z66" s="109"/>
      <c r="AA66" s="104">
        <f t="shared" si="0"/>
        <v>7</v>
      </c>
      <c r="AC66" s="127"/>
    </row>
    <row r="67" spans="1:29" s="102" customFormat="1" ht="15.75" customHeight="1" x14ac:dyDescent="0.2">
      <c r="A67" s="110">
        <v>47</v>
      </c>
      <c r="B67" s="107">
        <v>150</v>
      </c>
      <c r="C67" s="107"/>
      <c r="D67" s="107"/>
      <c r="E67" s="107"/>
      <c r="F67" s="107"/>
      <c r="G67" s="119"/>
      <c r="H67" s="107">
        <v>162</v>
      </c>
      <c r="I67" s="107">
        <v>73</v>
      </c>
      <c r="J67" s="107">
        <v>125</v>
      </c>
      <c r="K67" s="119"/>
      <c r="L67" s="119"/>
      <c r="M67" s="119"/>
      <c r="N67" s="119">
        <v>35</v>
      </c>
      <c r="O67" s="107"/>
      <c r="P67" s="107">
        <v>150</v>
      </c>
      <c r="Q67" s="119"/>
      <c r="R67" s="107">
        <v>10</v>
      </c>
      <c r="S67" s="107"/>
      <c r="T67" s="107"/>
      <c r="U67" s="119"/>
      <c r="V67" s="107">
        <v>30</v>
      </c>
      <c r="W67" s="107">
        <v>15</v>
      </c>
      <c r="X67" s="107"/>
      <c r="Y67" s="107">
        <v>50</v>
      </c>
      <c r="Z67" s="109"/>
      <c r="AA67" s="104">
        <f t="shared" si="0"/>
        <v>800</v>
      </c>
      <c r="AC67" s="127"/>
    </row>
    <row r="68" spans="1:29" s="102" customFormat="1" ht="15.75" customHeight="1" x14ac:dyDescent="0.2">
      <c r="A68" s="110">
        <v>48</v>
      </c>
      <c r="B68" s="107">
        <v>105</v>
      </c>
      <c r="C68" s="107"/>
      <c r="D68" s="107"/>
      <c r="E68" s="107"/>
      <c r="F68" s="107"/>
      <c r="G68" s="107"/>
      <c r="H68" s="107">
        <v>0</v>
      </c>
      <c r="I68" s="107">
        <v>27</v>
      </c>
      <c r="J68" s="107"/>
      <c r="K68" s="107"/>
      <c r="L68" s="107"/>
      <c r="M68" s="107"/>
      <c r="N68" s="107"/>
      <c r="O68" s="107"/>
      <c r="P68" s="107">
        <v>50</v>
      </c>
      <c r="Q68" s="107"/>
      <c r="R68" s="107"/>
      <c r="S68" s="107"/>
      <c r="T68" s="107"/>
      <c r="U68" s="107"/>
      <c r="V68" s="107"/>
      <c r="W68" s="107"/>
      <c r="X68" s="107"/>
      <c r="Y68" s="107"/>
      <c r="Z68" s="109"/>
      <c r="AA68" s="104">
        <f t="shared" ref="AA68:AA78" si="1">SUM(B68:Z68)</f>
        <v>182</v>
      </c>
      <c r="AC68" s="127"/>
    </row>
    <row r="69" spans="1:29" s="102" customFormat="1" ht="15.75" customHeight="1" x14ac:dyDescent="0.2">
      <c r="A69" s="110">
        <v>49</v>
      </c>
      <c r="B69" s="111"/>
      <c r="C69" s="111"/>
      <c r="D69" s="111"/>
      <c r="E69" s="111"/>
      <c r="F69" s="111"/>
      <c r="G69" s="113"/>
      <c r="H69" s="111"/>
      <c r="I69" s="111"/>
      <c r="J69" s="111"/>
      <c r="K69" s="113"/>
      <c r="L69" s="113"/>
      <c r="M69" s="113"/>
      <c r="N69" s="113"/>
      <c r="O69" s="111">
        <v>8</v>
      </c>
      <c r="P69" s="111"/>
      <c r="Q69" s="113"/>
      <c r="R69" s="111"/>
      <c r="S69" s="111"/>
      <c r="T69" s="107"/>
      <c r="U69" s="113"/>
      <c r="V69" s="111"/>
      <c r="W69" s="111"/>
      <c r="X69" s="111"/>
      <c r="Y69" s="111"/>
      <c r="Z69" s="109"/>
      <c r="AA69" s="104">
        <f t="shared" si="1"/>
        <v>8</v>
      </c>
      <c r="AC69" s="127"/>
    </row>
    <row r="70" spans="1:29" s="102" customFormat="1" ht="18.75" customHeight="1" x14ac:dyDescent="0.2">
      <c r="A70" s="103" t="s">
        <v>344</v>
      </c>
      <c r="B70" s="104">
        <v>120</v>
      </c>
      <c r="C70" s="104">
        <v>0</v>
      </c>
      <c r="D70" s="104">
        <v>0</v>
      </c>
      <c r="E70" s="104">
        <v>140</v>
      </c>
      <c r="F70" s="104">
        <v>0</v>
      </c>
      <c r="G70" s="104">
        <v>0</v>
      </c>
      <c r="H70" s="104">
        <v>0</v>
      </c>
      <c r="I70" s="104">
        <v>30</v>
      </c>
      <c r="J70" s="104">
        <v>10</v>
      </c>
      <c r="K70" s="104">
        <v>0</v>
      </c>
      <c r="L70" s="104">
        <v>0</v>
      </c>
      <c r="M70" s="104">
        <v>0</v>
      </c>
      <c r="N70" s="104">
        <v>0</v>
      </c>
      <c r="O70" s="104">
        <v>35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2</v>
      </c>
      <c r="W70" s="104">
        <v>10</v>
      </c>
      <c r="X70" s="104">
        <v>40</v>
      </c>
      <c r="Y70" s="104">
        <v>130</v>
      </c>
      <c r="Z70" s="104">
        <v>0</v>
      </c>
      <c r="AA70" s="104">
        <f t="shared" si="1"/>
        <v>517</v>
      </c>
      <c r="AC70" s="127"/>
    </row>
    <row r="71" spans="1:29" s="102" customFormat="1" ht="18" customHeight="1" x14ac:dyDescent="0.2">
      <c r="A71" s="110">
        <v>50</v>
      </c>
      <c r="B71" s="107">
        <v>100</v>
      </c>
      <c r="C71" s="107"/>
      <c r="D71" s="107"/>
      <c r="E71" s="107">
        <v>140</v>
      </c>
      <c r="F71" s="107"/>
      <c r="G71" s="107"/>
      <c r="H71" s="107"/>
      <c r="I71" s="107">
        <v>30</v>
      </c>
      <c r="J71" s="107">
        <v>10</v>
      </c>
      <c r="K71" s="107"/>
      <c r="L71" s="107"/>
      <c r="M71" s="107"/>
      <c r="N71" s="107"/>
      <c r="O71" s="107">
        <v>35</v>
      </c>
      <c r="P71" s="107"/>
      <c r="Q71" s="107"/>
      <c r="R71" s="107"/>
      <c r="S71" s="107"/>
      <c r="T71" s="107"/>
      <c r="U71" s="107"/>
      <c r="V71" s="107"/>
      <c r="W71" s="107">
        <v>10</v>
      </c>
      <c r="X71" s="107">
        <v>30</v>
      </c>
      <c r="Y71" s="107">
        <v>130</v>
      </c>
      <c r="Z71" s="109"/>
      <c r="AA71" s="104">
        <f t="shared" si="1"/>
        <v>485</v>
      </c>
      <c r="AC71" s="127"/>
    </row>
    <row r="72" spans="1:29" s="102" customFormat="1" ht="12.75" customHeight="1" x14ac:dyDescent="0.2">
      <c r="A72" s="110">
        <v>51</v>
      </c>
      <c r="B72" s="107">
        <v>20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>
        <v>2</v>
      </c>
      <c r="W72" s="107"/>
      <c r="X72" s="107">
        <v>10</v>
      </c>
      <c r="Y72" s="107"/>
      <c r="Z72" s="109"/>
      <c r="AA72" s="104">
        <f t="shared" si="1"/>
        <v>32</v>
      </c>
      <c r="AC72" s="127"/>
    </row>
    <row r="73" spans="1:29" s="102" customFormat="1" ht="24.75" customHeight="1" x14ac:dyDescent="0.2">
      <c r="A73" s="103" t="s">
        <v>345</v>
      </c>
      <c r="B73" s="104">
        <v>0</v>
      </c>
      <c r="C73" s="104">
        <v>0</v>
      </c>
      <c r="D73" s="104">
        <v>0</v>
      </c>
      <c r="E73" s="104">
        <v>45</v>
      </c>
      <c r="F73" s="104">
        <v>0</v>
      </c>
      <c r="G73" s="104">
        <v>0</v>
      </c>
      <c r="H73" s="104">
        <v>0</v>
      </c>
      <c r="I73" s="104">
        <v>0</v>
      </c>
      <c r="J73" s="104">
        <v>60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20</v>
      </c>
      <c r="W73" s="104">
        <v>0</v>
      </c>
      <c r="X73" s="104">
        <v>0</v>
      </c>
      <c r="Y73" s="104">
        <v>0</v>
      </c>
      <c r="Z73" s="104">
        <v>0</v>
      </c>
      <c r="AA73" s="104">
        <f t="shared" si="1"/>
        <v>125</v>
      </c>
      <c r="AC73" s="127"/>
    </row>
    <row r="74" spans="1:29" s="102" customFormat="1" ht="16.5" customHeight="1" x14ac:dyDescent="0.2">
      <c r="A74" s="110">
        <v>52</v>
      </c>
      <c r="B74" s="107"/>
      <c r="C74" s="107"/>
      <c r="D74" s="107"/>
      <c r="E74" s="107">
        <v>45</v>
      </c>
      <c r="F74" s="107"/>
      <c r="G74" s="107"/>
      <c r="H74" s="107"/>
      <c r="I74" s="107"/>
      <c r="J74" s="107">
        <v>60</v>
      </c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>
        <v>20</v>
      </c>
      <c r="W74" s="107"/>
      <c r="X74" s="107"/>
      <c r="Y74" s="107"/>
      <c r="Z74" s="109"/>
      <c r="AA74" s="104">
        <f t="shared" si="1"/>
        <v>125</v>
      </c>
      <c r="AC74" s="127"/>
    </row>
    <row r="75" spans="1:29" s="102" customFormat="1" ht="18.75" customHeight="1" x14ac:dyDescent="0.2">
      <c r="A75" s="103" t="s">
        <v>346</v>
      </c>
      <c r="B75" s="104">
        <v>10</v>
      </c>
      <c r="C75" s="104">
        <v>0</v>
      </c>
      <c r="D75" s="104">
        <v>0</v>
      </c>
      <c r="E75" s="104">
        <v>30</v>
      </c>
      <c r="F75" s="104">
        <v>0</v>
      </c>
      <c r="G75" s="104">
        <v>0</v>
      </c>
      <c r="H75" s="104">
        <v>0</v>
      </c>
      <c r="I75" s="104">
        <v>0</v>
      </c>
      <c r="J75" s="104">
        <v>20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40</v>
      </c>
      <c r="Z75" s="104">
        <v>0</v>
      </c>
      <c r="AA75" s="104">
        <f t="shared" si="1"/>
        <v>100</v>
      </c>
      <c r="AC75" s="127"/>
    </row>
    <row r="76" spans="1:29" s="102" customFormat="1" ht="15.75" customHeight="1" x14ac:dyDescent="0.2">
      <c r="A76" s="110">
        <v>53</v>
      </c>
      <c r="B76" s="107">
        <v>10</v>
      </c>
      <c r="C76" s="107"/>
      <c r="D76" s="107"/>
      <c r="E76" s="107">
        <v>30</v>
      </c>
      <c r="F76" s="107"/>
      <c r="G76" s="107"/>
      <c r="H76" s="107"/>
      <c r="I76" s="107"/>
      <c r="J76" s="107">
        <v>20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>
        <v>40</v>
      </c>
      <c r="Z76" s="109"/>
      <c r="AA76" s="104">
        <f t="shared" si="1"/>
        <v>100</v>
      </c>
      <c r="AC76" s="127"/>
    </row>
    <row r="77" spans="1:29" s="102" customFormat="1" ht="17.25" customHeight="1" x14ac:dyDescent="0.2">
      <c r="A77" s="110">
        <v>54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9"/>
      <c r="AA77" s="104">
        <f t="shared" si="1"/>
        <v>0</v>
      </c>
      <c r="AC77" s="127"/>
    </row>
    <row r="78" spans="1:29" s="102" customFormat="1" ht="18.75" customHeight="1" x14ac:dyDescent="0.2">
      <c r="A78" s="103" t="s">
        <v>68</v>
      </c>
      <c r="B78" s="128">
        <f t="shared" ref="B78:Z78" si="2">B4+B7+B10+B12+B15+B17+B19+B22+B29+B32+B36+B39+B46+B48+B60+B63+B70+B73+B75+B42</f>
        <v>2399</v>
      </c>
      <c r="C78" s="128">
        <f t="shared" si="2"/>
        <v>1224</v>
      </c>
      <c r="D78" s="128">
        <f t="shared" si="2"/>
        <v>3318</v>
      </c>
      <c r="E78" s="128">
        <f t="shared" si="2"/>
        <v>927</v>
      </c>
      <c r="F78" s="128">
        <f t="shared" si="2"/>
        <v>647</v>
      </c>
      <c r="G78" s="128">
        <f t="shared" si="2"/>
        <v>52</v>
      </c>
      <c r="H78" s="128">
        <f t="shared" si="2"/>
        <v>216</v>
      </c>
      <c r="I78" s="128">
        <f t="shared" si="2"/>
        <v>1101</v>
      </c>
      <c r="J78" s="128">
        <f t="shared" si="2"/>
        <v>1225</v>
      </c>
      <c r="K78" s="128">
        <f t="shared" si="2"/>
        <v>300</v>
      </c>
      <c r="L78" s="128">
        <f t="shared" si="2"/>
        <v>2424</v>
      </c>
      <c r="M78" s="128">
        <f t="shared" si="2"/>
        <v>200</v>
      </c>
      <c r="N78" s="128">
        <f t="shared" si="2"/>
        <v>277</v>
      </c>
      <c r="O78" s="128">
        <f t="shared" si="2"/>
        <v>442</v>
      </c>
      <c r="P78" s="128">
        <f t="shared" si="2"/>
        <v>665</v>
      </c>
      <c r="Q78" s="128">
        <f t="shared" si="2"/>
        <v>20</v>
      </c>
      <c r="R78" s="128">
        <f t="shared" si="2"/>
        <v>238</v>
      </c>
      <c r="S78" s="128">
        <f t="shared" si="2"/>
        <v>133</v>
      </c>
      <c r="T78" s="128">
        <f t="shared" si="2"/>
        <v>32</v>
      </c>
      <c r="U78" s="128">
        <f t="shared" si="2"/>
        <v>20</v>
      </c>
      <c r="V78" s="128">
        <f t="shared" si="2"/>
        <v>844</v>
      </c>
      <c r="W78" s="128">
        <f t="shared" si="2"/>
        <v>264</v>
      </c>
      <c r="X78" s="128">
        <f t="shared" si="2"/>
        <v>240</v>
      </c>
      <c r="Y78" s="128">
        <f t="shared" si="2"/>
        <v>1593</v>
      </c>
      <c r="Z78" s="128">
        <f t="shared" si="2"/>
        <v>0</v>
      </c>
      <c r="AA78" s="124">
        <f t="shared" si="1"/>
        <v>18801</v>
      </c>
      <c r="AC78" s="127"/>
    </row>
  </sheetData>
  <mergeCells count="1">
    <mergeCell ref="A1:AA1"/>
  </mergeCells>
  <pageMargins left="0" right="0" top="0" bottom="0" header="0.31496062992125984" footer="0.31496062992125984"/>
  <pageSetup paperSize="9" scale="60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="90" zoomScaleNormal="90" workbookViewId="0">
      <pane xSplit="2" ySplit="5" topLeftCell="C30" activePane="bottomRight" state="frozen"/>
      <selection pane="topRight" activeCell="C1" sqref="C1"/>
      <selection pane="bottomLeft" activeCell="A7" sqref="A7"/>
      <selection pane="bottomRight" activeCell="B124" sqref="B124"/>
    </sheetView>
  </sheetViews>
  <sheetFormatPr defaultRowHeight="12.75" x14ac:dyDescent="0.2"/>
  <cols>
    <col min="1" max="1" width="4.42578125" style="214" customWidth="1"/>
    <col min="2" max="2" width="52.42578125" style="189" customWidth="1"/>
    <col min="3" max="3" width="10.5703125" style="189" customWidth="1"/>
    <col min="4" max="4" width="10" style="191" customWidth="1"/>
    <col min="5" max="5" width="11.85546875" style="191" customWidth="1"/>
    <col min="6" max="6" width="11.140625" style="191" customWidth="1"/>
    <col min="7" max="7" width="12.85546875" style="191" customWidth="1"/>
    <col min="8" max="8" width="12.42578125" style="191" customWidth="1"/>
    <col min="9" max="9" width="12.7109375" style="191" customWidth="1"/>
    <col min="10" max="16384" width="9.140625" style="189"/>
  </cols>
  <sheetData>
    <row r="1" spans="1:9" ht="23.25" customHeight="1" x14ac:dyDescent="0.2">
      <c r="A1" s="236" t="s">
        <v>256</v>
      </c>
      <c r="B1" s="237"/>
      <c r="C1" s="237"/>
      <c r="D1" s="237"/>
      <c r="E1" s="237"/>
      <c r="F1" s="237"/>
      <c r="G1" s="237"/>
      <c r="H1" s="237"/>
      <c r="I1" s="237"/>
    </row>
    <row r="2" spans="1:9" ht="17.25" customHeight="1" x14ac:dyDescent="0.2">
      <c r="A2" s="190"/>
      <c r="F2" s="238" t="s">
        <v>257</v>
      </c>
      <c r="G2" s="238"/>
      <c r="H2" s="238"/>
      <c r="I2" s="238"/>
    </row>
    <row r="3" spans="1:9" ht="17.25" customHeight="1" x14ac:dyDescent="0.2">
      <c r="A3" s="230" t="s">
        <v>0</v>
      </c>
      <c r="B3" s="230" t="s">
        <v>53</v>
      </c>
      <c r="C3" s="230" t="s">
        <v>258</v>
      </c>
      <c r="D3" s="239" t="s">
        <v>259</v>
      </c>
      <c r="E3" s="192" t="s">
        <v>260</v>
      </c>
      <c r="F3" s="241" t="s">
        <v>261</v>
      </c>
      <c r="G3" s="243" t="s">
        <v>260</v>
      </c>
      <c r="H3" s="244"/>
      <c r="I3" s="239" t="s">
        <v>262</v>
      </c>
    </row>
    <row r="4" spans="1:9" s="193" customFormat="1" ht="50.25" customHeight="1" x14ac:dyDescent="0.25">
      <c r="A4" s="230"/>
      <c r="B4" s="230"/>
      <c r="C4" s="230"/>
      <c r="D4" s="240"/>
      <c r="E4" s="188" t="s">
        <v>263</v>
      </c>
      <c r="F4" s="242"/>
      <c r="G4" s="188" t="s">
        <v>264</v>
      </c>
      <c r="H4" s="188" t="s">
        <v>263</v>
      </c>
      <c r="I4" s="233"/>
    </row>
    <row r="5" spans="1:9" x14ac:dyDescent="0.2">
      <c r="A5" s="194">
        <v>1</v>
      </c>
      <c r="B5" s="194">
        <v>2</v>
      </c>
      <c r="C5" s="194">
        <v>3</v>
      </c>
      <c r="D5" s="188">
        <v>4</v>
      </c>
      <c r="E5" s="194">
        <v>5</v>
      </c>
      <c r="F5" s="188">
        <v>6</v>
      </c>
      <c r="G5" s="194">
        <v>7</v>
      </c>
      <c r="H5" s="188">
        <v>8</v>
      </c>
      <c r="I5" s="194">
        <v>9</v>
      </c>
    </row>
    <row r="6" spans="1:9" x14ac:dyDescent="0.2">
      <c r="A6" s="195">
        <v>1</v>
      </c>
      <c r="B6" s="196" t="s">
        <v>1</v>
      </c>
      <c r="C6" s="197">
        <f>D6+F6+I6</f>
        <v>9269</v>
      </c>
      <c r="D6" s="197"/>
      <c r="E6" s="197"/>
      <c r="F6" s="197">
        <v>9269</v>
      </c>
      <c r="G6" s="197"/>
      <c r="H6" s="197">
        <v>42</v>
      </c>
      <c r="I6" s="197"/>
    </row>
    <row r="7" spans="1:9" x14ac:dyDescent="0.2">
      <c r="A7" s="195">
        <f>A6+1</f>
        <v>2</v>
      </c>
      <c r="B7" s="196" t="s">
        <v>2</v>
      </c>
      <c r="C7" s="197">
        <f t="shared" ref="C7:C71" si="0">D7+F7+I7</f>
        <v>8206</v>
      </c>
      <c r="D7" s="197"/>
      <c r="E7" s="197"/>
      <c r="F7" s="197">
        <v>8206</v>
      </c>
      <c r="G7" s="197"/>
      <c r="H7" s="197">
        <v>40</v>
      </c>
      <c r="I7" s="197"/>
    </row>
    <row r="8" spans="1:9" x14ac:dyDescent="0.2">
      <c r="A8" s="228">
        <f>A7+1</f>
        <v>3</v>
      </c>
      <c r="B8" s="196" t="s">
        <v>3</v>
      </c>
      <c r="C8" s="197">
        <f t="shared" si="0"/>
        <v>23672</v>
      </c>
      <c r="D8" s="197">
        <v>133</v>
      </c>
      <c r="E8" s="197"/>
      <c r="F8" s="197">
        <f>23384+155</f>
        <v>23539</v>
      </c>
      <c r="G8" s="197">
        <v>627</v>
      </c>
      <c r="H8" s="197">
        <v>2142</v>
      </c>
      <c r="I8" s="197"/>
    </row>
    <row r="9" spans="1:9" ht="25.5" x14ac:dyDescent="0.2">
      <c r="A9" s="229"/>
      <c r="B9" s="198" t="s">
        <v>265</v>
      </c>
      <c r="C9" s="197">
        <f t="shared" si="0"/>
        <v>1493</v>
      </c>
      <c r="D9" s="197"/>
      <c r="E9" s="197"/>
      <c r="F9" s="199">
        <v>1493</v>
      </c>
      <c r="G9" s="197"/>
      <c r="H9" s="197"/>
      <c r="I9" s="197"/>
    </row>
    <row r="10" spans="1:9" x14ac:dyDescent="0.2">
      <c r="A10" s="195">
        <f>A8+1</f>
        <v>4</v>
      </c>
      <c r="B10" s="196" t="s">
        <v>4</v>
      </c>
      <c r="C10" s="197">
        <f t="shared" si="0"/>
        <v>5483</v>
      </c>
      <c r="D10" s="197"/>
      <c r="E10" s="197"/>
      <c r="F10" s="197">
        <v>5483</v>
      </c>
      <c r="G10" s="197"/>
      <c r="H10" s="197">
        <v>8</v>
      </c>
      <c r="I10" s="197"/>
    </row>
    <row r="11" spans="1:9" ht="12.75" customHeight="1" x14ac:dyDescent="0.2">
      <c r="A11" s="195">
        <f t="shared" ref="A11:A31" si="1">A10+1</f>
        <v>5</v>
      </c>
      <c r="B11" s="196" t="s">
        <v>5</v>
      </c>
      <c r="C11" s="197">
        <f t="shared" si="0"/>
        <v>2417</v>
      </c>
      <c r="D11" s="197"/>
      <c r="E11" s="197"/>
      <c r="F11" s="197">
        <v>2417</v>
      </c>
      <c r="G11" s="197"/>
      <c r="H11" s="197"/>
      <c r="I11" s="197"/>
    </row>
    <row r="12" spans="1:9" x14ac:dyDescent="0.2">
      <c r="A12" s="195">
        <f t="shared" si="1"/>
        <v>6</v>
      </c>
      <c r="B12" s="196" t="s">
        <v>6</v>
      </c>
      <c r="C12" s="197">
        <f t="shared" si="0"/>
        <v>1946</v>
      </c>
      <c r="D12" s="197"/>
      <c r="E12" s="197"/>
      <c r="F12" s="197">
        <v>1946</v>
      </c>
      <c r="G12" s="197"/>
      <c r="H12" s="197">
        <v>11</v>
      </c>
      <c r="I12" s="197"/>
    </row>
    <row r="13" spans="1:9" x14ac:dyDescent="0.2">
      <c r="A13" s="195">
        <f t="shared" si="1"/>
        <v>7</v>
      </c>
      <c r="B13" s="196" t="s">
        <v>7</v>
      </c>
      <c r="C13" s="197">
        <f t="shared" si="0"/>
        <v>2146</v>
      </c>
      <c r="D13" s="197"/>
      <c r="E13" s="197"/>
      <c r="F13" s="197">
        <v>2146</v>
      </c>
      <c r="G13" s="197"/>
      <c r="H13" s="197">
        <v>3</v>
      </c>
      <c r="I13" s="197"/>
    </row>
    <row r="14" spans="1:9" x14ac:dyDescent="0.2">
      <c r="A14" s="195">
        <f t="shared" si="1"/>
        <v>8</v>
      </c>
      <c r="B14" s="196" t="s">
        <v>8</v>
      </c>
      <c r="C14" s="197">
        <f t="shared" si="0"/>
        <v>2583</v>
      </c>
      <c r="D14" s="197"/>
      <c r="E14" s="197"/>
      <c r="F14" s="197">
        <v>2583</v>
      </c>
      <c r="G14" s="197"/>
      <c r="H14" s="197">
        <v>4</v>
      </c>
      <c r="I14" s="197"/>
    </row>
    <row r="15" spans="1:9" x14ac:dyDescent="0.2">
      <c r="A15" s="195">
        <f t="shared" si="1"/>
        <v>9</v>
      </c>
      <c r="B15" s="196" t="s">
        <v>9</v>
      </c>
      <c r="C15" s="197">
        <f t="shared" si="0"/>
        <v>2109</v>
      </c>
      <c r="D15" s="197"/>
      <c r="E15" s="197"/>
      <c r="F15" s="197">
        <v>2109</v>
      </c>
      <c r="G15" s="197"/>
      <c r="H15" s="197">
        <v>7</v>
      </c>
      <c r="I15" s="197"/>
    </row>
    <row r="16" spans="1:9" x14ac:dyDescent="0.2">
      <c r="A16" s="195">
        <f t="shared" si="1"/>
        <v>10</v>
      </c>
      <c r="B16" s="196" t="s">
        <v>10</v>
      </c>
      <c r="C16" s="197">
        <f t="shared" si="0"/>
        <v>3113</v>
      </c>
      <c r="D16" s="197"/>
      <c r="E16" s="197"/>
      <c r="F16" s="197">
        <v>3113</v>
      </c>
      <c r="G16" s="197"/>
      <c r="H16" s="197">
        <v>12</v>
      </c>
      <c r="I16" s="197"/>
    </row>
    <row r="17" spans="1:9" x14ac:dyDescent="0.2">
      <c r="A17" s="195">
        <f t="shared" si="1"/>
        <v>11</v>
      </c>
      <c r="B17" s="196" t="s">
        <v>54</v>
      </c>
      <c r="C17" s="197">
        <f t="shared" si="0"/>
        <v>2241</v>
      </c>
      <c r="D17" s="197"/>
      <c r="E17" s="197"/>
      <c r="F17" s="197">
        <v>2241</v>
      </c>
      <c r="G17" s="197"/>
      <c r="H17" s="197"/>
      <c r="I17" s="197"/>
    </row>
    <row r="18" spans="1:9" x14ac:dyDescent="0.2">
      <c r="A18" s="195">
        <f t="shared" si="1"/>
        <v>12</v>
      </c>
      <c r="B18" s="196" t="s">
        <v>11</v>
      </c>
      <c r="C18" s="197">
        <f t="shared" si="0"/>
        <v>2824</v>
      </c>
      <c r="D18" s="197"/>
      <c r="E18" s="197"/>
      <c r="F18" s="197">
        <v>2824</v>
      </c>
      <c r="G18" s="197"/>
      <c r="H18" s="197">
        <v>15</v>
      </c>
      <c r="I18" s="197"/>
    </row>
    <row r="19" spans="1:9" x14ac:dyDescent="0.2">
      <c r="A19" s="195">
        <f t="shared" si="1"/>
        <v>13</v>
      </c>
      <c r="B19" s="196" t="s">
        <v>266</v>
      </c>
      <c r="C19" s="197">
        <f t="shared" si="0"/>
        <v>10061</v>
      </c>
      <c r="D19" s="197"/>
      <c r="E19" s="197"/>
      <c r="F19" s="197">
        <f>9866+195</f>
        <v>10061</v>
      </c>
      <c r="G19" s="197">
        <v>193</v>
      </c>
      <c r="H19" s="197">
        <v>117</v>
      </c>
      <c r="I19" s="197"/>
    </row>
    <row r="20" spans="1:9" x14ac:dyDescent="0.2">
      <c r="A20" s="195">
        <f t="shared" si="1"/>
        <v>14</v>
      </c>
      <c r="B20" s="196" t="s">
        <v>12</v>
      </c>
      <c r="C20" s="197">
        <f t="shared" si="0"/>
        <v>6660</v>
      </c>
      <c r="D20" s="197"/>
      <c r="E20" s="197"/>
      <c r="F20" s="197">
        <v>6660</v>
      </c>
      <c r="G20" s="197"/>
      <c r="H20" s="197">
        <v>19</v>
      </c>
      <c r="I20" s="197"/>
    </row>
    <row r="21" spans="1:9" x14ac:dyDescent="0.2">
      <c r="A21" s="195">
        <f t="shared" si="1"/>
        <v>15</v>
      </c>
      <c r="B21" s="196" t="s">
        <v>13</v>
      </c>
      <c r="C21" s="197">
        <f t="shared" si="0"/>
        <v>19174</v>
      </c>
      <c r="D21" s="197"/>
      <c r="E21" s="197"/>
      <c r="F21" s="197">
        <v>19174</v>
      </c>
      <c r="G21" s="197">
        <v>312</v>
      </c>
      <c r="H21" s="197">
        <v>612</v>
      </c>
      <c r="I21" s="197"/>
    </row>
    <row r="22" spans="1:9" x14ac:dyDescent="0.2">
      <c r="A22" s="195">
        <f t="shared" si="1"/>
        <v>16</v>
      </c>
      <c r="B22" s="196" t="s">
        <v>14</v>
      </c>
      <c r="C22" s="197">
        <f t="shared" si="0"/>
        <v>9552</v>
      </c>
      <c r="D22" s="197"/>
      <c r="E22" s="197"/>
      <c r="F22" s="197">
        <v>9552</v>
      </c>
      <c r="G22" s="197"/>
      <c r="H22" s="197">
        <v>133</v>
      </c>
      <c r="I22" s="197"/>
    </row>
    <row r="23" spans="1:9" x14ac:dyDescent="0.2">
      <c r="A23" s="195">
        <f t="shared" si="1"/>
        <v>17</v>
      </c>
      <c r="B23" s="196" t="s">
        <v>267</v>
      </c>
      <c r="C23" s="197">
        <f t="shared" si="0"/>
        <v>2409</v>
      </c>
      <c r="D23" s="197"/>
      <c r="E23" s="197"/>
      <c r="F23" s="197">
        <v>2409</v>
      </c>
      <c r="G23" s="197"/>
      <c r="H23" s="197">
        <v>26</v>
      </c>
      <c r="I23" s="197"/>
    </row>
    <row r="24" spans="1:9" x14ac:dyDescent="0.2">
      <c r="A24" s="195">
        <f t="shared" si="1"/>
        <v>18</v>
      </c>
      <c r="B24" s="196" t="s">
        <v>15</v>
      </c>
      <c r="C24" s="197">
        <f t="shared" si="0"/>
        <v>3272</v>
      </c>
      <c r="D24" s="197"/>
      <c r="E24" s="197"/>
      <c r="F24" s="197">
        <v>3272</v>
      </c>
      <c r="G24" s="197"/>
      <c r="H24" s="197">
        <v>1</v>
      </c>
      <c r="I24" s="197"/>
    </row>
    <row r="25" spans="1:9" x14ac:dyDescent="0.2">
      <c r="A25" s="195">
        <f t="shared" si="1"/>
        <v>19</v>
      </c>
      <c r="B25" s="196" t="s">
        <v>16</v>
      </c>
      <c r="C25" s="197">
        <f t="shared" si="0"/>
        <v>4328</v>
      </c>
      <c r="D25" s="197"/>
      <c r="E25" s="197"/>
      <c r="F25" s="197">
        <v>4328</v>
      </c>
      <c r="G25" s="197"/>
      <c r="H25" s="197">
        <v>8</v>
      </c>
      <c r="I25" s="197"/>
    </row>
    <row r="26" spans="1:9" x14ac:dyDescent="0.2">
      <c r="A26" s="195">
        <f t="shared" si="1"/>
        <v>20</v>
      </c>
      <c r="B26" s="196" t="s">
        <v>17</v>
      </c>
      <c r="C26" s="197">
        <f t="shared" si="0"/>
        <v>1785</v>
      </c>
      <c r="D26" s="197"/>
      <c r="E26" s="197"/>
      <c r="F26" s="197">
        <v>1785</v>
      </c>
      <c r="G26" s="197"/>
      <c r="H26" s="197">
        <v>4</v>
      </c>
      <c r="I26" s="197"/>
    </row>
    <row r="27" spans="1:9" x14ac:dyDescent="0.2">
      <c r="A27" s="195">
        <f t="shared" si="1"/>
        <v>21</v>
      </c>
      <c r="B27" s="196" t="s">
        <v>18</v>
      </c>
      <c r="C27" s="197">
        <f t="shared" si="0"/>
        <v>1728</v>
      </c>
      <c r="D27" s="197"/>
      <c r="E27" s="197"/>
      <c r="F27" s="197">
        <v>1728</v>
      </c>
      <c r="G27" s="197"/>
      <c r="H27" s="197"/>
      <c r="I27" s="197"/>
    </row>
    <row r="28" spans="1:9" x14ac:dyDescent="0.2">
      <c r="A28" s="195">
        <f t="shared" si="1"/>
        <v>22</v>
      </c>
      <c r="B28" s="196" t="s">
        <v>268</v>
      </c>
      <c r="C28" s="197">
        <f t="shared" si="0"/>
        <v>28005</v>
      </c>
      <c r="D28" s="197">
        <f>900-39-17</f>
        <v>844</v>
      </c>
      <c r="E28" s="197">
        <v>62</v>
      </c>
      <c r="F28" s="197">
        <f>26936-4-28+257</f>
        <v>27161</v>
      </c>
      <c r="G28" s="197"/>
      <c r="H28" s="197">
        <v>4361</v>
      </c>
      <c r="I28" s="197"/>
    </row>
    <row r="29" spans="1:9" x14ac:dyDescent="0.2">
      <c r="A29" s="195">
        <f t="shared" si="1"/>
        <v>23</v>
      </c>
      <c r="B29" s="196" t="s">
        <v>269</v>
      </c>
      <c r="C29" s="197">
        <f t="shared" si="0"/>
        <v>3330</v>
      </c>
      <c r="D29" s="197"/>
      <c r="E29" s="197"/>
      <c r="F29" s="197">
        <v>3330</v>
      </c>
      <c r="G29" s="197">
        <v>627</v>
      </c>
      <c r="H29" s="197"/>
      <c r="I29" s="197"/>
    </row>
    <row r="30" spans="1:9" x14ac:dyDescent="0.2">
      <c r="A30" s="195">
        <f t="shared" si="1"/>
        <v>24</v>
      </c>
      <c r="B30" s="196" t="s">
        <v>270</v>
      </c>
      <c r="C30" s="197">
        <f t="shared" si="0"/>
        <v>12263</v>
      </c>
      <c r="D30" s="197"/>
      <c r="E30" s="197"/>
      <c r="F30" s="197">
        <f>12253+10</f>
        <v>12263</v>
      </c>
      <c r="G30" s="197"/>
      <c r="H30" s="197">
        <v>100</v>
      </c>
      <c r="I30" s="197"/>
    </row>
    <row r="31" spans="1:9" x14ac:dyDescent="0.2">
      <c r="A31" s="230">
        <f t="shared" si="1"/>
        <v>25</v>
      </c>
      <c r="B31" s="196" t="s">
        <v>271</v>
      </c>
      <c r="C31" s="197">
        <f t="shared" si="0"/>
        <v>2769</v>
      </c>
      <c r="D31" s="197"/>
      <c r="E31" s="197"/>
      <c r="F31" s="197">
        <v>2769</v>
      </c>
      <c r="G31" s="197"/>
      <c r="H31" s="197">
        <v>5</v>
      </c>
      <c r="I31" s="197"/>
    </row>
    <row r="32" spans="1:9" s="201" customFormat="1" ht="37.5" customHeight="1" x14ac:dyDescent="0.2">
      <c r="A32" s="230"/>
      <c r="B32" s="200" t="s">
        <v>272</v>
      </c>
      <c r="C32" s="197">
        <f t="shared" si="0"/>
        <v>791</v>
      </c>
      <c r="D32" s="199"/>
      <c r="E32" s="199"/>
      <c r="F32" s="199">
        <v>791</v>
      </c>
      <c r="G32" s="199"/>
      <c r="H32" s="199"/>
      <c r="I32" s="199"/>
    </row>
    <row r="33" spans="1:9" ht="26.25" customHeight="1" x14ac:dyDescent="0.2">
      <c r="A33" s="195">
        <f>A31+1</f>
        <v>26</v>
      </c>
      <c r="B33" s="202" t="s">
        <v>273</v>
      </c>
      <c r="C33" s="197">
        <f t="shared" si="0"/>
        <v>3868</v>
      </c>
      <c r="D33" s="197"/>
      <c r="E33" s="197"/>
      <c r="F33" s="197">
        <v>3868</v>
      </c>
      <c r="G33" s="197"/>
      <c r="H33" s="197"/>
      <c r="I33" s="197"/>
    </row>
    <row r="34" spans="1:9" x14ac:dyDescent="0.2">
      <c r="A34" s="195">
        <f>A33+1</f>
        <v>27</v>
      </c>
      <c r="B34" s="196" t="s">
        <v>274</v>
      </c>
      <c r="C34" s="197">
        <f t="shared" si="0"/>
        <v>5763</v>
      </c>
      <c r="D34" s="197"/>
      <c r="E34" s="197"/>
      <c r="F34" s="197">
        <v>5763</v>
      </c>
      <c r="G34" s="197"/>
      <c r="H34" s="197"/>
      <c r="I34" s="197"/>
    </row>
    <row r="35" spans="1:9" x14ac:dyDescent="0.2">
      <c r="A35" s="195">
        <f>A34+1</f>
        <v>28</v>
      </c>
      <c r="B35" s="196" t="s">
        <v>275</v>
      </c>
      <c r="C35" s="197">
        <f t="shared" si="0"/>
        <v>729</v>
      </c>
      <c r="D35" s="197"/>
      <c r="E35" s="197"/>
      <c r="F35" s="197">
        <v>729</v>
      </c>
      <c r="G35" s="197"/>
      <c r="H35" s="197"/>
      <c r="I35" s="197"/>
    </row>
    <row r="36" spans="1:9" x14ac:dyDescent="0.2">
      <c r="A36" s="231">
        <f>A35+1</f>
        <v>29</v>
      </c>
      <c r="B36" s="196" t="s">
        <v>276</v>
      </c>
      <c r="C36" s="197">
        <f t="shared" si="0"/>
        <v>11277</v>
      </c>
      <c r="D36" s="197">
        <f>15+5</f>
        <v>20</v>
      </c>
      <c r="E36" s="197"/>
      <c r="F36" s="197">
        <f>11035-5+227+3150-3150</f>
        <v>11257</v>
      </c>
      <c r="G36" s="197"/>
      <c r="H36" s="197">
        <v>1061</v>
      </c>
      <c r="I36" s="197"/>
    </row>
    <row r="37" spans="1:9" s="201" customFormat="1" ht="25.5" x14ac:dyDescent="0.2">
      <c r="A37" s="232"/>
      <c r="B37" s="200" t="s">
        <v>277</v>
      </c>
      <c r="C37" s="197">
        <f t="shared" si="0"/>
        <v>3226</v>
      </c>
      <c r="D37" s="199"/>
      <c r="E37" s="199"/>
      <c r="F37" s="199">
        <v>3226</v>
      </c>
      <c r="G37" s="199"/>
      <c r="H37" s="199"/>
      <c r="I37" s="199"/>
    </row>
    <row r="38" spans="1:9" s="201" customFormat="1" ht="25.5" x14ac:dyDescent="0.2">
      <c r="A38" s="233"/>
      <c r="B38" s="215" t="s">
        <v>455</v>
      </c>
      <c r="C38" s="197">
        <f t="shared" si="0"/>
        <v>3150</v>
      </c>
      <c r="D38" s="199"/>
      <c r="E38" s="199"/>
      <c r="F38" s="199">
        <f>0+3150</f>
        <v>3150</v>
      </c>
      <c r="G38" s="199"/>
      <c r="H38" s="199"/>
      <c r="I38" s="199"/>
    </row>
    <row r="39" spans="1:9" x14ac:dyDescent="0.2">
      <c r="A39" s="195">
        <f>A36+1</f>
        <v>30</v>
      </c>
      <c r="B39" s="196" t="s">
        <v>278</v>
      </c>
      <c r="C39" s="197">
        <f t="shared" si="0"/>
        <v>755</v>
      </c>
      <c r="D39" s="197"/>
      <c r="E39" s="197"/>
      <c r="F39" s="197">
        <v>755</v>
      </c>
      <c r="G39" s="197"/>
      <c r="H39" s="197"/>
      <c r="I39" s="197"/>
    </row>
    <row r="40" spans="1:9" x14ac:dyDescent="0.2">
      <c r="A40" s="231">
        <f>A39+1</f>
        <v>31</v>
      </c>
      <c r="B40" s="196" t="s">
        <v>279</v>
      </c>
      <c r="C40" s="197">
        <f t="shared" si="0"/>
        <v>11425</v>
      </c>
      <c r="D40" s="197">
        <v>32</v>
      </c>
      <c r="E40" s="197">
        <v>0</v>
      </c>
      <c r="F40" s="197">
        <f>11316+77</f>
        <v>11393</v>
      </c>
      <c r="G40" s="197">
        <v>312</v>
      </c>
      <c r="H40" s="197">
        <v>1150</v>
      </c>
      <c r="I40" s="197"/>
    </row>
    <row r="41" spans="1:9" s="201" customFormat="1" ht="25.5" x14ac:dyDescent="0.2">
      <c r="A41" s="234"/>
      <c r="B41" s="200" t="s">
        <v>280</v>
      </c>
      <c r="C41" s="197">
        <f t="shared" si="0"/>
        <v>1209</v>
      </c>
      <c r="D41" s="199"/>
      <c r="E41" s="199"/>
      <c r="F41" s="199">
        <v>1209</v>
      </c>
      <c r="G41" s="199"/>
      <c r="H41" s="199"/>
      <c r="I41" s="199"/>
    </row>
    <row r="42" spans="1:9" x14ac:dyDescent="0.2">
      <c r="A42" s="195">
        <f>A40+1</f>
        <v>32</v>
      </c>
      <c r="B42" s="196" t="s">
        <v>19</v>
      </c>
      <c r="C42" s="197">
        <f t="shared" si="0"/>
        <v>11145</v>
      </c>
      <c r="D42" s="197"/>
      <c r="E42" s="197"/>
      <c r="F42" s="197">
        <v>11145</v>
      </c>
      <c r="G42" s="197"/>
      <c r="H42" s="197">
        <v>83</v>
      </c>
      <c r="I42" s="197"/>
    </row>
    <row r="43" spans="1:9" x14ac:dyDescent="0.2">
      <c r="A43" s="195">
        <f t="shared" ref="A43:A106" si="2">A42+1</f>
        <v>33</v>
      </c>
      <c r="B43" s="196" t="s">
        <v>20</v>
      </c>
      <c r="C43" s="197">
        <f t="shared" si="0"/>
        <v>10996</v>
      </c>
      <c r="D43" s="197"/>
      <c r="E43" s="197"/>
      <c r="F43" s="197">
        <f>10898+98</f>
        <v>10996</v>
      </c>
      <c r="G43" s="197"/>
      <c r="H43" s="197">
        <v>572</v>
      </c>
      <c r="I43" s="197"/>
    </row>
    <row r="44" spans="1:9" x14ac:dyDescent="0.2">
      <c r="A44" s="195">
        <f t="shared" si="2"/>
        <v>34</v>
      </c>
      <c r="B44" s="196" t="s">
        <v>21</v>
      </c>
      <c r="C44" s="197">
        <f t="shared" si="0"/>
        <v>3088</v>
      </c>
      <c r="D44" s="197"/>
      <c r="E44" s="197"/>
      <c r="F44" s="197">
        <v>3088</v>
      </c>
      <c r="G44" s="197"/>
      <c r="H44" s="197">
        <v>3</v>
      </c>
      <c r="I44" s="197"/>
    </row>
    <row r="45" spans="1:9" x14ac:dyDescent="0.2">
      <c r="A45" s="195">
        <f t="shared" si="2"/>
        <v>35</v>
      </c>
      <c r="B45" s="196" t="s">
        <v>22</v>
      </c>
      <c r="C45" s="197">
        <f t="shared" si="0"/>
        <v>3436</v>
      </c>
      <c r="D45" s="197"/>
      <c r="E45" s="197"/>
      <c r="F45" s="197">
        <v>3436</v>
      </c>
      <c r="G45" s="197"/>
      <c r="H45" s="197"/>
      <c r="I45" s="197"/>
    </row>
    <row r="46" spans="1:9" x14ac:dyDescent="0.2">
      <c r="A46" s="195">
        <f t="shared" si="2"/>
        <v>36</v>
      </c>
      <c r="B46" s="196" t="s">
        <v>23</v>
      </c>
      <c r="C46" s="197">
        <f t="shared" si="0"/>
        <v>3529</v>
      </c>
      <c r="D46" s="197"/>
      <c r="E46" s="197"/>
      <c r="F46" s="197">
        <v>3529</v>
      </c>
      <c r="G46" s="197"/>
      <c r="H46" s="197">
        <v>13</v>
      </c>
      <c r="I46" s="197"/>
    </row>
    <row r="47" spans="1:9" x14ac:dyDescent="0.2">
      <c r="A47" s="195">
        <f t="shared" si="2"/>
        <v>37</v>
      </c>
      <c r="B47" s="196" t="s">
        <v>24</v>
      </c>
      <c r="C47" s="197">
        <f t="shared" si="0"/>
        <v>2164</v>
      </c>
      <c r="D47" s="197"/>
      <c r="E47" s="197"/>
      <c r="F47" s="197">
        <v>2164</v>
      </c>
      <c r="G47" s="197"/>
      <c r="H47" s="197">
        <v>3</v>
      </c>
      <c r="I47" s="197"/>
    </row>
    <row r="48" spans="1:9" x14ac:dyDescent="0.2">
      <c r="A48" s="195">
        <f t="shared" si="2"/>
        <v>38</v>
      </c>
      <c r="B48" s="196" t="s">
        <v>25</v>
      </c>
      <c r="C48" s="197">
        <f t="shared" si="0"/>
        <v>2949</v>
      </c>
      <c r="D48" s="197"/>
      <c r="E48" s="197"/>
      <c r="F48" s="197">
        <f>2949</f>
        <v>2949</v>
      </c>
      <c r="G48" s="197"/>
      <c r="H48" s="197">
        <v>7</v>
      </c>
      <c r="I48" s="197"/>
    </row>
    <row r="49" spans="1:9" x14ac:dyDescent="0.2">
      <c r="A49" s="195">
        <f t="shared" si="2"/>
        <v>39</v>
      </c>
      <c r="B49" s="196" t="s">
        <v>26</v>
      </c>
      <c r="C49" s="197">
        <f t="shared" si="0"/>
        <v>1687</v>
      </c>
      <c r="D49" s="197"/>
      <c r="E49" s="197"/>
      <c r="F49" s="197">
        <v>1687</v>
      </c>
      <c r="G49" s="197"/>
      <c r="H49" s="197">
        <v>6</v>
      </c>
      <c r="I49" s="197"/>
    </row>
    <row r="50" spans="1:9" x14ac:dyDescent="0.2">
      <c r="A50" s="195">
        <f t="shared" si="2"/>
        <v>40</v>
      </c>
      <c r="B50" s="196" t="s">
        <v>57</v>
      </c>
      <c r="C50" s="197">
        <f t="shared" si="0"/>
        <v>3150</v>
      </c>
      <c r="D50" s="197"/>
      <c r="E50" s="197"/>
      <c r="F50" s="197">
        <f>6300-3150</f>
        <v>3150</v>
      </c>
      <c r="G50" s="197"/>
      <c r="H50" s="197"/>
      <c r="I50" s="197"/>
    </row>
    <row r="51" spans="1:9" x14ac:dyDescent="0.2">
      <c r="A51" s="195">
        <f t="shared" si="2"/>
        <v>41</v>
      </c>
      <c r="B51" s="196" t="s">
        <v>281</v>
      </c>
      <c r="C51" s="197">
        <f t="shared" si="0"/>
        <v>953</v>
      </c>
      <c r="D51" s="197">
        <f>208+39+17</f>
        <v>264</v>
      </c>
      <c r="E51" s="197">
        <v>20</v>
      </c>
      <c r="F51" s="197">
        <f>657+4+28</f>
        <v>689</v>
      </c>
      <c r="G51" s="197"/>
      <c r="H51" s="197">
        <v>67</v>
      </c>
      <c r="I51" s="197"/>
    </row>
    <row r="52" spans="1:9" x14ac:dyDescent="0.2">
      <c r="A52" s="195">
        <f t="shared" si="2"/>
        <v>42</v>
      </c>
      <c r="B52" s="196" t="s">
        <v>27</v>
      </c>
      <c r="C52" s="197">
        <f t="shared" si="0"/>
        <v>16091</v>
      </c>
      <c r="D52" s="197"/>
      <c r="E52" s="197"/>
      <c r="F52" s="197">
        <f>16051+40</f>
        <v>16091</v>
      </c>
      <c r="G52" s="197"/>
      <c r="H52" s="197">
        <v>479</v>
      </c>
      <c r="I52" s="197"/>
    </row>
    <row r="53" spans="1:9" x14ac:dyDescent="0.2">
      <c r="A53" s="195">
        <f t="shared" si="2"/>
        <v>43</v>
      </c>
      <c r="B53" s="203" t="s">
        <v>28</v>
      </c>
      <c r="C53" s="197">
        <f t="shared" si="0"/>
        <v>14302</v>
      </c>
      <c r="D53" s="197"/>
      <c r="E53" s="197"/>
      <c r="F53" s="197">
        <f>14282+20</f>
        <v>14302</v>
      </c>
      <c r="G53" s="197"/>
      <c r="H53" s="197">
        <v>592</v>
      </c>
      <c r="I53" s="197"/>
    </row>
    <row r="54" spans="1:9" x14ac:dyDescent="0.2">
      <c r="A54" s="195">
        <f t="shared" si="2"/>
        <v>44</v>
      </c>
      <c r="B54" s="196" t="s">
        <v>282</v>
      </c>
      <c r="C54" s="197">
        <f t="shared" si="0"/>
        <v>18043</v>
      </c>
      <c r="D54" s="197"/>
      <c r="E54" s="197"/>
      <c r="F54" s="197">
        <f>17963+80</f>
        <v>18043</v>
      </c>
      <c r="G54" s="197">
        <v>627</v>
      </c>
      <c r="H54" s="197">
        <v>1465</v>
      </c>
      <c r="I54" s="197"/>
    </row>
    <row r="55" spans="1:9" x14ac:dyDescent="0.2">
      <c r="A55" s="195">
        <f t="shared" si="2"/>
        <v>45</v>
      </c>
      <c r="B55" s="196" t="s">
        <v>29</v>
      </c>
      <c r="C55" s="197">
        <f t="shared" si="0"/>
        <v>4505</v>
      </c>
      <c r="D55" s="197"/>
      <c r="E55" s="197"/>
      <c r="F55" s="197">
        <v>4505</v>
      </c>
      <c r="G55" s="197"/>
      <c r="H55" s="197">
        <v>4</v>
      </c>
      <c r="I55" s="197"/>
    </row>
    <row r="56" spans="1:9" x14ac:dyDescent="0.2">
      <c r="A56" s="195">
        <f t="shared" si="2"/>
        <v>46</v>
      </c>
      <c r="B56" s="196" t="s">
        <v>30</v>
      </c>
      <c r="C56" s="197">
        <f t="shared" si="0"/>
        <v>3159</v>
      </c>
      <c r="D56" s="197"/>
      <c r="E56" s="197"/>
      <c r="F56" s="197">
        <v>3159</v>
      </c>
      <c r="G56" s="197"/>
      <c r="H56" s="197">
        <v>7</v>
      </c>
      <c r="I56" s="197"/>
    </row>
    <row r="57" spans="1:9" x14ac:dyDescent="0.2">
      <c r="A57" s="195">
        <f t="shared" si="2"/>
        <v>47</v>
      </c>
      <c r="B57" s="196" t="s">
        <v>31</v>
      </c>
      <c r="C57" s="197">
        <f t="shared" si="0"/>
        <v>2456</v>
      </c>
      <c r="D57" s="197"/>
      <c r="E57" s="197"/>
      <c r="F57" s="197">
        <v>2456</v>
      </c>
      <c r="G57" s="197"/>
      <c r="H57" s="197">
        <v>6</v>
      </c>
      <c r="I57" s="197"/>
    </row>
    <row r="58" spans="1:9" x14ac:dyDescent="0.2">
      <c r="A58" s="195">
        <f t="shared" si="2"/>
        <v>48</v>
      </c>
      <c r="B58" s="196" t="s">
        <v>32</v>
      </c>
      <c r="C58" s="197">
        <f t="shared" si="0"/>
        <v>3699</v>
      </c>
      <c r="D58" s="197"/>
      <c r="E58" s="197"/>
      <c r="F58" s="197">
        <v>3699</v>
      </c>
      <c r="G58" s="197"/>
      <c r="H58" s="197">
        <v>10</v>
      </c>
      <c r="I58" s="197"/>
    </row>
    <row r="59" spans="1:9" x14ac:dyDescent="0.2">
      <c r="A59" s="195">
        <f t="shared" si="2"/>
        <v>49</v>
      </c>
      <c r="B59" s="196" t="s">
        <v>33</v>
      </c>
      <c r="C59" s="197">
        <f t="shared" si="0"/>
        <v>1706</v>
      </c>
      <c r="D59" s="197"/>
      <c r="E59" s="197"/>
      <c r="F59" s="197">
        <v>1706</v>
      </c>
      <c r="G59" s="197"/>
      <c r="H59" s="197">
        <v>2</v>
      </c>
      <c r="I59" s="197"/>
    </row>
    <row r="60" spans="1:9" x14ac:dyDescent="0.2">
      <c r="A60" s="195">
        <f t="shared" si="2"/>
        <v>50</v>
      </c>
      <c r="B60" s="196" t="s">
        <v>34</v>
      </c>
      <c r="C60" s="197">
        <f t="shared" si="0"/>
        <v>3252</v>
      </c>
      <c r="D60" s="197"/>
      <c r="E60" s="197"/>
      <c r="F60" s="197">
        <v>3252</v>
      </c>
      <c r="G60" s="197"/>
      <c r="H60" s="197">
        <v>14</v>
      </c>
      <c r="I60" s="197"/>
    </row>
    <row r="61" spans="1:9" x14ac:dyDescent="0.2">
      <c r="A61" s="195">
        <f t="shared" si="2"/>
        <v>51</v>
      </c>
      <c r="B61" s="196" t="s">
        <v>35</v>
      </c>
      <c r="C61" s="197">
        <f t="shared" si="0"/>
        <v>4512</v>
      </c>
      <c r="D61" s="197"/>
      <c r="E61" s="197"/>
      <c r="F61" s="197">
        <v>4512</v>
      </c>
      <c r="G61" s="197"/>
      <c r="H61" s="197">
        <v>18</v>
      </c>
      <c r="I61" s="197"/>
    </row>
    <row r="62" spans="1:9" x14ac:dyDescent="0.2">
      <c r="A62" s="195">
        <f t="shared" si="2"/>
        <v>52</v>
      </c>
      <c r="B62" s="196" t="s">
        <v>36</v>
      </c>
      <c r="C62" s="197">
        <f t="shared" si="0"/>
        <v>2711</v>
      </c>
      <c r="D62" s="197"/>
      <c r="E62" s="197"/>
      <c r="F62" s="197">
        <v>2711</v>
      </c>
      <c r="G62" s="197"/>
      <c r="H62" s="197">
        <v>58</v>
      </c>
      <c r="I62" s="197"/>
    </row>
    <row r="63" spans="1:9" x14ac:dyDescent="0.2">
      <c r="A63" s="195">
        <f t="shared" si="2"/>
        <v>53</v>
      </c>
      <c r="B63" s="196" t="s">
        <v>283</v>
      </c>
      <c r="C63" s="197">
        <f t="shared" si="0"/>
        <v>9669</v>
      </c>
      <c r="D63" s="197"/>
      <c r="E63" s="197"/>
      <c r="F63" s="197">
        <v>9669</v>
      </c>
      <c r="G63" s="197"/>
      <c r="H63" s="197">
        <f>16+60</f>
        <v>76</v>
      </c>
      <c r="I63" s="197"/>
    </row>
    <row r="64" spans="1:9" x14ac:dyDescent="0.2">
      <c r="A64" s="195">
        <f t="shared" si="2"/>
        <v>54</v>
      </c>
      <c r="B64" s="196" t="s">
        <v>284</v>
      </c>
      <c r="C64" s="197">
        <f t="shared" si="0"/>
        <v>3592</v>
      </c>
      <c r="D64" s="197"/>
      <c r="E64" s="197"/>
      <c r="F64" s="197">
        <v>3592</v>
      </c>
      <c r="G64" s="197">
        <v>623</v>
      </c>
      <c r="H64" s="197">
        <v>4</v>
      </c>
      <c r="I64" s="197"/>
    </row>
    <row r="65" spans="1:9" x14ac:dyDescent="0.2">
      <c r="A65" s="195">
        <f t="shared" si="2"/>
        <v>55</v>
      </c>
      <c r="B65" s="196" t="s">
        <v>285</v>
      </c>
      <c r="C65" s="197">
        <f t="shared" si="0"/>
        <v>17555</v>
      </c>
      <c r="D65" s="197"/>
      <c r="E65" s="197"/>
      <c r="F65" s="197">
        <v>17555</v>
      </c>
      <c r="G65" s="197"/>
      <c r="H65" s="197">
        <v>48</v>
      </c>
      <c r="I65" s="197"/>
    </row>
    <row r="66" spans="1:9" x14ac:dyDescent="0.2">
      <c r="A66" s="195">
        <f t="shared" si="2"/>
        <v>56</v>
      </c>
      <c r="B66" s="196" t="s">
        <v>286</v>
      </c>
      <c r="C66" s="197">
        <f t="shared" si="0"/>
        <v>927</v>
      </c>
      <c r="D66" s="197"/>
      <c r="E66" s="197"/>
      <c r="F66" s="197">
        <v>927</v>
      </c>
      <c r="G66" s="197"/>
      <c r="H66" s="197"/>
      <c r="I66" s="197"/>
    </row>
    <row r="67" spans="1:9" x14ac:dyDescent="0.2">
      <c r="A67" s="195">
        <f t="shared" si="2"/>
        <v>57</v>
      </c>
      <c r="B67" s="196" t="s">
        <v>287</v>
      </c>
      <c r="C67" s="197">
        <f t="shared" si="0"/>
        <v>6734</v>
      </c>
      <c r="D67" s="197">
        <v>200</v>
      </c>
      <c r="E67" s="197"/>
      <c r="F67" s="197">
        <v>6534</v>
      </c>
      <c r="G67" s="197">
        <v>623</v>
      </c>
      <c r="H67" s="197">
        <v>3</v>
      </c>
      <c r="I67" s="197"/>
    </row>
    <row r="68" spans="1:9" x14ac:dyDescent="0.2">
      <c r="A68" s="195">
        <f t="shared" si="2"/>
        <v>58</v>
      </c>
      <c r="B68" s="196" t="s">
        <v>288</v>
      </c>
      <c r="C68" s="197">
        <f t="shared" si="0"/>
        <v>927</v>
      </c>
      <c r="D68" s="197"/>
      <c r="E68" s="197"/>
      <c r="F68" s="197">
        <v>927</v>
      </c>
      <c r="G68" s="197"/>
      <c r="H68" s="197"/>
      <c r="I68" s="197"/>
    </row>
    <row r="69" spans="1:9" x14ac:dyDescent="0.2">
      <c r="A69" s="195">
        <f t="shared" si="2"/>
        <v>59</v>
      </c>
      <c r="B69" s="196" t="s">
        <v>289</v>
      </c>
      <c r="C69" s="197">
        <f t="shared" si="0"/>
        <v>12144</v>
      </c>
      <c r="D69" s="197">
        <f>277</f>
        <v>277</v>
      </c>
      <c r="E69" s="197"/>
      <c r="F69" s="197">
        <f>11863+4</f>
        <v>11867</v>
      </c>
      <c r="G69" s="197">
        <v>627</v>
      </c>
      <c r="H69" s="197">
        <v>50</v>
      </c>
      <c r="I69" s="197"/>
    </row>
    <row r="70" spans="1:9" x14ac:dyDescent="0.2">
      <c r="A70" s="195">
        <f t="shared" si="2"/>
        <v>60</v>
      </c>
      <c r="B70" s="196" t="s">
        <v>290</v>
      </c>
      <c r="C70" s="197">
        <f t="shared" si="0"/>
        <v>14135</v>
      </c>
      <c r="D70" s="197">
        <v>442</v>
      </c>
      <c r="E70" s="197"/>
      <c r="F70" s="197">
        <v>13693</v>
      </c>
      <c r="G70" s="197">
        <v>652</v>
      </c>
      <c r="H70" s="197"/>
      <c r="I70" s="197"/>
    </row>
    <row r="71" spans="1:9" x14ac:dyDescent="0.2">
      <c r="A71" s="195">
        <f t="shared" si="2"/>
        <v>61</v>
      </c>
      <c r="B71" s="196" t="s">
        <v>291</v>
      </c>
      <c r="C71" s="197">
        <f t="shared" si="0"/>
        <v>13686</v>
      </c>
      <c r="D71" s="197">
        <f>490+175</f>
        <v>665</v>
      </c>
      <c r="E71" s="197"/>
      <c r="F71" s="197">
        <v>13021</v>
      </c>
      <c r="G71" s="197">
        <v>1300</v>
      </c>
      <c r="H71" s="197">
        <v>303</v>
      </c>
      <c r="I71" s="197"/>
    </row>
    <row r="72" spans="1:9" ht="14.25" customHeight="1" x14ac:dyDescent="0.2">
      <c r="A72" s="195">
        <f t="shared" si="2"/>
        <v>62</v>
      </c>
      <c r="B72" s="196" t="s">
        <v>292</v>
      </c>
      <c r="C72" s="197">
        <f t="shared" ref="C72:C111" si="3">D72+F72+I72</f>
        <v>9302</v>
      </c>
      <c r="D72" s="197">
        <v>20</v>
      </c>
      <c r="E72" s="197"/>
      <c r="F72" s="197">
        <v>9282</v>
      </c>
      <c r="G72" s="197"/>
      <c r="H72" s="197"/>
      <c r="I72" s="197"/>
    </row>
    <row r="73" spans="1:9" x14ac:dyDescent="0.2">
      <c r="A73" s="195">
        <f t="shared" si="2"/>
        <v>63</v>
      </c>
      <c r="B73" s="196" t="s">
        <v>58</v>
      </c>
      <c r="C73" s="197">
        <f t="shared" si="3"/>
        <v>21520</v>
      </c>
      <c r="D73" s="197">
        <v>1593</v>
      </c>
      <c r="E73" s="197">
        <v>150</v>
      </c>
      <c r="F73" s="197">
        <v>19927</v>
      </c>
      <c r="G73" s="197">
        <v>623</v>
      </c>
      <c r="H73" s="197">
        <v>3229</v>
      </c>
      <c r="I73" s="197"/>
    </row>
    <row r="74" spans="1:9" x14ac:dyDescent="0.2">
      <c r="A74" s="195">
        <f t="shared" si="2"/>
        <v>64</v>
      </c>
      <c r="B74" s="204" t="s">
        <v>293</v>
      </c>
      <c r="C74" s="197">
        <f t="shared" si="3"/>
        <v>2800</v>
      </c>
      <c r="D74" s="197"/>
      <c r="E74" s="197"/>
      <c r="F74" s="197">
        <v>2800</v>
      </c>
      <c r="G74" s="197"/>
      <c r="H74" s="197"/>
      <c r="I74" s="197"/>
    </row>
    <row r="75" spans="1:9" x14ac:dyDescent="0.2">
      <c r="A75" s="195">
        <f t="shared" si="2"/>
        <v>65</v>
      </c>
      <c r="B75" s="196" t="s">
        <v>37</v>
      </c>
      <c r="C75" s="197">
        <f t="shared" si="3"/>
        <v>2001</v>
      </c>
      <c r="D75" s="197"/>
      <c r="E75" s="197"/>
      <c r="F75" s="197">
        <v>2001</v>
      </c>
      <c r="G75" s="197"/>
      <c r="H75" s="197"/>
      <c r="I75" s="197"/>
    </row>
    <row r="76" spans="1:9" x14ac:dyDescent="0.2">
      <c r="A76" s="195">
        <f t="shared" si="2"/>
        <v>66</v>
      </c>
      <c r="B76" s="196" t="s">
        <v>38</v>
      </c>
      <c r="C76" s="197">
        <f t="shared" si="3"/>
        <v>2278</v>
      </c>
      <c r="D76" s="197"/>
      <c r="E76" s="197"/>
      <c r="F76" s="197">
        <v>2278</v>
      </c>
      <c r="G76" s="197"/>
      <c r="H76" s="197">
        <v>2</v>
      </c>
      <c r="I76" s="197"/>
    </row>
    <row r="77" spans="1:9" x14ac:dyDescent="0.2">
      <c r="A77" s="195">
        <f t="shared" si="2"/>
        <v>67</v>
      </c>
      <c r="B77" s="196" t="s">
        <v>39</v>
      </c>
      <c r="C77" s="197">
        <f t="shared" si="3"/>
        <v>5425</v>
      </c>
      <c r="D77" s="197"/>
      <c r="E77" s="197"/>
      <c r="F77" s="197">
        <v>5425</v>
      </c>
      <c r="G77" s="197"/>
      <c r="H77" s="197">
        <v>23</v>
      </c>
      <c r="I77" s="197"/>
    </row>
    <row r="78" spans="1:9" x14ac:dyDescent="0.2">
      <c r="A78" s="195">
        <f t="shared" si="2"/>
        <v>68</v>
      </c>
      <c r="B78" s="196" t="s">
        <v>40</v>
      </c>
      <c r="C78" s="197">
        <f t="shared" si="3"/>
        <v>2766</v>
      </c>
      <c r="D78" s="197"/>
      <c r="E78" s="197"/>
      <c r="F78" s="197">
        <v>2766</v>
      </c>
      <c r="G78" s="197"/>
      <c r="H78" s="197">
        <v>6</v>
      </c>
      <c r="I78" s="197"/>
    </row>
    <row r="79" spans="1:9" x14ac:dyDescent="0.2">
      <c r="A79" s="195">
        <f t="shared" si="2"/>
        <v>69</v>
      </c>
      <c r="B79" s="196" t="s">
        <v>41</v>
      </c>
      <c r="C79" s="197">
        <f t="shared" si="3"/>
        <v>3741</v>
      </c>
      <c r="D79" s="197"/>
      <c r="E79" s="197"/>
      <c r="F79" s="197">
        <v>3741</v>
      </c>
      <c r="G79" s="197"/>
      <c r="H79" s="197">
        <v>36</v>
      </c>
      <c r="I79" s="197"/>
    </row>
    <row r="80" spans="1:9" x14ac:dyDescent="0.2">
      <c r="A80" s="195">
        <f t="shared" si="2"/>
        <v>70</v>
      </c>
      <c r="B80" s="196" t="s">
        <v>42</v>
      </c>
      <c r="C80" s="197">
        <f t="shared" si="3"/>
        <v>3599</v>
      </c>
      <c r="D80" s="197"/>
      <c r="E80" s="197"/>
      <c r="F80" s="197">
        <v>3599</v>
      </c>
      <c r="G80" s="197"/>
      <c r="H80" s="197">
        <v>4</v>
      </c>
      <c r="I80" s="197"/>
    </row>
    <row r="81" spans="1:9" x14ac:dyDescent="0.2">
      <c r="A81" s="195">
        <f t="shared" si="2"/>
        <v>71</v>
      </c>
      <c r="B81" s="196" t="s">
        <v>43</v>
      </c>
      <c r="C81" s="197">
        <f t="shared" si="3"/>
        <v>4766</v>
      </c>
      <c r="D81" s="197"/>
      <c r="E81" s="197"/>
      <c r="F81" s="197">
        <v>4766</v>
      </c>
      <c r="G81" s="197"/>
      <c r="H81" s="197">
        <v>37</v>
      </c>
      <c r="I81" s="197"/>
    </row>
    <row r="82" spans="1:9" x14ac:dyDescent="0.2">
      <c r="A82" s="195">
        <f t="shared" si="2"/>
        <v>72</v>
      </c>
      <c r="B82" s="196" t="s">
        <v>44</v>
      </c>
      <c r="C82" s="197">
        <f t="shared" si="3"/>
        <v>1789</v>
      </c>
      <c r="D82" s="197"/>
      <c r="E82" s="197"/>
      <c r="F82" s="197">
        <v>1789</v>
      </c>
      <c r="G82" s="197"/>
      <c r="H82" s="197">
        <v>9</v>
      </c>
      <c r="I82" s="197"/>
    </row>
    <row r="83" spans="1:9" x14ac:dyDescent="0.2">
      <c r="A83" s="195">
        <f t="shared" si="2"/>
        <v>73</v>
      </c>
      <c r="B83" s="196" t="s">
        <v>45</v>
      </c>
      <c r="C83" s="197">
        <f t="shared" si="3"/>
        <v>2584</v>
      </c>
      <c r="D83" s="197"/>
      <c r="E83" s="197"/>
      <c r="F83" s="197">
        <v>2584</v>
      </c>
      <c r="G83" s="197"/>
      <c r="H83" s="197">
        <v>18</v>
      </c>
      <c r="I83" s="197"/>
    </row>
    <row r="84" spans="1:9" x14ac:dyDescent="0.2">
      <c r="A84" s="195">
        <f t="shared" si="2"/>
        <v>74</v>
      </c>
      <c r="B84" s="196" t="s">
        <v>46</v>
      </c>
      <c r="C84" s="197">
        <f t="shared" si="3"/>
        <v>3635</v>
      </c>
      <c r="D84" s="197"/>
      <c r="E84" s="197"/>
      <c r="F84" s="197">
        <v>3635</v>
      </c>
      <c r="G84" s="197"/>
      <c r="H84" s="197">
        <v>248</v>
      </c>
      <c r="I84" s="197"/>
    </row>
    <row r="85" spans="1:9" x14ac:dyDescent="0.2">
      <c r="A85" s="195">
        <f t="shared" si="2"/>
        <v>75</v>
      </c>
      <c r="B85" s="196" t="s">
        <v>47</v>
      </c>
      <c r="C85" s="197">
        <f t="shared" si="3"/>
        <v>5209</v>
      </c>
      <c r="D85" s="197">
        <v>238</v>
      </c>
      <c r="E85" s="197"/>
      <c r="F85" s="197">
        <f>4971</f>
        <v>4971</v>
      </c>
      <c r="G85" s="197">
        <v>312</v>
      </c>
      <c r="H85" s="197">
        <v>438</v>
      </c>
      <c r="I85" s="197"/>
    </row>
    <row r="86" spans="1:9" x14ac:dyDescent="0.2">
      <c r="A86" s="195">
        <f t="shared" si="2"/>
        <v>76</v>
      </c>
      <c r="B86" s="196" t="s">
        <v>48</v>
      </c>
      <c r="C86" s="197">
        <f t="shared" si="3"/>
        <v>2103</v>
      </c>
      <c r="D86" s="197"/>
      <c r="E86" s="197"/>
      <c r="F86" s="197">
        <v>2103</v>
      </c>
      <c r="G86" s="197"/>
      <c r="H86" s="197">
        <v>11</v>
      </c>
      <c r="I86" s="197"/>
    </row>
    <row r="87" spans="1:9" x14ac:dyDescent="0.2">
      <c r="A87" s="195">
        <f t="shared" si="2"/>
        <v>77</v>
      </c>
      <c r="B87" s="196" t="s">
        <v>49</v>
      </c>
      <c r="C87" s="197">
        <f t="shared" si="3"/>
        <v>3033</v>
      </c>
      <c r="D87" s="197"/>
      <c r="E87" s="197"/>
      <c r="F87" s="197">
        <v>3033</v>
      </c>
      <c r="G87" s="197"/>
      <c r="H87" s="197">
        <v>3</v>
      </c>
      <c r="I87" s="197"/>
    </row>
    <row r="88" spans="1:9" x14ac:dyDescent="0.2">
      <c r="A88" s="195">
        <f t="shared" si="2"/>
        <v>78</v>
      </c>
      <c r="B88" s="196" t="s">
        <v>50</v>
      </c>
      <c r="C88" s="197">
        <f t="shared" si="3"/>
        <v>4426</v>
      </c>
      <c r="D88" s="197"/>
      <c r="E88" s="197"/>
      <c r="F88" s="197">
        <v>4426</v>
      </c>
      <c r="G88" s="197"/>
      <c r="H88" s="197">
        <v>10</v>
      </c>
      <c r="I88" s="197"/>
    </row>
    <row r="89" spans="1:9" x14ac:dyDescent="0.2">
      <c r="A89" s="195">
        <f t="shared" si="2"/>
        <v>79</v>
      </c>
      <c r="B89" s="196" t="s">
        <v>51</v>
      </c>
      <c r="C89" s="197">
        <f t="shared" si="3"/>
        <v>2244</v>
      </c>
      <c r="D89" s="197"/>
      <c r="E89" s="197"/>
      <c r="F89" s="197">
        <v>2244</v>
      </c>
      <c r="G89" s="197"/>
      <c r="H89" s="197">
        <v>1</v>
      </c>
      <c r="I89" s="197"/>
    </row>
    <row r="90" spans="1:9" ht="25.5" customHeight="1" x14ac:dyDescent="0.2">
      <c r="A90" s="195">
        <f t="shared" si="2"/>
        <v>80</v>
      </c>
      <c r="B90" s="202" t="s">
        <v>59</v>
      </c>
      <c r="C90" s="197">
        <f t="shared" si="3"/>
        <v>7611</v>
      </c>
      <c r="D90" s="197"/>
      <c r="E90" s="197"/>
      <c r="F90" s="197">
        <v>7611</v>
      </c>
      <c r="G90" s="197">
        <v>522</v>
      </c>
      <c r="H90" s="197">
        <v>14</v>
      </c>
      <c r="I90" s="197"/>
    </row>
    <row r="91" spans="1:9" x14ac:dyDescent="0.2">
      <c r="A91" s="195">
        <f t="shared" si="2"/>
        <v>81</v>
      </c>
      <c r="B91" s="196" t="s">
        <v>294</v>
      </c>
      <c r="C91" s="197">
        <f t="shared" si="3"/>
        <v>299</v>
      </c>
      <c r="D91" s="197">
        <f>240</f>
        <v>240</v>
      </c>
      <c r="E91" s="197"/>
      <c r="F91" s="197">
        <v>59</v>
      </c>
      <c r="G91" s="197"/>
      <c r="H91" s="197"/>
      <c r="I91" s="197"/>
    </row>
    <row r="92" spans="1:9" x14ac:dyDescent="0.2">
      <c r="A92" s="195">
        <f t="shared" si="2"/>
        <v>82</v>
      </c>
      <c r="B92" s="196" t="s">
        <v>295</v>
      </c>
      <c r="C92" s="197">
        <f t="shared" si="3"/>
        <v>17</v>
      </c>
      <c r="D92" s="197"/>
      <c r="E92" s="197"/>
      <c r="F92" s="197">
        <v>17</v>
      </c>
      <c r="G92" s="197"/>
      <c r="H92" s="197"/>
      <c r="I92" s="197"/>
    </row>
    <row r="93" spans="1:9" x14ac:dyDescent="0.2">
      <c r="A93" s="195">
        <f t="shared" si="2"/>
        <v>83</v>
      </c>
      <c r="B93" s="205" t="s">
        <v>60</v>
      </c>
      <c r="C93" s="197">
        <f t="shared" si="3"/>
        <v>17</v>
      </c>
      <c r="D93" s="197"/>
      <c r="E93" s="197"/>
      <c r="F93" s="197">
        <v>17</v>
      </c>
      <c r="G93" s="197"/>
      <c r="H93" s="197"/>
      <c r="I93" s="197"/>
    </row>
    <row r="94" spans="1:9" ht="15" customHeight="1" x14ac:dyDescent="0.2">
      <c r="A94" s="195">
        <f t="shared" si="2"/>
        <v>84</v>
      </c>
      <c r="B94" s="206" t="s">
        <v>296</v>
      </c>
      <c r="C94" s="197">
        <f t="shared" si="3"/>
        <v>4135</v>
      </c>
      <c r="D94" s="197"/>
      <c r="E94" s="197"/>
      <c r="F94" s="197"/>
      <c r="G94" s="197"/>
      <c r="H94" s="197"/>
      <c r="I94" s="197">
        <v>4135</v>
      </c>
    </row>
    <row r="95" spans="1:9" x14ac:dyDescent="0.2">
      <c r="A95" s="195">
        <f t="shared" si="2"/>
        <v>85</v>
      </c>
      <c r="B95" s="204" t="s">
        <v>297</v>
      </c>
      <c r="C95" s="197">
        <f t="shared" si="3"/>
        <v>1500</v>
      </c>
      <c r="D95" s="197"/>
      <c r="E95" s="197"/>
      <c r="F95" s="197"/>
      <c r="G95" s="197"/>
      <c r="H95" s="197"/>
      <c r="I95" s="197">
        <v>1500</v>
      </c>
    </row>
    <row r="96" spans="1:9" x14ac:dyDescent="0.2">
      <c r="A96" s="195">
        <f t="shared" si="2"/>
        <v>86</v>
      </c>
      <c r="B96" s="196" t="s">
        <v>298</v>
      </c>
      <c r="C96" s="197">
        <f t="shared" si="3"/>
        <v>17</v>
      </c>
      <c r="D96" s="197"/>
      <c r="E96" s="197"/>
      <c r="F96" s="197">
        <v>17</v>
      </c>
      <c r="G96" s="197"/>
      <c r="H96" s="197"/>
      <c r="I96" s="197"/>
    </row>
    <row r="97" spans="1:9" x14ac:dyDescent="0.2">
      <c r="A97" s="195">
        <f t="shared" si="2"/>
        <v>87</v>
      </c>
      <c r="B97" s="207" t="s">
        <v>299</v>
      </c>
      <c r="C97" s="197">
        <f t="shared" si="3"/>
        <v>27343</v>
      </c>
      <c r="D97" s="197">
        <f>2434-45+10</f>
        <v>2399</v>
      </c>
      <c r="E97" s="197">
        <v>101</v>
      </c>
      <c r="F97" s="197">
        <f>24889+45-10+20</f>
        <v>24944</v>
      </c>
      <c r="G97" s="197">
        <v>831</v>
      </c>
      <c r="H97" s="197">
        <v>886</v>
      </c>
      <c r="I97" s="197"/>
    </row>
    <row r="98" spans="1:9" x14ac:dyDescent="0.2">
      <c r="A98" s="195">
        <f t="shared" si="2"/>
        <v>88</v>
      </c>
      <c r="B98" s="207" t="s">
        <v>86</v>
      </c>
      <c r="C98" s="197">
        <f t="shared" si="3"/>
        <v>19650</v>
      </c>
      <c r="D98" s="197">
        <v>1224</v>
      </c>
      <c r="E98" s="197">
        <v>1224</v>
      </c>
      <c r="F98" s="197">
        <v>18426</v>
      </c>
      <c r="G98" s="197"/>
      <c r="H98" s="197">
        <v>15943</v>
      </c>
      <c r="I98" s="197"/>
    </row>
    <row r="99" spans="1:9" x14ac:dyDescent="0.2">
      <c r="A99" s="195">
        <f t="shared" si="2"/>
        <v>89</v>
      </c>
      <c r="B99" s="206" t="s">
        <v>61</v>
      </c>
      <c r="C99" s="197">
        <f t="shared" si="3"/>
        <v>11816</v>
      </c>
      <c r="D99" s="197">
        <f>3088+230</f>
        <v>3318</v>
      </c>
      <c r="E99" s="197"/>
      <c r="F99" s="197">
        <v>8498</v>
      </c>
      <c r="G99" s="197">
        <v>624</v>
      </c>
      <c r="H99" s="197"/>
      <c r="I99" s="197"/>
    </row>
    <row r="100" spans="1:9" x14ac:dyDescent="0.2">
      <c r="A100" s="195">
        <f t="shared" si="2"/>
        <v>90</v>
      </c>
      <c r="B100" s="206" t="s">
        <v>300</v>
      </c>
      <c r="C100" s="197">
        <f t="shared" si="3"/>
        <v>17909</v>
      </c>
      <c r="D100" s="197">
        <v>927</v>
      </c>
      <c r="E100" s="197">
        <v>103</v>
      </c>
      <c r="F100" s="197">
        <f>17517-535</f>
        <v>16982</v>
      </c>
      <c r="G100" s="197">
        <v>296</v>
      </c>
      <c r="H100" s="197">
        <v>427</v>
      </c>
      <c r="I100" s="197"/>
    </row>
    <row r="101" spans="1:9" x14ac:dyDescent="0.2">
      <c r="A101" s="195">
        <f t="shared" si="2"/>
        <v>91</v>
      </c>
      <c r="B101" s="206" t="s">
        <v>62</v>
      </c>
      <c r="C101" s="197">
        <f t="shared" si="3"/>
        <v>12051</v>
      </c>
      <c r="D101" s="197">
        <v>2424</v>
      </c>
      <c r="E101" s="197"/>
      <c r="F101" s="197">
        <f>9822-195</f>
        <v>9627</v>
      </c>
      <c r="G101" s="197"/>
      <c r="H101" s="197"/>
      <c r="I101" s="197"/>
    </row>
    <row r="102" spans="1:9" x14ac:dyDescent="0.2">
      <c r="A102" s="195">
        <f t="shared" si="2"/>
        <v>92</v>
      </c>
      <c r="B102" s="206" t="s">
        <v>301</v>
      </c>
      <c r="C102" s="197">
        <f t="shared" si="3"/>
        <v>5366</v>
      </c>
      <c r="D102" s="197">
        <v>52</v>
      </c>
      <c r="E102" s="197"/>
      <c r="F102" s="197">
        <v>5314</v>
      </c>
      <c r="G102" s="197"/>
      <c r="H102" s="197"/>
      <c r="I102" s="197"/>
    </row>
    <row r="103" spans="1:9" x14ac:dyDescent="0.2">
      <c r="A103" s="195">
        <f t="shared" si="2"/>
        <v>93</v>
      </c>
      <c r="B103" s="206" t="s">
        <v>302</v>
      </c>
      <c r="C103" s="197">
        <f t="shared" si="3"/>
        <v>22914</v>
      </c>
      <c r="D103" s="197">
        <f>660-13</f>
        <v>647</v>
      </c>
      <c r="E103" s="197"/>
      <c r="F103" s="197">
        <f>22254+13</f>
        <v>22267</v>
      </c>
      <c r="G103" s="197"/>
      <c r="H103" s="197"/>
      <c r="I103" s="197"/>
    </row>
    <row r="104" spans="1:9" x14ac:dyDescent="0.2">
      <c r="A104" s="195">
        <f t="shared" si="2"/>
        <v>94</v>
      </c>
      <c r="B104" s="208" t="s">
        <v>64</v>
      </c>
      <c r="C104" s="197">
        <f t="shared" si="3"/>
        <v>5424</v>
      </c>
      <c r="D104" s="197">
        <v>216</v>
      </c>
      <c r="E104" s="197"/>
      <c r="F104" s="197">
        <v>5208</v>
      </c>
      <c r="G104" s="197">
        <v>1350</v>
      </c>
      <c r="H104" s="197"/>
      <c r="I104" s="197"/>
    </row>
    <row r="105" spans="1:9" x14ac:dyDescent="0.2">
      <c r="A105" s="195">
        <f t="shared" si="2"/>
        <v>95</v>
      </c>
      <c r="B105" s="208" t="s">
        <v>70</v>
      </c>
      <c r="C105" s="197">
        <f t="shared" si="3"/>
        <v>24616</v>
      </c>
      <c r="D105" s="197">
        <f>1101</f>
        <v>1101</v>
      </c>
      <c r="E105" s="197">
        <v>0</v>
      </c>
      <c r="F105" s="197">
        <f>23505+10</f>
        <v>23515</v>
      </c>
      <c r="G105" s="197">
        <v>1246</v>
      </c>
      <c r="H105" s="197">
        <v>304</v>
      </c>
      <c r="I105" s="197"/>
    </row>
    <row r="106" spans="1:9" x14ac:dyDescent="0.2">
      <c r="A106" s="228">
        <f t="shared" si="2"/>
        <v>96</v>
      </c>
      <c r="B106" s="208" t="s">
        <v>303</v>
      </c>
      <c r="C106" s="197">
        <f t="shared" si="3"/>
        <v>22376</v>
      </c>
      <c r="D106" s="197">
        <f>1254-29</f>
        <v>1225</v>
      </c>
      <c r="E106" s="197"/>
      <c r="F106" s="197">
        <f>21126-4+29</f>
        <v>21151</v>
      </c>
      <c r="G106" s="197">
        <v>800</v>
      </c>
      <c r="H106" s="197">
        <v>1127</v>
      </c>
      <c r="I106" s="197"/>
    </row>
    <row r="107" spans="1:9" s="201" customFormat="1" ht="25.5" x14ac:dyDescent="0.2">
      <c r="A107" s="235"/>
      <c r="B107" s="200" t="s">
        <v>304</v>
      </c>
      <c r="C107" s="197">
        <f t="shared" si="3"/>
        <v>2258</v>
      </c>
      <c r="D107" s="199"/>
      <c r="E107" s="199"/>
      <c r="F107" s="199">
        <v>2258</v>
      </c>
      <c r="G107" s="199"/>
      <c r="H107" s="199"/>
      <c r="I107" s="199"/>
    </row>
    <row r="108" spans="1:9" x14ac:dyDescent="0.2">
      <c r="A108" s="195">
        <f>A106+1</f>
        <v>97</v>
      </c>
      <c r="B108" s="208" t="s">
        <v>305</v>
      </c>
      <c r="C108" s="197">
        <f t="shared" si="3"/>
        <v>15841</v>
      </c>
      <c r="D108" s="197"/>
      <c r="E108" s="197"/>
      <c r="F108" s="197">
        <v>15841</v>
      </c>
      <c r="G108" s="197"/>
      <c r="H108" s="197">
        <v>1</v>
      </c>
      <c r="I108" s="197"/>
    </row>
    <row r="109" spans="1:9" ht="14.25" customHeight="1" x14ac:dyDescent="0.2">
      <c r="A109" s="195">
        <v>98</v>
      </c>
      <c r="B109" s="209" t="s">
        <v>306</v>
      </c>
      <c r="C109" s="197">
        <f t="shared" si="3"/>
        <v>792</v>
      </c>
      <c r="D109" s="197"/>
      <c r="E109" s="197"/>
      <c r="F109" s="197">
        <v>792</v>
      </c>
      <c r="G109" s="197"/>
      <c r="H109" s="197"/>
      <c r="I109" s="197"/>
    </row>
    <row r="110" spans="1:9" x14ac:dyDescent="0.2">
      <c r="A110" s="195">
        <v>99</v>
      </c>
      <c r="B110" s="206" t="s">
        <v>307</v>
      </c>
      <c r="C110" s="197">
        <f t="shared" si="3"/>
        <v>1010</v>
      </c>
      <c r="D110" s="197">
        <v>300</v>
      </c>
      <c r="E110" s="197"/>
      <c r="F110" s="197">
        <f>710</f>
        <v>710</v>
      </c>
      <c r="G110" s="197"/>
      <c r="H110" s="197"/>
      <c r="I110" s="197"/>
    </row>
    <row r="111" spans="1:9" x14ac:dyDescent="0.2">
      <c r="A111" s="195"/>
      <c r="B111" s="196" t="s">
        <v>308</v>
      </c>
      <c r="C111" s="197">
        <f t="shared" si="3"/>
        <v>15258</v>
      </c>
      <c r="D111" s="197">
        <f>133-133</f>
        <v>0</v>
      </c>
      <c r="E111" s="197"/>
      <c r="F111" s="210">
        <f>15947-230-459</f>
        <v>15258</v>
      </c>
      <c r="G111" s="197"/>
      <c r="H111" s="197">
        <v>374</v>
      </c>
      <c r="I111" s="197"/>
    </row>
    <row r="112" spans="1:9" x14ac:dyDescent="0.2">
      <c r="A112" s="211"/>
      <c r="B112" s="212" t="s">
        <v>52</v>
      </c>
      <c r="C112" s="213">
        <f t="shared" ref="C112:I112" si="4">SUM(C6:C111)</f>
        <v>713374</v>
      </c>
      <c r="D112" s="213">
        <f t="shared" si="4"/>
        <v>18801</v>
      </c>
      <c r="E112" s="213">
        <f t="shared" si="4"/>
        <v>1660</v>
      </c>
      <c r="F112" s="213">
        <f t="shared" si="4"/>
        <v>688938</v>
      </c>
      <c r="G112" s="213">
        <f t="shared" si="4"/>
        <v>13127</v>
      </c>
      <c r="H112" s="213">
        <f t="shared" si="4"/>
        <v>36925</v>
      </c>
      <c r="I112" s="213">
        <f t="shared" si="4"/>
        <v>5635</v>
      </c>
    </row>
  </sheetData>
  <mergeCells count="14">
    <mergeCell ref="A1:I1"/>
    <mergeCell ref="F2:I2"/>
    <mergeCell ref="A3:A4"/>
    <mergeCell ref="B3:B4"/>
    <mergeCell ref="C3:C4"/>
    <mergeCell ref="D3:D4"/>
    <mergeCell ref="F3:F4"/>
    <mergeCell ref="G3:H3"/>
    <mergeCell ref="I3:I4"/>
    <mergeCell ref="A8:A9"/>
    <mergeCell ref="A31:A32"/>
    <mergeCell ref="A36:A38"/>
    <mergeCell ref="A40:A41"/>
    <mergeCell ref="A106:A107"/>
  </mergeCells>
  <pageMargins left="0.39370078740157483" right="0" top="0.59055118110236227" bottom="0.59055118110236227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workbookViewId="0">
      <pane xSplit="2" ySplit="5" topLeftCell="C111" activePane="bottomRight" state="frozen"/>
      <selection pane="topRight" activeCell="C1" sqref="C1"/>
      <selection pane="bottomLeft" activeCell="A6" sqref="A6"/>
      <selection pane="bottomRight" activeCell="D116" sqref="D116"/>
    </sheetView>
  </sheetViews>
  <sheetFormatPr defaultRowHeight="12" x14ac:dyDescent="0.2"/>
  <cols>
    <col min="1" max="1" width="5.42578125" style="129" customWidth="1"/>
    <col min="2" max="2" width="47.5703125" style="129" customWidth="1"/>
    <col min="3" max="3" width="11" style="129" customWidth="1"/>
    <col min="4" max="4" width="11.28515625" style="129" customWidth="1"/>
    <col min="5" max="5" width="10" style="129" customWidth="1"/>
    <col min="6" max="6" width="9.42578125" style="129" customWidth="1"/>
    <col min="7" max="7" width="10.28515625" style="129" customWidth="1"/>
    <col min="8" max="8" width="11.140625" style="129" customWidth="1"/>
    <col min="9" max="9" width="12.42578125" style="129" customWidth="1"/>
    <col min="10" max="16384" width="9.140625" style="129"/>
  </cols>
  <sheetData>
    <row r="1" spans="1:9" ht="23.25" customHeight="1" x14ac:dyDescent="0.2">
      <c r="A1" s="250" t="s">
        <v>348</v>
      </c>
      <c r="B1" s="250"/>
      <c r="C1" s="250"/>
      <c r="D1" s="250"/>
      <c r="E1" s="250"/>
      <c r="F1" s="250"/>
      <c r="G1" s="250"/>
      <c r="H1" s="250"/>
      <c r="I1" s="250"/>
    </row>
    <row r="2" spans="1:9" s="131" customFormat="1" ht="15" customHeight="1" x14ac:dyDescent="0.2">
      <c r="A2" s="130"/>
      <c r="G2" s="251" t="s">
        <v>349</v>
      </c>
      <c r="H2" s="251"/>
      <c r="I2" s="251"/>
    </row>
    <row r="3" spans="1:9" s="132" customFormat="1" ht="15" customHeight="1" x14ac:dyDescent="0.2">
      <c r="A3" s="241" t="s">
        <v>0</v>
      </c>
      <c r="B3" s="241" t="s">
        <v>53</v>
      </c>
      <c r="C3" s="241" t="s">
        <v>258</v>
      </c>
      <c r="D3" s="241" t="s">
        <v>261</v>
      </c>
      <c r="E3" s="252" t="s">
        <v>350</v>
      </c>
      <c r="F3" s="253"/>
      <c r="G3" s="253"/>
      <c r="H3" s="254"/>
      <c r="I3" s="255" t="s">
        <v>351</v>
      </c>
    </row>
    <row r="4" spans="1:9" s="135" customFormat="1" ht="57.75" customHeight="1" x14ac:dyDescent="0.25">
      <c r="A4" s="245"/>
      <c r="B4" s="245"/>
      <c r="C4" s="245"/>
      <c r="D4" s="245"/>
      <c r="E4" s="133" t="s">
        <v>352</v>
      </c>
      <c r="F4" s="134" t="s">
        <v>353</v>
      </c>
      <c r="G4" s="134" t="s">
        <v>354</v>
      </c>
      <c r="H4" s="134" t="s">
        <v>355</v>
      </c>
      <c r="I4" s="256"/>
    </row>
    <row r="5" spans="1:9" s="132" customFormat="1" x14ac:dyDescent="0.2">
      <c r="A5" s="134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6">
        <v>9</v>
      </c>
    </row>
    <row r="6" spans="1:9" s="131" customFormat="1" x14ac:dyDescent="0.2">
      <c r="A6" s="134">
        <v>1</v>
      </c>
      <c r="B6" s="137" t="s">
        <v>1</v>
      </c>
      <c r="C6" s="134">
        <f t="shared" ref="C6:C70" si="0">D6+I6</f>
        <v>3652</v>
      </c>
      <c r="D6" s="134">
        <f>3656-2-2</f>
        <v>3652</v>
      </c>
      <c r="E6" s="134">
        <v>294</v>
      </c>
      <c r="F6" s="134"/>
      <c r="G6" s="134"/>
      <c r="H6" s="134">
        <v>815</v>
      </c>
      <c r="I6" s="134"/>
    </row>
    <row r="7" spans="1:9" s="131" customFormat="1" x14ac:dyDescent="0.2">
      <c r="A7" s="134">
        <v>2</v>
      </c>
      <c r="B7" s="137" t="s">
        <v>2</v>
      </c>
      <c r="C7" s="134">
        <f t="shared" si="0"/>
        <v>2919</v>
      </c>
      <c r="D7" s="134">
        <f>2920-1</f>
        <v>2919</v>
      </c>
      <c r="E7" s="134">
        <v>244</v>
      </c>
      <c r="F7" s="134"/>
      <c r="G7" s="134"/>
      <c r="H7" s="134"/>
      <c r="I7" s="134"/>
    </row>
    <row r="8" spans="1:9" s="131" customFormat="1" x14ac:dyDescent="0.2">
      <c r="A8" s="241">
        <v>3</v>
      </c>
      <c r="B8" s="137" t="s">
        <v>3</v>
      </c>
      <c r="C8" s="134">
        <f t="shared" si="0"/>
        <v>7878</v>
      </c>
      <c r="D8" s="134">
        <v>7878</v>
      </c>
      <c r="E8" s="134">
        <v>1237</v>
      </c>
      <c r="F8" s="134"/>
      <c r="G8" s="134"/>
      <c r="H8" s="134">
        <v>1343</v>
      </c>
      <c r="I8" s="134"/>
    </row>
    <row r="9" spans="1:9" s="140" customFormat="1" ht="25.5" customHeight="1" x14ac:dyDescent="0.2">
      <c r="A9" s="245"/>
      <c r="B9" s="138" t="s">
        <v>265</v>
      </c>
      <c r="C9" s="139">
        <f t="shared" si="0"/>
        <v>841</v>
      </c>
      <c r="D9" s="139">
        <v>841</v>
      </c>
      <c r="E9" s="139">
        <v>129</v>
      </c>
      <c r="F9" s="139"/>
      <c r="G9" s="139"/>
      <c r="H9" s="139"/>
      <c r="I9" s="139"/>
    </row>
    <row r="10" spans="1:9" s="131" customFormat="1" x14ac:dyDescent="0.2">
      <c r="A10" s="136">
        <v>4</v>
      </c>
      <c r="B10" s="137" t="s">
        <v>4</v>
      </c>
      <c r="C10" s="134">
        <f t="shared" si="0"/>
        <v>2202</v>
      </c>
      <c r="D10" s="134">
        <v>2202</v>
      </c>
      <c r="E10" s="134">
        <v>215</v>
      </c>
      <c r="F10" s="134"/>
      <c r="G10" s="134"/>
      <c r="H10" s="134"/>
      <c r="I10" s="134"/>
    </row>
    <row r="11" spans="1:9" s="131" customFormat="1" x14ac:dyDescent="0.2">
      <c r="A11" s="134">
        <v>5</v>
      </c>
      <c r="B11" s="137" t="s">
        <v>5</v>
      </c>
      <c r="C11" s="134">
        <f t="shared" si="0"/>
        <v>964</v>
      </c>
      <c r="D11" s="134">
        <v>964</v>
      </c>
      <c r="E11" s="134">
        <v>101</v>
      </c>
      <c r="F11" s="134"/>
      <c r="G11" s="134"/>
      <c r="H11" s="134"/>
      <c r="I11" s="134"/>
    </row>
    <row r="12" spans="1:9" s="131" customFormat="1" x14ac:dyDescent="0.2">
      <c r="A12" s="134">
        <v>6</v>
      </c>
      <c r="B12" s="137" t="s">
        <v>6</v>
      </c>
      <c r="C12" s="134">
        <f t="shared" si="0"/>
        <v>1020</v>
      </c>
      <c r="D12" s="134">
        <f>990+30</f>
        <v>1020</v>
      </c>
      <c r="E12" s="134">
        <v>89</v>
      </c>
      <c r="F12" s="134"/>
      <c r="G12" s="134"/>
      <c r="H12" s="134"/>
      <c r="I12" s="134"/>
    </row>
    <row r="13" spans="1:9" s="131" customFormat="1" x14ac:dyDescent="0.2">
      <c r="A13" s="134">
        <v>7</v>
      </c>
      <c r="B13" s="137" t="s">
        <v>7</v>
      </c>
      <c r="C13" s="134">
        <f t="shared" si="0"/>
        <v>1070</v>
      </c>
      <c r="D13" s="134">
        <v>1070</v>
      </c>
      <c r="E13" s="134">
        <v>91</v>
      </c>
      <c r="F13" s="134"/>
      <c r="G13" s="134"/>
      <c r="H13" s="134"/>
      <c r="I13" s="134"/>
    </row>
    <row r="14" spans="1:9" s="131" customFormat="1" x14ac:dyDescent="0.2">
      <c r="A14" s="134">
        <v>8</v>
      </c>
      <c r="B14" s="137" t="s">
        <v>8</v>
      </c>
      <c r="C14" s="134">
        <f t="shared" si="0"/>
        <v>1138</v>
      </c>
      <c r="D14" s="134">
        <v>1138</v>
      </c>
      <c r="E14" s="134">
        <v>112</v>
      </c>
      <c r="F14" s="134"/>
      <c r="G14" s="134"/>
      <c r="H14" s="134"/>
      <c r="I14" s="134"/>
    </row>
    <row r="15" spans="1:9" s="131" customFormat="1" x14ac:dyDescent="0.2">
      <c r="A15" s="134">
        <v>9</v>
      </c>
      <c r="B15" s="137" t="s">
        <v>9</v>
      </c>
      <c r="C15" s="134">
        <f t="shared" si="0"/>
        <v>1217</v>
      </c>
      <c r="D15" s="134">
        <v>1217</v>
      </c>
      <c r="E15" s="134">
        <v>128</v>
      </c>
      <c r="F15" s="134"/>
      <c r="G15" s="134"/>
      <c r="H15" s="134"/>
      <c r="I15" s="134"/>
    </row>
    <row r="16" spans="1:9" s="131" customFormat="1" x14ac:dyDescent="0.2">
      <c r="A16" s="134">
        <v>10</v>
      </c>
      <c r="B16" s="137" t="s">
        <v>10</v>
      </c>
      <c r="C16" s="134">
        <f t="shared" si="0"/>
        <v>1128</v>
      </c>
      <c r="D16" s="134">
        <v>1128</v>
      </c>
      <c r="E16" s="134">
        <v>111</v>
      </c>
      <c r="F16" s="134"/>
      <c r="G16" s="134"/>
      <c r="H16" s="134"/>
      <c r="I16" s="134"/>
    </row>
    <row r="17" spans="1:9" s="131" customFormat="1" x14ac:dyDescent="0.2">
      <c r="A17" s="134">
        <v>11</v>
      </c>
      <c r="B17" s="137" t="s">
        <v>54</v>
      </c>
      <c r="C17" s="134">
        <f t="shared" si="0"/>
        <v>1317</v>
      </c>
      <c r="D17" s="134">
        <v>1317</v>
      </c>
      <c r="E17" s="134">
        <v>122</v>
      </c>
      <c r="F17" s="134"/>
      <c r="G17" s="134"/>
      <c r="H17" s="134"/>
      <c r="I17" s="134"/>
    </row>
    <row r="18" spans="1:9" s="131" customFormat="1" x14ac:dyDescent="0.2">
      <c r="A18" s="134">
        <v>12</v>
      </c>
      <c r="B18" s="137" t="s">
        <v>11</v>
      </c>
      <c r="C18" s="134">
        <f t="shared" si="0"/>
        <v>1119</v>
      </c>
      <c r="D18" s="134">
        <v>1119</v>
      </c>
      <c r="E18" s="134">
        <v>125</v>
      </c>
      <c r="F18" s="134"/>
      <c r="G18" s="134"/>
      <c r="H18" s="134"/>
      <c r="I18" s="134"/>
    </row>
    <row r="19" spans="1:9" s="131" customFormat="1" x14ac:dyDescent="0.2">
      <c r="A19" s="134">
        <v>13</v>
      </c>
      <c r="B19" s="137" t="s">
        <v>55</v>
      </c>
      <c r="C19" s="134">
        <f t="shared" si="0"/>
        <v>40</v>
      </c>
      <c r="D19" s="134">
        <v>40</v>
      </c>
      <c r="E19" s="134">
        <v>0</v>
      </c>
      <c r="F19" s="134"/>
      <c r="G19" s="134"/>
      <c r="H19" s="134"/>
      <c r="I19" s="134"/>
    </row>
    <row r="20" spans="1:9" s="131" customFormat="1" x14ac:dyDescent="0.2">
      <c r="A20" s="134">
        <v>14</v>
      </c>
      <c r="B20" s="141" t="s">
        <v>56</v>
      </c>
      <c r="C20" s="134">
        <f t="shared" si="0"/>
        <v>40</v>
      </c>
      <c r="D20" s="134">
        <v>40</v>
      </c>
      <c r="E20" s="134">
        <v>0</v>
      </c>
      <c r="F20" s="134"/>
      <c r="G20" s="134"/>
      <c r="H20" s="134"/>
      <c r="I20" s="134"/>
    </row>
    <row r="21" spans="1:9" s="131" customFormat="1" x14ac:dyDescent="0.2">
      <c r="A21" s="134">
        <v>15</v>
      </c>
      <c r="B21" s="137" t="s">
        <v>266</v>
      </c>
      <c r="C21" s="134">
        <f t="shared" si="0"/>
        <v>3030</v>
      </c>
      <c r="D21" s="134">
        <v>3030</v>
      </c>
      <c r="E21" s="134">
        <v>635</v>
      </c>
      <c r="F21" s="134">
        <v>8</v>
      </c>
      <c r="G21" s="134"/>
      <c r="H21" s="134"/>
      <c r="I21" s="134"/>
    </row>
    <row r="22" spans="1:9" s="131" customFormat="1" x14ac:dyDescent="0.2">
      <c r="A22" s="134">
        <v>16</v>
      </c>
      <c r="B22" s="137" t="s">
        <v>12</v>
      </c>
      <c r="C22" s="134">
        <f t="shared" si="0"/>
        <v>2821</v>
      </c>
      <c r="D22" s="134">
        <v>2821</v>
      </c>
      <c r="E22" s="134">
        <v>311</v>
      </c>
      <c r="F22" s="134"/>
      <c r="G22" s="134"/>
      <c r="H22" s="134"/>
      <c r="I22" s="134"/>
    </row>
    <row r="23" spans="1:9" s="131" customFormat="1" x14ac:dyDescent="0.2">
      <c r="A23" s="134">
        <v>17</v>
      </c>
      <c r="B23" s="137" t="s">
        <v>13</v>
      </c>
      <c r="C23" s="134">
        <f t="shared" si="0"/>
        <v>5531</v>
      </c>
      <c r="D23" s="134">
        <v>5531</v>
      </c>
      <c r="E23" s="134">
        <v>478</v>
      </c>
      <c r="F23" s="134"/>
      <c r="G23" s="134"/>
      <c r="H23" s="134">
        <v>509</v>
      </c>
      <c r="I23" s="134"/>
    </row>
    <row r="24" spans="1:9" s="131" customFormat="1" x14ac:dyDescent="0.2">
      <c r="A24" s="134">
        <v>18</v>
      </c>
      <c r="B24" s="137" t="s">
        <v>14</v>
      </c>
      <c r="C24" s="134">
        <f t="shared" si="0"/>
        <v>3537</v>
      </c>
      <c r="D24" s="134">
        <v>3537</v>
      </c>
      <c r="E24" s="134">
        <v>345</v>
      </c>
      <c r="F24" s="134"/>
      <c r="G24" s="134"/>
      <c r="H24" s="134"/>
      <c r="I24" s="134"/>
    </row>
    <row r="25" spans="1:9" s="131" customFormat="1" x14ac:dyDescent="0.2">
      <c r="A25" s="134">
        <v>19</v>
      </c>
      <c r="B25" s="137" t="s">
        <v>267</v>
      </c>
      <c r="C25" s="134">
        <f t="shared" si="0"/>
        <v>856</v>
      </c>
      <c r="D25" s="134">
        <v>856</v>
      </c>
      <c r="E25" s="134"/>
      <c r="F25" s="134"/>
      <c r="G25" s="134"/>
      <c r="H25" s="134"/>
      <c r="I25" s="134"/>
    </row>
    <row r="26" spans="1:9" s="131" customFormat="1" x14ac:dyDescent="0.2">
      <c r="A26" s="134">
        <v>20</v>
      </c>
      <c r="B26" s="137" t="s">
        <v>15</v>
      </c>
      <c r="C26" s="134">
        <f t="shared" si="0"/>
        <v>1476</v>
      </c>
      <c r="D26" s="134">
        <v>1476</v>
      </c>
      <c r="E26" s="134">
        <v>168</v>
      </c>
      <c r="F26" s="134"/>
      <c r="G26" s="134"/>
      <c r="H26" s="134"/>
      <c r="I26" s="134"/>
    </row>
    <row r="27" spans="1:9" s="131" customFormat="1" x14ac:dyDescent="0.2">
      <c r="A27" s="134">
        <v>21</v>
      </c>
      <c r="B27" s="137" t="s">
        <v>16</v>
      </c>
      <c r="C27" s="134">
        <f t="shared" si="0"/>
        <v>1954</v>
      </c>
      <c r="D27" s="134">
        <v>1954</v>
      </c>
      <c r="E27" s="134">
        <v>239</v>
      </c>
      <c r="F27" s="134"/>
      <c r="G27" s="134"/>
      <c r="H27" s="134"/>
      <c r="I27" s="134"/>
    </row>
    <row r="28" spans="1:9" s="131" customFormat="1" x14ac:dyDescent="0.2">
      <c r="A28" s="134">
        <v>22</v>
      </c>
      <c r="B28" s="137" t="s">
        <v>17</v>
      </c>
      <c r="C28" s="134">
        <f t="shared" si="0"/>
        <v>943</v>
      </c>
      <c r="D28" s="134">
        <f>843+100</f>
        <v>943</v>
      </c>
      <c r="E28" s="134">
        <v>113</v>
      </c>
      <c r="F28" s="134"/>
      <c r="G28" s="134"/>
      <c r="H28" s="134"/>
      <c r="I28" s="134"/>
    </row>
    <row r="29" spans="1:9" s="131" customFormat="1" x14ac:dyDescent="0.2">
      <c r="A29" s="134">
        <v>23</v>
      </c>
      <c r="B29" s="137" t="s">
        <v>18</v>
      </c>
      <c r="C29" s="134">
        <f t="shared" si="0"/>
        <v>695</v>
      </c>
      <c r="D29" s="134">
        <v>695</v>
      </c>
      <c r="E29" s="134">
        <v>74</v>
      </c>
      <c r="F29" s="134"/>
      <c r="G29" s="134"/>
      <c r="H29" s="134"/>
      <c r="I29" s="134"/>
    </row>
    <row r="30" spans="1:9" s="131" customFormat="1" x14ac:dyDescent="0.2">
      <c r="A30" s="134">
        <v>24</v>
      </c>
      <c r="B30" s="137" t="s">
        <v>268</v>
      </c>
      <c r="C30" s="134">
        <f t="shared" si="0"/>
        <v>5841</v>
      </c>
      <c r="D30" s="134">
        <v>5841</v>
      </c>
      <c r="E30" s="134"/>
      <c r="F30" s="134"/>
      <c r="G30" s="134"/>
      <c r="H30" s="134">
        <v>3377</v>
      </c>
      <c r="I30" s="134"/>
    </row>
    <row r="31" spans="1:9" s="131" customFormat="1" x14ac:dyDescent="0.2">
      <c r="A31" s="134">
        <v>25</v>
      </c>
      <c r="B31" s="137" t="s">
        <v>269</v>
      </c>
      <c r="C31" s="134">
        <f t="shared" si="0"/>
        <v>2597</v>
      </c>
      <c r="D31" s="134">
        <v>2597</v>
      </c>
      <c r="E31" s="134"/>
      <c r="F31" s="134"/>
      <c r="G31" s="134"/>
      <c r="H31" s="134"/>
      <c r="I31" s="134"/>
    </row>
    <row r="32" spans="1:9" s="131" customFormat="1" x14ac:dyDescent="0.2">
      <c r="A32" s="136">
        <v>26</v>
      </c>
      <c r="B32" s="137" t="s">
        <v>270</v>
      </c>
      <c r="C32" s="134">
        <f t="shared" si="0"/>
        <v>2808</v>
      </c>
      <c r="D32" s="134">
        <v>2808</v>
      </c>
      <c r="E32" s="134">
        <v>166</v>
      </c>
      <c r="F32" s="134"/>
      <c r="G32" s="134"/>
      <c r="H32" s="134"/>
      <c r="I32" s="134"/>
    </row>
    <row r="33" spans="1:9" s="131" customFormat="1" x14ac:dyDescent="0.2">
      <c r="A33" s="241">
        <v>27</v>
      </c>
      <c r="B33" s="137" t="s">
        <v>271</v>
      </c>
      <c r="C33" s="134">
        <f t="shared" si="0"/>
        <v>1476</v>
      </c>
      <c r="D33" s="134">
        <v>1476</v>
      </c>
      <c r="E33" s="134">
        <v>154</v>
      </c>
      <c r="F33" s="134"/>
      <c r="G33" s="134"/>
      <c r="H33" s="134"/>
      <c r="I33" s="134"/>
    </row>
    <row r="34" spans="1:9" s="140" customFormat="1" ht="36" x14ac:dyDescent="0.2">
      <c r="A34" s="246"/>
      <c r="B34" s="142" t="s">
        <v>272</v>
      </c>
      <c r="C34" s="139">
        <f t="shared" si="0"/>
        <v>1886</v>
      </c>
      <c r="D34" s="139">
        <v>1886</v>
      </c>
      <c r="E34" s="139">
        <v>185</v>
      </c>
      <c r="F34" s="139"/>
      <c r="G34" s="139"/>
      <c r="H34" s="139"/>
      <c r="I34" s="139"/>
    </row>
    <row r="35" spans="1:9" s="131" customFormat="1" x14ac:dyDescent="0.2">
      <c r="A35" s="134">
        <v>28</v>
      </c>
      <c r="B35" s="143" t="s">
        <v>356</v>
      </c>
      <c r="C35" s="134">
        <f t="shared" si="0"/>
        <v>329</v>
      </c>
      <c r="D35" s="134">
        <v>329</v>
      </c>
      <c r="E35" s="134"/>
      <c r="F35" s="134"/>
      <c r="G35" s="134"/>
      <c r="H35" s="134"/>
      <c r="I35" s="134"/>
    </row>
    <row r="36" spans="1:9" s="131" customFormat="1" x14ac:dyDescent="0.2">
      <c r="A36" s="134">
        <v>29</v>
      </c>
      <c r="B36" s="137" t="s">
        <v>274</v>
      </c>
      <c r="C36" s="134">
        <f t="shared" si="0"/>
        <v>1934</v>
      </c>
      <c r="D36" s="134">
        <v>1934</v>
      </c>
      <c r="E36" s="134">
        <v>1934</v>
      </c>
      <c r="F36" s="134"/>
      <c r="G36" s="134"/>
      <c r="H36" s="134"/>
      <c r="I36" s="134"/>
    </row>
    <row r="37" spans="1:9" s="131" customFormat="1" x14ac:dyDescent="0.2">
      <c r="A37" s="134">
        <v>30</v>
      </c>
      <c r="B37" s="143" t="s">
        <v>357</v>
      </c>
      <c r="C37" s="134">
        <f t="shared" si="0"/>
        <v>432</v>
      </c>
      <c r="D37" s="134">
        <v>432</v>
      </c>
      <c r="E37" s="134"/>
      <c r="F37" s="134">
        <v>432</v>
      </c>
      <c r="G37" s="134"/>
      <c r="H37" s="134"/>
      <c r="I37" s="134"/>
    </row>
    <row r="38" spans="1:9" s="131" customFormat="1" x14ac:dyDescent="0.2">
      <c r="A38" s="134">
        <v>31</v>
      </c>
      <c r="B38" s="137" t="s">
        <v>275</v>
      </c>
      <c r="C38" s="134">
        <f t="shared" si="0"/>
        <v>294</v>
      </c>
      <c r="D38" s="134">
        <v>294</v>
      </c>
      <c r="E38" s="134"/>
      <c r="F38" s="134"/>
      <c r="G38" s="134"/>
      <c r="H38" s="134"/>
      <c r="I38" s="134"/>
    </row>
    <row r="39" spans="1:9" s="131" customFormat="1" x14ac:dyDescent="0.2">
      <c r="A39" s="247">
        <v>32</v>
      </c>
      <c r="B39" s="137" t="s">
        <v>276</v>
      </c>
      <c r="C39" s="134">
        <f t="shared" si="0"/>
        <v>4397</v>
      </c>
      <c r="D39" s="134">
        <f>4337+60+505-505</f>
        <v>4397</v>
      </c>
      <c r="E39" s="134">
        <v>0</v>
      </c>
      <c r="F39" s="134"/>
      <c r="G39" s="134"/>
      <c r="H39" s="134">
        <v>746</v>
      </c>
      <c r="I39" s="134"/>
    </row>
    <row r="40" spans="1:9" s="140" customFormat="1" ht="24" x14ac:dyDescent="0.2">
      <c r="A40" s="248"/>
      <c r="B40" s="142" t="s">
        <v>277</v>
      </c>
      <c r="C40" s="134">
        <f t="shared" si="0"/>
        <v>1288</v>
      </c>
      <c r="D40" s="139">
        <f>1288</f>
        <v>1288</v>
      </c>
      <c r="E40" s="139">
        <v>1288</v>
      </c>
      <c r="F40" s="139"/>
      <c r="G40" s="139"/>
      <c r="H40" s="139"/>
      <c r="I40" s="139"/>
    </row>
    <row r="41" spans="1:9" s="140" customFormat="1" ht="24" x14ac:dyDescent="0.2">
      <c r="A41" s="249"/>
      <c r="B41" s="142" t="s">
        <v>455</v>
      </c>
      <c r="C41" s="134">
        <f t="shared" si="0"/>
        <v>505</v>
      </c>
      <c r="D41" s="139">
        <f>0+505</f>
        <v>505</v>
      </c>
      <c r="E41" s="139"/>
      <c r="F41" s="139"/>
      <c r="G41" s="139"/>
      <c r="H41" s="139"/>
      <c r="I41" s="139"/>
    </row>
    <row r="42" spans="1:9" s="131" customFormat="1" x14ac:dyDescent="0.2">
      <c r="A42" s="134">
        <v>33</v>
      </c>
      <c r="B42" s="137" t="s">
        <v>278</v>
      </c>
      <c r="C42" s="134">
        <f t="shared" si="0"/>
        <v>207</v>
      </c>
      <c r="D42" s="134">
        <v>207</v>
      </c>
      <c r="E42" s="134"/>
      <c r="F42" s="134"/>
      <c r="G42" s="134"/>
      <c r="H42" s="134"/>
      <c r="I42" s="134"/>
    </row>
    <row r="43" spans="1:9" s="131" customFormat="1" x14ac:dyDescent="0.2">
      <c r="A43" s="241">
        <v>34</v>
      </c>
      <c r="B43" s="137" t="s">
        <v>279</v>
      </c>
      <c r="C43" s="134">
        <f t="shared" si="0"/>
        <v>3817</v>
      </c>
      <c r="D43" s="134">
        <v>3817</v>
      </c>
      <c r="E43" s="134">
        <v>270</v>
      </c>
      <c r="F43" s="134"/>
      <c r="G43" s="134"/>
      <c r="H43" s="134">
        <v>838</v>
      </c>
      <c r="I43" s="134"/>
    </row>
    <row r="44" spans="1:9" s="140" customFormat="1" ht="24" x14ac:dyDescent="0.2">
      <c r="A44" s="245"/>
      <c r="B44" s="142" t="s">
        <v>358</v>
      </c>
      <c r="C44" s="134">
        <f t="shared" si="0"/>
        <v>1174</v>
      </c>
      <c r="D44" s="139">
        <v>1174</v>
      </c>
      <c r="E44" s="139">
        <v>111</v>
      </c>
      <c r="F44" s="139"/>
      <c r="G44" s="139"/>
      <c r="H44" s="139"/>
      <c r="I44" s="139"/>
    </row>
    <row r="45" spans="1:9" s="131" customFormat="1" x14ac:dyDescent="0.2">
      <c r="A45" s="134">
        <v>35</v>
      </c>
      <c r="B45" s="137" t="s">
        <v>19</v>
      </c>
      <c r="C45" s="134">
        <f t="shared" si="0"/>
        <v>4149</v>
      </c>
      <c r="D45" s="134">
        <v>4149</v>
      </c>
      <c r="E45" s="134">
        <v>334</v>
      </c>
      <c r="F45" s="134"/>
      <c r="G45" s="134"/>
      <c r="H45" s="134"/>
      <c r="I45" s="134"/>
    </row>
    <row r="46" spans="1:9" s="131" customFormat="1" x14ac:dyDescent="0.2">
      <c r="A46" s="134">
        <v>36</v>
      </c>
      <c r="B46" s="137" t="s">
        <v>20</v>
      </c>
      <c r="C46" s="134">
        <f t="shared" si="0"/>
        <v>4077</v>
      </c>
      <c r="D46" s="134">
        <v>4077</v>
      </c>
      <c r="E46" s="134">
        <v>394</v>
      </c>
      <c r="F46" s="134"/>
      <c r="G46" s="134"/>
      <c r="H46" s="134"/>
      <c r="I46" s="134"/>
    </row>
    <row r="47" spans="1:9" s="131" customFormat="1" x14ac:dyDescent="0.2">
      <c r="A47" s="134">
        <v>37</v>
      </c>
      <c r="B47" s="137" t="s">
        <v>21</v>
      </c>
      <c r="C47" s="134">
        <f t="shared" si="0"/>
        <v>1276</v>
      </c>
      <c r="D47" s="134">
        <v>1276</v>
      </c>
      <c r="E47" s="134">
        <v>144</v>
      </c>
      <c r="F47" s="134"/>
      <c r="G47" s="134"/>
      <c r="H47" s="134"/>
      <c r="I47" s="134"/>
    </row>
    <row r="48" spans="1:9" s="131" customFormat="1" x14ac:dyDescent="0.2">
      <c r="A48" s="134">
        <v>38</v>
      </c>
      <c r="B48" s="137" t="s">
        <v>22</v>
      </c>
      <c r="C48" s="134">
        <f t="shared" si="0"/>
        <v>1618</v>
      </c>
      <c r="D48" s="134">
        <f>1564-1+55</f>
        <v>1618</v>
      </c>
      <c r="E48" s="134">
        <v>175</v>
      </c>
      <c r="F48" s="134"/>
      <c r="G48" s="134"/>
      <c r="H48" s="134"/>
      <c r="I48" s="134"/>
    </row>
    <row r="49" spans="1:9" s="131" customFormat="1" x14ac:dyDescent="0.2">
      <c r="A49" s="134">
        <v>39</v>
      </c>
      <c r="B49" s="137" t="s">
        <v>23</v>
      </c>
      <c r="C49" s="134">
        <f t="shared" si="0"/>
        <v>1430</v>
      </c>
      <c r="D49" s="134">
        <v>1430</v>
      </c>
      <c r="E49" s="134">
        <v>156</v>
      </c>
      <c r="F49" s="134"/>
      <c r="G49" s="134"/>
      <c r="H49" s="134"/>
      <c r="I49" s="134"/>
    </row>
    <row r="50" spans="1:9" s="131" customFormat="1" x14ac:dyDescent="0.2">
      <c r="A50" s="134">
        <v>40</v>
      </c>
      <c r="B50" s="137" t="s">
        <v>24</v>
      </c>
      <c r="C50" s="134">
        <f t="shared" si="0"/>
        <v>988</v>
      </c>
      <c r="D50" s="134">
        <f>933+55</f>
        <v>988</v>
      </c>
      <c r="E50" s="134">
        <v>86</v>
      </c>
      <c r="F50" s="134"/>
      <c r="G50" s="134"/>
      <c r="H50" s="134"/>
      <c r="I50" s="134"/>
    </row>
    <row r="51" spans="1:9" s="131" customFormat="1" x14ac:dyDescent="0.2">
      <c r="A51" s="134">
        <v>41</v>
      </c>
      <c r="B51" s="137" t="s">
        <v>25</v>
      </c>
      <c r="C51" s="134">
        <f t="shared" si="0"/>
        <v>1619</v>
      </c>
      <c r="D51" s="134">
        <v>1619</v>
      </c>
      <c r="E51" s="134">
        <v>150</v>
      </c>
      <c r="F51" s="134"/>
      <c r="G51" s="134"/>
      <c r="H51" s="134"/>
      <c r="I51" s="134"/>
    </row>
    <row r="52" spans="1:9" s="131" customFormat="1" x14ac:dyDescent="0.2">
      <c r="A52" s="134">
        <v>42</v>
      </c>
      <c r="B52" s="137" t="s">
        <v>26</v>
      </c>
      <c r="C52" s="134">
        <f t="shared" si="0"/>
        <v>740</v>
      </c>
      <c r="D52" s="134">
        <v>740</v>
      </c>
      <c r="E52" s="134">
        <v>67</v>
      </c>
      <c r="F52" s="134"/>
      <c r="G52" s="134"/>
      <c r="H52" s="134"/>
      <c r="I52" s="134"/>
    </row>
    <row r="53" spans="1:9" s="131" customFormat="1" x14ac:dyDescent="0.2">
      <c r="A53" s="134">
        <v>43</v>
      </c>
      <c r="B53" s="143" t="s">
        <v>359</v>
      </c>
      <c r="C53" s="134">
        <f t="shared" si="0"/>
        <v>365</v>
      </c>
      <c r="D53" s="134">
        <v>365</v>
      </c>
      <c r="E53" s="134"/>
      <c r="F53" s="134"/>
      <c r="G53" s="134"/>
      <c r="H53" s="134"/>
      <c r="I53" s="134"/>
    </row>
    <row r="54" spans="1:9" s="140" customFormat="1" x14ac:dyDescent="0.2">
      <c r="A54" s="134">
        <v>44</v>
      </c>
      <c r="B54" s="141" t="s">
        <v>57</v>
      </c>
      <c r="C54" s="134">
        <f t="shared" si="0"/>
        <v>495</v>
      </c>
      <c r="D54" s="134">
        <f>1000-505</f>
        <v>495</v>
      </c>
      <c r="E54" s="134"/>
      <c r="F54" s="134"/>
      <c r="G54" s="139"/>
      <c r="H54" s="139"/>
      <c r="I54" s="139"/>
    </row>
    <row r="55" spans="1:9" s="131" customFormat="1" x14ac:dyDescent="0.2">
      <c r="A55" s="134">
        <v>45</v>
      </c>
      <c r="B55" s="141" t="s">
        <v>360</v>
      </c>
      <c r="C55" s="134">
        <f t="shared" si="0"/>
        <v>0</v>
      </c>
      <c r="D55" s="134">
        <f>40-40</f>
        <v>0</v>
      </c>
      <c r="E55" s="134"/>
      <c r="F55" s="134"/>
      <c r="G55" s="134"/>
      <c r="H55" s="134">
        <f>40-40</f>
        <v>0</v>
      </c>
      <c r="I55" s="134"/>
    </row>
    <row r="56" spans="1:9" s="131" customFormat="1" x14ac:dyDescent="0.2">
      <c r="A56" s="134">
        <v>46</v>
      </c>
      <c r="B56" s="137" t="s">
        <v>361</v>
      </c>
      <c r="C56" s="134">
        <f t="shared" si="0"/>
        <v>230</v>
      </c>
      <c r="D56" s="134">
        <v>230</v>
      </c>
      <c r="E56" s="134"/>
      <c r="F56" s="134"/>
      <c r="G56" s="134"/>
      <c r="H56" s="134"/>
      <c r="I56" s="134"/>
    </row>
    <row r="57" spans="1:9" s="131" customFormat="1" x14ac:dyDescent="0.2">
      <c r="A57" s="134">
        <v>47</v>
      </c>
      <c r="B57" s="137" t="s">
        <v>27</v>
      </c>
      <c r="C57" s="134">
        <f t="shared" si="0"/>
        <v>6322</v>
      </c>
      <c r="D57" s="134">
        <v>6322</v>
      </c>
      <c r="E57" s="134">
        <v>624</v>
      </c>
      <c r="F57" s="134"/>
      <c r="G57" s="134"/>
      <c r="H57" s="134"/>
      <c r="I57" s="134"/>
    </row>
    <row r="58" spans="1:9" s="131" customFormat="1" x14ac:dyDescent="0.2">
      <c r="A58" s="134">
        <v>48</v>
      </c>
      <c r="B58" s="137" t="s">
        <v>28</v>
      </c>
      <c r="C58" s="134">
        <f t="shared" si="0"/>
        <v>4928</v>
      </c>
      <c r="D58" s="134">
        <v>4928</v>
      </c>
      <c r="E58" s="134">
        <v>398</v>
      </c>
      <c r="F58" s="134"/>
      <c r="G58" s="134"/>
      <c r="H58" s="134">
        <v>462</v>
      </c>
      <c r="I58" s="134"/>
    </row>
    <row r="59" spans="1:9" s="131" customFormat="1" x14ac:dyDescent="0.2">
      <c r="A59" s="134">
        <v>49</v>
      </c>
      <c r="B59" s="137" t="s">
        <v>282</v>
      </c>
      <c r="C59" s="134">
        <f t="shared" si="0"/>
        <v>6007</v>
      </c>
      <c r="D59" s="134">
        <v>6007</v>
      </c>
      <c r="E59" s="134">
        <v>944</v>
      </c>
      <c r="F59" s="134">
        <v>30</v>
      </c>
      <c r="G59" s="134"/>
      <c r="H59" s="134">
        <v>927</v>
      </c>
      <c r="I59" s="134"/>
    </row>
    <row r="60" spans="1:9" s="131" customFormat="1" x14ac:dyDescent="0.2">
      <c r="A60" s="134">
        <v>50</v>
      </c>
      <c r="B60" s="137" t="s">
        <v>29</v>
      </c>
      <c r="C60" s="134">
        <f t="shared" si="0"/>
        <v>1949</v>
      </c>
      <c r="D60" s="134">
        <v>1949</v>
      </c>
      <c r="E60" s="134">
        <v>188</v>
      </c>
      <c r="F60" s="134"/>
      <c r="G60" s="134"/>
      <c r="H60" s="134"/>
      <c r="I60" s="134"/>
    </row>
    <row r="61" spans="1:9" s="131" customFormat="1" x14ac:dyDescent="0.2">
      <c r="A61" s="134">
        <v>51</v>
      </c>
      <c r="B61" s="137" t="s">
        <v>30</v>
      </c>
      <c r="C61" s="134">
        <f t="shared" si="0"/>
        <v>1304</v>
      </c>
      <c r="D61" s="134">
        <v>1304</v>
      </c>
      <c r="E61" s="134">
        <v>122</v>
      </c>
      <c r="F61" s="134"/>
      <c r="G61" s="134"/>
      <c r="H61" s="134"/>
      <c r="I61" s="134"/>
    </row>
    <row r="62" spans="1:9" s="131" customFormat="1" x14ac:dyDescent="0.2">
      <c r="A62" s="134">
        <v>52</v>
      </c>
      <c r="B62" s="137" t="s">
        <v>31</v>
      </c>
      <c r="C62" s="134">
        <f t="shared" si="0"/>
        <v>1056</v>
      </c>
      <c r="D62" s="134">
        <v>1056</v>
      </c>
      <c r="E62" s="134">
        <v>106</v>
      </c>
      <c r="F62" s="134"/>
      <c r="G62" s="134"/>
      <c r="H62" s="134"/>
      <c r="I62" s="134"/>
    </row>
    <row r="63" spans="1:9" s="131" customFormat="1" x14ac:dyDescent="0.2">
      <c r="A63" s="134">
        <v>53</v>
      </c>
      <c r="B63" s="137" t="s">
        <v>32</v>
      </c>
      <c r="C63" s="134">
        <f t="shared" si="0"/>
        <v>1536</v>
      </c>
      <c r="D63" s="134">
        <v>1536</v>
      </c>
      <c r="E63" s="134">
        <v>147</v>
      </c>
      <c r="F63" s="134"/>
      <c r="G63" s="134"/>
      <c r="H63" s="134"/>
      <c r="I63" s="134"/>
    </row>
    <row r="64" spans="1:9" s="131" customFormat="1" x14ac:dyDescent="0.2">
      <c r="A64" s="134">
        <v>54</v>
      </c>
      <c r="B64" s="137" t="s">
        <v>33</v>
      </c>
      <c r="C64" s="134">
        <f t="shared" si="0"/>
        <v>670</v>
      </c>
      <c r="D64" s="134">
        <v>670</v>
      </c>
      <c r="E64" s="134">
        <v>60</v>
      </c>
      <c r="F64" s="134"/>
      <c r="G64" s="134"/>
      <c r="H64" s="134"/>
      <c r="I64" s="134"/>
    </row>
    <row r="65" spans="1:9" s="131" customFormat="1" x14ac:dyDescent="0.2">
      <c r="A65" s="134">
        <v>55</v>
      </c>
      <c r="B65" s="137" t="s">
        <v>34</v>
      </c>
      <c r="C65" s="134">
        <f t="shared" si="0"/>
        <v>1276</v>
      </c>
      <c r="D65" s="134">
        <v>1276</v>
      </c>
      <c r="E65" s="134">
        <v>124</v>
      </c>
      <c r="F65" s="134"/>
      <c r="G65" s="134"/>
      <c r="H65" s="134"/>
      <c r="I65" s="134"/>
    </row>
    <row r="66" spans="1:9" s="131" customFormat="1" x14ac:dyDescent="0.2">
      <c r="A66" s="134">
        <v>56</v>
      </c>
      <c r="B66" s="137" t="s">
        <v>35</v>
      </c>
      <c r="C66" s="134">
        <f t="shared" si="0"/>
        <v>1906</v>
      </c>
      <c r="D66" s="134">
        <v>1906</v>
      </c>
      <c r="E66" s="134">
        <v>190</v>
      </c>
      <c r="F66" s="134"/>
      <c r="G66" s="134"/>
      <c r="H66" s="134"/>
      <c r="I66" s="134"/>
    </row>
    <row r="67" spans="1:9" s="131" customFormat="1" x14ac:dyDescent="0.2">
      <c r="A67" s="134">
        <v>57</v>
      </c>
      <c r="B67" s="137" t="s">
        <v>36</v>
      </c>
      <c r="C67" s="134">
        <f t="shared" si="0"/>
        <v>1046</v>
      </c>
      <c r="D67" s="134">
        <v>1046</v>
      </c>
      <c r="E67" s="134">
        <v>103</v>
      </c>
      <c r="F67" s="134"/>
      <c r="G67" s="134"/>
      <c r="H67" s="134"/>
      <c r="I67" s="134"/>
    </row>
    <row r="68" spans="1:9" s="131" customFormat="1" x14ac:dyDescent="0.2">
      <c r="A68" s="134">
        <v>58</v>
      </c>
      <c r="B68" s="137" t="s">
        <v>362</v>
      </c>
      <c r="C68" s="134">
        <f t="shared" si="0"/>
        <v>2107</v>
      </c>
      <c r="D68" s="134">
        <f>2083+24</f>
        <v>2107</v>
      </c>
      <c r="E68" s="134">
        <f>2083+24</f>
        <v>2107</v>
      </c>
      <c r="F68" s="134">
        <v>10</v>
      </c>
      <c r="G68" s="134"/>
      <c r="H68" s="134"/>
      <c r="I68" s="134"/>
    </row>
    <row r="69" spans="1:9" s="131" customFormat="1" x14ac:dyDescent="0.2">
      <c r="A69" s="134">
        <v>59</v>
      </c>
      <c r="B69" s="137" t="s">
        <v>363</v>
      </c>
      <c r="C69" s="134">
        <f t="shared" si="0"/>
        <v>1809</v>
      </c>
      <c r="D69" s="134">
        <f>1788+21</f>
        <v>1809</v>
      </c>
      <c r="E69" s="134">
        <f>1788+21</f>
        <v>1809</v>
      </c>
      <c r="F69" s="134">
        <v>30</v>
      </c>
      <c r="G69" s="134"/>
      <c r="H69" s="134"/>
      <c r="I69" s="134"/>
    </row>
    <row r="70" spans="1:9" s="131" customFormat="1" x14ac:dyDescent="0.2">
      <c r="A70" s="134">
        <v>60</v>
      </c>
      <c r="B70" s="137" t="s">
        <v>364</v>
      </c>
      <c r="C70" s="134">
        <f t="shared" si="0"/>
        <v>2424</v>
      </c>
      <c r="D70" s="134">
        <f>2396+28</f>
        <v>2424</v>
      </c>
      <c r="E70" s="134">
        <f>2396+28</f>
        <v>2424</v>
      </c>
      <c r="F70" s="134"/>
      <c r="G70" s="134"/>
      <c r="H70" s="134"/>
      <c r="I70" s="134"/>
    </row>
    <row r="71" spans="1:9" s="131" customFormat="1" x14ac:dyDescent="0.2">
      <c r="A71" s="134">
        <v>61</v>
      </c>
      <c r="B71" s="137" t="s">
        <v>365</v>
      </c>
      <c r="C71" s="134">
        <f t="shared" ref="C71:C113" si="1">D71+I71</f>
        <v>2965</v>
      </c>
      <c r="D71" s="134">
        <f>2931+34</f>
        <v>2965</v>
      </c>
      <c r="E71" s="134">
        <f>2931+34</f>
        <v>2965</v>
      </c>
      <c r="F71" s="134">
        <v>100</v>
      </c>
      <c r="G71" s="134"/>
      <c r="H71" s="134"/>
      <c r="I71" s="134"/>
    </row>
    <row r="72" spans="1:9" s="131" customFormat="1" x14ac:dyDescent="0.2">
      <c r="A72" s="134">
        <v>62</v>
      </c>
      <c r="B72" s="137" t="s">
        <v>366</v>
      </c>
      <c r="C72" s="134">
        <f t="shared" si="1"/>
        <v>1143</v>
      </c>
      <c r="D72" s="134">
        <f>1130+13</f>
        <v>1143</v>
      </c>
      <c r="E72" s="134">
        <f>1130+13</f>
        <v>1143</v>
      </c>
      <c r="F72" s="134">
        <v>83</v>
      </c>
      <c r="G72" s="134"/>
      <c r="H72" s="134"/>
      <c r="I72" s="134"/>
    </row>
    <row r="73" spans="1:9" s="131" customFormat="1" x14ac:dyDescent="0.2">
      <c r="A73" s="134">
        <v>63</v>
      </c>
      <c r="B73" s="137" t="s">
        <v>367</v>
      </c>
      <c r="C73" s="134">
        <f t="shared" si="1"/>
        <v>3305</v>
      </c>
      <c r="D73" s="134">
        <f>3425-120</f>
        <v>3305</v>
      </c>
      <c r="E73" s="134">
        <f>120-120</f>
        <v>0</v>
      </c>
      <c r="F73" s="134"/>
      <c r="G73" s="134"/>
      <c r="H73" s="134">
        <v>434</v>
      </c>
      <c r="I73" s="134"/>
    </row>
    <row r="74" spans="1:9" s="131" customFormat="1" x14ac:dyDescent="0.2">
      <c r="A74" s="134">
        <v>64</v>
      </c>
      <c r="B74" s="137" t="s">
        <v>368</v>
      </c>
      <c r="C74" s="134">
        <f t="shared" si="1"/>
        <v>1560</v>
      </c>
      <c r="D74" s="134">
        <f>1505+55</f>
        <v>1560</v>
      </c>
      <c r="E74" s="134"/>
      <c r="F74" s="134"/>
      <c r="G74" s="134"/>
      <c r="H74" s="134"/>
      <c r="I74" s="134"/>
    </row>
    <row r="75" spans="1:9" s="131" customFormat="1" x14ac:dyDescent="0.2">
      <c r="A75" s="134">
        <v>65</v>
      </c>
      <c r="B75" s="137" t="s">
        <v>369</v>
      </c>
      <c r="C75" s="134">
        <f t="shared" si="1"/>
        <v>2950</v>
      </c>
      <c r="D75" s="134">
        <v>2950</v>
      </c>
      <c r="E75" s="134"/>
      <c r="F75" s="134"/>
      <c r="G75" s="134"/>
      <c r="H75" s="134">
        <v>1496</v>
      </c>
      <c r="I75" s="134"/>
    </row>
    <row r="76" spans="1:9" s="131" customFormat="1" x14ac:dyDescent="0.2">
      <c r="A76" s="134">
        <v>66</v>
      </c>
      <c r="B76" s="137" t="s">
        <v>370</v>
      </c>
      <c r="C76" s="134">
        <f t="shared" si="1"/>
        <v>1134</v>
      </c>
      <c r="D76" s="134">
        <v>1134</v>
      </c>
      <c r="E76" s="134"/>
      <c r="F76" s="134"/>
      <c r="G76" s="134"/>
      <c r="H76" s="134"/>
      <c r="I76" s="134"/>
    </row>
    <row r="77" spans="1:9" s="131" customFormat="1" x14ac:dyDescent="0.2">
      <c r="A77" s="134">
        <v>67</v>
      </c>
      <c r="B77" s="137" t="s">
        <v>371</v>
      </c>
      <c r="C77" s="134">
        <f t="shared" si="1"/>
        <v>3939</v>
      </c>
      <c r="D77" s="134">
        <v>3939</v>
      </c>
      <c r="E77" s="134"/>
      <c r="F77" s="134"/>
      <c r="G77" s="134"/>
      <c r="H77" s="134">
        <v>773</v>
      </c>
      <c r="I77" s="134"/>
    </row>
    <row r="78" spans="1:9" s="131" customFormat="1" x14ac:dyDescent="0.2">
      <c r="A78" s="134">
        <v>68</v>
      </c>
      <c r="B78" s="137" t="s">
        <v>372</v>
      </c>
      <c r="C78" s="134">
        <f t="shared" si="1"/>
        <v>1797</v>
      </c>
      <c r="D78" s="134">
        <v>1797</v>
      </c>
      <c r="E78" s="134"/>
      <c r="F78" s="134"/>
      <c r="G78" s="134"/>
      <c r="H78" s="134"/>
      <c r="I78" s="134"/>
    </row>
    <row r="79" spans="1:9" s="131" customFormat="1" x14ac:dyDescent="0.2">
      <c r="A79" s="134">
        <v>69</v>
      </c>
      <c r="B79" s="137" t="s">
        <v>373</v>
      </c>
      <c r="C79" s="134">
        <f t="shared" si="1"/>
        <v>2247</v>
      </c>
      <c r="D79" s="134">
        <f>2192+55</f>
        <v>2247</v>
      </c>
      <c r="E79" s="134"/>
      <c r="F79" s="134">
        <v>391</v>
      </c>
      <c r="G79" s="134"/>
      <c r="H79" s="134"/>
      <c r="I79" s="134"/>
    </row>
    <row r="80" spans="1:9" s="131" customFormat="1" x14ac:dyDescent="0.2">
      <c r="A80" s="134">
        <v>70</v>
      </c>
      <c r="B80" s="137" t="s">
        <v>374</v>
      </c>
      <c r="C80" s="134">
        <f t="shared" si="1"/>
        <v>1100</v>
      </c>
      <c r="D80" s="134">
        <v>1100</v>
      </c>
      <c r="E80" s="134"/>
      <c r="F80" s="134"/>
      <c r="G80" s="134"/>
      <c r="H80" s="134"/>
      <c r="I80" s="134"/>
    </row>
    <row r="81" spans="1:9" s="131" customFormat="1" x14ac:dyDescent="0.2">
      <c r="A81" s="134">
        <v>71</v>
      </c>
      <c r="B81" s="137" t="s">
        <v>375</v>
      </c>
      <c r="C81" s="134">
        <f t="shared" si="1"/>
        <v>4527</v>
      </c>
      <c r="D81" s="134">
        <v>4527</v>
      </c>
      <c r="E81" s="134"/>
      <c r="F81" s="134"/>
      <c r="G81" s="134"/>
      <c r="H81" s="134">
        <v>1034</v>
      </c>
      <c r="I81" s="134"/>
    </row>
    <row r="82" spans="1:9" s="131" customFormat="1" x14ac:dyDescent="0.2">
      <c r="A82" s="134">
        <v>72</v>
      </c>
      <c r="B82" s="137" t="s">
        <v>376</v>
      </c>
      <c r="C82" s="134">
        <f t="shared" si="1"/>
        <v>1434</v>
      </c>
      <c r="D82" s="134">
        <f>1379+55</f>
        <v>1434</v>
      </c>
      <c r="E82" s="134"/>
      <c r="F82" s="134"/>
      <c r="G82" s="134"/>
      <c r="H82" s="134"/>
      <c r="I82" s="134"/>
    </row>
    <row r="83" spans="1:9" s="131" customFormat="1" x14ac:dyDescent="0.2">
      <c r="A83" s="134">
        <v>73</v>
      </c>
      <c r="B83" s="137" t="s">
        <v>377</v>
      </c>
      <c r="C83" s="134">
        <f t="shared" si="1"/>
        <v>1393</v>
      </c>
      <c r="D83" s="134">
        <f>1338+55</f>
        <v>1393</v>
      </c>
      <c r="E83" s="134"/>
      <c r="F83" s="134"/>
      <c r="G83" s="134"/>
      <c r="H83" s="134"/>
      <c r="I83" s="134"/>
    </row>
    <row r="84" spans="1:9" s="131" customFormat="1" x14ac:dyDescent="0.2">
      <c r="A84" s="134">
        <v>74</v>
      </c>
      <c r="B84" s="137" t="s">
        <v>283</v>
      </c>
      <c r="C84" s="134">
        <f t="shared" si="1"/>
        <v>3041</v>
      </c>
      <c r="D84" s="134">
        <f>3043-2</f>
        <v>3041</v>
      </c>
      <c r="E84" s="134">
        <v>374</v>
      </c>
      <c r="F84" s="134">
        <v>30</v>
      </c>
      <c r="G84" s="134"/>
      <c r="H84" s="134"/>
      <c r="I84" s="134"/>
    </row>
    <row r="85" spans="1:9" s="131" customFormat="1" x14ac:dyDescent="0.2">
      <c r="A85" s="134">
        <v>75</v>
      </c>
      <c r="B85" s="137" t="s">
        <v>284</v>
      </c>
      <c r="C85" s="134">
        <f t="shared" si="1"/>
        <v>2381</v>
      </c>
      <c r="D85" s="134">
        <v>2381</v>
      </c>
      <c r="E85" s="134"/>
      <c r="F85" s="134">
        <v>289</v>
      </c>
      <c r="G85" s="134"/>
      <c r="H85" s="134"/>
      <c r="I85" s="134"/>
    </row>
    <row r="86" spans="1:9" s="131" customFormat="1" x14ac:dyDescent="0.2">
      <c r="A86" s="134">
        <v>76</v>
      </c>
      <c r="B86" s="137" t="s">
        <v>285</v>
      </c>
      <c r="C86" s="134">
        <f t="shared" si="1"/>
        <v>1670</v>
      </c>
      <c r="D86" s="134">
        <v>1670</v>
      </c>
      <c r="E86" s="134"/>
      <c r="F86" s="134"/>
      <c r="G86" s="134"/>
      <c r="H86" s="134"/>
      <c r="I86" s="134"/>
    </row>
    <row r="87" spans="1:9" s="131" customFormat="1" x14ac:dyDescent="0.2">
      <c r="A87" s="134">
        <v>77</v>
      </c>
      <c r="B87" s="137" t="s">
        <v>286</v>
      </c>
      <c r="C87" s="134">
        <f t="shared" si="1"/>
        <v>980</v>
      </c>
      <c r="D87" s="134">
        <v>980</v>
      </c>
      <c r="E87" s="134"/>
      <c r="F87" s="134"/>
      <c r="G87" s="134"/>
      <c r="H87" s="134"/>
      <c r="I87" s="134"/>
    </row>
    <row r="88" spans="1:9" s="131" customFormat="1" x14ac:dyDescent="0.2">
      <c r="A88" s="134">
        <v>78</v>
      </c>
      <c r="B88" s="137" t="s">
        <v>287</v>
      </c>
      <c r="C88" s="134">
        <f t="shared" si="1"/>
        <v>1987</v>
      </c>
      <c r="D88" s="134">
        <v>1987</v>
      </c>
      <c r="E88" s="134"/>
      <c r="F88" s="134">
        <v>392</v>
      </c>
      <c r="G88" s="134"/>
      <c r="H88" s="134"/>
      <c r="I88" s="134"/>
    </row>
    <row r="89" spans="1:9" s="131" customFormat="1" x14ac:dyDescent="0.2">
      <c r="A89" s="134">
        <v>79</v>
      </c>
      <c r="B89" s="137" t="s">
        <v>288</v>
      </c>
      <c r="C89" s="134">
        <f t="shared" si="1"/>
        <v>783</v>
      </c>
      <c r="D89" s="134">
        <v>783</v>
      </c>
      <c r="E89" s="134"/>
      <c r="F89" s="134"/>
      <c r="G89" s="134"/>
      <c r="H89" s="134"/>
      <c r="I89" s="134"/>
    </row>
    <row r="90" spans="1:9" s="131" customFormat="1" x14ac:dyDescent="0.2">
      <c r="A90" s="134">
        <v>80</v>
      </c>
      <c r="B90" s="137" t="s">
        <v>289</v>
      </c>
      <c r="C90" s="134">
        <f t="shared" si="1"/>
        <v>5859</v>
      </c>
      <c r="D90" s="134">
        <v>5859</v>
      </c>
      <c r="E90" s="134"/>
      <c r="F90" s="134">
        <v>421</v>
      </c>
      <c r="G90" s="134"/>
      <c r="H90" s="134">
        <v>1003</v>
      </c>
      <c r="I90" s="134"/>
    </row>
    <row r="91" spans="1:9" s="131" customFormat="1" x14ac:dyDescent="0.2">
      <c r="A91" s="134">
        <v>81</v>
      </c>
      <c r="B91" s="137" t="s">
        <v>290</v>
      </c>
      <c r="C91" s="134">
        <f t="shared" si="1"/>
        <v>1748</v>
      </c>
      <c r="D91" s="134">
        <v>1748</v>
      </c>
      <c r="E91" s="134">
        <v>1748</v>
      </c>
      <c r="F91" s="134">
        <v>64</v>
      </c>
      <c r="G91" s="134"/>
      <c r="H91" s="134"/>
      <c r="I91" s="134"/>
    </row>
    <row r="92" spans="1:9" s="131" customFormat="1" x14ac:dyDescent="0.2">
      <c r="A92" s="134">
        <v>82</v>
      </c>
      <c r="B92" s="137" t="s">
        <v>291</v>
      </c>
      <c r="C92" s="134">
        <f t="shared" si="1"/>
        <v>2384</v>
      </c>
      <c r="D92" s="134">
        <v>2384</v>
      </c>
      <c r="E92" s="134"/>
      <c r="F92" s="134">
        <v>159</v>
      </c>
      <c r="G92" s="134"/>
      <c r="H92" s="134">
        <v>420</v>
      </c>
      <c r="I92" s="134"/>
    </row>
    <row r="93" spans="1:9" s="131" customFormat="1" x14ac:dyDescent="0.2">
      <c r="A93" s="134">
        <v>83</v>
      </c>
      <c r="B93" s="137" t="s">
        <v>292</v>
      </c>
      <c r="C93" s="134">
        <f t="shared" si="1"/>
        <v>687</v>
      </c>
      <c r="D93" s="144">
        <v>687</v>
      </c>
      <c r="E93" s="144"/>
      <c r="F93" s="144"/>
      <c r="G93" s="144"/>
      <c r="H93" s="144"/>
      <c r="I93" s="144"/>
    </row>
    <row r="94" spans="1:9" s="131" customFormat="1" x14ac:dyDescent="0.2">
      <c r="A94" s="134">
        <v>84</v>
      </c>
      <c r="B94" s="137" t="s">
        <v>58</v>
      </c>
      <c r="C94" s="134">
        <f t="shared" si="1"/>
        <v>470</v>
      </c>
      <c r="D94" s="144">
        <v>470</v>
      </c>
      <c r="E94" s="144"/>
      <c r="F94" s="144">
        <v>22</v>
      </c>
      <c r="G94" s="144"/>
      <c r="H94" s="144"/>
      <c r="I94" s="144"/>
    </row>
    <row r="95" spans="1:9" s="131" customFormat="1" x14ac:dyDescent="0.2">
      <c r="A95" s="134">
        <v>85</v>
      </c>
      <c r="B95" s="137" t="s">
        <v>378</v>
      </c>
      <c r="C95" s="134">
        <f t="shared" si="1"/>
        <v>262</v>
      </c>
      <c r="D95" s="144">
        <v>262</v>
      </c>
      <c r="E95" s="144"/>
      <c r="F95" s="144"/>
      <c r="G95" s="144"/>
      <c r="H95" s="144"/>
      <c r="I95" s="144"/>
    </row>
    <row r="96" spans="1:9" s="131" customFormat="1" x14ac:dyDescent="0.2">
      <c r="A96" s="134">
        <v>86</v>
      </c>
      <c r="B96" s="137" t="s">
        <v>37</v>
      </c>
      <c r="C96" s="134">
        <f t="shared" si="1"/>
        <v>859</v>
      </c>
      <c r="D96" s="144">
        <v>859</v>
      </c>
      <c r="E96" s="144">
        <v>92</v>
      </c>
      <c r="F96" s="144"/>
      <c r="G96" s="144"/>
      <c r="H96" s="144"/>
      <c r="I96" s="144"/>
    </row>
    <row r="97" spans="1:9" s="131" customFormat="1" x14ac:dyDescent="0.2">
      <c r="A97" s="134">
        <v>87</v>
      </c>
      <c r="B97" s="137" t="s">
        <v>38</v>
      </c>
      <c r="C97" s="134">
        <f t="shared" si="1"/>
        <v>872</v>
      </c>
      <c r="D97" s="134">
        <v>872</v>
      </c>
      <c r="E97" s="134">
        <v>95</v>
      </c>
      <c r="F97" s="134"/>
      <c r="G97" s="134"/>
      <c r="H97" s="134"/>
      <c r="I97" s="134"/>
    </row>
    <row r="98" spans="1:9" s="131" customFormat="1" x14ac:dyDescent="0.2">
      <c r="A98" s="134">
        <v>88</v>
      </c>
      <c r="B98" s="137" t="s">
        <v>39</v>
      </c>
      <c r="C98" s="134">
        <f t="shared" si="1"/>
        <v>2470</v>
      </c>
      <c r="D98" s="144">
        <v>2470</v>
      </c>
      <c r="E98" s="144">
        <v>255</v>
      </c>
      <c r="F98" s="144"/>
      <c r="G98" s="144"/>
      <c r="H98" s="144"/>
      <c r="I98" s="144"/>
    </row>
    <row r="99" spans="1:9" s="131" customFormat="1" x14ac:dyDescent="0.2">
      <c r="A99" s="134">
        <v>89</v>
      </c>
      <c r="B99" s="137" t="s">
        <v>40</v>
      </c>
      <c r="C99" s="134">
        <f t="shared" si="1"/>
        <v>1068</v>
      </c>
      <c r="D99" s="134">
        <v>1068</v>
      </c>
      <c r="E99" s="134">
        <v>111</v>
      </c>
      <c r="F99" s="134"/>
      <c r="G99" s="134"/>
      <c r="H99" s="134"/>
      <c r="I99" s="134"/>
    </row>
    <row r="100" spans="1:9" s="131" customFormat="1" x14ac:dyDescent="0.2">
      <c r="A100" s="134">
        <v>90</v>
      </c>
      <c r="B100" s="137" t="s">
        <v>41</v>
      </c>
      <c r="C100" s="134">
        <f t="shared" si="1"/>
        <v>1300</v>
      </c>
      <c r="D100" s="144">
        <v>1300</v>
      </c>
      <c r="E100" s="144">
        <v>118</v>
      </c>
      <c r="F100" s="144"/>
      <c r="G100" s="144"/>
      <c r="H100" s="144"/>
      <c r="I100" s="144"/>
    </row>
    <row r="101" spans="1:9" s="131" customFormat="1" x14ac:dyDescent="0.2">
      <c r="A101" s="134">
        <v>91</v>
      </c>
      <c r="B101" s="137" t="s">
        <v>42</v>
      </c>
      <c r="C101" s="134">
        <f t="shared" si="1"/>
        <v>2552</v>
      </c>
      <c r="D101" s="144">
        <v>2552</v>
      </c>
      <c r="E101" s="144">
        <v>304</v>
      </c>
      <c r="F101" s="144"/>
      <c r="G101" s="144"/>
      <c r="H101" s="144"/>
      <c r="I101" s="144"/>
    </row>
    <row r="102" spans="1:9" s="131" customFormat="1" x14ac:dyDescent="0.2">
      <c r="A102" s="134">
        <v>92</v>
      </c>
      <c r="B102" s="137" t="s">
        <v>43</v>
      </c>
      <c r="C102" s="134">
        <f t="shared" si="1"/>
        <v>2216</v>
      </c>
      <c r="D102" s="144">
        <v>2216</v>
      </c>
      <c r="E102" s="144">
        <v>230</v>
      </c>
      <c r="F102" s="144"/>
      <c r="G102" s="144"/>
      <c r="H102" s="144"/>
      <c r="I102" s="144"/>
    </row>
    <row r="103" spans="1:9" s="131" customFormat="1" x14ac:dyDescent="0.2">
      <c r="A103" s="134">
        <v>93</v>
      </c>
      <c r="B103" s="137" t="s">
        <v>44</v>
      </c>
      <c r="C103" s="134">
        <f t="shared" si="1"/>
        <v>806</v>
      </c>
      <c r="D103" s="134">
        <v>806</v>
      </c>
      <c r="E103" s="134">
        <v>90</v>
      </c>
      <c r="F103" s="134"/>
      <c r="G103" s="134"/>
      <c r="H103" s="134"/>
      <c r="I103" s="134"/>
    </row>
    <row r="104" spans="1:9" s="131" customFormat="1" x14ac:dyDescent="0.2">
      <c r="A104" s="134">
        <v>94</v>
      </c>
      <c r="B104" s="137" t="s">
        <v>45</v>
      </c>
      <c r="C104" s="134">
        <f t="shared" si="1"/>
        <v>1261</v>
      </c>
      <c r="D104" s="144">
        <v>1261</v>
      </c>
      <c r="E104" s="144">
        <v>125</v>
      </c>
      <c r="F104" s="144"/>
      <c r="G104" s="144"/>
      <c r="H104" s="144"/>
      <c r="I104" s="144"/>
    </row>
    <row r="105" spans="1:9" s="131" customFormat="1" x14ac:dyDescent="0.2">
      <c r="A105" s="134">
        <v>95</v>
      </c>
      <c r="B105" s="137" t="s">
        <v>46</v>
      </c>
      <c r="C105" s="134">
        <f t="shared" si="1"/>
        <v>1207</v>
      </c>
      <c r="D105" s="134">
        <v>1207</v>
      </c>
      <c r="E105" s="134">
        <v>134</v>
      </c>
      <c r="F105" s="134"/>
      <c r="G105" s="134"/>
      <c r="H105" s="134"/>
      <c r="I105" s="134"/>
    </row>
    <row r="106" spans="1:9" s="131" customFormat="1" x14ac:dyDescent="0.2">
      <c r="A106" s="134">
        <v>96</v>
      </c>
      <c r="B106" s="137" t="s">
        <v>47</v>
      </c>
      <c r="C106" s="134">
        <f t="shared" si="1"/>
        <v>1986</v>
      </c>
      <c r="D106" s="134">
        <v>1986</v>
      </c>
      <c r="E106" s="134">
        <v>181</v>
      </c>
      <c r="F106" s="134">
        <v>15</v>
      </c>
      <c r="G106" s="134"/>
      <c r="H106" s="134">
        <v>516</v>
      </c>
      <c r="I106" s="134"/>
    </row>
    <row r="107" spans="1:9" s="131" customFormat="1" x14ac:dyDescent="0.2">
      <c r="A107" s="134">
        <v>97</v>
      </c>
      <c r="B107" s="137" t="s">
        <v>48</v>
      </c>
      <c r="C107" s="134">
        <f t="shared" si="1"/>
        <v>933</v>
      </c>
      <c r="D107" s="144">
        <v>933</v>
      </c>
      <c r="E107" s="144">
        <v>104</v>
      </c>
      <c r="F107" s="144"/>
      <c r="G107" s="144"/>
      <c r="H107" s="144"/>
      <c r="I107" s="144"/>
    </row>
    <row r="108" spans="1:9" s="131" customFormat="1" x14ac:dyDescent="0.2">
      <c r="A108" s="134">
        <v>98</v>
      </c>
      <c r="B108" s="137" t="s">
        <v>49</v>
      </c>
      <c r="C108" s="134">
        <f t="shared" si="1"/>
        <v>1372</v>
      </c>
      <c r="D108" s="144">
        <v>1372</v>
      </c>
      <c r="E108" s="144">
        <v>131</v>
      </c>
      <c r="F108" s="144"/>
      <c r="G108" s="144"/>
      <c r="H108" s="144"/>
      <c r="I108" s="144"/>
    </row>
    <row r="109" spans="1:9" s="131" customFormat="1" x14ac:dyDescent="0.2">
      <c r="A109" s="134">
        <v>99</v>
      </c>
      <c r="B109" s="137" t="s">
        <v>50</v>
      </c>
      <c r="C109" s="134">
        <f t="shared" si="1"/>
        <v>2297</v>
      </c>
      <c r="D109" s="144">
        <v>2297</v>
      </c>
      <c r="E109" s="144">
        <v>228</v>
      </c>
      <c r="F109" s="144"/>
      <c r="G109" s="144"/>
      <c r="H109" s="144"/>
      <c r="I109" s="144"/>
    </row>
    <row r="110" spans="1:9" s="131" customFormat="1" x14ac:dyDescent="0.2">
      <c r="A110" s="134">
        <v>100</v>
      </c>
      <c r="B110" s="137" t="s">
        <v>51</v>
      </c>
      <c r="C110" s="134">
        <f t="shared" si="1"/>
        <v>1099</v>
      </c>
      <c r="D110" s="144">
        <v>1099</v>
      </c>
      <c r="E110" s="144">
        <v>111</v>
      </c>
      <c r="F110" s="144"/>
      <c r="G110" s="144"/>
      <c r="H110" s="144"/>
      <c r="I110" s="144"/>
    </row>
    <row r="111" spans="1:9" s="131" customFormat="1" ht="24" x14ac:dyDescent="0.2">
      <c r="A111" s="134">
        <v>101</v>
      </c>
      <c r="B111" s="143" t="s">
        <v>59</v>
      </c>
      <c r="C111" s="134">
        <f t="shared" si="1"/>
        <v>996</v>
      </c>
      <c r="D111" s="144">
        <v>996</v>
      </c>
      <c r="E111" s="144"/>
      <c r="F111" s="144">
        <v>150</v>
      </c>
      <c r="G111" s="144"/>
      <c r="H111" s="144"/>
      <c r="I111" s="144"/>
    </row>
    <row r="112" spans="1:9" s="131" customFormat="1" x14ac:dyDescent="0.2">
      <c r="A112" s="134">
        <v>102</v>
      </c>
      <c r="B112" s="137" t="s">
        <v>379</v>
      </c>
      <c r="C112" s="134">
        <f t="shared" si="1"/>
        <v>314</v>
      </c>
      <c r="D112" s="144">
        <f>315-1</f>
        <v>314</v>
      </c>
      <c r="E112" s="144"/>
      <c r="F112" s="144"/>
      <c r="G112" s="144"/>
      <c r="H112" s="144"/>
      <c r="I112" s="144"/>
    </row>
    <row r="113" spans="1:9" s="131" customFormat="1" x14ac:dyDescent="0.2">
      <c r="A113" s="145">
        <v>103</v>
      </c>
      <c r="B113" s="137" t="s">
        <v>380</v>
      </c>
      <c r="C113" s="134">
        <f t="shared" si="1"/>
        <v>582</v>
      </c>
      <c r="D113" s="144">
        <f>405+177</f>
        <v>582</v>
      </c>
      <c r="E113" s="144"/>
      <c r="F113" s="144"/>
      <c r="G113" s="144">
        <f>405+177</f>
        <v>582</v>
      </c>
      <c r="H113" s="144"/>
      <c r="I113" s="144"/>
    </row>
    <row r="114" spans="1:9" x14ac:dyDescent="0.2">
      <c r="A114" s="134">
        <v>104</v>
      </c>
      <c r="B114" s="146" t="s">
        <v>381</v>
      </c>
      <c r="C114" s="134">
        <f>D114+I114</f>
        <v>20</v>
      </c>
      <c r="D114" s="145">
        <v>20</v>
      </c>
      <c r="E114" s="145"/>
      <c r="F114" s="145"/>
      <c r="G114" s="146"/>
      <c r="H114" s="146"/>
      <c r="I114" s="146"/>
    </row>
    <row r="115" spans="1:9" s="131" customFormat="1" ht="15" customHeight="1" x14ac:dyDescent="0.2">
      <c r="A115" s="134">
        <v>105</v>
      </c>
      <c r="B115" s="137" t="s">
        <v>382</v>
      </c>
      <c r="C115" s="134">
        <f>D115+I115</f>
        <v>1962</v>
      </c>
      <c r="D115" s="134">
        <f>D116+D117</f>
        <v>1962</v>
      </c>
      <c r="E115" s="134"/>
      <c r="F115" s="144"/>
      <c r="G115" s="144"/>
      <c r="H115" s="144"/>
      <c r="I115" s="144"/>
    </row>
    <row r="116" spans="1:9" s="131" customFormat="1" ht="15" customHeight="1" x14ac:dyDescent="0.2">
      <c r="A116" s="134"/>
      <c r="B116" s="147" t="s">
        <v>383</v>
      </c>
      <c r="C116" s="134">
        <f t="shared" ref="C116:C146" si="2">D116+I116</f>
        <v>1892</v>
      </c>
      <c r="D116" s="144">
        <f>1896-1-2-1</f>
        <v>1892</v>
      </c>
      <c r="E116" s="144"/>
      <c r="F116" s="144"/>
      <c r="G116" s="144"/>
      <c r="H116" s="144"/>
      <c r="I116" s="144"/>
    </row>
    <row r="117" spans="1:9" s="131" customFormat="1" x14ac:dyDescent="0.2">
      <c r="A117" s="134"/>
      <c r="B117" s="147" t="s">
        <v>384</v>
      </c>
      <c r="C117" s="134">
        <f t="shared" si="2"/>
        <v>70</v>
      </c>
      <c r="D117" s="144">
        <v>70</v>
      </c>
      <c r="E117" s="144"/>
      <c r="F117" s="144"/>
      <c r="G117" s="144"/>
      <c r="H117" s="144"/>
      <c r="I117" s="144"/>
    </row>
    <row r="118" spans="1:9" s="131" customFormat="1" x14ac:dyDescent="0.2">
      <c r="A118" s="134">
        <v>106</v>
      </c>
      <c r="B118" s="137" t="s">
        <v>385</v>
      </c>
      <c r="C118" s="134">
        <f t="shared" si="2"/>
        <v>479</v>
      </c>
      <c r="D118" s="144">
        <f>607-128</f>
        <v>479</v>
      </c>
      <c r="E118" s="144"/>
      <c r="F118" s="144"/>
      <c r="G118" s="144">
        <f>607-128</f>
        <v>479</v>
      </c>
      <c r="H118" s="144"/>
      <c r="I118" s="144"/>
    </row>
    <row r="119" spans="1:9" s="131" customFormat="1" x14ac:dyDescent="0.2">
      <c r="A119" s="134">
        <v>107</v>
      </c>
      <c r="B119" s="137" t="s">
        <v>60</v>
      </c>
      <c r="C119" s="134">
        <f t="shared" si="2"/>
        <v>32</v>
      </c>
      <c r="D119" s="144">
        <v>32</v>
      </c>
      <c r="E119" s="144"/>
      <c r="F119" s="144"/>
      <c r="G119" s="144"/>
      <c r="H119" s="144"/>
      <c r="I119" s="144"/>
    </row>
    <row r="120" spans="1:9" s="131" customFormat="1" x14ac:dyDescent="0.2">
      <c r="A120" s="134">
        <v>108</v>
      </c>
      <c r="B120" s="137" t="s">
        <v>386</v>
      </c>
      <c r="C120" s="134">
        <f t="shared" si="2"/>
        <v>471</v>
      </c>
      <c r="D120" s="144">
        <f>475-2-1-1</f>
        <v>471</v>
      </c>
      <c r="E120" s="144"/>
      <c r="F120" s="144"/>
      <c r="G120" s="144"/>
      <c r="H120" s="144"/>
      <c r="I120" s="144"/>
    </row>
    <row r="121" spans="1:9" s="131" customFormat="1" x14ac:dyDescent="0.2">
      <c r="A121" s="134">
        <v>109</v>
      </c>
      <c r="B121" s="137" t="s">
        <v>387</v>
      </c>
      <c r="C121" s="134">
        <f t="shared" si="2"/>
        <v>425</v>
      </c>
      <c r="D121" s="144">
        <f>485-60</f>
        <v>425</v>
      </c>
      <c r="E121" s="144"/>
      <c r="F121" s="144"/>
      <c r="G121" s="144">
        <f>405-60</f>
        <v>345</v>
      </c>
      <c r="H121" s="144"/>
      <c r="I121" s="144"/>
    </row>
    <row r="122" spans="1:9" s="131" customFormat="1" x14ac:dyDescent="0.2">
      <c r="A122" s="134">
        <v>110</v>
      </c>
      <c r="B122" s="137" t="s">
        <v>388</v>
      </c>
      <c r="C122" s="134">
        <f t="shared" si="2"/>
        <v>845</v>
      </c>
      <c r="D122" s="144">
        <f>846-1</f>
        <v>845</v>
      </c>
      <c r="E122" s="144"/>
      <c r="F122" s="144"/>
      <c r="G122" s="144"/>
      <c r="H122" s="144"/>
      <c r="I122" s="144"/>
    </row>
    <row r="123" spans="1:9" s="131" customFormat="1" x14ac:dyDescent="0.2">
      <c r="A123" s="134">
        <v>111</v>
      </c>
      <c r="B123" s="137" t="s">
        <v>389</v>
      </c>
      <c r="C123" s="134">
        <f t="shared" si="2"/>
        <v>1463</v>
      </c>
      <c r="D123" s="134">
        <f t="shared" ref="D123" si="3">D124+D125</f>
        <v>1463</v>
      </c>
      <c r="E123" s="134"/>
      <c r="F123" s="144"/>
      <c r="G123" s="144"/>
      <c r="H123" s="144"/>
      <c r="I123" s="144"/>
    </row>
    <row r="124" spans="1:9" s="131" customFormat="1" x14ac:dyDescent="0.2">
      <c r="A124" s="134"/>
      <c r="B124" s="137" t="s">
        <v>390</v>
      </c>
      <c r="C124" s="134">
        <f t="shared" si="2"/>
        <v>1224</v>
      </c>
      <c r="D124" s="144">
        <v>1224</v>
      </c>
      <c r="E124" s="144"/>
      <c r="F124" s="144"/>
      <c r="G124" s="144"/>
      <c r="H124" s="144"/>
      <c r="I124" s="144"/>
    </row>
    <row r="125" spans="1:9" s="131" customFormat="1" x14ac:dyDescent="0.2">
      <c r="A125" s="134"/>
      <c r="B125" s="137" t="s">
        <v>391</v>
      </c>
      <c r="C125" s="134">
        <f t="shared" si="2"/>
        <v>239</v>
      </c>
      <c r="D125" s="144">
        <v>239</v>
      </c>
      <c r="E125" s="144"/>
      <c r="F125" s="144"/>
      <c r="G125" s="144"/>
      <c r="H125" s="144"/>
      <c r="I125" s="144"/>
    </row>
    <row r="126" spans="1:9" s="131" customFormat="1" x14ac:dyDescent="0.2">
      <c r="A126" s="134">
        <v>112</v>
      </c>
      <c r="B126" s="137" t="s">
        <v>311</v>
      </c>
      <c r="C126" s="134">
        <f t="shared" si="2"/>
        <v>10219</v>
      </c>
      <c r="D126" s="144">
        <v>10219</v>
      </c>
      <c r="E126" s="144"/>
      <c r="F126" s="144"/>
      <c r="G126" s="144"/>
      <c r="H126" s="144">
        <v>10219</v>
      </c>
      <c r="I126" s="144"/>
    </row>
    <row r="127" spans="1:9" s="131" customFormat="1" x14ac:dyDescent="0.2">
      <c r="A127" s="134">
        <v>113</v>
      </c>
      <c r="B127" s="137" t="s">
        <v>61</v>
      </c>
      <c r="C127" s="134">
        <f t="shared" si="2"/>
        <v>360</v>
      </c>
      <c r="D127" s="144">
        <v>360</v>
      </c>
      <c r="E127" s="144"/>
      <c r="F127" s="144"/>
      <c r="G127" s="144"/>
      <c r="H127" s="144"/>
      <c r="I127" s="144"/>
    </row>
    <row r="128" spans="1:9" s="131" customFormat="1" x14ac:dyDescent="0.2">
      <c r="A128" s="134">
        <v>114</v>
      </c>
      <c r="B128" s="137" t="s">
        <v>392</v>
      </c>
      <c r="C128" s="134">
        <f t="shared" si="2"/>
        <v>3407</v>
      </c>
      <c r="D128" s="134">
        <f t="shared" ref="D128:F128" si="4">D129+D130</f>
        <v>3407</v>
      </c>
      <c r="E128" s="134">
        <f t="shared" si="4"/>
        <v>3407</v>
      </c>
      <c r="F128" s="134">
        <f t="shared" si="4"/>
        <v>872</v>
      </c>
      <c r="G128" s="134"/>
      <c r="H128" s="134">
        <f t="shared" ref="H128" si="5">H129+H130</f>
        <v>74</v>
      </c>
      <c r="I128" s="134"/>
    </row>
    <row r="129" spans="1:9" s="131" customFormat="1" x14ac:dyDescent="0.2">
      <c r="A129" s="134"/>
      <c r="B129" s="137" t="s">
        <v>393</v>
      </c>
      <c r="C129" s="134">
        <f t="shared" si="2"/>
        <v>3281</v>
      </c>
      <c r="D129" s="144">
        <v>3281</v>
      </c>
      <c r="E129" s="144">
        <v>3281</v>
      </c>
      <c r="F129" s="144">
        <v>872</v>
      </c>
      <c r="G129" s="144"/>
      <c r="H129" s="144">
        <v>74</v>
      </c>
      <c r="I129" s="144"/>
    </row>
    <row r="130" spans="1:9" s="131" customFormat="1" x14ac:dyDescent="0.2">
      <c r="A130" s="134"/>
      <c r="B130" s="147" t="s">
        <v>394</v>
      </c>
      <c r="C130" s="134">
        <f t="shared" si="2"/>
        <v>126</v>
      </c>
      <c r="D130" s="144">
        <f>45+81</f>
        <v>126</v>
      </c>
      <c r="E130" s="144">
        <f>45+81</f>
        <v>126</v>
      </c>
      <c r="F130" s="144"/>
      <c r="G130" s="144"/>
      <c r="H130" s="144"/>
      <c r="I130" s="144"/>
    </row>
    <row r="131" spans="1:9" s="131" customFormat="1" x14ac:dyDescent="0.2">
      <c r="A131" s="134">
        <v>115</v>
      </c>
      <c r="B131" s="137" t="s">
        <v>62</v>
      </c>
      <c r="C131" s="134">
        <f t="shared" si="2"/>
        <v>6960</v>
      </c>
      <c r="D131" s="144">
        <f>6980-20</f>
        <v>6960</v>
      </c>
      <c r="E131" s="144"/>
      <c r="F131" s="144"/>
      <c r="G131" s="144"/>
      <c r="H131" s="144"/>
      <c r="I131" s="144"/>
    </row>
    <row r="132" spans="1:9" s="131" customFormat="1" x14ac:dyDescent="0.2">
      <c r="A132" s="134">
        <v>116</v>
      </c>
      <c r="B132" s="137" t="s">
        <v>301</v>
      </c>
      <c r="C132" s="134">
        <f t="shared" si="2"/>
        <v>1724</v>
      </c>
      <c r="D132" s="144">
        <v>1724</v>
      </c>
      <c r="E132" s="144"/>
      <c r="F132" s="144"/>
      <c r="G132" s="144"/>
      <c r="H132" s="144"/>
      <c r="I132" s="144"/>
    </row>
    <row r="133" spans="1:9" s="131" customFormat="1" x14ac:dyDescent="0.2">
      <c r="A133" s="134">
        <v>117</v>
      </c>
      <c r="B133" s="137" t="s">
        <v>302</v>
      </c>
      <c r="C133" s="134">
        <f t="shared" si="2"/>
        <v>2914</v>
      </c>
      <c r="D133" s="144">
        <f>2614+300</f>
        <v>2914</v>
      </c>
      <c r="E133" s="144"/>
      <c r="F133" s="144"/>
      <c r="G133" s="144"/>
      <c r="H133" s="144"/>
      <c r="I133" s="144"/>
    </row>
    <row r="134" spans="1:9" s="131" customFormat="1" x14ac:dyDescent="0.2">
      <c r="A134" s="134">
        <v>118</v>
      </c>
      <c r="B134" s="141" t="s">
        <v>395</v>
      </c>
      <c r="C134" s="134">
        <f t="shared" si="2"/>
        <v>596</v>
      </c>
      <c r="D134" s="144">
        <f>608-12</f>
        <v>596</v>
      </c>
      <c r="E134" s="144"/>
      <c r="F134" s="144"/>
      <c r="G134" s="144">
        <f>608-12</f>
        <v>596</v>
      </c>
      <c r="H134" s="144"/>
      <c r="I134" s="144"/>
    </row>
    <row r="135" spans="1:9" s="131" customFormat="1" x14ac:dyDescent="0.2">
      <c r="A135" s="134">
        <v>119</v>
      </c>
      <c r="B135" s="137" t="s">
        <v>63</v>
      </c>
      <c r="C135" s="134">
        <f t="shared" si="2"/>
        <v>821</v>
      </c>
      <c r="D135" s="144">
        <v>821</v>
      </c>
      <c r="E135" s="144"/>
      <c r="F135" s="144">
        <v>821</v>
      </c>
      <c r="G135" s="144"/>
      <c r="H135" s="144"/>
      <c r="I135" s="144"/>
    </row>
    <row r="136" spans="1:9" s="131" customFormat="1" x14ac:dyDescent="0.2">
      <c r="A136" s="136">
        <v>120</v>
      </c>
      <c r="B136" s="137" t="s">
        <v>64</v>
      </c>
      <c r="C136" s="134">
        <f t="shared" si="2"/>
        <v>1163</v>
      </c>
      <c r="D136" s="144">
        <v>1163</v>
      </c>
      <c r="E136" s="144"/>
      <c r="F136" s="144">
        <v>563</v>
      </c>
      <c r="G136" s="144"/>
      <c r="H136" s="144"/>
      <c r="I136" s="144"/>
    </row>
    <row r="137" spans="1:9" s="131" customFormat="1" ht="25.5" customHeight="1" x14ac:dyDescent="0.2">
      <c r="A137" s="241">
        <v>121</v>
      </c>
      <c r="B137" s="137" t="s">
        <v>396</v>
      </c>
      <c r="C137" s="134">
        <f t="shared" si="2"/>
        <v>3542</v>
      </c>
      <c r="D137" s="144">
        <v>3542</v>
      </c>
      <c r="E137" s="144"/>
      <c r="F137" s="144">
        <v>135</v>
      </c>
      <c r="G137" s="144"/>
      <c r="H137" s="144">
        <v>576</v>
      </c>
      <c r="I137" s="144"/>
    </row>
    <row r="138" spans="1:9" s="140" customFormat="1" ht="24" x14ac:dyDescent="0.2">
      <c r="A138" s="245"/>
      <c r="B138" s="142" t="s">
        <v>65</v>
      </c>
      <c r="C138" s="139">
        <f t="shared" si="2"/>
        <v>3470</v>
      </c>
      <c r="D138" s="148">
        <v>3470</v>
      </c>
      <c r="E138" s="148">
        <v>441</v>
      </c>
      <c r="F138" s="148"/>
      <c r="G138" s="148"/>
      <c r="H138" s="148"/>
      <c r="I138" s="148"/>
    </row>
    <row r="139" spans="1:9" s="131" customFormat="1" ht="13.5" customHeight="1" x14ac:dyDescent="0.2">
      <c r="A139" s="134">
        <v>122</v>
      </c>
      <c r="B139" s="137" t="s">
        <v>397</v>
      </c>
      <c r="C139" s="134">
        <f t="shared" si="2"/>
        <v>267</v>
      </c>
      <c r="D139" s="144">
        <f>259+4+4</f>
        <v>267</v>
      </c>
      <c r="E139" s="144"/>
      <c r="F139" s="144"/>
      <c r="G139" s="144"/>
      <c r="H139" s="144"/>
      <c r="I139" s="144"/>
    </row>
    <row r="140" spans="1:9" s="131" customFormat="1" x14ac:dyDescent="0.2">
      <c r="A140" s="136">
        <v>123</v>
      </c>
      <c r="B140" s="143" t="s">
        <v>398</v>
      </c>
      <c r="C140" s="134">
        <f t="shared" si="2"/>
        <v>4492</v>
      </c>
      <c r="D140" s="134">
        <f t="shared" ref="D140:I140" si="6">D142+D143+D144</f>
        <v>4057</v>
      </c>
      <c r="E140" s="134">
        <f t="shared" si="6"/>
        <v>0</v>
      </c>
      <c r="F140" s="134">
        <f t="shared" si="6"/>
        <v>0</v>
      </c>
      <c r="G140" s="134">
        <f t="shared" si="6"/>
        <v>0</v>
      </c>
      <c r="H140" s="134">
        <f t="shared" si="6"/>
        <v>4057</v>
      </c>
      <c r="I140" s="134">
        <f t="shared" si="6"/>
        <v>435</v>
      </c>
    </row>
    <row r="141" spans="1:9" s="131" customFormat="1" ht="14.25" customHeight="1" x14ac:dyDescent="0.2">
      <c r="A141" s="149"/>
      <c r="B141" s="143" t="s">
        <v>399</v>
      </c>
      <c r="C141" s="134">
        <f t="shared" si="2"/>
        <v>0</v>
      </c>
      <c r="D141" s="134"/>
      <c r="E141" s="134"/>
      <c r="F141" s="149"/>
      <c r="G141" s="149"/>
      <c r="H141" s="149"/>
      <c r="I141" s="149"/>
    </row>
    <row r="142" spans="1:9" s="131" customFormat="1" ht="13.5" customHeight="1" x14ac:dyDescent="0.2">
      <c r="A142" s="149"/>
      <c r="B142" s="143" t="s">
        <v>400</v>
      </c>
      <c r="C142" s="134">
        <f t="shared" si="2"/>
        <v>360</v>
      </c>
      <c r="D142" s="134"/>
      <c r="E142" s="134"/>
      <c r="F142" s="149"/>
      <c r="G142" s="149"/>
      <c r="H142" s="149"/>
      <c r="I142" s="144">
        <v>360</v>
      </c>
    </row>
    <row r="143" spans="1:9" s="131" customFormat="1" ht="13.5" customHeight="1" x14ac:dyDescent="0.2">
      <c r="A143" s="149"/>
      <c r="B143" s="143" t="s">
        <v>401</v>
      </c>
      <c r="C143" s="134">
        <f t="shared" si="2"/>
        <v>75</v>
      </c>
      <c r="D143" s="134"/>
      <c r="E143" s="134"/>
      <c r="F143" s="149"/>
      <c r="G143" s="149"/>
      <c r="H143" s="149"/>
      <c r="I143" s="144">
        <v>75</v>
      </c>
    </row>
    <row r="144" spans="1:9" s="131" customFormat="1" ht="13.5" customHeight="1" x14ac:dyDescent="0.2">
      <c r="A144" s="149"/>
      <c r="B144" s="150" t="s">
        <v>402</v>
      </c>
      <c r="C144" s="134">
        <f t="shared" si="2"/>
        <v>4057</v>
      </c>
      <c r="D144" s="134">
        <f>5166-1109</f>
        <v>4057</v>
      </c>
      <c r="E144" s="134"/>
      <c r="F144" s="149"/>
      <c r="G144" s="149"/>
      <c r="H144" s="136">
        <v>4057</v>
      </c>
      <c r="I144" s="144"/>
    </row>
    <row r="145" spans="1:9" s="131" customFormat="1" x14ac:dyDescent="0.2">
      <c r="A145" s="149">
        <v>124</v>
      </c>
      <c r="B145" s="143" t="s">
        <v>403</v>
      </c>
      <c r="C145" s="134">
        <f t="shared" si="2"/>
        <v>20</v>
      </c>
      <c r="D145" s="134">
        <v>20</v>
      </c>
      <c r="E145" s="134"/>
      <c r="F145" s="149"/>
      <c r="G145" s="149"/>
      <c r="H145" s="149"/>
      <c r="I145" s="144"/>
    </row>
    <row r="146" spans="1:9" s="131" customFormat="1" x14ac:dyDescent="0.2">
      <c r="A146" s="149"/>
      <c r="B146" s="137" t="s">
        <v>66</v>
      </c>
      <c r="C146" s="134">
        <f t="shared" si="2"/>
        <v>2708</v>
      </c>
      <c r="D146" s="134">
        <f>298+3157+3+4-820+40+23+3</f>
        <v>2708</v>
      </c>
      <c r="E146" s="134"/>
      <c r="F146" s="134"/>
      <c r="G146" s="134">
        <v>23</v>
      </c>
      <c r="H146" s="134"/>
      <c r="I146" s="134"/>
    </row>
    <row r="147" spans="1:9" s="131" customFormat="1" x14ac:dyDescent="0.2">
      <c r="A147" s="151"/>
      <c r="B147" s="152" t="s">
        <v>52</v>
      </c>
      <c r="C147" s="151">
        <f>SUM(C6:C115)+SUM(C118:C123)+SUM(C126:C128)+C145+C146+SUM(C131:C140)</f>
        <v>251996</v>
      </c>
      <c r="D147" s="151">
        <f t="shared" ref="D147:I147" si="7">SUM(D6:D115)+SUM(D118:D123)+SUM(D126:D128)+D145+D146+SUM(D131:D140)</f>
        <v>251561</v>
      </c>
      <c r="E147" s="151">
        <f t="shared" si="7"/>
        <v>32708</v>
      </c>
      <c r="F147" s="151">
        <f t="shared" si="7"/>
        <v>5017</v>
      </c>
      <c r="G147" s="151">
        <f t="shared" si="7"/>
        <v>2025</v>
      </c>
      <c r="H147" s="151">
        <f t="shared" si="7"/>
        <v>29619</v>
      </c>
      <c r="I147" s="151">
        <f t="shared" si="7"/>
        <v>435</v>
      </c>
    </row>
  </sheetData>
  <mergeCells count="13">
    <mergeCell ref="A1:I1"/>
    <mergeCell ref="G2:I2"/>
    <mergeCell ref="A3:A4"/>
    <mergeCell ref="B3:B4"/>
    <mergeCell ref="C3:C4"/>
    <mergeCell ref="D3:D4"/>
    <mergeCell ref="E3:H3"/>
    <mergeCell ref="I3:I4"/>
    <mergeCell ref="A8:A9"/>
    <mergeCell ref="A33:A34"/>
    <mergeCell ref="A39:A41"/>
    <mergeCell ref="A43:A44"/>
    <mergeCell ref="A137:A1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"/>
    </sheetView>
  </sheetViews>
  <sheetFormatPr defaultRowHeight="12" x14ac:dyDescent="0.2"/>
  <cols>
    <col min="1" max="1" width="3.7109375" style="153" customWidth="1"/>
    <col min="2" max="2" width="25.7109375" style="154" customWidth="1"/>
    <col min="3" max="3" width="8.7109375" style="153" customWidth="1"/>
    <col min="4" max="4" width="12.140625" style="153" customWidth="1"/>
    <col min="5" max="5" width="11.7109375" style="153" customWidth="1"/>
    <col min="6" max="6" width="11.5703125" style="153" customWidth="1"/>
    <col min="7" max="7" width="13.28515625" style="153" customWidth="1"/>
    <col min="8" max="8" width="9.85546875" style="153" customWidth="1"/>
    <col min="9" max="10" width="10.85546875" style="153" customWidth="1"/>
    <col min="11" max="11" width="7.85546875" style="153" customWidth="1"/>
    <col min="12" max="12" width="11.42578125" style="153" customWidth="1"/>
    <col min="13" max="13" width="11.7109375" style="153" customWidth="1"/>
    <col min="14" max="14" width="10.5703125" style="153" customWidth="1"/>
    <col min="15" max="15" width="11.28515625" style="153" customWidth="1"/>
    <col min="16" max="16" width="8.42578125" style="153" customWidth="1"/>
    <col min="17" max="17" width="11.5703125" style="153" customWidth="1"/>
    <col min="18" max="18" width="11.7109375" style="153" customWidth="1"/>
    <col min="19" max="19" width="9.42578125" style="153" customWidth="1"/>
    <col min="20" max="20" width="11.7109375" style="153" customWidth="1"/>
    <col min="21" max="16384" width="9.140625" style="129"/>
  </cols>
  <sheetData>
    <row r="1" spans="1:22" ht="15.75" x14ac:dyDescent="0.25">
      <c r="A1" s="259" t="s">
        <v>454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2" x14ac:dyDescent="0.2">
      <c r="S2" s="261" t="s">
        <v>404</v>
      </c>
      <c r="T2" s="262"/>
    </row>
    <row r="3" spans="1:22" s="156" customFormat="1" ht="12" customHeight="1" x14ac:dyDescent="0.2">
      <c r="A3" s="263" t="s">
        <v>0</v>
      </c>
      <c r="B3" s="265" t="s">
        <v>405</v>
      </c>
      <c r="C3" s="185" t="s">
        <v>406</v>
      </c>
      <c r="D3" s="267" t="s">
        <v>407</v>
      </c>
      <c r="E3" s="268"/>
      <c r="F3" s="268"/>
      <c r="G3" s="268"/>
      <c r="H3" s="269" t="s">
        <v>408</v>
      </c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1"/>
    </row>
    <row r="4" spans="1:22" s="158" customFormat="1" ht="31.5" x14ac:dyDescent="0.25">
      <c r="A4" s="264"/>
      <c r="B4" s="266"/>
      <c r="C4" s="272" t="s">
        <v>67</v>
      </c>
      <c r="D4" s="157" t="s">
        <v>409</v>
      </c>
      <c r="E4" s="279" t="s">
        <v>410</v>
      </c>
      <c r="F4" s="280"/>
      <c r="G4" s="280"/>
      <c r="H4" s="281" t="s">
        <v>68</v>
      </c>
      <c r="I4" s="284" t="s">
        <v>410</v>
      </c>
      <c r="J4" s="285"/>
      <c r="K4" s="257" t="s">
        <v>411</v>
      </c>
      <c r="L4" s="257"/>
      <c r="M4" s="257"/>
      <c r="N4" s="257"/>
      <c r="O4" s="286"/>
      <c r="P4" s="258" t="s">
        <v>412</v>
      </c>
      <c r="Q4" s="258"/>
      <c r="R4" s="258"/>
      <c r="S4" s="258"/>
      <c r="T4" s="258"/>
    </row>
    <row r="5" spans="1:22" s="156" customFormat="1" ht="23.25" customHeight="1" x14ac:dyDescent="0.2">
      <c r="A5" s="264"/>
      <c r="B5" s="266"/>
      <c r="C5" s="273"/>
      <c r="D5" s="275" t="s">
        <v>413</v>
      </c>
      <c r="E5" s="275" t="s">
        <v>413</v>
      </c>
      <c r="F5" s="277" t="s">
        <v>414</v>
      </c>
      <c r="G5" s="278"/>
      <c r="H5" s="282"/>
      <c r="I5" s="257" t="s">
        <v>413</v>
      </c>
      <c r="J5" s="257" t="s">
        <v>415</v>
      </c>
      <c r="K5" s="258" t="s">
        <v>67</v>
      </c>
      <c r="L5" s="257" t="s">
        <v>416</v>
      </c>
      <c r="M5" s="257" t="s">
        <v>413</v>
      </c>
      <c r="N5" s="257" t="s">
        <v>417</v>
      </c>
      <c r="O5" s="257" t="s">
        <v>415</v>
      </c>
      <c r="P5" s="258" t="s">
        <v>67</v>
      </c>
      <c r="Q5" s="257" t="s">
        <v>416</v>
      </c>
      <c r="R5" s="257" t="s">
        <v>413</v>
      </c>
      <c r="S5" s="257" t="s">
        <v>417</v>
      </c>
      <c r="T5" s="257" t="s">
        <v>418</v>
      </c>
    </row>
    <row r="6" spans="1:22" s="156" customFormat="1" ht="42" x14ac:dyDescent="0.2">
      <c r="A6" s="264"/>
      <c r="B6" s="266"/>
      <c r="C6" s="274"/>
      <c r="D6" s="276"/>
      <c r="E6" s="276"/>
      <c r="F6" s="157" t="s">
        <v>419</v>
      </c>
      <c r="G6" s="159" t="s">
        <v>420</v>
      </c>
      <c r="H6" s="283"/>
      <c r="I6" s="257"/>
      <c r="J6" s="257"/>
      <c r="K6" s="258"/>
      <c r="L6" s="257"/>
      <c r="M6" s="257"/>
      <c r="N6" s="257"/>
      <c r="O6" s="257"/>
      <c r="P6" s="258"/>
      <c r="Q6" s="257"/>
      <c r="R6" s="257"/>
      <c r="S6" s="257"/>
      <c r="T6" s="257"/>
    </row>
    <row r="7" spans="1:22" x14ac:dyDescent="0.2">
      <c r="A7" s="160">
        <v>1</v>
      </c>
      <c r="B7" s="161" t="s">
        <v>81</v>
      </c>
      <c r="C7" s="162">
        <f>D7+E7+F7+G7+H7</f>
        <v>12191</v>
      </c>
      <c r="D7" s="164"/>
      <c r="E7" s="164">
        <v>200</v>
      </c>
      <c r="F7" s="164">
        <v>25</v>
      </c>
      <c r="G7" s="164">
        <v>10</v>
      </c>
      <c r="H7" s="165">
        <f>I7+K7+P7+J7</f>
        <v>11956</v>
      </c>
      <c r="I7" s="165">
        <v>2350</v>
      </c>
      <c r="J7" s="165">
        <v>30</v>
      </c>
      <c r="K7" s="165">
        <f t="shared" ref="K7:K18" si="0">L7+M7+N7+O7</f>
        <v>6181</v>
      </c>
      <c r="L7" s="164">
        <v>176</v>
      </c>
      <c r="M7" s="164">
        <f>2423+130-104</f>
        <v>2449</v>
      </c>
      <c r="N7" s="164">
        <v>3346</v>
      </c>
      <c r="O7" s="164">
        <v>210</v>
      </c>
      <c r="P7" s="164">
        <f t="shared" ref="P7:P18" si="1">Q7+R7+S7+T7</f>
        <v>3395</v>
      </c>
      <c r="Q7" s="164">
        <v>92</v>
      </c>
      <c r="R7" s="164">
        <f>1268+55+46+50+75+58</f>
        <v>1552</v>
      </c>
      <c r="S7" s="164">
        <v>1751</v>
      </c>
      <c r="T7" s="164">
        <v>0</v>
      </c>
      <c r="U7" s="166"/>
      <c r="V7" s="131"/>
    </row>
    <row r="8" spans="1:22" x14ac:dyDescent="0.2">
      <c r="A8" s="160">
        <v>2</v>
      </c>
      <c r="B8" s="167" t="s">
        <v>69</v>
      </c>
      <c r="C8" s="162">
        <f t="shared" ref="C8:C19" si="2">D8+E8+F8+G8+H8</f>
        <v>2710</v>
      </c>
      <c r="D8" s="164"/>
      <c r="E8" s="164">
        <v>20</v>
      </c>
      <c r="F8" s="164">
        <f>0+1</f>
        <v>1</v>
      </c>
      <c r="G8" s="164">
        <f>0+1</f>
        <v>1</v>
      </c>
      <c r="H8" s="165">
        <f t="shared" ref="H8:H19" si="3">I8+K8+P8+J8</f>
        <v>2688</v>
      </c>
      <c r="I8" s="165"/>
      <c r="J8" s="165"/>
      <c r="K8" s="165">
        <f t="shared" si="0"/>
        <v>90</v>
      </c>
      <c r="L8" s="164">
        <f>94-94</f>
        <v>0</v>
      </c>
      <c r="M8" s="164">
        <f>503-503</f>
        <v>0</v>
      </c>
      <c r="N8" s="164">
        <f>223-223</f>
        <v>0</v>
      </c>
      <c r="O8" s="164">
        <f>709+360-979</f>
        <v>90</v>
      </c>
      <c r="P8" s="164">
        <f t="shared" si="1"/>
        <v>2598</v>
      </c>
      <c r="Q8" s="164">
        <f>49+94</f>
        <v>143</v>
      </c>
      <c r="R8" s="164">
        <f>263+503</f>
        <v>766</v>
      </c>
      <c r="S8" s="164">
        <f>116+223</f>
        <v>339</v>
      </c>
      <c r="T8" s="164">
        <f>371+979</f>
        <v>1350</v>
      </c>
      <c r="U8" s="166"/>
      <c r="V8" s="131"/>
    </row>
    <row r="9" spans="1:22" ht="15" customHeight="1" x14ac:dyDescent="0.2">
      <c r="A9" s="160">
        <v>3</v>
      </c>
      <c r="B9" s="161" t="s">
        <v>382</v>
      </c>
      <c r="C9" s="162">
        <f t="shared" si="2"/>
        <v>95289</v>
      </c>
      <c r="D9" s="164">
        <f>660+49+57</f>
        <v>766</v>
      </c>
      <c r="E9" s="164"/>
      <c r="F9" s="164"/>
      <c r="G9" s="164"/>
      <c r="H9" s="165">
        <f t="shared" si="3"/>
        <v>94523</v>
      </c>
      <c r="I9" s="165"/>
      <c r="J9" s="165"/>
      <c r="K9" s="165">
        <f t="shared" si="0"/>
        <v>69983</v>
      </c>
      <c r="L9" s="164">
        <v>0</v>
      </c>
      <c r="M9" s="164">
        <f>16628+44217+2730+2831</f>
        <v>66406</v>
      </c>
      <c r="N9" s="164">
        <f>688+2889</f>
        <v>3577</v>
      </c>
      <c r="O9" s="164"/>
      <c r="P9" s="164">
        <f t="shared" si="1"/>
        <v>24540</v>
      </c>
      <c r="Q9" s="164">
        <v>0</v>
      </c>
      <c r="R9" s="164">
        <f>23135-32-17-15-24-18</f>
        <v>23029</v>
      </c>
      <c r="S9" s="164">
        <v>1511</v>
      </c>
      <c r="T9" s="164">
        <v>0</v>
      </c>
      <c r="U9" s="166"/>
      <c r="V9" s="131"/>
    </row>
    <row r="10" spans="1:22" x14ac:dyDescent="0.2">
      <c r="A10" s="160">
        <v>4</v>
      </c>
      <c r="B10" s="167" t="s">
        <v>388</v>
      </c>
      <c r="C10" s="162">
        <f t="shared" si="2"/>
        <v>37541</v>
      </c>
      <c r="D10" s="164">
        <v>80</v>
      </c>
      <c r="E10" s="164"/>
      <c r="F10" s="164"/>
      <c r="G10" s="164"/>
      <c r="H10" s="165">
        <f t="shared" si="3"/>
        <v>37461</v>
      </c>
      <c r="I10" s="165"/>
      <c r="J10" s="165"/>
      <c r="K10" s="165">
        <f t="shared" si="0"/>
        <v>26484</v>
      </c>
      <c r="L10" s="164">
        <f>2440+7858</f>
        <v>10298</v>
      </c>
      <c r="M10" s="164">
        <f>2672+10138</f>
        <v>12810</v>
      </c>
      <c r="N10" s="164">
        <f>348+3028</f>
        <v>3376</v>
      </c>
      <c r="O10" s="164"/>
      <c r="P10" s="164">
        <f t="shared" si="1"/>
        <v>10977</v>
      </c>
      <c r="Q10" s="164">
        <v>4111</v>
      </c>
      <c r="R10" s="164">
        <f>5305-6-5-2-10</f>
        <v>5282</v>
      </c>
      <c r="S10" s="164">
        <v>1584</v>
      </c>
      <c r="T10" s="164">
        <v>0</v>
      </c>
      <c r="U10" s="166"/>
      <c r="V10" s="131"/>
    </row>
    <row r="11" spans="1:22" x14ac:dyDescent="0.2">
      <c r="A11" s="160">
        <v>5</v>
      </c>
      <c r="B11" s="168" t="s">
        <v>379</v>
      </c>
      <c r="C11" s="162">
        <f t="shared" si="2"/>
        <v>17229</v>
      </c>
      <c r="D11" s="164"/>
      <c r="E11" s="164"/>
      <c r="F11" s="164"/>
      <c r="G11" s="164"/>
      <c r="H11" s="165">
        <f t="shared" si="3"/>
        <v>17229</v>
      </c>
      <c r="I11" s="165"/>
      <c r="J11" s="165"/>
      <c r="K11" s="165">
        <f t="shared" si="0"/>
        <v>13150</v>
      </c>
      <c r="L11" s="164">
        <v>0</v>
      </c>
      <c r="M11" s="164">
        <f>2454+5244+2730-527</f>
        <v>9901</v>
      </c>
      <c r="N11" s="164">
        <f>666+2583</f>
        <v>3249</v>
      </c>
      <c r="O11" s="164"/>
      <c r="P11" s="164">
        <f t="shared" si="1"/>
        <v>4079</v>
      </c>
      <c r="Q11" s="164">
        <v>0</v>
      </c>
      <c r="R11" s="164">
        <f>2744-2-1-12-1</f>
        <v>2728</v>
      </c>
      <c r="S11" s="164">
        <v>1351</v>
      </c>
      <c r="T11" s="164">
        <v>0</v>
      </c>
      <c r="U11" s="166"/>
      <c r="V11" s="131"/>
    </row>
    <row r="12" spans="1:22" x14ac:dyDescent="0.2">
      <c r="A12" s="160">
        <v>6</v>
      </c>
      <c r="B12" s="167" t="s">
        <v>386</v>
      </c>
      <c r="C12" s="162">
        <f t="shared" si="2"/>
        <v>17239</v>
      </c>
      <c r="D12" s="164"/>
      <c r="E12" s="164"/>
      <c r="F12" s="164"/>
      <c r="G12" s="164"/>
      <c r="H12" s="165">
        <f t="shared" si="3"/>
        <v>17239</v>
      </c>
      <c r="I12" s="165"/>
      <c r="J12" s="165"/>
      <c r="K12" s="165">
        <f t="shared" si="0"/>
        <v>11146</v>
      </c>
      <c r="L12" s="164">
        <v>0</v>
      </c>
      <c r="M12" s="164">
        <f>1051+10425-2215</f>
        <v>9261</v>
      </c>
      <c r="N12" s="164">
        <f>509+1376</f>
        <v>1885</v>
      </c>
      <c r="O12" s="164"/>
      <c r="P12" s="164">
        <f t="shared" si="1"/>
        <v>6093</v>
      </c>
      <c r="Q12" s="164">
        <v>0</v>
      </c>
      <c r="R12" s="164">
        <f>5455-23-24-16-19</f>
        <v>5373</v>
      </c>
      <c r="S12" s="164">
        <v>720</v>
      </c>
      <c r="T12" s="164">
        <v>0</v>
      </c>
      <c r="U12" s="166"/>
      <c r="V12" s="131"/>
    </row>
    <row r="13" spans="1:22" x14ac:dyDescent="0.2">
      <c r="A13" s="160">
        <v>7</v>
      </c>
      <c r="B13" s="167" t="s">
        <v>61</v>
      </c>
      <c r="C13" s="162">
        <f t="shared" si="2"/>
        <v>60</v>
      </c>
      <c r="D13" s="164"/>
      <c r="E13" s="164"/>
      <c r="F13" s="164">
        <v>60</v>
      </c>
      <c r="G13" s="164"/>
      <c r="H13" s="165">
        <f t="shared" si="3"/>
        <v>0</v>
      </c>
      <c r="I13" s="165"/>
      <c r="J13" s="165"/>
      <c r="K13" s="165">
        <f t="shared" si="0"/>
        <v>0</v>
      </c>
      <c r="L13" s="164"/>
      <c r="M13" s="164"/>
      <c r="N13" s="164"/>
      <c r="O13" s="164"/>
      <c r="P13" s="164">
        <f t="shared" si="1"/>
        <v>0</v>
      </c>
      <c r="Q13" s="164"/>
      <c r="R13" s="164"/>
      <c r="S13" s="164"/>
      <c r="T13" s="164"/>
      <c r="U13" s="166"/>
      <c r="V13" s="131"/>
    </row>
    <row r="14" spans="1:22" x14ac:dyDescent="0.2">
      <c r="A14" s="160">
        <v>8</v>
      </c>
      <c r="B14" s="167" t="s">
        <v>70</v>
      </c>
      <c r="C14" s="162">
        <f t="shared" si="2"/>
        <v>5</v>
      </c>
      <c r="D14" s="164"/>
      <c r="E14" s="164"/>
      <c r="F14" s="164">
        <v>5</v>
      </c>
      <c r="G14" s="164"/>
      <c r="H14" s="165">
        <f t="shared" si="3"/>
        <v>0</v>
      </c>
      <c r="I14" s="165"/>
      <c r="J14" s="165"/>
      <c r="K14" s="165">
        <f t="shared" si="0"/>
        <v>0</v>
      </c>
      <c r="L14" s="164"/>
      <c r="M14" s="164"/>
      <c r="N14" s="164"/>
      <c r="O14" s="164"/>
      <c r="P14" s="164">
        <f t="shared" si="1"/>
        <v>0</v>
      </c>
      <c r="Q14" s="164"/>
      <c r="R14" s="164"/>
      <c r="S14" s="164"/>
      <c r="T14" s="164"/>
      <c r="U14" s="166"/>
      <c r="V14" s="131"/>
    </row>
    <row r="15" spans="1:22" x14ac:dyDescent="0.2">
      <c r="A15" s="160">
        <v>9</v>
      </c>
      <c r="B15" s="167" t="s">
        <v>303</v>
      </c>
      <c r="C15" s="162">
        <f t="shared" si="2"/>
        <v>30</v>
      </c>
      <c r="D15" s="164"/>
      <c r="E15" s="164"/>
      <c r="F15" s="164">
        <v>30</v>
      </c>
      <c r="G15" s="164"/>
      <c r="H15" s="165">
        <f t="shared" si="3"/>
        <v>0</v>
      </c>
      <c r="I15" s="165"/>
      <c r="J15" s="165"/>
      <c r="K15" s="165">
        <f t="shared" si="0"/>
        <v>0</v>
      </c>
      <c r="L15" s="164"/>
      <c r="M15" s="164"/>
      <c r="N15" s="164"/>
      <c r="O15" s="164"/>
      <c r="P15" s="164">
        <f t="shared" si="1"/>
        <v>0</v>
      </c>
      <c r="Q15" s="164"/>
      <c r="R15" s="164"/>
      <c r="S15" s="164"/>
      <c r="T15" s="164"/>
      <c r="U15" s="166"/>
      <c r="V15" s="131"/>
    </row>
    <row r="16" spans="1:22" x14ac:dyDescent="0.2">
      <c r="A16" s="160">
        <v>10</v>
      </c>
      <c r="B16" s="167" t="s">
        <v>71</v>
      </c>
      <c r="C16" s="162">
        <f t="shared" si="2"/>
        <v>100</v>
      </c>
      <c r="D16" s="164"/>
      <c r="E16" s="164"/>
      <c r="F16" s="164">
        <v>100</v>
      </c>
      <c r="G16" s="164"/>
      <c r="H16" s="165">
        <f t="shared" si="3"/>
        <v>0</v>
      </c>
      <c r="I16" s="165"/>
      <c r="J16" s="165"/>
      <c r="K16" s="165">
        <f t="shared" si="0"/>
        <v>0</v>
      </c>
      <c r="L16" s="164"/>
      <c r="M16" s="164"/>
      <c r="N16" s="164"/>
      <c r="O16" s="164"/>
      <c r="P16" s="164">
        <f t="shared" si="1"/>
        <v>0</v>
      </c>
      <c r="Q16" s="164"/>
      <c r="R16" s="164"/>
      <c r="S16" s="164"/>
      <c r="T16" s="164"/>
      <c r="U16" s="166"/>
      <c r="V16" s="131"/>
    </row>
    <row r="17" spans="1:22" x14ac:dyDescent="0.2">
      <c r="A17" s="160">
        <v>11</v>
      </c>
      <c r="B17" s="167" t="s">
        <v>421</v>
      </c>
      <c r="C17" s="162">
        <f t="shared" si="2"/>
        <v>20</v>
      </c>
      <c r="D17" s="164"/>
      <c r="E17" s="164"/>
      <c r="F17" s="164">
        <v>20</v>
      </c>
      <c r="G17" s="164"/>
      <c r="H17" s="165">
        <f t="shared" si="3"/>
        <v>0</v>
      </c>
      <c r="I17" s="165"/>
      <c r="J17" s="165"/>
      <c r="K17" s="165">
        <f t="shared" si="0"/>
        <v>0</v>
      </c>
      <c r="L17" s="164"/>
      <c r="M17" s="164"/>
      <c r="N17" s="164"/>
      <c r="O17" s="164"/>
      <c r="P17" s="164">
        <f t="shared" si="1"/>
        <v>0</v>
      </c>
      <c r="Q17" s="164"/>
      <c r="R17" s="164"/>
      <c r="S17" s="164"/>
      <c r="T17" s="164"/>
      <c r="U17" s="166"/>
      <c r="V17" s="131"/>
    </row>
    <row r="18" spans="1:22" x14ac:dyDescent="0.2">
      <c r="A18" s="160">
        <v>12</v>
      </c>
      <c r="B18" s="161" t="s">
        <v>422</v>
      </c>
      <c r="C18" s="162">
        <f t="shared" si="2"/>
        <v>50</v>
      </c>
      <c r="D18" s="164"/>
      <c r="E18" s="164">
        <v>50</v>
      </c>
      <c r="F18" s="164"/>
      <c r="G18" s="164"/>
      <c r="H18" s="165">
        <f t="shared" si="3"/>
        <v>0</v>
      </c>
      <c r="I18" s="165"/>
      <c r="J18" s="165"/>
      <c r="K18" s="165">
        <f t="shared" si="0"/>
        <v>0</v>
      </c>
      <c r="L18" s="164"/>
      <c r="M18" s="164"/>
      <c r="N18" s="164"/>
      <c r="O18" s="164"/>
      <c r="P18" s="164">
        <f t="shared" si="1"/>
        <v>0</v>
      </c>
      <c r="Q18" s="164"/>
      <c r="R18" s="164"/>
      <c r="S18" s="164"/>
      <c r="T18" s="164"/>
      <c r="U18" s="166"/>
      <c r="V18" s="131"/>
    </row>
    <row r="19" spans="1:22" ht="24" x14ac:dyDescent="0.2">
      <c r="A19" s="160"/>
      <c r="B19" s="161" t="s">
        <v>66</v>
      </c>
      <c r="C19" s="162">
        <f t="shared" si="2"/>
        <v>11132</v>
      </c>
      <c r="D19" s="165"/>
      <c r="E19" s="165"/>
      <c r="F19" s="165"/>
      <c r="G19" s="165"/>
      <c r="H19" s="165">
        <f t="shared" si="3"/>
        <v>11132</v>
      </c>
      <c r="I19" s="165">
        <f>450-30</f>
        <v>420</v>
      </c>
      <c r="J19" s="165"/>
      <c r="K19" s="169">
        <f>L19+M19+N19</f>
        <v>10712</v>
      </c>
      <c r="L19" s="164"/>
      <c r="M19" s="164">
        <f>17022-360-5590-15-49-11-57-106-2-21-89-10</f>
        <v>10712</v>
      </c>
      <c r="N19" s="164"/>
      <c r="O19" s="164"/>
      <c r="P19" s="164"/>
      <c r="Q19" s="164"/>
      <c r="R19" s="164"/>
      <c r="S19" s="164"/>
      <c r="T19" s="164"/>
      <c r="U19" s="166"/>
      <c r="V19" s="131"/>
    </row>
    <row r="20" spans="1:22" x14ac:dyDescent="0.2">
      <c r="A20" s="160"/>
      <c r="B20" s="170" t="s">
        <v>423</v>
      </c>
      <c r="C20" s="162">
        <f>SUM(C7:C19)</f>
        <v>193596</v>
      </c>
      <c r="D20" s="163">
        <f t="shared" ref="D20:T20" si="4">SUM(D7:D19)</f>
        <v>846</v>
      </c>
      <c r="E20" s="163">
        <f t="shared" si="4"/>
        <v>270</v>
      </c>
      <c r="F20" s="163">
        <f t="shared" si="4"/>
        <v>241</v>
      </c>
      <c r="G20" s="163">
        <f t="shared" si="4"/>
        <v>11</v>
      </c>
      <c r="H20" s="163">
        <f t="shared" si="4"/>
        <v>192228</v>
      </c>
      <c r="I20" s="163">
        <f t="shared" si="4"/>
        <v>2770</v>
      </c>
      <c r="J20" s="163">
        <f t="shared" si="4"/>
        <v>30</v>
      </c>
      <c r="K20" s="163">
        <f t="shared" si="4"/>
        <v>137746</v>
      </c>
      <c r="L20" s="163">
        <f t="shared" si="4"/>
        <v>10474</v>
      </c>
      <c r="M20" s="163">
        <f t="shared" si="4"/>
        <v>111539</v>
      </c>
      <c r="N20" s="163">
        <f t="shared" si="4"/>
        <v>15433</v>
      </c>
      <c r="O20" s="163">
        <f t="shared" si="4"/>
        <v>300</v>
      </c>
      <c r="P20" s="163">
        <f t="shared" si="4"/>
        <v>51682</v>
      </c>
      <c r="Q20" s="163">
        <f t="shared" si="4"/>
        <v>4346</v>
      </c>
      <c r="R20" s="163">
        <f t="shared" si="4"/>
        <v>38730</v>
      </c>
      <c r="S20" s="163">
        <f t="shared" si="4"/>
        <v>7256</v>
      </c>
      <c r="T20" s="163">
        <f t="shared" si="4"/>
        <v>1350</v>
      </c>
      <c r="U20" s="166"/>
      <c r="V20" s="131"/>
    </row>
    <row r="26" spans="1:22" s="155" customFormat="1" x14ac:dyDescent="0.2">
      <c r="A26" s="153"/>
      <c r="B26" s="154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1:22" s="155" customFormat="1" x14ac:dyDescent="0.2">
      <c r="A27" s="153"/>
      <c r="B27" s="154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1:22" s="155" customFormat="1" x14ac:dyDescent="0.2">
      <c r="A28" s="153"/>
      <c r="B28" s="154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</row>
  </sheetData>
  <mergeCells count="27">
    <mergeCell ref="A1:T1"/>
    <mergeCell ref="S2:T2"/>
    <mergeCell ref="A3:A6"/>
    <mergeCell ref="B3:B6"/>
    <mergeCell ref="D3:G3"/>
    <mergeCell ref="H3:T3"/>
    <mergeCell ref="C4:C6"/>
    <mergeCell ref="P4:T4"/>
    <mergeCell ref="D5:D6"/>
    <mergeCell ref="E5:E6"/>
    <mergeCell ref="F5:G5"/>
    <mergeCell ref="E4:G4"/>
    <mergeCell ref="H4:H6"/>
    <mergeCell ref="I4:J4"/>
    <mergeCell ref="K4:O4"/>
    <mergeCell ref="I5:I6"/>
    <mergeCell ref="J5:J6"/>
    <mergeCell ref="K5:K6"/>
    <mergeCell ref="L5:L6"/>
    <mergeCell ref="S5:S6"/>
    <mergeCell ref="T5:T6"/>
    <mergeCell ref="M5:M6"/>
    <mergeCell ref="N5:N6"/>
    <mergeCell ref="O5:O6"/>
    <mergeCell ref="P5:P6"/>
    <mergeCell ref="Q5:Q6"/>
    <mergeCell ref="R5:R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pane xSplit="2" ySplit="4" topLeftCell="F20" activePane="bottomRight" state="frozen"/>
      <selection pane="topRight" activeCell="C1" sqref="C1"/>
      <selection pane="bottomLeft" activeCell="A5" sqref="A5"/>
      <selection pane="bottomRight" activeCell="L47" sqref="L47"/>
    </sheetView>
  </sheetViews>
  <sheetFormatPr defaultRowHeight="12" x14ac:dyDescent="0.2"/>
  <cols>
    <col min="1" max="1" width="4.42578125" style="156" customWidth="1"/>
    <col min="2" max="2" width="30.85546875" style="129" customWidth="1"/>
    <col min="3" max="3" width="9.140625" style="153" customWidth="1"/>
    <col min="4" max="4" width="7.140625" style="153" customWidth="1"/>
    <col min="5" max="5" width="8.42578125" style="153" customWidth="1"/>
    <col min="6" max="6" width="8.85546875" style="153" customWidth="1"/>
    <col min="7" max="7" width="8.42578125" style="153" customWidth="1"/>
    <col min="8" max="8" width="6.7109375" style="153" customWidth="1"/>
    <col min="9" max="10" width="8.42578125" style="153" customWidth="1"/>
    <col min="11" max="11" width="8.140625" style="153" customWidth="1"/>
    <col min="12" max="12" width="7.28515625" style="153" customWidth="1"/>
    <col min="13" max="13" width="8.85546875" style="153" customWidth="1"/>
    <col min="14" max="14" width="8.140625" style="153" customWidth="1"/>
    <col min="15" max="15" width="10.5703125" style="153" customWidth="1"/>
    <col min="16" max="16" width="7.5703125" style="153" customWidth="1"/>
    <col min="17" max="17" width="7.28515625" style="153" customWidth="1"/>
    <col min="18" max="18" width="8.140625" style="153" customWidth="1"/>
    <col min="19" max="19" width="9.28515625" style="156" customWidth="1"/>
    <col min="20" max="20" width="9.5703125" style="129" bestFit="1" customWidth="1"/>
    <col min="21" max="21" width="11.85546875" style="129" customWidth="1"/>
    <col min="22" max="16384" width="9.140625" style="129"/>
  </cols>
  <sheetData>
    <row r="1" spans="1:20" ht="18.75" x14ac:dyDescent="0.2">
      <c r="A1" s="250" t="s">
        <v>424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20" x14ac:dyDescent="0.2">
      <c r="S2" s="153" t="s">
        <v>425</v>
      </c>
    </row>
    <row r="3" spans="1:20" s="171" customFormat="1" x14ac:dyDescent="0.25">
      <c r="A3" s="287" t="s">
        <v>0</v>
      </c>
      <c r="B3" s="287" t="s">
        <v>53</v>
      </c>
      <c r="C3" s="252" t="s">
        <v>426</v>
      </c>
      <c r="D3" s="289"/>
      <c r="E3" s="289"/>
      <c r="F3" s="290"/>
      <c r="G3" s="252" t="s">
        <v>427</v>
      </c>
      <c r="H3" s="289"/>
      <c r="I3" s="289"/>
      <c r="J3" s="290"/>
      <c r="K3" s="252" t="s">
        <v>428</v>
      </c>
      <c r="L3" s="289"/>
      <c r="M3" s="290"/>
      <c r="N3" s="247" t="s">
        <v>429</v>
      </c>
      <c r="O3" s="247" t="s">
        <v>430</v>
      </c>
      <c r="P3" s="292" t="s">
        <v>431</v>
      </c>
      <c r="Q3" s="293"/>
      <c r="R3" s="294"/>
      <c r="S3" s="287" t="s">
        <v>67</v>
      </c>
    </row>
    <row r="4" spans="1:20" s="171" customFormat="1" ht="24" x14ac:dyDescent="0.25">
      <c r="A4" s="288"/>
      <c r="B4" s="288"/>
      <c r="C4" s="144" t="s">
        <v>432</v>
      </c>
      <c r="D4" s="144" t="s">
        <v>433</v>
      </c>
      <c r="E4" s="134" t="s">
        <v>434</v>
      </c>
      <c r="F4" s="134" t="s">
        <v>68</v>
      </c>
      <c r="G4" s="144" t="s">
        <v>432</v>
      </c>
      <c r="H4" s="144" t="s">
        <v>433</v>
      </c>
      <c r="I4" s="134" t="s">
        <v>434</v>
      </c>
      <c r="J4" s="134" t="s">
        <v>68</v>
      </c>
      <c r="K4" s="172" t="s">
        <v>435</v>
      </c>
      <c r="L4" s="134" t="s">
        <v>436</v>
      </c>
      <c r="M4" s="134" t="s">
        <v>68</v>
      </c>
      <c r="N4" s="291"/>
      <c r="O4" s="291"/>
      <c r="P4" s="173" t="s">
        <v>437</v>
      </c>
      <c r="Q4" s="173" t="s">
        <v>438</v>
      </c>
      <c r="R4" s="134" t="s">
        <v>68</v>
      </c>
      <c r="S4" s="288"/>
    </row>
    <row r="5" spans="1:20" x14ac:dyDescent="0.2">
      <c r="A5" s="145">
        <v>1</v>
      </c>
      <c r="B5" s="174" t="s">
        <v>28</v>
      </c>
      <c r="C5" s="175">
        <v>1605</v>
      </c>
      <c r="D5" s="175">
        <v>198</v>
      </c>
      <c r="E5" s="175"/>
      <c r="F5" s="136">
        <f t="shared" ref="F5:F31" si="0">C5+D5+E5</f>
        <v>1803</v>
      </c>
      <c r="G5" s="136"/>
      <c r="H5" s="136"/>
      <c r="I5" s="136"/>
      <c r="J5" s="136">
        <f>G5+H5+I5</f>
        <v>0</v>
      </c>
      <c r="K5" s="136"/>
      <c r="L5" s="136"/>
      <c r="M5" s="136"/>
      <c r="N5" s="136"/>
      <c r="O5" s="136"/>
      <c r="P5" s="136"/>
      <c r="Q5" s="136"/>
      <c r="R5" s="136">
        <f>P5+Q5</f>
        <v>0</v>
      </c>
      <c r="S5" s="136">
        <f>F5+J5+M5+N5+O5+R5</f>
        <v>1803</v>
      </c>
      <c r="T5" s="131"/>
    </row>
    <row r="6" spans="1:20" x14ac:dyDescent="0.2">
      <c r="A6" s="145">
        <v>2</v>
      </c>
      <c r="B6" s="174" t="s">
        <v>13</v>
      </c>
      <c r="C6" s="175">
        <v>2625</v>
      </c>
      <c r="D6" s="175"/>
      <c r="E6" s="175">
        <v>102</v>
      </c>
      <c r="F6" s="136">
        <f t="shared" si="0"/>
        <v>2727</v>
      </c>
      <c r="G6" s="136"/>
      <c r="H6" s="136"/>
      <c r="I6" s="136"/>
      <c r="J6" s="136">
        <f t="shared" ref="J6:J54" si="1">G6+H6+I6</f>
        <v>0</v>
      </c>
      <c r="K6" s="136"/>
      <c r="L6" s="136"/>
      <c r="M6" s="136"/>
      <c r="N6" s="136"/>
      <c r="O6" s="136"/>
      <c r="P6" s="136">
        <f>2200-200</f>
        <v>2000</v>
      </c>
      <c r="Q6" s="136">
        <f>2200-400</f>
        <v>1800</v>
      </c>
      <c r="R6" s="136">
        <f t="shared" ref="R6:R54" si="2">P6+Q6</f>
        <v>3800</v>
      </c>
      <c r="S6" s="136">
        <f t="shared" ref="S6:S54" si="3">F6+J6+M6+N6+O6+R6</f>
        <v>6527</v>
      </c>
      <c r="T6" s="131"/>
    </row>
    <row r="7" spans="1:20" x14ac:dyDescent="0.2">
      <c r="A7" s="145">
        <v>3</v>
      </c>
      <c r="B7" s="176" t="s">
        <v>14</v>
      </c>
      <c r="C7" s="175">
        <v>397</v>
      </c>
      <c r="D7" s="175">
        <v>33</v>
      </c>
      <c r="E7" s="175"/>
      <c r="F7" s="136">
        <f t="shared" si="0"/>
        <v>430</v>
      </c>
      <c r="G7" s="136"/>
      <c r="H7" s="136"/>
      <c r="I7" s="136"/>
      <c r="J7" s="136">
        <f t="shared" si="1"/>
        <v>0</v>
      </c>
      <c r="K7" s="136"/>
      <c r="L7" s="136"/>
      <c r="M7" s="136"/>
      <c r="N7" s="136"/>
      <c r="O7" s="136"/>
      <c r="P7" s="136"/>
      <c r="Q7" s="136"/>
      <c r="R7" s="136">
        <f t="shared" si="2"/>
        <v>0</v>
      </c>
      <c r="S7" s="136">
        <f t="shared" si="3"/>
        <v>430</v>
      </c>
      <c r="T7" s="131"/>
    </row>
    <row r="8" spans="1:20" x14ac:dyDescent="0.2">
      <c r="A8" s="145">
        <v>4</v>
      </c>
      <c r="B8" s="174" t="s">
        <v>1</v>
      </c>
      <c r="C8" s="175">
        <v>2000</v>
      </c>
      <c r="D8" s="175"/>
      <c r="E8" s="175">
        <v>157</v>
      </c>
      <c r="F8" s="136">
        <f t="shared" si="0"/>
        <v>2157</v>
      </c>
      <c r="G8" s="136"/>
      <c r="H8" s="136"/>
      <c r="I8" s="136"/>
      <c r="J8" s="136">
        <f t="shared" si="1"/>
        <v>0</v>
      </c>
      <c r="K8" s="136"/>
      <c r="L8" s="136"/>
      <c r="M8" s="136"/>
      <c r="N8" s="136"/>
      <c r="O8" s="136"/>
      <c r="P8" s="136">
        <f>1300-250</f>
        <v>1050</v>
      </c>
      <c r="Q8" s="136">
        <f>1300-300</f>
        <v>1000</v>
      </c>
      <c r="R8" s="136">
        <f t="shared" si="2"/>
        <v>2050</v>
      </c>
      <c r="S8" s="136">
        <f t="shared" si="3"/>
        <v>4207</v>
      </c>
      <c r="T8" s="131"/>
    </row>
    <row r="9" spans="1:20" x14ac:dyDescent="0.2">
      <c r="A9" s="145">
        <v>5</v>
      </c>
      <c r="B9" s="174" t="s">
        <v>2</v>
      </c>
      <c r="C9" s="175">
        <v>1610</v>
      </c>
      <c r="D9" s="175"/>
      <c r="E9" s="175">
        <v>193</v>
      </c>
      <c r="F9" s="136">
        <f t="shared" si="0"/>
        <v>1803</v>
      </c>
      <c r="G9" s="136"/>
      <c r="H9" s="136"/>
      <c r="I9" s="136"/>
      <c r="J9" s="136">
        <f t="shared" si="1"/>
        <v>0</v>
      </c>
      <c r="K9" s="136"/>
      <c r="L9" s="136"/>
      <c r="M9" s="136"/>
      <c r="N9" s="136"/>
      <c r="O9" s="136"/>
      <c r="P9" s="136"/>
      <c r="Q9" s="136"/>
      <c r="R9" s="136">
        <f t="shared" si="2"/>
        <v>0</v>
      </c>
      <c r="S9" s="136">
        <f t="shared" si="3"/>
        <v>1803</v>
      </c>
      <c r="T9" s="131"/>
    </row>
    <row r="10" spans="1:20" x14ac:dyDescent="0.2">
      <c r="A10" s="145">
        <v>6</v>
      </c>
      <c r="B10" s="174" t="s">
        <v>421</v>
      </c>
      <c r="C10" s="175">
        <v>2200</v>
      </c>
      <c r="D10" s="175"/>
      <c r="E10" s="175">
        <f>230-193</f>
        <v>37</v>
      </c>
      <c r="F10" s="136">
        <f t="shared" si="0"/>
        <v>2237</v>
      </c>
      <c r="G10" s="136"/>
      <c r="H10" s="136"/>
      <c r="I10" s="136"/>
      <c r="J10" s="136">
        <f t="shared" si="1"/>
        <v>0</v>
      </c>
      <c r="K10" s="136"/>
      <c r="L10" s="136"/>
      <c r="M10" s="136"/>
      <c r="N10" s="136"/>
      <c r="O10" s="136"/>
      <c r="P10" s="136">
        <v>2500</v>
      </c>
      <c r="Q10" s="136">
        <v>2500</v>
      </c>
      <c r="R10" s="136">
        <f t="shared" si="2"/>
        <v>5000</v>
      </c>
      <c r="S10" s="136">
        <f t="shared" si="3"/>
        <v>7237</v>
      </c>
      <c r="T10" s="131"/>
    </row>
    <row r="11" spans="1:20" x14ac:dyDescent="0.2">
      <c r="A11" s="145">
        <v>7</v>
      </c>
      <c r="B11" s="174" t="s">
        <v>47</v>
      </c>
      <c r="C11" s="175">
        <v>900</v>
      </c>
      <c r="D11" s="175">
        <v>400</v>
      </c>
      <c r="E11" s="175"/>
      <c r="F11" s="136">
        <f t="shared" si="0"/>
        <v>1300</v>
      </c>
      <c r="G11" s="136"/>
      <c r="H11" s="136"/>
      <c r="I11" s="136"/>
      <c r="J11" s="136">
        <f t="shared" si="1"/>
        <v>0</v>
      </c>
      <c r="K11" s="136"/>
      <c r="L11" s="136"/>
      <c r="M11" s="136"/>
      <c r="N11" s="136"/>
      <c r="O11" s="136"/>
      <c r="P11" s="136">
        <f>1100-150</f>
        <v>950</v>
      </c>
      <c r="Q11" s="136">
        <f>1100-150</f>
        <v>950</v>
      </c>
      <c r="R11" s="136">
        <f t="shared" si="2"/>
        <v>1900</v>
      </c>
      <c r="S11" s="136">
        <f t="shared" si="3"/>
        <v>3200</v>
      </c>
      <c r="T11" s="131"/>
    </row>
    <row r="12" spans="1:20" x14ac:dyDescent="0.2">
      <c r="A12" s="145">
        <v>8</v>
      </c>
      <c r="B12" s="174" t="s">
        <v>439</v>
      </c>
      <c r="C12" s="175">
        <v>364</v>
      </c>
      <c r="D12" s="175"/>
      <c r="E12" s="175"/>
      <c r="F12" s="136">
        <f t="shared" si="0"/>
        <v>364</v>
      </c>
      <c r="G12" s="136"/>
      <c r="H12" s="136"/>
      <c r="I12" s="136"/>
      <c r="J12" s="136">
        <f t="shared" si="1"/>
        <v>0</v>
      </c>
      <c r="K12" s="136"/>
      <c r="L12" s="136"/>
      <c r="M12" s="136"/>
      <c r="N12" s="136"/>
      <c r="O12" s="136"/>
      <c r="P12" s="136"/>
      <c r="Q12" s="136"/>
      <c r="R12" s="136">
        <f t="shared" si="2"/>
        <v>0</v>
      </c>
      <c r="S12" s="136">
        <f t="shared" si="3"/>
        <v>364</v>
      </c>
      <c r="T12" s="131"/>
    </row>
    <row r="13" spans="1:20" x14ac:dyDescent="0.2">
      <c r="A13" s="145">
        <v>9</v>
      </c>
      <c r="B13" s="174" t="s">
        <v>72</v>
      </c>
      <c r="C13" s="175">
        <v>1500</v>
      </c>
      <c r="D13" s="175">
        <v>100</v>
      </c>
      <c r="E13" s="175">
        <v>100</v>
      </c>
      <c r="F13" s="136">
        <f t="shared" si="0"/>
        <v>1700</v>
      </c>
      <c r="G13" s="136"/>
      <c r="H13" s="136"/>
      <c r="I13" s="136"/>
      <c r="J13" s="136">
        <f t="shared" si="1"/>
        <v>0</v>
      </c>
      <c r="K13" s="136"/>
      <c r="L13" s="136"/>
      <c r="M13" s="136"/>
      <c r="N13" s="136"/>
      <c r="O13" s="136"/>
      <c r="P13" s="136">
        <f>2000-400</f>
        <v>1600</v>
      </c>
      <c r="Q13" s="136">
        <f>2000-400</f>
        <v>1600</v>
      </c>
      <c r="R13" s="136">
        <f t="shared" si="2"/>
        <v>3200</v>
      </c>
      <c r="S13" s="136">
        <f t="shared" si="3"/>
        <v>4900</v>
      </c>
      <c r="T13" s="131"/>
    </row>
    <row r="14" spans="1:20" x14ac:dyDescent="0.2">
      <c r="A14" s="145">
        <v>10</v>
      </c>
      <c r="B14" s="177" t="s">
        <v>440</v>
      </c>
      <c r="C14" s="175"/>
      <c r="D14" s="175"/>
      <c r="E14" s="175"/>
      <c r="F14" s="136">
        <f t="shared" si="0"/>
        <v>0</v>
      </c>
      <c r="G14" s="136">
        <v>625</v>
      </c>
      <c r="H14" s="136"/>
      <c r="I14" s="136"/>
      <c r="J14" s="136">
        <f t="shared" si="1"/>
        <v>625</v>
      </c>
      <c r="K14" s="136"/>
      <c r="L14" s="136"/>
      <c r="M14" s="136"/>
      <c r="N14" s="136"/>
      <c r="O14" s="136"/>
      <c r="P14" s="136"/>
      <c r="Q14" s="136"/>
      <c r="R14" s="136">
        <f t="shared" si="2"/>
        <v>0</v>
      </c>
      <c r="S14" s="136">
        <f t="shared" si="3"/>
        <v>625</v>
      </c>
      <c r="T14" s="131"/>
    </row>
    <row r="15" spans="1:20" x14ac:dyDescent="0.2">
      <c r="A15" s="145">
        <v>11</v>
      </c>
      <c r="B15" s="174" t="s">
        <v>12</v>
      </c>
      <c r="C15" s="175">
        <v>1650</v>
      </c>
      <c r="D15" s="175">
        <v>125</v>
      </c>
      <c r="E15" s="175">
        <v>30</v>
      </c>
      <c r="F15" s="136">
        <f t="shared" si="0"/>
        <v>1805</v>
      </c>
      <c r="G15" s="136"/>
      <c r="H15" s="136"/>
      <c r="I15" s="136"/>
      <c r="J15" s="136">
        <f t="shared" si="1"/>
        <v>0</v>
      </c>
      <c r="K15" s="136"/>
      <c r="L15" s="136"/>
      <c r="M15" s="136"/>
      <c r="N15" s="136"/>
      <c r="O15" s="136"/>
      <c r="P15" s="136"/>
      <c r="Q15" s="136"/>
      <c r="R15" s="136">
        <f t="shared" si="2"/>
        <v>0</v>
      </c>
      <c r="S15" s="136">
        <f t="shared" si="3"/>
        <v>1805</v>
      </c>
      <c r="T15" s="131"/>
    </row>
    <row r="16" spans="1:20" x14ac:dyDescent="0.2">
      <c r="A16" s="145">
        <v>12</v>
      </c>
      <c r="B16" s="174" t="s">
        <v>422</v>
      </c>
      <c r="C16" s="175">
        <f>3200+180</f>
        <v>3380</v>
      </c>
      <c r="D16" s="175">
        <f>260-130</f>
        <v>130</v>
      </c>
      <c r="E16" s="175">
        <f>100-50</f>
        <v>50</v>
      </c>
      <c r="F16" s="136">
        <f t="shared" si="0"/>
        <v>3560</v>
      </c>
      <c r="G16" s="136">
        <v>1440</v>
      </c>
      <c r="H16" s="136">
        <v>100</v>
      </c>
      <c r="I16" s="136"/>
      <c r="J16" s="136">
        <f t="shared" si="1"/>
        <v>1540</v>
      </c>
      <c r="K16" s="136"/>
      <c r="L16" s="136"/>
      <c r="M16" s="136"/>
      <c r="N16" s="136">
        <v>6000</v>
      </c>
      <c r="O16" s="136"/>
      <c r="P16" s="136"/>
      <c r="Q16" s="136"/>
      <c r="R16" s="136">
        <f t="shared" si="2"/>
        <v>0</v>
      </c>
      <c r="S16" s="136">
        <f t="shared" si="3"/>
        <v>11100</v>
      </c>
      <c r="T16" s="131"/>
    </row>
    <row r="17" spans="1:20" x14ac:dyDescent="0.2">
      <c r="A17" s="145">
        <v>13</v>
      </c>
      <c r="B17" s="174" t="s">
        <v>441</v>
      </c>
      <c r="C17" s="175">
        <v>2475</v>
      </c>
      <c r="D17" s="175">
        <v>260</v>
      </c>
      <c r="E17" s="175"/>
      <c r="F17" s="136">
        <f t="shared" si="0"/>
        <v>2735</v>
      </c>
      <c r="G17" s="136"/>
      <c r="H17" s="136"/>
      <c r="I17" s="136"/>
      <c r="J17" s="136">
        <f t="shared" si="1"/>
        <v>0</v>
      </c>
      <c r="K17" s="136"/>
      <c r="L17" s="136"/>
      <c r="M17" s="136"/>
      <c r="N17" s="136"/>
      <c r="O17" s="136"/>
      <c r="P17" s="136">
        <f>5500-1500</f>
        <v>4000</v>
      </c>
      <c r="Q17" s="136">
        <f>5500-2000</f>
        <v>3500</v>
      </c>
      <c r="R17" s="136">
        <f t="shared" si="2"/>
        <v>7500</v>
      </c>
      <c r="S17" s="136">
        <f t="shared" si="3"/>
        <v>10235</v>
      </c>
      <c r="T17" s="131"/>
    </row>
    <row r="18" spans="1:20" x14ac:dyDescent="0.2">
      <c r="A18" s="145">
        <v>14</v>
      </c>
      <c r="B18" s="174" t="s">
        <v>19</v>
      </c>
      <c r="C18" s="175">
        <v>651</v>
      </c>
      <c r="D18" s="175">
        <v>185</v>
      </c>
      <c r="E18" s="175"/>
      <c r="F18" s="136">
        <f t="shared" si="0"/>
        <v>836</v>
      </c>
      <c r="G18" s="136"/>
      <c r="H18" s="136"/>
      <c r="I18" s="136"/>
      <c r="J18" s="136">
        <f t="shared" si="1"/>
        <v>0</v>
      </c>
      <c r="K18" s="136"/>
      <c r="L18" s="136"/>
      <c r="M18" s="136"/>
      <c r="N18" s="136"/>
      <c r="O18" s="136"/>
      <c r="P18" s="136"/>
      <c r="Q18" s="136"/>
      <c r="R18" s="136">
        <f t="shared" si="2"/>
        <v>0</v>
      </c>
      <c r="S18" s="136">
        <f t="shared" si="3"/>
        <v>836</v>
      </c>
      <c r="T18" s="131"/>
    </row>
    <row r="19" spans="1:20" x14ac:dyDescent="0.2">
      <c r="A19" s="145">
        <v>15</v>
      </c>
      <c r="B19" s="174" t="s">
        <v>74</v>
      </c>
      <c r="C19" s="175">
        <v>2500</v>
      </c>
      <c r="D19" s="175">
        <v>248</v>
      </c>
      <c r="E19" s="175"/>
      <c r="F19" s="136">
        <f t="shared" si="0"/>
        <v>2748</v>
      </c>
      <c r="G19" s="136"/>
      <c r="H19" s="136"/>
      <c r="I19" s="136"/>
      <c r="J19" s="136">
        <f t="shared" si="1"/>
        <v>0</v>
      </c>
      <c r="K19" s="136"/>
      <c r="L19" s="136"/>
      <c r="M19" s="136"/>
      <c r="N19" s="136"/>
      <c r="O19" s="136"/>
      <c r="P19" s="136">
        <f>1600-600</f>
        <v>1000</v>
      </c>
      <c r="Q19" s="136">
        <f>1600-250</f>
        <v>1350</v>
      </c>
      <c r="R19" s="136">
        <f t="shared" si="2"/>
        <v>2350</v>
      </c>
      <c r="S19" s="136">
        <f t="shared" si="3"/>
        <v>5098</v>
      </c>
      <c r="T19" s="131"/>
    </row>
    <row r="20" spans="1:20" x14ac:dyDescent="0.2">
      <c r="A20" s="145">
        <v>16</v>
      </c>
      <c r="B20" s="174" t="s">
        <v>20</v>
      </c>
      <c r="C20" s="175">
        <v>2600</v>
      </c>
      <c r="D20" s="175"/>
      <c r="E20" s="175">
        <v>274</v>
      </c>
      <c r="F20" s="136">
        <f t="shared" si="0"/>
        <v>2874</v>
      </c>
      <c r="G20" s="136"/>
      <c r="H20" s="136"/>
      <c r="I20" s="136"/>
      <c r="J20" s="136">
        <f t="shared" si="1"/>
        <v>0</v>
      </c>
      <c r="K20" s="136"/>
      <c r="L20" s="136"/>
      <c r="M20" s="136"/>
      <c r="N20" s="136"/>
      <c r="O20" s="136"/>
      <c r="P20" s="136"/>
      <c r="Q20" s="136"/>
      <c r="R20" s="136">
        <f t="shared" si="2"/>
        <v>0</v>
      </c>
      <c r="S20" s="136">
        <f t="shared" si="3"/>
        <v>2874</v>
      </c>
      <c r="T20" s="131"/>
    </row>
    <row r="21" spans="1:20" x14ac:dyDescent="0.2">
      <c r="A21" s="145">
        <v>17</v>
      </c>
      <c r="B21" s="174" t="s">
        <v>73</v>
      </c>
      <c r="C21" s="175">
        <v>4050</v>
      </c>
      <c r="D21" s="175">
        <v>367</v>
      </c>
      <c r="E21" s="175"/>
      <c r="F21" s="136">
        <f t="shared" si="0"/>
        <v>4417</v>
      </c>
      <c r="G21" s="136"/>
      <c r="H21" s="136"/>
      <c r="I21" s="136"/>
      <c r="J21" s="136">
        <f t="shared" si="1"/>
        <v>0</v>
      </c>
      <c r="K21" s="136"/>
      <c r="L21" s="136"/>
      <c r="M21" s="136"/>
      <c r="N21" s="136"/>
      <c r="O21" s="136"/>
      <c r="P21" s="136">
        <f>1043-1043</f>
        <v>0</v>
      </c>
      <c r="Q21" s="136">
        <f>1025-1025</f>
        <v>0</v>
      </c>
      <c r="R21" s="136">
        <f t="shared" si="2"/>
        <v>0</v>
      </c>
      <c r="S21" s="136">
        <f t="shared" si="3"/>
        <v>4417</v>
      </c>
      <c r="T21" s="131"/>
    </row>
    <row r="22" spans="1:20" x14ac:dyDescent="0.2">
      <c r="A22" s="145">
        <v>18</v>
      </c>
      <c r="B22" s="174" t="s">
        <v>442</v>
      </c>
      <c r="C22" s="175"/>
      <c r="D22" s="175"/>
      <c r="E22" s="175"/>
      <c r="F22" s="136">
        <f t="shared" si="0"/>
        <v>0</v>
      </c>
      <c r="G22" s="136"/>
      <c r="H22" s="136"/>
      <c r="I22" s="136"/>
      <c r="J22" s="136">
        <f t="shared" si="1"/>
        <v>0</v>
      </c>
      <c r="K22" s="136"/>
      <c r="L22" s="136"/>
      <c r="M22" s="136"/>
      <c r="N22" s="136"/>
      <c r="O22" s="136"/>
      <c r="P22" s="136">
        <f>2500-400-1043</f>
        <v>1057</v>
      </c>
      <c r="Q22" s="136">
        <f>2500-1000-1025</f>
        <v>475</v>
      </c>
      <c r="R22" s="136">
        <f t="shared" si="2"/>
        <v>1532</v>
      </c>
      <c r="S22" s="136">
        <f t="shared" si="3"/>
        <v>1532</v>
      </c>
      <c r="T22" s="131"/>
    </row>
    <row r="23" spans="1:20" s="171" customFormat="1" ht="36" x14ac:dyDescent="0.25">
      <c r="A23" s="186">
        <v>19</v>
      </c>
      <c r="B23" s="187" t="s">
        <v>455</v>
      </c>
      <c r="C23" s="175"/>
      <c r="D23" s="175"/>
      <c r="E23" s="175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>
        <f>0+1043</f>
        <v>1043</v>
      </c>
      <c r="Q23" s="144">
        <f>0+1025</f>
        <v>1025</v>
      </c>
      <c r="R23" s="144">
        <f t="shared" si="2"/>
        <v>2068</v>
      </c>
      <c r="S23" s="144">
        <f t="shared" si="3"/>
        <v>2068</v>
      </c>
      <c r="T23" s="130"/>
    </row>
    <row r="24" spans="1:20" x14ac:dyDescent="0.2">
      <c r="A24" s="145">
        <v>20</v>
      </c>
      <c r="B24" s="176" t="s">
        <v>27</v>
      </c>
      <c r="C24" s="175">
        <v>1290</v>
      </c>
      <c r="D24" s="175"/>
      <c r="E24" s="175"/>
      <c r="F24" s="136">
        <f t="shared" si="0"/>
        <v>1290</v>
      </c>
      <c r="G24" s="136"/>
      <c r="H24" s="136"/>
      <c r="I24" s="136"/>
      <c r="J24" s="136">
        <f t="shared" si="1"/>
        <v>0</v>
      </c>
      <c r="K24" s="136"/>
      <c r="L24" s="136"/>
      <c r="M24" s="136"/>
      <c r="N24" s="136"/>
      <c r="O24" s="136"/>
      <c r="P24" s="136">
        <f>1800-700</f>
        <v>1100</v>
      </c>
      <c r="Q24" s="136">
        <f>1800-800</f>
        <v>1000</v>
      </c>
      <c r="R24" s="136">
        <f t="shared" si="2"/>
        <v>2100</v>
      </c>
      <c r="S24" s="136">
        <f t="shared" si="3"/>
        <v>3390</v>
      </c>
      <c r="T24" s="131"/>
    </row>
    <row r="25" spans="1:20" x14ac:dyDescent="0.2">
      <c r="A25" s="145">
        <v>21</v>
      </c>
      <c r="B25" s="178" t="s">
        <v>443</v>
      </c>
      <c r="C25" s="175">
        <v>1920</v>
      </c>
      <c r="D25" s="175">
        <v>223</v>
      </c>
      <c r="E25" s="175"/>
      <c r="F25" s="136">
        <f t="shared" si="0"/>
        <v>2143</v>
      </c>
      <c r="G25" s="136"/>
      <c r="H25" s="136"/>
      <c r="I25" s="136"/>
      <c r="J25" s="136">
        <f t="shared" si="1"/>
        <v>0</v>
      </c>
      <c r="K25" s="136"/>
      <c r="L25" s="136"/>
      <c r="M25" s="136"/>
      <c r="N25" s="136"/>
      <c r="O25" s="136"/>
      <c r="P25" s="136">
        <f>2100-300</f>
        <v>1800</v>
      </c>
      <c r="Q25" s="136">
        <f>2100-100</f>
        <v>2000</v>
      </c>
      <c r="R25" s="136">
        <f t="shared" si="2"/>
        <v>3800</v>
      </c>
      <c r="S25" s="136">
        <f t="shared" si="3"/>
        <v>5943</v>
      </c>
      <c r="T25" s="131"/>
    </row>
    <row r="26" spans="1:20" x14ac:dyDescent="0.2">
      <c r="A26" s="145">
        <v>23</v>
      </c>
      <c r="B26" s="174" t="s">
        <v>75</v>
      </c>
      <c r="C26" s="175">
        <v>1200</v>
      </c>
      <c r="D26" s="175"/>
      <c r="E26" s="175"/>
      <c r="F26" s="136">
        <f t="shared" si="0"/>
        <v>1200</v>
      </c>
      <c r="G26" s="136"/>
      <c r="H26" s="136"/>
      <c r="I26" s="136"/>
      <c r="J26" s="136">
        <f t="shared" si="1"/>
        <v>0</v>
      </c>
      <c r="K26" s="136"/>
      <c r="L26" s="136"/>
      <c r="M26" s="136"/>
      <c r="N26" s="136"/>
      <c r="O26" s="136"/>
      <c r="P26" s="136"/>
      <c r="Q26" s="136"/>
      <c r="R26" s="136">
        <f t="shared" si="2"/>
        <v>0</v>
      </c>
      <c r="S26" s="136">
        <f t="shared" si="3"/>
        <v>1200</v>
      </c>
      <c r="T26" s="131"/>
    </row>
    <row r="27" spans="1:20" x14ac:dyDescent="0.2">
      <c r="A27" s="145">
        <v>24</v>
      </c>
      <c r="B27" s="174" t="s">
        <v>76</v>
      </c>
      <c r="C27" s="175">
        <v>5500</v>
      </c>
      <c r="D27" s="175">
        <v>295</v>
      </c>
      <c r="E27" s="175">
        <v>20</v>
      </c>
      <c r="F27" s="136">
        <f t="shared" si="0"/>
        <v>5815</v>
      </c>
      <c r="G27" s="136"/>
      <c r="H27" s="136"/>
      <c r="I27" s="136"/>
      <c r="J27" s="136">
        <f t="shared" si="1"/>
        <v>0</v>
      </c>
      <c r="K27" s="136"/>
      <c r="L27" s="136"/>
      <c r="M27" s="136"/>
      <c r="N27" s="136"/>
      <c r="O27" s="136"/>
      <c r="P27" s="136"/>
      <c r="Q27" s="136"/>
      <c r="R27" s="136">
        <f t="shared" si="2"/>
        <v>0</v>
      </c>
      <c r="S27" s="136">
        <f t="shared" si="3"/>
        <v>5815</v>
      </c>
      <c r="T27" s="131"/>
    </row>
    <row r="28" spans="1:20" x14ac:dyDescent="0.2">
      <c r="A28" s="145">
        <v>25</v>
      </c>
      <c r="B28" s="174" t="s">
        <v>444</v>
      </c>
      <c r="C28" s="175"/>
      <c r="D28" s="175"/>
      <c r="E28" s="175"/>
      <c r="F28" s="136">
        <f t="shared" si="0"/>
        <v>0</v>
      </c>
      <c r="G28" s="136"/>
      <c r="H28" s="136"/>
      <c r="I28" s="136"/>
      <c r="J28" s="136">
        <f t="shared" si="1"/>
        <v>0</v>
      </c>
      <c r="K28" s="136"/>
      <c r="L28" s="136"/>
      <c r="M28" s="136"/>
      <c r="N28" s="136"/>
      <c r="O28" s="136"/>
      <c r="P28" s="136">
        <f>3000-1400</f>
        <v>1600</v>
      </c>
      <c r="Q28" s="136">
        <f>3000-1400</f>
        <v>1600</v>
      </c>
      <c r="R28" s="136">
        <f t="shared" si="2"/>
        <v>3200</v>
      </c>
      <c r="S28" s="136">
        <f t="shared" si="3"/>
        <v>3200</v>
      </c>
      <c r="T28" s="131"/>
    </row>
    <row r="29" spans="1:20" x14ac:dyDescent="0.2">
      <c r="A29" s="145">
        <v>27</v>
      </c>
      <c r="B29" s="174" t="s">
        <v>445</v>
      </c>
      <c r="C29" s="175">
        <v>3300</v>
      </c>
      <c r="D29" s="175">
        <v>393</v>
      </c>
      <c r="E29" s="175"/>
      <c r="F29" s="136">
        <f t="shared" si="0"/>
        <v>3693</v>
      </c>
      <c r="G29" s="136"/>
      <c r="H29" s="136"/>
      <c r="I29" s="136"/>
      <c r="J29" s="136">
        <f t="shared" si="1"/>
        <v>0</v>
      </c>
      <c r="K29" s="136"/>
      <c r="L29" s="136"/>
      <c r="M29" s="136"/>
      <c r="N29" s="136"/>
      <c r="O29" s="136"/>
      <c r="P29" s="136"/>
      <c r="Q29" s="136"/>
      <c r="R29" s="136">
        <f t="shared" si="2"/>
        <v>0</v>
      </c>
      <c r="S29" s="136">
        <f t="shared" si="3"/>
        <v>3693</v>
      </c>
      <c r="T29" s="131"/>
    </row>
    <row r="30" spans="1:20" x14ac:dyDescent="0.2">
      <c r="A30" s="145">
        <v>28</v>
      </c>
      <c r="B30" s="174" t="s">
        <v>77</v>
      </c>
      <c r="C30" s="175">
        <v>870</v>
      </c>
      <c r="D30" s="175">
        <v>150</v>
      </c>
      <c r="E30" s="175"/>
      <c r="F30" s="136">
        <f t="shared" si="0"/>
        <v>1020</v>
      </c>
      <c r="G30" s="136"/>
      <c r="H30" s="136"/>
      <c r="I30" s="136"/>
      <c r="J30" s="136">
        <f t="shared" si="1"/>
        <v>0</v>
      </c>
      <c r="K30" s="136"/>
      <c r="L30" s="136"/>
      <c r="M30" s="136"/>
      <c r="N30" s="136"/>
      <c r="O30" s="136"/>
      <c r="P30" s="136"/>
      <c r="Q30" s="136"/>
      <c r="R30" s="136">
        <f t="shared" si="2"/>
        <v>0</v>
      </c>
      <c r="S30" s="136">
        <f t="shared" si="3"/>
        <v>1020</v>
      </c>
      <c r="T30" s="131"/>
    </row>
    <row r="31" spans="1:20" x14ac:dyDescent="0.2">
      <c r="A31" s="145">
        <v>29</v>
      </c>
      <c r="B31" s="174" t="s">
        <v>78</v>
      </c>
      <c r="C31" s="175">
        <f>2800+2</f>
        <v>2802</v>
      </c>
      <c r="D31" s="175">
        <v>300</v>
      </c>
      <c r="E31" s="175">
        <v>123</v>
      </c>
      <c r="F31" s="136">
        <f t="shared" si="0"/>
        <v>3225</v>
      </c>
      <c r="G31" s="136"/>
      <c r="H31" s="136"/>
      <c r="I31" s="136"/>
      <c r="J31" s="136">
        <f t="shared" si="1"/>
        <v>0</v>
      </c>
      <c r="K31" s="136"/>
      <c r="L31" s="136"/>
      <c r="M31" s="136"/>
      <c r="N31" s="136"/>
      <c r="O31" s="136"/>
      <c r="P31" s="136">
        <f>3300-1150</f>
        <v>2150</v>
      </c>
      <c r="Q31" s="136">
        <f>3300-1250</f>
        <v>2050</v>
      </c>
      <c r="R31" s="136">
        <f t="shared" si="2"/>
        <v>4200</v>
      </c>
      <c r="S31" s="136">
        <f t="shared" si="3"/>
        <v>7425</v>
      </c>
      <c r="T31" s="131"/>
    </row>
    <row r="32" spans="1:20" x14ac:dyDescent="0.2">
      <c r="A32" s="145">
        <v>30</v>
      </c>
      <c r="B32" s="174" t="s">
        <v>446</v>
      </c>
      <c r="C32" s="175">
        <v>2300</v>
      </c>
      <c r="D32" s="175">
        <v>65</v>
      </c>
      <c r="E32" s="175">
        <v>5</v>
      </c>
      <c r="F32" s="136">
        <f>C32+D32+E32</f>
        <v>2370</v>
      </c>
      <c r="G32" s="136"/>
      <c r="H32" s="136"/>
      <c r="I32" s="136"/>
      <c r="J32" s="136">
        <f t="shared" si="1"/>
        <v>0</v>
      </c>
      <c r="K32" s="136"/>
      <c r="L32" s="136"/>
      <c r="M32" s="136"/>
      <c r="N32" s="136"/>
      <c r="O32" s="136"/>
      <c r="P32" s="136"/>
      <c r="Q32" s="136"/>
      <c r="R32" s="136">
        <f t="shared" si="2"/>
        <v>0</v>
      </c>
      <c r="S32" s="136">
        <f t="shared" si="3"/>
        <v>2370</v>
      </c>
      <c r="T32" s="131"/>
    </row>
    <row r="33" spans="1:20" x14ac:dyDescent="0.2">
      <c r="A33" s="145">
        <v>31</v>
      </c>
      <c r="B33" s="174" t="s">
        <v>71</v>
      </c>
      <c r="C33" s="175">
        <v>3500</v>
      </c>
      <c r="D33" s="175">
        <v>390</v>
      </c>
      <c r="E33" s="175">
        <v>200</v>
      </c>
      <c r="F33" s="136">
        <f>C33+D33+E33</f>
        <v>4090</v>
      </c>
      <c r="G33" s="136">
        <v>3544</v>
      </c>
      <c r="H33" s="136"/>
      <c r="I33" s="136">
        <v>300</v>
      </c>
      <c r="J33" s="136">
        <f t="shared" si="1"/>
        <v>3844</v>
      </c>
      <c r="K33" s="136"/>
      <c r="L33" s="136"/>
      <c r="M33" s="136"/>
      <c r="N33" s="136"/>
      <c r="O33" s="136"/>
      <c r="P33" s="136"/>
      <c r="Q33" s="136"/>
      <c r="R33" s="136">
        <f t="shared" si="2"/>
        <v>0</v>
      </c>
      <c r="S33" s="136">
        <f t="shared" si="3"/>
        <v>7934</v>
      </c>
      <c r="T33" s="131"/>
    </row>
    <row r="34" spans="1:20" x14ac:dyDescent="0.2">
      <c r="A34" s="145">
        <v>33</v>
      </c>
      <c r="B34" s="174" t="s">
        <v>79</v>
      </c>
      <c r="C34" s="175"/>
      <c r="D34" s="175"/>
      <c r="E34" s="175"/>
      <c r="F34" s="136">
        <f t="shared" ref="F34:F54" si="4">C34+D34+E34</f>
        <v>0</v>
      </c>
      <c r="G34" s="136"/>
      <c r="H34" s="136"/>
      <c r="I34" s="136"/>
      <c r="J34" s="136">
        <f t="shared" si="1"/>
        <v>0</v>
      </c>
      <c r="K34" s="136"/>
      <c r="L34" s="136"/>
      <c r="M34" s="136"/>
      <c r="N34" s="136"/>
      <c r="O34" s="136"/>
      <c r="P34" s="136">
        <f>2100-100</f>
        <v>2000</v>
      </c>
      <c r="Q34" s="136">
        <f>2100-100</f>
        <v>2000</v>
      </c>
      <c r="R34" s="136">
        <f t="shared" si="2"/>
        <v>4000</v>
      </c>
      <c r="S34" s="136">
        <f t="shared" si="3"/>
        <v>4000</v>
      </c>
      <c r="T34" s="131"/>
    </row>
    <row r="35" spans="1:20" x14ac:dyDescent="0.2">
      <c r="A35" s="145">
        <v>34</v>
      </c>
      <c r="B35" s="174" t="s">
        <v>58</v>
      </c>
      <c r="C35" s="175">
        <v>6500</v>
      </c>
      <c r="D35" s="175"/>
      <c r="E35" s="175">
        <v>2130</v>
      </c>
      <c r="F35" s="136">
        <f t="shared" si="4"/>
        <v>8630</v>
      </c>
      <c r="G35" s="136">
        <v>2106</v>
      </c>
      <c r="H35" s="136">
        <v>100</v>
      </c>
      <c r="I35" s="136"/>
      <c r="J35" s="136">
        <f t="shared" si="1"/>
        <v>2206</v>
      </c>
      <c r="K35" s="136">
        <v>500</v>
      </c>
      <c r="L35" s="136"/>
      <c r="M35" s="136">
        <f>K35+L35</f>
        <v>500</v>
      </c>
      <c r="N35" s="136"/>
      <c r="O35" s="136"/>
      <c r="P35" s="136"/>
      <c r="Q35" s="136"/>
      <c r="R35" s="136">
        <f t="shared" si="2"/>
        <v>0</v>
      </c>
      <c r="S35" s="136">
        <f t="shared" si="3"/>
        <v>11336</v>
      </c>
      <c r="T35" s="131"/>
    </row>
    <row r="36" spans="1:20" x14ac:dyDescent="0.2">
      <c r="A36" s="145">
        <v>36</v>
      </c>
      <c r="B36" s="179" t="s">
        <v>447</v>
      </c>
      <c r="C36" s="175"/>
      <c r="D36" s="175"/>
      <c r="E36" s="175"/>
      <c r="F36" s="136">
        <f t="shared" si="4"/>
        <v>0</v>
      </c>
      <c r="G36" s="136">
        <f>700+100</f>
        <v>800</v>
      </c>
      <c r="H36" s="136">
        <v>39</v>
      </c>
      <c r="I36" s="136"/>
      <c r="J36" s="136">
        <f t="shared" si="1"/>
        <v>839</v>
      </c>
      <c r="K36" s="136"/>
      <c r="L36" s="136"/>
      <c r="M36" s="136"/>
      <c r="N36" s="136"/>
      <c r="O36" s="136"/>
      <c r="P36" s="136"/>
      <c r="Q36" s="136"/>
      <c r="R36" s="136">
        <f t="shared" si="2"/>
        <v>0</v>
      </c>
      <c r="S36" s="136">
        <f t="shared" si="3"/>
        <v>839</v>
      </c>
      <c r="T36" s="131"/>
    </row>
    <row r="37" spans="1:20" x14ac:dyDescent="0.2">
      <c r="A37" s="145">
        <v>37</v>
      </c>
      <c r="B37" s="179" t="s">
        <v>448</v>
      </c>
      <c r="C37" s="175"/>
      <c r="D37" s="175"/>
      <c r="E37" s="175"/>
      <c r="F37" s="136">
        <f t="shared" si="4"/>
        <v>0</v>
      </c>
      <c r="G37" s="136">
        <v>390</v>
      </c>
      <c r="H37" s="136"/>
      <c r="I37" s="136"/>
      <c r="J37" s="136">
        <f t="shared" si="1"/>
        <v>390</v>
      </c>
      <c r="K37" s="136"/>
      <c r="L37" s="136"/>
      <c r="M37" s="136"/>
      <c r="N37" s="136"/>
      <c r="O37" s="136"/>
      <c r="P37" s="136"/>
      <c r="Q37" s="136"/>
      <c r="R37" s="136">
        <f t="shared" si="2"/>
        <v>0</v>
      </c>
      <c r="S37" s="136">
        <f t="shared" si="3"/>
        <v>390</v>
      </c>
      <c r="T37" s="131"/>
    </row>
    <row r="38" spans="1:20" x14ac:dyDescent="0.2">
      <c r="A38" s="145">
        <v>38</v>
      </c>
      <c r="B38" s="179" t="s">
        <v>449</v>
      </c>
      <c r="C38" s="175">
        <v>920</v>
      </c>
      <c r="D38" s="175">
        <v>90</v>
      </c>
      <c r="E38" s="175"/>
      <c r="F38" s="136">
        <f t="shared" si="4"/>
        <v>1010</v>
      </c>
      <c r="G38" s="136">
        <f>875-127</f>
        <v>748</v>
      </c>
      <c r="H38" s="136">
        <f>36+60</f>
        <v>96</v>
      </c>
      <c r="I38" s="136"/>
      <c r="J38" s="136">
        <f t="shared" si="1"/>
        <v>844</v>
      </c>
      <c r="K38" s="136"/>
      <c r="L38" s="136"/>
      <c r="M38" s="136"/>
      <c r="N38" s="136"/>
      <c r="O38" s="136"/>
      <c r="P38" s="136"/>
      <c r="Q38" s="136"/>
      <c r="R38" s="136">
        <f t="shared" si="2"/>
        <v>0</v>
      </c>
      <c r="S38" s="136">
        <f t="shared" si="3"/>
        <v>1854</v>
      </c>
      <c r="T38" s="131"/>
    </row>
    <row r="39" spans="1:20" x14ac:dyDescent="0.2">
      <c r="A39" s="145">
        <v>39</v>
      </c>
      <c r="B39" s="174" t="s">
        <v>299</v>
      </c>
      <c r="C39" s="175">
        <v>9000</v>
      </c>
      <c r="D39" s="175"/>
      <c r="E39" s="175">
        <f>1300+400</f>
        <v>1700</v>
      </c>
      <c r="F39" s="136">
        <f t="shared" si="4"/>
        <v>10700</v>
      </c>
      <c r="G39" s="136">
        <f>5000-948</f>
        <v>4052</v>
      </c>
      <c r="H39" s="136"/>
      <c r="I39" s="136">
        <f>700-50</f>
        <v>650</v>
      </c>
      <c r="J39" s="136">
        <f t="shared" si="1"/>
        <v>4702</v>
      </c>
      <c r="K39" s="136">
        <f>3400+100</f>
        <v>3500</v>
      </c>
      <c r="L39" s="136">
        <v>1440</v>
      </c>
      <c r="M39" s="136">
        <f>K39+L39</f>
        <v>4940</v>
      </c>
      <c r="N39" s="136"/>
      <c r="O39" s="136"/>
      <c r="P39" s="136"/>
      <c r="Q39" s="136"/>
      <c r="R39" s="136">
        <f t="shared" si="2"/>
        <v>0</v>
      </c>
      <c r="S39" s="136">
        <f t="shared" si="3"/>
        <v>20342</v>
      </c>
      <c r="T39" s="131"/>
    </row>
    <row r="40" spans="1:20" x14ac:dyDescent="0.2">
      <c r="A40" s="145">
        <v>40</v>
      </c>
      <c r="B40" s="174" t="s">
        <v>311</v>
      </c>
      <c r="C40" s="175">
        <f>11000+1900</f>
        <v>12900</v>
      </c>
      <c r="D40" s="175"/>
      <c r="E40" s="175">
        <f>4356+300</f>
        <v>4656</v>
      </c>
      <c r="F40" s="136">
        <f t="shared" si="4"/>
        <v>17556</v>
      </c>
      <c r="G40" s="136">
        <f>5070+1550</f>
        <v>6620</v>
      </c>
      <c r="H40" s="136"/>
      <c r="I40" s="136">
        <f>395+250</f>
        <v>645</v>
      </c>
      <c r="J40" s="136">
        <f t="shared" si="1"/>
        <v>7265</v>
      </c>
      <c r="K40" s="136">
        <f>6100+100</f>
        <v>6200</v>
      </c>
      <c r="L40" s="136"/>
      <c r="M40" s="136">
        <f>K40+L40</f>
        <v>6200</v>
      </c>
      <c r="N40" s="136">
        <v>40000</v>
      </c>
      <c r="O40" s="136"/>
      <c r="P40" s="136"/>
      <c r="Q40" s="136"/>
      <c r="R40" s="136">
        <f t="shared" si="2"/>
        <v>0</v>
      </c>
      <c r="S40" s="136">
        <f t="shared" si="3"/>
        <v>71021</v>
      </c>
      <c r="T40" s="131"/>
    </row>
    <row r="41" spans="1:20" x14ac:dyDescent="0.2">
      <c r="A41" s="145">
        <v>41</v>
      </c>
      <c r="B41" s="174" t="s">
        <v>61</v>
      </c>
      <c r="C41" s="175">
        <v>700</v>
      </c>
      <c r="D41" s="175"/>
      <c r="E41" s="175">
        <f>1700+200</f>
        <v>1900</v>
      </c>
      <c r="F41" s="136">
        <f t="shared" si="4"/>
        <v>2600</v>
      </c>
      <c r="G41" s="136"/>
      <c r="H41" s="136"/>
      <c r="I41" s="136"/>
      <c r="J41" s="136">
        <f t="shared" si="1"/>
        <v>0</v>
      </c>
      <c r="K41" s="136">
        <v>950</v>
      </c>
      <c r="L41" s="136"/>
      <c r="M41" s="136">
        <f>K41+L41</f>
        <v>950</v>
      </c>
      <c r="N41" s="136"/>
      <c r="O41" s="136"/>
      <c r="P41" s="136"/>
      <c r="Q41" s="136"/>
      <c r="R41" s="136">
        <f t="shared" si="2"/>
        <v>0</v>
      </c>
      <c r="S41" s="136">
        <f t="shared" si="3"/>
        <v>3550</v>
      </c>
      <c r="T41" s="131"/>
    </row>
    <row r="42" spans="1:20" x14ac:dyDescent="0.2">
      <c r="A42" s="145">
        <v>42</v>
      </c>
      <c r="B42" s="174" t="s">
        <v>69</v>
      </c>
      <c r="C42" s="175">
        <v>2200</v>
      </c>
      <c r="D42" s="175"/>
      <c r="E42" s="175"/>
      <c r="F42" s="136">
        <f t="shared" si="4"/>
        <v>2200</v>
      </c>
      <c r="G42" s="136">
        <v>2000</v>
      </c>
      <c r="H42" s="136"/>
      <c r="I42" s="136"/>
      <c r="J42" s="136">
        <f t="shared" si="1"/>
        <v>2000</v>
      </c>
      <c r="K42" s="136"/>
      <c r="L42" s="136"/>
      <c r="M42" s="136"/>
      <c r="N42" s="136"/>
      <c r="O42" s="136"/>
      <c r="P42" s="136"/>
      <c r="Q42" s="136"/>
      <c r="R42" s="136">
        <f t="shared" si="2"/>
        <v>0</v>
      </c>
      <c r="S42" s="136">
        <f t="shared" si="3"/>
        <v>4200</v>
      </c>
      <c r="T42" s="131"/>
    </row>
    <row r="43" spans="1:20" x14ac:dyDescent="0.2">
      <c r="A43" s="145">
        <v>43</v>
      </c>
      <c r="B43" s="179" t="s">
        <v>302</v>
      </c>
      <c r="C43" s="175"/>
      <c r="D43" s="175"/>
      <c r="E43" s="175"/>
      <c r="F43" s="136">
        <f t="shared" si="4"/>
        <v>0</v>
      </c>
      <c r="G43" s="136">
        <f>2000+440-150</f>
        <v>2290</v>
      </c>
      <c r="H43" s="136"/>
      <c r="I43" s="136">
        <f>100+27</f>
        <v>127</v>
      </c>
      <c r="J43" s="136">
        <f t="shared" si="1"/>
        <v>2417</v>
      </c>
      <c r="K43" s="136"/>
      <c r="L43" s="136"/>
      <c r="M43" s="136"/>
      <c r="N43" s="136"/>
      <c r="O43" s="136"/>
      <c r="P43" s="136">
        <f>7000-1000</f>
        <v>6000</v>
      </c>
      <c r="Q43" s="136">
        <f>7000-1000</f>
        <v>6000</v>
      </c>
      <c r="R43" s="136">
        <f t="shared" si="2"/>
        <v>12000</v>
      </c>
      <c r="S43" s="136">
        <f t="shared" si="3"/>
        <v>14417</v>
      </c>
      <c r="T43" s="131"/>
    </row>
    <row r="44" spans="1:20" x14ac:dyDescent="0.2">
      <c r="A44" s="145">
        <v>44</v>
      </c>
      <c r="B44" s="174" t="s">
        <v>64</v>
      </c>
      <c r="C44" s="175">
        <v>1320</v>
      </c>
      <c r="D44" s="175">
        <v>150</v>
      </c>
      <c r="E44" s="175">
        <v>500</v>
      </c>
      <c r="F44" s="136">
        <f t="shared" si="4"/>
        <v>1970</v>
      </c>
      <c r="G44" s="136"/>
      <c r="H44" s="136"/>
      <c r="I44" s="136"/>
      <c r="J44" s="136">
        <f t="shared" si="1"/>
        <v>0</v>
      </c>
      <c r="K44" s="136"/>
      <c r="L44" s="136"/>
      <c r="M44" s="136"/>
      <c r="N44" s="136"/>
      <c r="O44" s="136"/>
      <c r="P44" s="136"/>
      <c r="Q44" s="136"/>
      <c r="R44" s="136">
        <f t="shared" si="2"/>
        <v>0</v>
      </c>
      <c r="S44" s="136">
        <f t="shared" si="3"/>
        <v>1970</v>
      </c>
      <c r="T44" s="131"/>
    </row>
    <row r="45" spans="1:20" x14ac:dyDescent="0.2">
      <c r="A45" s="145">
        <v>45</v>
      </c>
      <c r="B45" s="178" t="s">
        <v>70</v>
      </c>
      <c r="C45" s="175">
        <v>5200</v>
      </c>
      <c r="D45" s="175">
        <v>700</v>
      </c>
      <c r="E45" s="175">
        <v>1000</v>
      </c>
      <c r="F45" s="136">
        <f t="shared" si="4"/>
        <v>6900</v>
      </c>
      <c r="G45" s="136">
        <f>4576-45+50</f>
        <v>4581</v>
      </c>
      <c r="H45" s="136">
        <f>445+45</f>
        <v>490</v>
      </c>
      <c r="I45" s="136">
        <v>100</v>
      </c>
      <c r="J45" s="136">
        <f t="shared" si="1"/>
        <v>5171</v>
      </c>
      <c r="K45" s="136"/>
      <c r="L45" s="136"/>
      <c r="M45" s="136"/>
      <c r="N45" s="136"/>
      <c r="O45" s="136"/>
      <c r="P45" s="136"/>
      <c r="Q45" s="136"/>
      <c r="R45" s="136">
        <f t="shared" si="2"/>
        <v>0</v>
      </c>
      <c r="S45" s="136">
        <f t="shared" si="3"/>
        <v>12071</v>
      </c>
      <c r="T45" s="131"/>
    </row>
    <row r="46" spans="1:20" ht="12.75" x14ac:dyDescent="0.2">
      <c r="A46" s="145">
        <v>46</v>
      </c>
      <c r="B46" s="178" t="s">
        <v>303</v>
      </c>
      <c r="C46" s="180">
        <f>5200+500-2</f>
        <v>5698</v>
      </c>
      <c r="D46" s="175">
        <v>600</v>
      </c>
      <c r="E46" s="175"/>
      <c r="F46" s="136">
        <f t="shared" si="4"/>
        <v>6298</v>
      </c>
      <c r="G46" s="136"/>
      <c r="H46" s="136"/>
      <c r="I46" s="136"/>
      <c r="J46" s="136">
        <f t="shared" si="1"/>
        <v>0</v>
      </c>
      <c r="K46" s="184">
        <f>2000-500-700</f>
        <v>800</v>
      </c>
      <c r="L46" s="136"/>
      <c r="M46" s="136">
        <f t="shared" ref="M46" si="5">K46+L46</f>
        <v>800</v>
      </c>
      <c r="N46" s="136"/>
      <c r="O46" s="136"/>
      <c r="P46" s="136"/>
      <c r="Q46" s="136"/>
      <c r="R46" s="136">
        <f t="shared" si="2"/>
        <v>0</v>
      </c>
      <c r="S46" s="136">
        <f t="shared" si="3"/>
        <v>7098</v>
      </c>
      <c r="T46" s="131"/>
    </row>
    <row r="47" spans="1:20" x14ac:dyDescent="0.2">
      <c r="A47" s="145">
        <v>47</v>
      </c>
      <c r="B47" s="174" t="s">
        <v>450</v>
      </c>
      <c r="C47" s="175"/>
      <c r="D47" s="175"/>
      <c r="E47" s="175"/>
      <c r="F47" s="136">
        <f t="shared" si="4"/>
        <v>0</v>
      </c>
      <c r="G47" s="136"/>
      <c r="H47" s="136"/>
      <c r="I47" s="136"/>
      <c r="J47" s="136">
        <f t="shared" si="1"/>
        <v>0</v>
      </c>
      <c r="K47" s="136"/>
      <c r="L47" s="136"/>
      <c r="M47" s="136"/>
      <c r="N47" s="136"/>
      <c r="O47" s="136">
        <f>5000-4166+1109</f>
        <v>1943</v>
      </c>
      <c r="P47" s="136"/>
      <c r="Q47" s="136"/>
      <c r="R47" s="136">
        <f t="shared" si="2"/>
        <v>0</v>
      </c>
      <c r="S47" s="136">
        <f t="shared" si="3"/>
        <v>1943</v>
      </c>
      <c r="T47" s="131"/>
    </row>
    <row r="48" spans="1:20" x14ac:dyDescent="0.2">
      <c r="A48" s="145">
        <v>48</v>
      </c>
      <c r="B48" s="174" t="s">
        <v>451</v>
      </c>
      <c r="C48" s="175">
        <v>1930</v>
      </c>
      <c r="D48" s="175"/>
      <c r="E48" s="175"/>
      <c r="F48" s="136">
        <f t="shared" si="4"/>
        <v>1930</v>
      </c>
      <c r="G48" s="136"/>
      <c r="H48" s="136"/>
      <c r="I48" s="136"/>
      <c r="J48" s="136">
        <f t="shared" si="1"/>
        <v>0</v>
      </c>
      <c r="K48" s="136"/>
      <c r="L48" s="136"/>
      <c r="M48" s="136"/>
      <c r="N48" s="136"/>
      <c r="O48" s="136"/>
      <c r="P48" s="136"/>
      <c r="Q48" s="136"/>
      <c r="R48" s="136">
        <f t="shared" si="2"/>
        <v>0</v>
      </c>
      <c r="S48" s="136">
        <f t="shared" si="3"/>
        <v>1930</v>
      </c>
      <c r="T48" s="131"/>
    </row>
    <row r="49" spans="1:20" x14ac:dyDescent="0.2">
      <c r="A49" s="145">
        <v>49</v>
      </c>
      <c r="B49" s="174" t="s">
        <v>39</v>
      </c>
      <c r="C49" s="175">
        <v>220</v>
      </c>
      <c r="D49" s="175"/>
      <c r="E49" s="175"/>
      <c r="F49" s="136">
        <f t="shared" si="4"/>
        <v>220</v>
      </c>
      <c r="G49" s="136"/>
      <c r="H49" s="136"/>
      <c r="I49" s="136"/>
      <c r="J49" s="136">
        <f t="shared" si="1"/>
        <v>0</v>
      </c>
      <c r="K49" s="136"/>
      <c r="L49" s="136"/>
      <c r="M49" s="136"/>
      <c r="N49" s="136"/>
      <c r="O49" s="136"/>
      <c r="P49" s="136"/>
      <c r="Q49" s="136"/>
      <c r="R49" s="136">
        <f t="shared" si="2"/>
        <v>0</v>
      </c>
      <c r="S49" s="136">
        <f t="shared" si="3"/>
        <v>220</v>
      </c>
      <c r="T49" s="131"/>
    </row>
    <row r="50" spans="1:20" ht="24" x14ac:dyDescent="0.2">
      <c r="A50" s="145">
        <v>50</v>
      </c>
      <c r="B50" s="174" t="s">
        <v>452</v>
      </c>
      <c r="C50" s="175">
        <v>913</v>
      </c>
      <c r="D50" s="175">
        <v>90</v>
      </c>
      <c r="E50" s="175"/>
      <c r="F50" s="136">
        <f t="shared" si="4"/>
        <v>1003</v>
      </c>
      <c r="G50" s="136"/>
      <c r="H50" s="136"/>
      <c r="I50" s="136"/>
      <c r="J50" s="136">
        <f t="shared" si="1"/>
        <v>0</v>
      </c>
      <c r="K50" s="136"/>
      <c r="L50" s="136"/>
      <c r="M50" s="136"/>
      <c r="N50" s="136"/>
      <c r="O50" s="136"/>
      <c r="P50" s="136">
        <f>2500-900</f>
        <v>1600</v>
      </c>
      <c r="Q50" s="136">
        <f>2500-900</f>
        <v>1600</v>
      </c>
      <c r="R50" s="136">
        <f t="shared" si="2"/>
        <v>3200</v>
      </c>
      <c r="S50" s="136">
        <f t="shared" si="3"/>
        <v>4203</v>
      </c>
      <c r="T50" s="131"/>
    </row>
    <row r="51" spans="1:20" x14ac:dyDescent="0.2">
      <c r="A51" s="145">
        <v>51</v>
      </c>
      <c r="B51" s="174" t="s">
        <v>281</v>
      </c>
      <c r="C51" s="175">
        <v>355</v>
      </c>
      <c r="D51" s="175">
        <v>35</v>
      </c>
      <c r="E51" s="175"/>
      <c r="F51" s="136">
        <f t="shared" si="4"/>
        <v>390</v>
      </c>
      <c r="G51" s="136"/>
      <c r="H51" s="136"/>
      <c r="I51" s="136"/>
      <c r="J51" s="136">
        <f t="shared" si="1"/>
        <v>0</v>
      </c>
      <c r="K51" s="136"/>
      <c r="L51" s="136"/>
      <c r="M51" s="136"/>
      <c r="N51" s="136"/>
      <c r="O51" s="136"/>
      <c r="P51" s="136"/>
      <c r="Q51" s="136"/>
      <c r="R51" s="136">
        <f t="shared" si="2"/>
        <v>0</v>
      </c>
      <c r="S51" s="136">
        <f t="shared" si="3"/>
        <v>390</v>
      </c>
      <c r="T51" s="131"/>
    </row>
    <row r="52" spans="1:20" x14ac:dyDescent="0.2">
      <c r="A52" s="145">
        <v>52</v>
      </c>
      <c r="B52" s="174" t="s">
        <v>453</v>
      </c>
      <c r="C52" s="175"/>
      <c r="D52" s="175"/>
      <c r="E52" s="175"/>
      <c r="F52" s="136">
        <f t="shared" si="4"/>
        <v>0</v>
      </c>
      <c r="G52" s="136">
        <f>440-440</f>
        <v>0</v>
      </c>
      <c r="H52" s="136"/>
      <c r="I52" s="136"/>
      <c r="J52" s="136">
        <f t="shared" si="1"/>
        <v>0</v>
      </c>
      <c r="K52" s="136"/>
      <c r="L52" s="136"/>
      <c r="M52" s="136"/>
      <c r="N52" s="136"/>
      <c r="O52" s="136"/>
      <c r="P52" s="136"/>
      <c r="Q52" s="136"/>
      <c r="R52" s="136">
        <f t="shared" si="2"/>
        <v>0</v>
      </c>
      <c r="S52" s="136">
        <f t="shared" si="3"/>
        <v>0</v>
      </c>
      <c r="T52" s="131"/>
    </row>
    <row r="53" spans="1:20" x14ac:dyDescent="0.2">
      <c r="A53" s="156">
        <v>53</v>
      </c>
      <c r="B53" s="174" t="s">
        <v>80</v>
      </c>
      <c r="C53" s="136"/>
      <c r="D53" s="175"/>
      <c r="E53" s="175"/>
      <c r="F53" s="136">
        <f t="shared" si="4"/>
        <v>0</v>
      </c>
      <c r="G53" s="136">
        <v>0</v>
      </c>
      <c r="H53" s="136"/>
      <c r="I53" s="136"/>
      <c r="J53" s="136">
        <f t="shared" si="1"/>
        <v>0</v>
      </c>
      <c r="K53" s="136"/>
      <c r="L53" s="136"/>
      <c r="M53" s="136"/>
      <c r="N53" s="136"/>
      <c r="O53" s="136"/>
      <c r="P53" s="136">
        <f>3500+500</f>
        <v>4000</v>
      </c>
      <c r="Q53" s="136">
        <f>3500+500</f>
        <v>4000</v>
      </c>
      <c r="R53" s="136">
        <f t="shared" si="2"/>
        <v>8000</v>
      </c>
      <c r="S53" s="136">
        <f t="shared" si="3"/>
        <v>8000</v>
      </c>
      <c r="T53" s="131"/>
    </row>
    <row r="54" spans="1:20" x14ac:dyDescent="0.2">
      <c r="A54" s="145"/>
      <c r="B54" s="181" t="s">
        <v>66</v>
      </c>
      <c r="C54" s="136">
        <f>3364-1900</f>
        <v>1464</v>
      </c>
      <c r="D54" s="136">
        <v>0</v>
      </c>
      <c r="E54" s="136">
        <f>1230-500</f>
        <v>730</v>
      </c>
      <c r="F54" s="136">
        <f t="shared" si="4"/>
        <v>2194</v>
      </c>
      <c r="G54" s="136">
        <f>330-330</f>
        <v>0</v>
      </c>
      <c r="H54" s="136">
        <v>0</v>
      </c>
      <c r="I54" s="136">
        <f>1378-673</f>
        <v>705</v>
      </c>
      <c r="J54" s="136">
        <f t="shared" si="1"/>
        <v>705</v>
      </c>
      <c r="K54" s="136">
        <v>2600</v>
      </c>
      <c r="L54" s="136">
        <v>0</v>
      </c>
      <c r="M54" s="136">
        <f t="shared" ref="M54" si="6">K54+L54</f>
        <v>2600</v>
      </c>
      <c r="N54" s="136">
        <v>0</v>
      </c>
      <c r="O54" s="136">
        <v>0</v>
      </c>
      <c r="P54" s="136">
        <v>0</v>
      </c>
      <c r="Q54" s="136">
        <v>0</v>
      </c>
      <c r="R54" s="136">
        <f t="shared" si="2"/>
        <v>0</v>
      </c>
      <c r="S54" s="136">
        <f t="shared" si="3"/>
        <v>5499</v>
      </c>
      <c r="T54" s="131"/>
    </row>
    <row r="55" spans="1:20" x14ac:dyDescent="0.2">
      <c r="A55" s="145"/>
      <c r="B55" s="182" t="s">
        <v>67</v>
      </c>
      <c r="C55" s="183">
        <f t="shared" ref="C55:S55" si="7">SUM(C5:C54)</f>
        <v>102509</v>
      </c>
      <c r="D55" s="183">
        <f t="shared" si="7"/>
        <v>5527</v>
      </c>
      <c r="E55" s="183">
        <f t="shared" si="7"/>
        <v>13907</v>
      </c>
      <c r="F55" s="183">
        <f t="shared" si="7"/>
        <v>121943</v>
      </c>
      <c r="G55" s="183">
        <f t="shared" si="7"/>
        <v>29196</v>
      </c>
      <c r="H55" s="183">
        <f t="shared" si="7"/>
        <v>825</v>
      </c>
      <c r="I55" s="183">
        <f t="shared" si="7"/>
        <v>2527</v>
      </c>
      <c r="J55" s="183">
        <f t="shared" si="7"/>
        <v>32548</v>
      </c>
      <c r="K55" s="183">
        <f t="shared" si="7"/>
        <v>14550</v>
      </c>
      <c r="L55" s="183">
        <f t="shared" si="7"/>
        <v>1440</v>
      </c>
      <c r="M55" s="183">
        <f t="shared" si="7"/>
        <v>15990</v>
      </c>
      <c r="N55" s="183">
        <f t="shared" si="7"/>
        <v>46000</v>
      </c>
      <c r="O55" s="183">
        <f t="shared" si="7"/>
        <v>1943</v>
      </c>
      <c r="P55" s="183">
        <f t="shared" si="7"/>
        <v>35450</v>
      </c>
      <c r="Q55" s="183">
        <f t="shared" si="7"/>
        <v>34450</v>
      </c>
      <c r="R55" s="183">
        <f t="shared" si="7"/>
        <v>69900</v>
      </c>
      <c r="S55" s="183">
        <f t="shared" si="7"/>
        <v>288324</v>
      </c>
      <c r="T55" s="131"/>
    </row>
  </sheetData>
  <mergeCells count="10">
    <mergeCell ref="A1:S1"/>
    <mergeCell ref="A3:A4"/>
    <mergeCell ref="B3:B4"/>
    <mergeCell ref="C3:F3"/>
    <mergeCell ref="G3:J3"/>
    <mergeCell ref="K3:M3"/>
    <mergeCell ref="N3:N4"/>
    <mergeCell ref="O3:O4"/>
    <mergeCell ref="P3:R3"/>
    <mergeCell ref="S3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zoomScale="90" zoomScaleNormal="90"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E196" sqref="E196"/>
    </sheetView>
  </sheetViews>
  <sheetFormatPr defaultRowHeight="12.75" x14ac:dyDescent="0.2"/>
  <cols>
    <col min="1" max="1" width="3.5703125" style="55" customWidth="1"/>
    <col min="2" max="2" width="44.5703125" style="55" customWidth="1"/>
    <col min="3" max="3" width="9.5703125" style="63" customWidth="1"/>
    <col min="4" max="5" width="8.28515625" style="63" customWidth="1"/>
    <col min="6" max="6" width="10.42578125" style="59" customWidth="1"/>
    <col min="7" max="8" width="7.85546875" style="63" customWidth="1"/>
    <col min="9" max="9" width="8.85546875" style="63" customWidth="1"/>
    <col min="10" max="10" width="8" style="63" customWidth="1"/>
    <col min="11" max="11" width="8.7109375" style="63" customWidth="1"/>
    <col min="12" max="12" width="10.140625" style="63" customWidth="1"/>
    <col min="13" max="13" width="12.42578125" style="63" customWidth="1"/>
    <col min="14" max="14" width="13" style="63" customWidth="1"/>
    <col min="15" max="16384" width="9.140625" style="55"/>
  </cols>
  <sheetData>
    <row r="1" spans="1:16" ht="42.75" customHeight="1" x14ac:dyDescent="0.25">
      <c r="A1" s="295" t="s">
        <v>207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6" ht="16.5" customHeight="1" x14ac:dyDescent="0.25">
      <c r="A2" s="64"/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</row>
    <row r="3" spans="1:16" s="7" customFormat="1" ht="18" customHeight="1" x14ac:dyDescent="0.2">
      <c r="A3" s="297" t="s">
        <v>0</v>
      </c>
      <c r="B3" s="297" t="s">
        <v>89</v>
      </c>
      <c r="C3" s="300" t="s">
        <v>208</v>
      </c>
      <c r="D3" s="303" t="s">
        <v>209</v>
      </c>
      <c r="E3" s="304"/>
      <c r="F3" s="307" t="s">
        <v>210</v>
      </c>
      <c r="G3" s="308" t="s">
        <v>196</v>
      </c>
      <c r="H3" s="309"/>
      <c r="I3" s="309"/>
      <c r="J3" s="309"/>
      <c r="K3" s="309"/>
      <c r="L3" s="309"/>
      <c r="M3" s="309"/>
      <c r="N3" s="310"/>
    </row>
    <row r="4" spans="1:16" s="7" customFormat="1" ht="20.25" customHeight="1" x14ac:dyDescent="0.2">
      <c r="A4" s="298"/>
      <c r="B4" s="298"/>
      <c r="C4" s="301"/>
      <c r="D4" s="305"/>
      <c r="E4" s="306"/>
      <c r="F4" s="307"/>
      <c r="G4" s="311" t="s">
        <v>211</v>
      </c>
      <c r="H4" s="311" t="s">
        <v>242</v>
      </c>
      <c r="I4" s="311" t="s">
        <v>212</v>
      </c>
      <c r="J4" s="311" t="s">
        <v>213</v>
      </c>
      <c r="K4" s="311" t="s">
        <v>214</v>
      </c>
      <c r="L4" s="307" t="s">
        <v>215</v>
      </c>
      <c r="M4" s="307"/>
      <c r="N4" s="307"/>
    </row>
    <row r="5" spans="1:16" s="7" customFormat="1" ht="24" customHeight="1" x14ac:dyDescent="0.2">
      <c r="A5" s="298"/>
      <c r="B5" s="298"/>
      <c r="C5" s="301"/>
      <c r="D5" s="300" t="s">
        <v>216</v>
      </c>
      <c r="E5" s="300" t="s">
        <v>217</v>
      </c>
      <c r="F5" s="307"/>
      <c r="G5" s="312"/>
      <c r="H5" s="312"/>
      <c r="I5" s="312"/>
      <c r="J5" s="312"/>
      <c r="K5" s="312"/>
      <c r="L5" s="307" t="s">
        <v>68</v>
      </c>
      <c r="M5" s="307" t="s">
        <v>82</v>
      </c>
      <c r="N5" s="307"/>
    </row>
    <row r="6" spans="1:16" s="7" customFormat="1" ht="91.5" customHeight="1" x14ac:dyDescent="0.2">
      <c r="A6" s="299"/>
      <c r="B6" s="299"/>
      <c r="C6" s="302"/>
      <c r="D6" s="302"/>
      <c r="E6" s="302"/>
      <c r="F6" s="307"/>
      <c r="G6" s="313"/>
      <c r="H6" s="313"/>
      <c r="I6" s="313"/>
      <c r="J6" s="313"/>
      <c r="K6" s="313"/>
      <c r="L6" s="307"/>
      <c r="M6" s="216" t="s">
        <v>104</v>
      </c>
      <c r="N6" s="216" t="s">
        <v>105</v>
      </c>
    </row>
    <row r="7" spans="1:16" ht="12.75" customHeight="1" x14ac:dyDescent="0.2">
      <c r="A7" s="1">
        <v>1</v>
      </c>
      <c r="B7" s="56" t="s">
        <v>1</v>
      </c>
      <c r="C7" s="57">
        <v>32260</v>
      </c>
      <c r="D7" s="57"/>
      <c r="E7" s="57"/>
      <c r="F7" s="57">
        <f>G7+I7+J7+K7+L7+H7</f>
        <v>92074</v>
      </c>
      <c r="G7" s="57">
        <v>4031</v>
      </c>
      <c r="H7" s="57"/>
      <c r="I7" s="57"/>
      <c r="J7" s="57"/>
      <c r="K7" s="57"/>
      <c r="L7" s="57">
        <f>M7+N7</f>
        <v>88043</v>
      </c>
      <c r="M7" s="57">
        <v>20998</v>
      </c>
      <c r="N7" s="57">
        <v>67045</v>
      </c>
      <c r="O7" s="59"/>
      <c r="P7" s="59"/>
    </row>
    <row r="8" spans="1:16" ht="15.75" customHeight="1" x14ac:dyDescent="0.2">
      <c r="A8" s="1">
        <v>2</v>
      </c>
      <c r="B8" s="56" t="s">
        <v>106</v>
      </c>
      <c r="C8" s="57">
        <v>1100</v>
      </c>
      <c r="D8" s="57"/>
      <c r="E8" s="57"/>
      <c r="F8" s="57">
        <f t="shared" ref="F8:F72" si="0">G8+I8+J8+K8+L8+H8</f>
        <v>14751</v>
      </c>
      <c r="G8" s="57"/>
      <c r="H8" s="57"/>
      <c r="I8" s="57">
        <v>14751</v>
      </c>
      <c r="J8" s="57"/>
      <c r="K8" s="57"/>
      <c r="L8" s="57">
        <f t="shared" ref="L8:L73" si="1">M8+N8</f>
        <v>0</v>
      </c>
      <c r="M8" s="57"/>
      <c r="N8" s="57"/>
      <c r="O8" s="59"/>
      <c r="P8" s="59"/>
    </row>
    <row r="9" spans="1:16" ht="13.5" customHeight="1" x14ac:dyDescent="0.2">
      <c r="A9" s="1">
        <v>3</v>
      </c>
      <c r="B9" s="60" t="s">
        <v>2</v>
      </c>
      <c r="C9" s="57">
        <f>32272-200</f>
        <v>32072</v>
      </c>
      <c r="D9" s="57"/>
      <c r="E9" s="57"/>
      <c r="F9" s="57">
        <f t="shared" si="0"/>
        <v>96246</v>
      </c>
      <c r="G9" s="57"/>
      <c r="H9" s="57"/>
      <c r="I9" s="57"/>
      <c r="J9" s="57"/>
      <c r="K9" s="57"/>
      <c r="L9" s="57">
        <f t="shared" si="1"/>
        <v>96246</v>
      </c>
      <c r="M9" s="57">
        <v>22952</v>
      </c>
      <c r="N9" s="57">
        <v>73294</v>
      </c>
      <c r="O9" s="59"/>
      <c r="P9" s="59"/>
    </row>
    <row r="10" spans="1:16" ht="12.75" customHeight="1" x14ac:dyDescent="0.2">
      <c r="A10" s="1">
        <v>4</v>
      </c>
      <c r="B10" s="60" t="s">
        <v>107</v>
      </c>
      <c r="C10" s="57">
        <v>1800</v>
      </c>
      <c r="D10" s="57"/>
      <c r="E10" s="57"/>
      <c r="F10" s="57">
        <f t="shared" si="0"/>
        <v>8940</v>
      </c>
      <c r="G10" s="57"/>
      <c r="H10" s="57"/>
      <c r="I10" s="57">
        <v>8940</v>
      </c>
      <c r="J10" s="57"/>
      <c r="K10" s="57"/>
      <c r="L10" s="57">
        <f t="shared" si="1"/>
        <v>0</v>
      </c>
      <c r="M10" s="57"/>
      <c r="N10" s="57"/>
      <c r="O10" s="59"/>
      <c r="P10" s="59"/>
    </row>
    <row r="11" spans="1:16" ht="13.5" customHeight="1" x14ac:dyDescent="0.2">
      <c r="A11" s="314">
        <v>5</v>
      </c>
      <c r="B11" s="58" t="s">
        <v>3</v>
      </c>
      <c r="C11" s="57">
        <v>75909</v>
      </c>
      <c r="D11" s="57"/>
      <c r="E11" s="57"/>
      <c r="F11" s="57">
        <f t="shared" si="0"/>
        <v>237255</v>
      </c>
      <c r="G11" s="57">
        <f>6647-3324</f>
        <v>3323</v>
      </c>
      <c r="H11" s="57">
        <v>3324</v>
      </c>
      <c r="I11" s="57"/>
      <c r="J11" s="57"/>
      <c r="K11" s="57"/>
      <c r="L11" s="57">
        <f t="shared" si="1"/>
        <v>230608</v>
      </c>
      <c r="M11" s="57">
        <v>59601</v>
      </c>
      <c r="N11" s="57">
        <v>171007</v>
      </c>
      <c r="O11" s="59"/>
      <c r="P11" s="59"/>
    </row>
    <row r="12" spans="1:16" s="67" customFormat="1" ht="37.5" customHeight="1" x14ac:dyDescent="0.2">
      <c r="A12" s="315"/>
      <c r="B12" s="2" t="s">
        <v>108</v>
      </c>
      <c r="C12" s="66">
        <v>9837</v>
      </c>
      <c r="D12" s="66"/>
      <c r="E12" s="66"/>
      <c r="F12" s="57">
        <f t="shared" si="0"/>
        <v>30360</v>
      </c>
      <c r="G12" s="66"/>
      <c r="H12" s="66"/>
      <c r="I12" s="66"/>
      <c r="J12" s="66"/>
      <c r="K12" s="66"/>
      <c r="L12" s="66">
        <f t="shared" si="1"/>
        <v>30360</v>
      </c>
      <c r="M12" s="66">
        <v>8266</v>
      </c>
      <c r="N12" s="66">
        <v>22094</v>
      </c>
      <c r="O12" s="59"/>
      <c r="P12" s="59"/>
    </row>
    <row r="13" spans="1:16" ht="15" customHeight="1" x14ac:dyDescent="0.2">
      <c r="A13" s="1">
        <v>6</v>
      </c>
      <c r="B13" s="60" t="s">
        <v>4</v>
      </c>
      <c r="C13" s="57">
        <v>25538</v>
      </c>
      <c r="D13" s="57"/>
      <c r="E13" s="57"/>
      <c r="F13" s="57">
        <f t="shared" si="0"/>
        <v>78888</v>
      </c>
      <c r="G13" s="57"/>
      <c r="H13" s="57"/>
      <c r="I13" s="57"/>
      <c r="J13" s="57"/>
      <c r="K13" s="57"/>
      <c r="L13" s="57">
        <f t="shared" si="1"/>
        <v>78888</v>
      </c>
      <c r="M13" s="57">
        <v>24352</v>
      </c>
      <c r="N13" s="57">
        <v>54536</v>
      </c>
      <c r="O13" s="59"/>
      <c r="P13" s="59"/>
    </row>
    <row r="14" spans="1:16" ht="12.75" customHeight="1" x14ac:dyDescent="0.2">
      <c r="A14" s="1">
        <v>7</v>
      </c>
      <c r="B14" s="60" t="s">
        <v>5</v>
      </c>
      <c r="C14" s="57">
        <v>11158</v>
      </c>
      <c r="D14" s="57"/>
      <c r="E14" s="57"/>
      <c r="F14" s="57">
        <f t="shared" si="0"/>
        <v>34479</v>
      </c>
      <c r="G14" s="57"/>
      <c r="H14" s="57"/>
      <c r="I14" s="57"/>
      <c r="J14" s="57"/>
      <c r="K14" s="57"/>
      <c r="L14" s="57">
        <f t="shared" si="1"/>
        <v>34479</v>
      </c>
      <c r="M14" s="57">
        <v>7539</v>
      </c>
      <c r="N14" s="57">
        <v>26940</v>
      </c>
      <c r="O14" s="59"/>
      <c r="P14" s="59"/>
    </row>
    <row r="15" spans="1:16" ht="12.75" customHeight="1" x14ac:dyDescent="0.2">
      <c r="A15" s="1">
        <v>8</v>
      </c>
      <c r="B15" s="60" t="s">
        <v>6</v>
      </c>
      <c r="C15" s="57">
        <v>11531</v>
      </c>
      <c r="D15" s="57"/>
      <c r="E15" s="57"/>
      <c r="F15" s="57">
        <f t="shared" si="0"/>
        <v>35979</v>
      </c>
      <c r="G15" s="57"/>
      <c r="H15" s="57"/>
      <c r="I15" s="57"/>
      <c r="J15" s="57"/>
      <c r="K15" s="57"/>
      <c r="L15" s="57">
        <f t="shared" si="1"/>
        <v>35979</v>
      </c>
      <c r="M15" s="57">
        <f>7197+371</f>
        <v>7568</v>
      </c>
      <c r="N15" s="57">
        <v>28411</v>
      </c>
      <c r="O15" s="59"/>
      <c r="P15" s="59"/>
    </row>
    <row r="16" spans="1:16" ht="12.75" customHeight="1" x14ac:dyDescent="0.2">
      <c r="A16" s="1">
        <v>9</v>
      </c>
      <c r="B16" s="60" t="s">
        <v>7</v>
      </c>
      <c r="C16" s="57">
        <v>12468</v>
      </c>
      <c r="D16" s="57"/>
      <c r="E16" s="57"/>
      <c r="F16" s="57">
        <f t="shared" si="0"/>
        <v>38493</v>
      </c>
      <c r="G16" s="57"/>
      <c r="H16" s="57"/>
      <c r="I16" s="57"/>
      <c r="J16" s="57"/>
      <c r="K16" s="57"/>
      <c r="L16" s="57">
        <f t="shared" si="1"/>
        <v>38493</v>
      </c>
      <c r="M16" s="57">
        <v>8233</v>
      </c>
      <c r="N16" s="57">
        <v>30260</v>
      </c>
      <c r="O16" s="59"/>
      <c r="P16" s="59"/>
    </row>
    <row r="17" spans="1:16" ht="12.75" customHeight="1" x14ac:dyDescent="0.2">
      <c r="A17" s="1">
        <v>10</v>
      </c>
      <c r="B17" s="60" t="s">
        <v>8</v>
      </c>
      <c r="C17" s="57">
        <v>13193</v>
      </c>
      <c r="D17" s="57"/>
      <c r="E17" s="57"/>
      <c r="F17" s="57">
        <f t="shared" si="0"/>
        <v>40755</v>
      </c>
      <c r="G17" s="57"/>
      <c r="H17" s="57"/>
      <c r="I17" s="57"/>
      <c r="J17" s="57"/>
      <c r="K17" s="57"/>
      <c r="L17" s="57">
        <f t="shared" si="1"/>
        <v>40755</v>
      </c>
      <c r="M17" s="57">
        <v>9493</v>
      </c>
      <c r="N17" s="57">
        <v>31262</v>
      </c>
      <c r="O17" s="59"/>
      <c r="P17" s="59"/>
    </row>
    <row r="18" spans="1:16" ht="13.5" customHeight="1" x14ac:dyDescent="0.2">
      <c r="A18" s="1">
        <v>11</v>
      </c>
      <c r="B18" s="58" t="s">
        <v>9</v>
      </c>
      <c r="C18" s="57">
        <v>14071</v>
      </c>
      <c r="D18" s="57"/>
      <c r="E18" s="57"/>
      <c r="F18" s="57">
        <f t="shared" si="0"/>
        <v>43481</v>
      </c>
      <c r="G18" s="57"/>
      <c r="H18" s="57"/>
      <c r="I18" s="57"/>
      <c r="J18" s="57"/>
      <c r="K18" s="57"/>
      <c r="L18" s="57">
        <f t="shared" si="1"/>
        <v>43481</v>
      </c>
      <c r="M18" s="57">
        <v>14403</v>
      </c>
      <c r="N18" s="57">
        <v>29078</v>
      </c>
      <c r="O18" s="59"/>
      <c r="P18" s="59"/>
    </row>
    <row r="19" spans="1:16" ht="15" customHeight="1" x14ac:dyDescent="0.2">
      <c r="A19" s="1">
        <v>12</v>
      </c>
      <c r="B19" s="60" t="s">
        <v>10</v>
      </c>
      <c r="C19" s="57">
        <v>13080</v>
      </c>
      <c r="D19" s="57"/>
      <c r="E19" s="57"/>
      <c r="F19" s="57">
        <f t="shared" si="0"/>
        <v>40406</v>
      </c>
      <c r="G19" s="57"/>
      <c r="H19" s="57"/>
      <c r="I19" s="57"/>
      <c r="J19" s="57"/>
      <c r="K19" s="57"/>
      <c r="L19" s="57">
        <f t="shared" si="1"/>
        <v>40406</v>
      </c>
      <c r="M19" s="57">
        <v>9328</v>
      </c>
      <c r="N19" s="57">
        <v>31078</v>
      </c>
      <c r="O19" s="59"/>
      <c r="P19" s="59"/>
    </row>
    <row r="20" spans="1:16" ht="12.75" customHeight="1" x14ac:dyDescent="0.2">
      <c r="A20" s="1">
        <v>13</v>
      </c>
      <c r="B20" s="58" t="s">
        <v>54</v>
      </c>
      <c r="C20" s="57">
        <v>15307</v>
      </c>
      <c r="D20" s="57"/>
      <c r="E20" s="57"/>
      <c r="F20" s="57">
        <f t="shared" si="0"/>
        <v>47274</v>
      </c>
      <c r="G20" s="57"/>
      <c r="H20" s="57"/>
      <c r="I20" s="57"/>
      <c r="J20" s="57"/>
      <c r="K20" s="57"/>
      <c r="L20" s="57">
        <f t="shared" si="1"/>
        <v>47274</v>
      </c>
      <c r="M20" s="57">
        <v>11129</v>
      </c>
      <c r="N20" s="57">
        <v>36145</v>
      </c>
      <c r="O20" s="59"/>
      <c r="P20" s="59"/>
    </row>
    <row r="21" spans="1:16" ht="15" customHeight="1" x14ac:dyDescent="0.2">
      <c r="A21" s="1">
        <v>14</v>
      </c>
      <c r="B21" s="60" t="s">
        <v>11</v>
      </c>
      <c r="C21" s="57">
        <v>12907</v>
      </c>
      <c r="D21" s="57"/>
      <c r="E21" s="57"/>
      <c r="F21" s="57">
        <f t="shared" si="0"/>
        <v>39895</v>
      </c>
      <c r="G21" s="57"/>
      <c r="H21" s="57"/>
      <c r="I21" s="57"/>
      <c r="J21" s="57"/>
      <c r="K21" s="57"/>
      <c r="L21" s="57">
        <f t="shared" si="1"/>
        <v>39895</v>
      </c>
      <c r="M21" s="57">
        <v>8442</v>
      </c>
      <c r="N21" s="57">
        <v>31453</v>
      </c>
      <c r="O21" s="59"/>
      <c r="P21" s="59"/>
    </row>
    <row r="22" spans="1:16" ht="10.5" customHeight="1" x14ac:dyDescent="0.2">
      <c r="A22" s="1">
        <v>15</v>
      </c>
      <c r="B22" s="60" t="s">
        <v>109</v>
      </c>
      <c r="C22" s="57">
        <v>0</v>
      </c>
      <c r="D22" s="57"/>
      <c r="E22" s="57"/>
      <c r="F22" s="57">
        <f t="shared" si="0"/>
        <v>0</v>
      </c>
      <c r="G22" s="57"/>
      <c r="H22" s="57"/>
      <c r="I22" s="57">
        <f>150-150</f>
        <v>0</v>
      </c>
      <c r="J22" s="57"/>
      <c r="K22" s="57"/>
      <c r="L22" s="57">
        <f t="shared" si="1"/>
        <v>0</v>
      </c>
      <c r="M22" s="57"/>
      <c r="N22" s="57"/>
      <c r="O22" s="59"/>
      <c r="P22" s="59"/>
    </row>
    <row r="23" spans="1:16" ht="12" customHeight="1" x14ac:dyDescent="0.2">
      <c r="A23" s="1">
        <v>16</v>
      </c>
      <c r="B23" s="58" t="s">
        <v>55</v>
      </c>
      <c r="C23" s="57">
        <v>80</v>
      </c>
      <c r="D23" s="57"/>
      <c r="E23" s="57"/>
      <c r="F23" s="57">
        <f t="shared" si="0"/>
        <v>572</v>
      </c>
      <c r="G23" s="57"/>
      <c r="H23" s="57"/>
      <c r="I23" s="57">
        <v>572</v>
      </c>
      <c r="J23" s="57"/>
      <c r="K23" s="57"/>
      <c r="L23" s="57">
        <f t="shared" si="1"/>
        <v>0</v>
      </c>
      <c r="M23" s="57"/>
      <c r="N23" s="57"/>
      <c r="O23" s="59"/>
      <c r="P23" s="59"/>
    </row>
    <row r="24" spans="1:16" ht="13.5" customHeight="1" x14ac:dyDescent="0.2">
      <c r="A24" s="1">
        <v>17</v>
      </c>
      <c r="B24" s="60" t="s">
        <v>218</v>
      </c>
      <c r="C24" s="57">
        <v>80</v>
      </c>
      <c r="D24" s="57"/>
      <c r="E24" s="57"/>
      <c r="F24" s="57">
        <f t="shared" si="0"/>
        <v>572</v>
      </c>
      <c r="G24" s="57"/>
      <c r="H24" s="57"/>
      <c r="I24" s="57">
        <v>572</v>
      </c>
      <c r="J24" s="57"/>
      <c r="K24" s="57"/>
      <c r="L24" s="57">
        <f t="shared" si="1"/>
        <v>0</v>
      </c>
      <c r="M24" s="57"/>
      <c r="N24" s="57"/>
      <c r="O24" s="59"/>
      <c r="P24" s="59"/>
    </row>
    <row r="25" spans="1:16" ht="12.75" customHeight="1" x14ac:dyDescent="0.2">
      <c r="A25" s="1">
        <v>18</v>
      </c>
      <c r="B25" s="60" t="s">
        <v>110</v>
      </c>
      <c r="C25" s="57">
        <v>80</v>
      </c>
      <c r="D25" s="57"/>
      <c r="E25" s="57"/>
      <c r="F25" s="57">
        <f t="shared" si="0"/>
        <v>572</v>
      </c>
      <c r="G25" s="57"/>
      <c r="H25" s="57"/>
      <c r="I25" s="57">
        <v>572</v>
      </c>
      <c r="J25" s="57"/>
      <c r="K25" s="57"/>
      <c r="L25" s="57">
        <f t="shared" si="1"/>
        <v>0</v>
      </c>
      <c r="M25" s="57"/>
      <c r="N25" s="57"/>
      <c r="O25" s="59"/>
      <c r="P25" s="59"/>
    </row>
    <row r="26" spans="1:16" ht="13.5" customHeight="1" x14ac:dyDescent="0.2">
      <c r="A26" s="1">
        <v>19</v>
      </c>
      <c r="B26" s="60" t="s">
        <v>111</v>
      </c>
      <c r="C26" s="57">
        <v>0</v>
      </c>
      <c r="D26" s="57"/>
      <c r="E26" s="57"/>
      <c r="F26" s="57">
        <f t="shared" si="0"/>
        <v>597</v>
      </c>
      <c r="G26" s="57"/>
      <c r="H26" s="57"/>
      <c r="I26" s="57">
        <v>597</v>
      </c>
      <c r="J26" s="57"/>
      <c r="K26" s="57"/>
      <c r="L26" s="57">
        <f t="shared" si="1"/>
        <v>0</v>
      </c>
      <c r="M26" s="57"/>
      <c r="N26" s="57"/>
      <c r="O26" s="59"/>
      <c r="P26" s="59"/>
    </row>
    <row r="27" spans="1:16" ht="23.25" customHeight="1" x14ac:dyDescent="0.2">
      <c r="A27" s="1">
        <v>20</v>
      </c>
      <c r="B27" s="60" t="s">
        <v>219</v>
      </c>
      <c r="C27" s="57">
        <v>80</v>
      </c>
      <c r="D27" s="57"/>
      <c r="E27" s="57"/>
      <c r="F27" s="57">
        <f t="shared" si="0"/>
        <v>572</v>
      </c>
      <c r="G27" s="57"/>
      <c r="H27" s="57"/>
      <c r="I27" s="57">
        <v>572</v>
      </c>
      <c r="J27" s="57"/>
      <c r="K27" s="57"/>
      <c r="L27" s="57">
        <f t="shared" si="1"/>
        <v>0</v>
      </c>
      <c r="M27" s="57"/>
      <c r="N27" s="57"/>
      <c r="O27" s="59"/>
      <c r="P27" s="59"/>
    </row>
    <row r="28" spans="1:16" ht="23.25" customHeight="1" x14ac:dyDescent="0.2">
      <c r="A28" s="1"/>
      <c r="B28" s="60" t="s">
        <v>220</v>
      </c>
      <c r="C28" s="57"/>
      <c r="D28" s="57"/>
      <c r="E28" s="57"/>
      <c r="F28" s="57">
        <f t="shared" si="0"/>
        <v>573</v>
      </c>
      <c r="G28" s="57"/>
      <c r="H28" s="57"/>
      <c r="I28" s="57">
        <v>573</v>
      </c>
      <c r="J28" s="57"/>
      <c r="K28" s="57"/>
      <c r="L28" s="57"/>
      <c r="M28" s="57"/>
      <c r="N28" s="57"/>
      <c r="O28" s="59"/>
      <c r="P28" s="59"/>
    </row>
    <row r="29" spans="1:16" ht="10.5" customHeight="1" x14ac:dyDescent="0.2">
      <c r="A29" s="1">
        <v>21</v>
      </c>
      <c r="B29" s="60" t="s">
        <v>221</v>
      </c>
      <c r="C29" s="57">
        <v>0</v>
      </c>
      <c r="D29" s="57"/>
      <c r="E29" s="57"/>
      <c r="F29" s="57">
        <f t="shared" si="0"/>
        <v>572</v>
      </c>
      <c r="G29" s="57"/>
      <c r="H29" s="57"/>
      <c r="I29" s="57">
        <v>572</v>
      </c>
      <c r="J29" s="57"/>
      <c r="K29" s="57"/>
      <c r="L29" s="57">
        <f t="shared" si="1"/>
        <v>0</v>
      </c>
      <c r="M29" s="57"/>
      <c r="N29" s="57"/>
      <c r="O29" s="59"/>
      <c r="P29" s="59"/>
    </row>
    <row r="30" spans="1:16" ht="13.5" customHeight="1" x14ac:dyDescent="0.2">
      <c r="A30" s="1">
        <v>22</v>
      </c>
      <c r="B30" s="58" t="s">
        <v>222</v>
      </c>
      <c r="C30" s="57">
        <v>80</v>
      </c>
      <c r="D30" s="57"/>
      <c r="E30" s="57"/>
      <c r="F30" s="57">
        <f t="shared" si="0"/>
        <v>572</v>
      </c>
      <c r="G30" s="57"/>
      <c r="H30" s="57"/>
      <c r="I30" s="57">
        <v>572</v>
      </c>
      <c r="J30" s="57"/>
      <c r="K30" s="57"/>
      <c r="L30" s="57">
        <f t="shared" si="1"/>
        <v>0</v>
      </c>
      <c r="M30" s="57"/>
      <c r="N30" s="57"/>
      <c r="O30" s="59"/>
      <c r="P30" s="59"/>
    </row>
    <row r="31" spans="1:16" s="3" customFormat="1" ht="15" customHeight="1" x14ac:dyDescent="0.2">
      <c r="A31" s="1">
        <v>23</v>
      </c>
      <c r="B31" s="60" t="s">
        <v>112</v>
      </c>
      <c r="C31" s="57">
        <v>0</v>
      </c>
      <c r="D31" s="57"/>
      <c r="E31" s="57"/>
      <c r="F31" s="57">
        <f t="shared" si="0"/>
        <v>0</v>
      </c>
      <c r="G31" s="57"/>
      <c r="H31" s="57"/>
      <c r="I31" s="57">
        <f>25-25</f>
        <v>0</v>
      </c>
      <c r="J31" s="57"/>
      <c r="K31" s="57"/>
      <c r="L31" s="57">
        <f t="shared" si="1"/>
        <v>0</v>
      </c>
      <c r="M31" s="57"/>
      <c r="N31" s="57"/>
      <c r="O31" s="59"/>
      <c r="P31" s="59"/>
    </row>
    <row r="32" spans="1:16" ht="12" customHeight="1" x14ac:dyDescent="0.2">
      <c r="A32" s="1">
        <v>24</v>
      </c>
      <c r="B32" s="60" t="s">
        <v>223</v>
      </c>
      <c r="C32" s="57">
        <v>0</v>
      </c>
      <c r="D32" s="57"/>
      <c r="E32" s="57"/>
      <c r="F32" s="57">
        <f t="shared" si="0"/>
        <v>325</v>
      </c>
      <c r="G32" s="57"/>
      <c r="H32" s="57"/>
      <c r="I32" s="57">
        <v>325</v>
      </c>
      <c r="J32" s="57"/>
      <c r="K32" s="57"/>
      <c r="L32" s="57">
        <f t="shared" si="1"/>
        <v>0</v>
      </c>
      <c r="M32" s="57"/>
      <c r="N32" s="57"/>
      <c r="O32" s="59"/>
      <c r="P32" s="59"/>
    </row>
    <row r="33" spans="1:16" ht="10.5" customHeight="1" x14ac:dyDescent="0.2">
      <c r="A33" s="1">
        <v>25</v>
      </c>
      <c r="B33" s="60" t="s">
        <v>224</v>
      </c>
      <c r="C33" s="57">
        <v>0</v>
      </c>
      <c r="D33" s="57"/>
      <c r="E33" s="57"/>
      <c r="F33" s="57">
        <f t="shared" si="0"/>
        <v>572</v>
      </c>
      <c r="G33" s="57"/>
      <c r="H33" s="57"/>
      <c r="I33" s="57">
        <v>572</v>
      </c>
      <c r="J33" s="57"/>
      <c r="K33" s="57"/>
      <c r="L33" s="57">
        <f t="shared" si="1"/>
        <v>0</v>
      </c>
      <c r="M33" s="57"/>
      <c r="N33" s="57"/>
      <c r="O33" s="59"/>
      <c r="P33" s="59"/>
    </row>
    <row r="34" spans="1:16" ht="15" customHeight="1" x14ac:dyDescent="0.2">
      <c r="A34" s="1">
        <v>26</v>
      </c>
      <c r="B34" s="60" t="s">
        <v>56</v>
      </c>
      <c r="C34" s="57">
        <v>0</v>
      </c>
      <c r="D34" s="57"/>
      <c r="E34" s="57"/>
      <c r="F34" s="57">
        <f t="shared" si="0"/>
        <v>275</v>
      </c>
      <c r="G34" s="57"/>
      <c r="H34" s="57"/>
      <c r="I34" s="57">
        <v>275</v>
      </c>
      <c r="J34" s="57"/>
      <c r="K34" s="57"/>
      <c r="L34" s="57">
        <f t="shared" si="1"/>
        <v>0</v>
      </c>
      <c r="M34" s="57"/>
      <c r="N34" s="57"/>
      <c r="O34" s="59"/>
      <c r="P34" s="59"/>
    </row>
    <row r="35" spans="1:16" ht="12.75" customHeight="1" x14ac:dyDescent="0.2">
      <c r="A35" s="1">
        <v>27</v>
      </c>
      <c r="B35" s="60" t="s">
        <v>72</v>
      </c>
      <c r="C35" s="57">
        <v>33205</v>
      </c>
      <c r="D35" s="57"/>
      <c r="E35" s="57"/>
      <c r="F35" s="57">
        <f t="shared" si="0"/>
        <v>95011</v>
      </c>
      <c r="G35" s="57">
        <v>3819</v>
      </c>
      <c r="H35" s="57"/>
      <c r="I35" s="57"/>
      <c r="J35" s="57"/>
      <c r="K35" s="57"/>
      <c r="L35" s="57">
        <f t="shared" si="1"/>
        <v>91192</v>
      </c>
      <c r="M35" s="57">
        <v>20236</v>
      </c>
      <c r="N35" s="57">
        <v>70956</v>
      </c>
      <c r="O35" s="59"/>
      <c r="P35" s="59"/>
    </row>
    <row r="36" spans="1:16" ht="15" customHeight="1" x14ac:dyDescent="0.2">
      <c r="A36" s="1">
        <v>28</v>
      </c>
      <c r="B36" s="68" t="s">
        <v>114</v>
      </c>
      <c r="C36" s="57">
        <v>1800</v>
      </c>
      <c r="D36" s="57"/>
      <c r="E36" s="57"/>
      <c r="F36" s="57">
        <f t="shared" si="0"/>
        <v>16986</v>
      </c>
      <c r="G36" s="57"/>
      <c r="H36" s="57"/>
      <c r="I36" s="57">
        <v>16986</v>
      </c>
      <c r="J36" s="57"/>
      <c r="K36" s="57"/>
      <c r="L36" s="57">
        <f t="shared" si="1"/>
        <v>0</v>
      </c>
      <c r="M36" s="57"/>
      <c r="N36" s="57"/>
      <c r="O36" s="59"/>
      <c r="P36" s="59"/>
    </row>
    <row r="37" spans="1:16" ht="12.75" customHeight="1" x14ac:dyDescent="0.2">
      <c r="A37" s="1">
        <v>29</v>
      </c>
      <c r="B37" s="60" t="s">
        <v>12</v>
      </c>
      <c r="C37" s="57">
        <v>32546</v>
      </c>
      <c r="D37" s="57"/>
      <c r="E37" s="57"/>
      <c r="F37" s="57">
        <f t="shared" si="0"/>
        <v>98135</v>
      </c>
      <c r="G37" s="57"/>
      <c r="H37" s="57"/>
      <c r="I37" s="57"/>
      <c r="J37" s="57"/>
      <c r="K37" s="57"/>
      <c r="L37" s="57">
        <f t="shared" si="1"/>
        <v>98135</v>
      </c>
      <c r="M37" s="57">
        <v>28124</v>
      </c>
      <c r="N37" s="57">
        <v>70011</v>
      </c>
      <c r="O37" s="59"/>
      <c r="P37" s="59"/>
    </row>
    <row r="38" spans="1:16" ht="12.75" customHeight="1" x14ac:dyDescent="0.2">
      <c r="A38" s="1">
        <v>30</v>
      </c>
      <c r="B38" s="60" t="s">
        <v>13</v>
      </c>
      <c r="C38" s="57">
        <v>58312</v>
      </c>
      <c r="D38" s="57"/>
      <c r="E38" s="57"/>
      <c r="F38" s="57">
        <f t="shared" si="0"/>
        <v>185640</v>
      </c>
      <c r="G38" s="57">
        <v>5532</v>
      </c>
      <c r="H38" s="57"/>
      <c r="I38" s="57"/>
      <c r="J38" s="57"/>
      <c r="K38" s="57"/>
      <c r="L38" s="57">
        <f t="shared" si="1"/>
        <v>180108</v>
      </c>
      <c r="M38" s="57">
        <v>53568</v>
      </c>
      <c r="N38" s="57">
        <v>126540</v>
      </c>
      <c r="O38" s="59"/>
      <c r="P38" s="59"/>
    </row>
    <row r="39" spans="1:16" ht="12.75" customHeight="1" x14ac:dyDescent="0.2">
      <c r="A39" s="1">
        <v>31</v>
      </c>
      <c r="B39" s="60" t="s">
        <v>14</v>
      </c>
      <c r="C39" s="57">
        <v>41028</v>
      </c>
      <c r="D39" s="57"/>
      <c r="E39" s="57"/>
      <c r="F39" s="57">
        <f t="shared" si="0"/>
        <v>126735</v>
      </c>
      <c r="G39" s="57"/>
      <c r="H39" s="57"/>
      <c r="I39" s="57"/>
      <c r="J39" s="57"/>
      <c r="K39" s="57"/>
      <c r="L39" s="57">
        <f t="shared" si="1"/>
        <v>126735</v>
      </c>
      <c r="M39" s="57">
        <v>44440</v>
      </c>
      <c r="N39" s="57">
        <v>82295</v>
      </c>
      <c r="O39" s="59"/>
      <c r="P39" s="59"/>
    </row>
    <row r="40" spans="1:16" ht="12.75" customHeight="1" x14ac:dyDescent="0.2">
      <c r="A40" s="1">
        <v>32</v>
      </c>
      <c r="B40" s="60" t="s">
        <v>115</v>
      </c>
      <c r="C40" s="57">
        <v>7734</v>
      </c>
      <c r="D40" s="57"/>
      <c r="E40" s="57"/>
      <c r="F40" s="57">
        <f t="shared" si="0"/>
        <v>24445</v>
      </c>
      <c r="G40" s="57"/>
      <c r="H40" s="57"/>
      <c r="I40" s="57"/>
      <c r="J40" s="57"/>
      <c r="K40" s="57"/>
      <c r="L40" s="57">
        <f t="shared" si="1"/>
        <v>24445</v>
      </c>
      <c r="M40" s="57">
        <v>7882</v>
      </c>
      <c r="N40" s="57">
        <v>16563</v>
      </c>
      <c r="O40" s="59"/>
      <c r="P40" s="59"/>
    </row>
    <row r="41" spans="1:16" ht="13.5" customHeight="1" x14ac:dyDescent="0.2">
      <c r="A41" s="1">
        <v>33</v>
      </c>
      <c r="B41" s="60" t="s">
        <v>15</v>
      </c>
      <c r="C41" s="57">
        <v>17003</v>
      </c>
      <c r="D41" s="57"/>
      <c r="E41" s="57"/>
      <c r="F41" s="57">
        <f t="shared" si="0"/>
        <v>52562</v>
      </c>
      <c r="G41" s="57"/>
      <c r="H41" s="57"/>
      <c r="I41" s="57"/>
      <c r="J41" s="57"/>
      <c r="K41" s="57"/>
      <c r="L41" s="57">
        <f t="shared" si="1"/>
        <v>52562</v>
      </c>
      <c r="M41" s="57">
        <v>10345</v>
      </c>
      <c r="N41" s="57">
        <v>42217</v>
      </c>
      <c r="O41" s="59"/>
      <c r="P41" s="59"/>
    </row>
    <row r="42" spans="1:16" ht="12.75" customHeight="1" x14ac:dyDescent="0.2">
      <c r="A42" s="1">
        <v>34</v>
      </c>
      <c r="B42" s="60" t="s">
        <v>16</v>
      </c>
      <c r="C42" s="57">
        <v>22442</v>
      </c>
      <c r="D42" s="57"/>
      <c r="E42" s="57"/>
      <c r="F42" s="57">
        <f t="shared" si="0"/>
        <v>69198</v>
      </c>
      <c r="G42" s="57"/>
      <c r="H42" s="57"/>
      <c r="I42" s="57"/>
      <c r="J42" s="57"/>
      <c r="K42" s="57"/>
      <c r="L42" s="57">
        <f t="shared" si="1"/>
        <v>69198</v>
      </c>
      <c r="M42" s="57">
        <v>8819</v>
      </c>
      <c r="N42" s="57">
        <v>60379</v>
      </c>
      <c r="O42" s="59"/>
      <c r="P42" s="59"/>
    </row>
    <row r="43" spans="1:16" ht="15" customHeight="1" x14ac:dyDescent="0.2">
      <c r="A43" s="1">
        <v>35</v>
      </c>
      <c r="B43" s="60" t="s">
        <v>17</v>
      </c>
      <c r="C43" s="57">
        <v>9634</v>
      </c>
      <c r="D43" s="57"/>
      <c r="E43" s="57"/>
      <c r="F43" s="57">
        <f t="shared" si="0"/>
        <v>31066</v>
      </c>
      <c r="G43" s="57"/>
      <c r="H43" s="57"/>
      <c r="I43" s="57"/>
      <c r="J43" s="57"/>
      <c r="K43" s="57"/>
      <c r="L43" s="57">
        <f t="shared" si="1"/>
        <v>31066</v>
      </c>
      <c r="M43" s="57">
        <f>8932+258+1000</f>
        <v>10190</v>
      </c>
      <c r="N43" s="57">
        <v>20876</v>
      </c>
      <c r="O43" s="59"/>
      <c r="P43" s="59"/>
    </row>
    <row r="44" spans="1:16" ht="13.5" customHeight="1" x14ac:dyDescent="0.2">
      <c r="A44" s="1">
        <v>36</v>
      </c>
      <c r="B44" s="60" t="s">
        <v>18</v>
      </c>
      <c r="C44" s="57">
        <v>8036</v>
      </c>
      <c r="D44" s="57"/>
      <c r="E44" s="57"/>
      <c r="F44" s="57">
        <f t="shared" si="0"/>
        <v>24832</v>
      </c>
      <c r="G44" s="57"/>
      <c r="H44" s="57"/>
      <c r="I44" s="57"/>
      <c r="J44" s="57"/>
      <c r="K44" s="57"/>
      <c r="L44" s="57">
        <f t="shared" si="1"/>
        <v>24832</v>
      </c>
      <c r="M44" s="57">
        <v>4630</v>
      </c>
      <c r="N44" s="57">
        <v>20202</v>
      </c>
      <c r="O44" s="59"/>
      <c r="P44" s="59"/>
    </row>
    <row r="45" spans="1:16" ht="13.5" customHeight="1" x14ac:dyDescent="0.2">
      <c r="A45" s="1">
        <v>37</v>
      </c>
      <c r="B45" s="60" t="s">
        <v>225</v>
      </c>
      <c r="C45" s="57">
        <v>0</v>
      </c>
      <c r="D45" s="57"/>
      <c r="E45" s="57"/>
      <c r="F45" s="57">
        <f t="shared" si="0"/>
        <v>670</v>
      </c>
      <c r="G45" s="57"/>
      <c r="H45" s="57"/>
      <c r="I45" s="57">
        <v>670</v>
      </c>
      <c r="J45" s="57"/>
      <c r="K45" s="57"/>
      <c r="L45" s="57">
        <f t="shared" si="1"/>
        <v>0</v>
      </c>
      <c r="M45" s="57"/>
      <c r="N45" s="57"/>
      <c r="O45" s="59"/>
      <c r="P45" s="59"/>
    </row>
    <row r="46" spans="1:16" ht="12.75" customHeight="1" x14ac:dyDescent="0.2">
      <c r="A46" s="1">
        <v>38</v>
      </c>
      <c r="B46" s="60" t="s">
        <v>226</v>
      </c>
      <c r="C46" s="57">
        <v>0</v>
      </c>
      <c r="D46" s="57"/>
      <c r="E46" s="57"/>
      <c r="F46" s="57">
        <f t="shared" si="0"/>
        <v>1788</v>
      </c>
      <c r="G46" s="57"/>
      <c r="H46" s="57"/>
      <c r="I46" s="57">
        <v>1788</v>
      </c>
      <c r="J46" s="57"/>
      <c r="K46" s="57"/>
      <c r="L46" s="57">
        <f t="shared" si="1"/>
        <v>0</v>
      </c>
      <c r="M46" s="57"/>
      <c r="N46" s="57"/>
      <c r="O46" s="59"/>
      <c r="P46" s="59"/>
    </row>
    <row r="47" spans="1:16" ht="12.75" customHeight="1" x14ac:dyDescent="0.2">
      <c r="A47" s="1">
        <v>39</v>
      </c>
      <c r="B47" s="60" t="s">
        <v>116</v>
      </c>
      <c r="C47" s="57">
        <v>0</v>
      </c>
      <c r="D47" s="57"/>
      <c r="E47" s="57"/>
      <c r="F47" s="57">
        <f t="shared" si="0"/>
        <v>36</v>
      </c>
      <c r="G47" s="57"/>
      <c r="H47" s="57"/>
      <c r="I47" s="57">
        <f>200-164</f>
        <v>36</v>
      </c>
      <c r="J47" s="57"/>
      <c r="K47" s="57"/>
      <c r="L47" s="57">
        <f t="shared" si="1"/>
        <v>0</v>
      </c>
      <c r="M47" s="57"/>
      <c r="N47" s="57"/>
      <c r="O47" s="59"/>
      <c r="P47" s="59"/>
    </row>
    <row r="48" spans="1:16" ht="14.25" customHeight="1" x14ac:dyDescent="0.2">
      <c r="A48" s="1">
        <v>40</v>
      </c>
      <c r="B48" s="60" t="s">
        <v>117</v>
      </c>
      <c r="C48" s="57">
        <v>32781</v>
      </c>
      <c r="D48" s="57">
        <v>6211</v>
      </c>
      <c r="E48" s="57"/>
      <c r="F48" s="57">
        <f t="shared" si="0"/>
        <v>87834</v>
      </c>
      <c r="G48" s="57">
        <v>10096</v>
      </c>
      <c r="H48" s="57"/>
      <c r="I48" s="57"/>
      <c r="J48" s="57"/>
      <c r="K48" s="57"/>
      <c r="L48" s="57">
        <f t="shared" si="1"/>
        <v>77738</v>
      </c>
      <c r="M48" s="57">
        <v>16397</v>
      </c>
      <c r="N48" s="57">
        <v>61341</v>
      </c>
      <c r="O48" s="59"/>
      <c r="P48" s="59"/>
    </row>
    <row r="49" spans="1:16" ht="15.75" customHeight="1" x14ac:dyDescent="0.2">
      <c r="A49" s="1">
        <v>41</v>
      </c>
      <c r="B49" s="60" t="s">
        <v>118</v>
      </c>
      <c r="C49" s="57">
        <v>28004</v>
      </c>
      <c r="D49" s="57"/>
      <c r="E49" s="57"/>
      <c r="F49" s="57">
        <f t="shared" si="0"/>
        <v>81932</v>
      </c>
      <c r="G49" s="57"/>
      <c r="H49" s="57"/>
      <c r="I49" s="57"/>
      <c r="J49" s="57"/>
      <c r="K49" s="57"/>
      <c r="L49" s="57">
        <f t="shared" si="1"/>
        <v>81932</v>
      </c>
      <c r="M49" s="57">
        <v>27459</v>
      </c>
      <c r="N49" s="57">
        <v>54473</v>
      </c>
      <c r="O49" s="59"/>
      <c r="P49" s="59"/>
    </row>
    <row r="50" spans="1:16" ht="15.75" customHeight="1" x14ac:dyDescent="0.2">
      <c r="A50" s="1">
        <v>42</v>
      </c>
      <c r="B50" s="60" t="s">
        <v>119</v>
      </c>
      <c r="C50" s="57">
        <f>33192-1000</f>
        <v>32192</v>
      </c>
      <c r="D50" s="57"/>
      <c r="E50" s="57"/>
      <c r="F50" s="57">
        <f t="shared" si="0"/>
        <v>88168</v>
      </c>
      <c r="G50" s="57">
        <v>658</v>
      </c>
      <c r="H50" s="57"/>
      <c r="I50" s="57"/>
      <c r="J50" s="57"/>
      <c r="K50" s="57"/>
      <c r="L50" s="57">
        <f t="shared" si="1"/>
        <v>87510</v>
      </c>
      <c r="M50" s="57">
        <f>29578-658</f>
        <v>28920</v>
      </c>
      <c r="N50" s="57">
        <v>58590</v>
      </c>
      <c r="O50" s="59"/>
      <c r="P50" s="59"/>
    </row>
    <row r="51" spans="1:16" ht="14.25" customHeight="1" x14ac:dyDescent="0.2">
      <c r="A51" s="314">
        <v>43</v>
      </c>
      <c r="B51" s="60" t="s">
        <v>120</v>
      </c>
      <c r="C51" s="57">
        <v>15621</v>
      </c>
      <c r="D51" s="57"/>
      <c r="E51" s="57"/>
      <c r="F51" s="57">
        <f t="shared" si="0"/>
        <v>46863</v>
      </c>
      <c r="G51" s="57"/>
      <c r="H51" s="57"/>
      <c r="I51" s="57"/>
      <c r="J51" s="57"/>
      <c r="K51" s="57"/>
      <c r="L51" s="57">
        <f t="shared" si="1"/>
        <v>46863</v>
      </c>
      <c r="M51" s="57">
        <v>9670</v>
      </c>
      <c r="N51" s="57">
        <v>37193</v>
      </c>
      <c r="O51" s="59"/>
      <c r="P51" s="59"/>
    </row>
    <row r="52" spans="1:16" s="67" customFormat="1" ht="36.75" customHeight="1" x14ac:dyDescent="0.2">
      <c r="A52" s="315"/>
      <c r="B52" s="2" t="s">
        <v>121</v>
      </c>
      <c r="C52" s="66">
        <v>21844</v>
      </c>
      <c r="D52" s="66"/>
      <c r="E52" s="66"/>
      <c r="F52" s="57">
        <f t="shared" si="0"/>
        <v>69842</v>
      </c>
      <c r="G52" s="66"/>
      <c r="H52" s="66"/>
      <c r="I52" s="66"/>
      <c r="J52" s="66"/>
      <c r="K52" s="66"/>
      <c r="L52" s="66">
        <f t="shared" si="1"/>
        <v>69842</v>
      </c>
      <c r="M52" s="66">
        <v>14732</v>
      </c>
      <c r="N52" s="66">
        <v>55110</v>
      </c>
      <c r="O52" s="59"/>
      <c r="P52" s="59"/>
    </row>
    <row r="53" spans="1:16" ht="16.5" customHeight="1" x14ac:dyDescent="0.2">
      <c r="A53" s="1">
        <v>44</v>
      </c>
      <c r="B53" s="60" t="s">
        <v>123</v>
      </c>
      <c r="C53" s="57">
        <v>22759</v>
      </c>
      <c r="D53" s="57"/>
      <c r="E53" s="57"/>
      <c r="F53" s="57">
        <f t="shared" si="0"/>
        <v>72292</v>
      </c>
      <c r="G53" s="57"/>
      <c r="H53" s="57"/>
      <c r="I53" s="57"/>
      <c r="J53" s="57"/>
      <c r="K53" s="57"/>
      <c r="L53" s="57">
        <f t="shared" si="1"/>
        <v>72292</v>
      </c>
      <c r="M53" s="57">
        <v>13575</v>
      </c>
      <c r="N53" s="57">
        <v>58717</v>
      </c>
      <c r="O53" s="59"/>
      <c r="P53" s="59"/>
    </row>
    <row r="54" spans="1:16" ht="27" customHeight="1" x14ac:dyDescent="0.2">
      <c r="A54" s="1">
        <v>45</v>
      </c>
      <c r="B54" s="60" t="s">
        <v>124</v>
      </c>
      <c r="C54" s="57">
        <v>11000</v>
      </c>
      <c r="D54" s="57"/>
      <c r="E54" s="57"/>
      <c r="F54" s="57">
        <f t="shared" si="0"/>
        <v>63474</v>
      </c>
      <c r="G54" s="57"/>
      <c r="H54" s="57"/>
      <c r="I54" s="57">
        <v>63474</v>
      </c>
      <c r="J54" s="57"/>
      <c r="K54" s="57"/>
      <c r="L54" s="57">
        <f t="shared" si="1"/>
        <v>0</v>
      </c>
      <c r="M54" s="57"/>
      <c r="N54" s="57"/>
      <c r="O54" s="59"/>
      <c r="P54" s="59"/>
    </row>
    <row r="55" spans="1:16" ht="12" customHeight="1" x14ac:dyDescent="0.2">
      <c r="A55" s="1">
        <v>46</v>
      </c>
      <c r="B55" s="60" t="s">
        <v>125</v>
      </c>
      <c r="C55" s="57"/>
      <c r="D55" s="57"/>
      <c r="E55" s="57"/>
      <c r="F55" s="57">
        <f t="shared" si="0"/>
        <v>10558</v>
      </c>
      <c r="G55" s="57"/>
      <c r="H55" s="57"/>
      <c r="I55" s="57">
        <v>10558</v>
      </c>
      <c r="J55" s="57"/>
      <c r="K55" s="57"/>
      <c r="L55" s="57">
        <f t="shared" si="1"/>
        <v>0</v>
      </c>
      <c r="M55" s="57"/>
      <c r="N55" s="57"/>
      <c r="O55" s="59"/>
      <c r="P55" s="59"/>
    </row>
    <row r="56" spans="1:16" ht="13.5" customHeight="1" x14ac:dyDescent="0.2">
      <c r="A56" s="314">
        <v>47</v>
      </c>
      <c r="B56" s="60" t="s">
        <v>73</v>
      </c>
      <c r="C56" s="57">
        <f>51089-1350+585-585</f>
        <v>49739</v>
      </c>
      <c r="D56" s="57"/>
      <c r="E56" s="57"/>
      <c r="F56" s="57">
        <f t="shared" si="0"/>
        <v>133129</v>
      </c>
      <c r="G56" s="57">
        <f>3686+600</f>
        <v>4286</v>
      </c>
      <c r="H56" s="57"/>
      <c r="I56" s="57"/>
      <c r="J56" s="57"/>
      <c r="K56" s="57"/>
      <c r="L56" s="57">
        <f t="shared" si="1"/>
        <v>128843</v>
      </c>
      <c r="M56" s="57">
        <f>27267+9500-9500</f>
        <v>27267</v>
      </c>
      <c r="N56" s="57">
        <v>101576</v>
      </c>
      <c r="O56" s="59"/>
      <c r="P56" s="59"/>
    </row>
    <row r="57" spans="1:16" s="67" customFormat="1" ht="38.25" customHeight="1" x14ac:dyDescent="0.2">
      <c r="A57" s="316"/>
      <c r="B57" s="2" t="s">
        <v>126</v>
      </c>
      <c r="C57" s="66">
        <f>13984+1350</f>
        <v>15334</v>
      </c>
      <c r="D57" s="66"/>
      <c r="E57" s="66"/>
      <c r="F57" s="57">
        <f t="shared" si="0"/>
        <v>42537</v>
      </c>
      <c r="G57" s="66"/>
      <c r="H57" s="66"/>
      <c r="I57" s="66"/>
      <c r="J57" s="66"/>
      <c r="K57" s="66"/>
      <c r="L57" s="66">
        <f t="shared" si="1"/>
        <v>42537</v>
      </c>
      <c r="M57" s="66">
        <v>5104</v>
      </c>
      <c r="N57" s="66">
        <v>37433</v>
      </c>
      <c r="O57" s="59"/>
      <c r="P57" s="59"/>
    </row>
    <row r="58" spans="1:16" s="67" customFormat="1" ht="31.5" customHeight="1" x14ac:dyDescent="0.2">
      <c r="A58" s="315"/>
      <c r="B58" s="226" t="s">
        <v>457</v>
      </c>
      <c r="C58" s="66">
        <v>585</v>
      </c>
      <c r="D58" s="66"/>
      <c r="E58" s="66"/>
      <c r="F58" s="57">
        <f t="shared" si="0"/>
        <v>9500</v>
      </c>
      <c r="G58" s="66"/>
      <c r="H58" s="66"/>
      <c r="I58" s="66"/>
      <c r="J58" s="66"/>
      <c r="K58" s="66"/>
      <c r="L58" s="66">
        <f t="shared" si="1"/>
        <v>9500</v>
      </c>
      <c r="M58" s="66">
        <v>9500</v>
      </c>
      <c r="N58" s="66"/>
      <c r="O58" s="59"/>
      <c r="P58" s="59"/>
    </row>
    <row r="59" spans="1:16" ht="15.75" customHeight="1" x14ac:dyDescent="0.2">
      <c r="A59" s="1">
        <v>48</v>
      </c>
      <c r="B59" s="60" t="s">
        <v>127</v>
      </c>
      <c r="C59" s="57">
        <v>5710</v>
      </c>
      <c r="D59" s="57"/>
      <c r="E59" s="57"/>
      <c r="F59" s="57">
        <f t="shared" si="0"/>
        <v>26820</v>
      </c>
      <c r="G59" s="57"/>
      <c r="H59" s="57"/>
      <c r="I59" s="57">
        <v>26820</v>
      </c>
      <c r="J59" s="57"/>
      <c r="K59" s="57"/>
      <c r="L59" s="57">
        <f t="shared" si="1"/>
        <v>0</v>
      </c>
      <c r="M59" s="57"/>
      <c r="N59" s="57"/>
      <c r="O59" s="59"/>
      <c r="P59" s="59"/>
    </row>
    <row r="60" spans="1:16" ht="13.5" customHeight="1" x14ac:dyDescent="0.2">
      <c r="A60" s="1">
        <v>49</v>
      </c>
      <c r="B60" s="60" t="s">
        <v>128</v>
      </c>
      <c r="C60" s="57">
        <v>0</v>
      </c>
      <c r="D60" s="57"/>
      <c r="E60" s="57"/>
      <c r="F60" s="57">
        <f t="shared" si="0"/>
        <v>8493</v>
      </c>
      <c r="G60" s="57"/>
      <c r="H60" s="57"/>
      <c r="I60" s="57">
        <v>8493</v>
      </c>
      <c r="J60" s="57"/>
      <c r="K60" s="57"/>
      <c r="L60" s="57">
        <f t="shared" si="1"/>
        <v>0</v>
      </c>
      <c r="M60" s="57"/>
      <c r="N60" s="57"/>
      <c r="O60" s="59"/>
      <c r="P60" s="59"/>
    </row>
    <row r="61" spans="1:16" ht="14.25" customHeight="1" x14ac:dyDescent="0.2">
      <c r="A61" s="314">
        <v>50</v>
      </c>
      <c r="B61" s="60" t="s">
        <v>74</v>
      </c>
      <c r="C61" s="57">
        <v>34650</v>
      </c>
      <c r="D61" s="57"/>
      <c r="E61" s="57"/>
      <c r="F61" s="57">
        <f t="shared" si="0"/>
        <v>112811</v>
      </c>
      <c r="G61" s="57">
        <f>5807-2904</f>
        <v>2903</v>
      </c>
      <c r="H61" s="57">
        <v>2904</v>
      </c>
      <c r="I61" s="57"/>
      <c r="J61" s="57"/>
      <c r="K61" s="57"/>
      <c r="L61" s="57">
        <f t="shared" si="1"/>
        <v>107004</v>
      </c>
      <c r="M61" s="57">
        <v>35242</v>
      </c>
      <c r="N61" s="57">
        <v>71762</v>
      </c>
      <c r="O61" s="59"/>
      <c r="P61" s="59"/>
    </row>
    <row r="62" spans="1:16" s="67" customFormat="1" ht="37.5" customHeight="1" x14ac:dyDescent="0.2">
      <c r="A62" s="315"/>
      <c r="B62" s="2" t="s">
        <v>129</v>
      </c>
      <c r="C62" s="66">
        <v>13626</v>
      </c>
      <c r="D62" s="66"/>
      <c r="E62" s="66"/>
      <c r="F62" s="57">
        <f t="shared" si="0"/>
        <v>42087</v>
      </c>
      <c r="G62" s="66"/>
      <c r="H62" s="66"/>
      <c r="I62" s="66"/>
      <c r="J62" s="66"/>
      <c r="K62" s="66"/>
      <c r="L62" s="66">
        <f t="shared" si="1"/>
        <v>42087</v>
      </c>
      <c r="M62" s="66">
        <v>14659</v>
      </c>
      <c r="N62" s="66">
        <v>27428</v>
      </c>
      <c r="O62" s="59"/>
      <c r="P62" s="59"/>
    </row>
    <row r="63" spans="1:16" ht="13.5" customHeight="1" x14ac:dyDescent="0.2">
      <c r="A63" s="1">
        <v>51</v>
      </c>
      <c r="B63" s="60" t="s">
        <v>19</v>
      </c>
      <c r="C63" s="57">
        <v>48474</v>
      </c>
      <c r="D63" s="57"/>
      <c r="E63" s="57"/>
      <c r="F63" s="57">
        <f t="shared" si="0"/>
        <v>149625</v>
      </c>
      <c r="G63" s="57"/>
      <c r="H63" s="57"/>
      <c r="I63" s="57"/>
      <c r="J63" s="57"/>
      <c r="K63" s="57"/>
      <c r="L63" s="57">
        <f t="shared" si="1"/>
        <v>149625</v>
      </c>
      <c r="M63" s="57">
        <v>45352</v>
      </c>
      <c r="N63" s="57">
        <v>104273</v>
      </c>
      <c r="O63" s="59"/>
      <c r="P63" s="59"/>
    </row>
    <row r="64" spans="1:16" s="3" customFormat="1" ht="12.75" customHeight="1" x14ac:dyDescent="0.2">
      <c r="A64" s="1">
        <v>52</v>
      </c>
      <c r="B64" s="60" t="s">
        <v>20</v>
      </c>
      <c r="C64" s="57">
        <v>47372</v>
      </c>
      <c r="D64" s="57"/>
      <c r="E64" s="57"/>
      <c r="F64" s="57">
        <f t="shared" si="0"/>
        <v>146326</v>
      </c>
      <c r="G64" s="57"/>
      <c r="H64" s="57"/>
      <c r="I64" s="57"/>
      <c r="J64" s="57"/>
      <c r="K64" s="57"/>
      <c r="L64" s="57">
        <f t="shared" si="1"/>
        <v>146326</v>
      </c>
      <c r="M64" s="57">
        <v>31957</v>
      </c>
      <c r="N64" s="57">
        <v>114369</v>
      </c>
      <c r="O64" s="59"/>
      <c r="P64" s="59"/>
    </row>
    <row r="65" spans="1:16" ht="10.5" customHeight="1" x14ac:dyDescent="0.2">
      <c r="A65" s="1">
        <v>53</v>
      </c>
      <c r="B65" s="60" t="s">
        <v>21</v>
      </c>
      <c r="C65" s="57">
        <v>14707</v>
      </c>
      <c r="D65" s="57"/>
      <c r="E65" s="57"/>
      <c r="F65" s="57">
        <f t="shared" si="0"/>
        <v>45461</v>
      </c>
      <c r="G65" s="57"/>
      <c r="H65" s="57"/>
      <c r="I65" s="57"/>
      <c r="J65" s="57"/>
      <c r="K65" s="57"/>
      <c r="L65" s="57">
        <f t="shared" si="1"/>
        <v>45461</v>
      </c>
      <c r="M65" s="57">
        <v>12564</v>
      </c>
      <c r="N65" s="57">
        <v>32897</v>
      </c>
      <c r="O65" s="59"/>
      <c r="P65" s="59"/>
    </row>
    <row r="66" spans="1:16" ht="10.5" customHeight="1" x14ac:dyDescent="0.2">
      <c r="A66" s="1">
        <v>54</v>
      </c>
      <c r="B66" s="60" t="s">
        <v>22</v>
      </c>
      <c r="C66" s="57">
        <v>18046</v>
      </c>
      <c r="D66" s="57"/>
      <c r="E66" s="57"/>
      <c r="F66" s="57">
        <f t="shared" si="0"/>
        <v>55780</v>
      </c>
      <c r="G66" s="57"/>
      <c r="H66" s="57"/>
      <c r="I66" s="57"/>
      <c r="J66" s="57"/>
      <c r="K66" s="57"/>
      <c r="L66" s="57">
        <f t="shared" si="1"/>
        <v>55780</v>
      </c>
      <c r="M66" s="57">
        <v>20154</v>
      </c>
      <c r="N66" s="57">
        <v>35626</v>
      </c>
      <c r="O66" s="59"/>
      <c r="P66" s="59"/>
    </row>
    <row r="67" spans="1:16" ht="10.5" customHeight="1" x14ac:dyDescent="0.2">
      <c r="A67" s="1">
        <v>55</v>
      </c>
      <c r="B67" s="60" t="s">
        <v>23</v>
      </c>
      <c r="C67" s="57">
        <v>16520</v>
      </c>
      <c r="D67" s="57"/>
      <c r="E67" s="57"/>
      <c r="F67" s="57">
        <f t="shared" si="0"/>
        <v>51058</v>
      </c>
      <c r="G67" s="57"/>
      <c r="H67" s="57"/>
      <c r="I67" s="57"/>
      <c r="J67" s="57"/>
      <c r="K67" s="57"/>
      <c r="L67" s="57">
        <f t="shared" si="1"/>
        <v>51058</v>
      </c>
      <c r="M67" s="57">
        <v>15317</v>
      </c>
      <c r="N67" s="57">
        <v>35741</v>
      </c>
      <c r="O67" s="59"/>
      <c r="P67" s="59"/>
    </row>
    <row r="68" spans="1:16" ht="11.25" customHeight="1" x14ac:dyDescent="0.2">
      <c r="A68" s="1">
        <v>56</v>
      </c>
      <c r="B68" s="60" t="s">
        <v>24</v>
      </c>
      <c r="C68" s="57">
        <v>10847</v>
      </c>
      <c r="D68" s="57"/>
      <c r="E68" s="57"/>
      <c r="F68" s="57">
        <f t="shared" si="0"/>
        <v>33497</v>
      </c>
      <c r="G68" s="57"/>
      <c r="H68" s="57"/>
      <c r="I68" s="57"/>
      <c r="J68" s="57"/>
      <c r="K68" s="57"/>
      <c r="L68" s="57">
        <f t="shared" si="1"/>
        <v>33497</v>
      </c>
      <c r="M68" s="57">
        <v>10049</v>
      </c>
      <c r="N68" s="57">
        <v>23448</v>
      </c>
      <c r="O68" s="59"/>
      <c r="P68" s="59"/>
    </row>
    <row r="69" spans="1:16" ht="10.5" customHeight="1" x14ac:dyDescent="0.2">
      <c r="A69" s="1">
        <v>57</v>
      </c>
      <c r="B69" s="60" t="s">
        <v>25</v>
      </c>
      <c r="C69" s="57">
        <v>18810</v>
      </c>
      <c r="D69" s="57"/>
      <c r="E69" s="57"/>
      <c r="F69" s="57">
        <f t="shared" si="0"/>
        <v>58093</v>
      </c>
      <c r="G69" s="57"/>
      <c r="H69" s="57"/>
      <c r="I69" s="57"/>
      <c r="J69" s="57"/>
      <c r="K69" s="57"/>
      <c r="L69" s="57">
        <f t="shared" si="1"/>
        <v>58093</v>
      </c>
      <c r="M69" s="57">
        <v>15070</v>
      </c>
      <c r="N69" s="57">
        <v>43023</v>
      </c>
      <c r="O69" s="59"/>
      <c r="P69" s="59"/>
    </row>
    <row r="70" spans="1:16" ht="10.5" customHeight="1" x14ac:dyDescent="0.2">
      <c r="A70" s="1">
        <v>58</v>
      </c>
      <c r="B70" s="60" t="s">
        <v>26</v>
      </c>
      <c r="C70" s="57">
        <v>8603</v>
      </c>
      <c r="D70" s="57"/>
      <c r="E70" s="57"/>
      <c r="F70" s="57">
        <f t="shared" si="0"/>
        <v>26569</v>
      </c>
      <c r="G70" s="57"/>
      <c r="H70" s="57"/>
      <c r="I70" s="57"/>
      <c r="J70" s="57"/>
      <c r="K70" s="57"/>
      <c r="L70" s="57">
        <f t="shared" si="1"/>
        <v>26569</v>
      </c>
      <c r="M70" s="57">
        <v>7269</v>
      </c>
      <c r="N70" s="57">
        <v>19300</v>
      </c>
      <c r="O70" s="59"/>
      <c r="P70" s="59"/>
    </row>
    <row r="71" spans="1:16" s="3" customFormat="1" ht="27" customHeight="1" x14ac:dyDescent="0.2">
      <c r="A71" s="1">
        <v>59</v>
      </c>
      <c r="B71" s="60" t="s">
        <v>130</v>
      </c>
      <c r="C71" s="57">
        <v>3925</v>
      </c>
      <c r="D71" s="57"/>
      <c r="E71" s="57"/>
      <c r="F71" s="57">
        <f t="shared" si="0"/>
        <v>11481</v>
      </c>
      <c r="G71" s="57"/>
      <c r="H71" s="57"/>
      <c r="I71" s="57"/>
      <c r="J71" s="57"/>
      <c r="K71" s="57"/>
      <c r="L71" s="57">
        <f t="shared" si="1"/>
        <v>11481</v>
      </c>
      <c r="M71" s="57">
        <v>4822</v>
      </c>
      <c r="N71" s="57">
        <v>6659</v>
      </c>
      <c r="O71" s="59"/>
      <c r="P71" s="59"/>
    </row>
    <row r="72" spans="1:16" ht="12.75" customHeight="1" x14ac:dyDescent="0.2">
      <c r="A72" s="1">
        <v>60</v>
      </c>
      <c r="B72" s="60" t="s">
        <v>57</v>
      </c>
      <c r="C72" s="57">
        <f>1170-585</f>
        <v>585</v>
      </c>
      <c r="D72" s="57"/>
      <c r="E72" s="57"/>
      <c r="F72" s="57">
        <f t="shared" si="0"/>
        <v>9500</v>
      </c>
      <c r="G72" s="57"/>
      <c r="H72" s="57"/>
      <c r="I72" s="57">
        <f>19000-9500</f>
        <v>9500</v>
      </c>
      <c r="J72" s="57"/>
      <c r="K72" s="57"/>
      <c r="L72" s="57">
        <f t="shared" si="1"/>
        <v>0</v>
      </c>
      <c r="M72" s="57"/>
      <c r="N72" s="57"/>
      <c r="O72" s="59"/>
      <c r="P72" s="59"/>
    </row>
    <row r="73" spans="1:16" s="3" customFormat="1" ht="15.75" customHeight="1" x14ac:dyDescent="0.2">
      <c r="A73" s="1">
        <v>61</v>
      </c>
      <c r="B73" s="60" t="s">
        <v>131</v>
      </c>
      <c r="C73" s="57">
        <v>7920</v>
      </c>
      <c r="D73" s="57"/>
      <c r="E73" s="57"/>
      <c r="F73" s="57">
        <f t="shared" ref="F73:F136" si="2">G73+I73+J73+K73+L73+H73</f>
        <v>20773</v>
      </c>
      <c r="G73" s="57"/>
      <c r="H73" s="57"/>
      <c r="I73" s="57"/>
      <c r="J73" s="57"/>
      <c r="K73" s="57"/>
      <c r="L73" s="57">
        <f t="shared" si="1"/>
        <v>20773</v>
      </c>
      <c r="M73" s="57">
        <v>7529</v>
      </c>
      <c r="N73" s="57">
        <v>13244</v>
      </c>
      <c r="O73" s="59"/>
      <c r="P73" s="59"/>
    </row>
    <row r="74" spans="1:16" ht="14.25" customHeight="1" x14ac:dyDescent="0.2">
      <c r="A74" s="1">
        <v>62</v>
      </c>
      <c r="B74" s="60" t="s">
        <v>227</v>
      </c>
      <c r="C74" s="57">
        <v>0</v>
      </c>
      <c r="D74" s="57"/>
      <c r="E74" s="57"/>
      <c r="F74" s="57">
        <f t="shared" si="2"/>
        <v>2000</v>
      </c>
      <c r="G74" s="57">
        <v>2000</v>
      </c>
      <c r="H74" s="57"/>
      <c r="I74" s="57"/>
      <c r="J74" s="57"/>
      <c r="K74" s="57"/>
      <c r="L74" s="57">
        <f t="shared" ref="L74:L137" si="3">M74+N74</f>
        <v>0</v>
      </c>
      <c r="M74" s="57"/>
      <c r="N74" s="57"/>
      <c r="O74" s="59"/>
      <c r="P74" s="59"/>
    </row>
    <row r="75" spans="1:16" ht="13.5" customHeight="1" x14ac:dyDescent="0.2">
      <c r="A75" s="1">
        <v>63</v>
      </c>
      <c r="B75" s="60" t="s">
        <v>228</v>
      </c>
      <c r="C75" s="57">
        <v>0</v>
      </c>
      <c r="D75" s="57"/>
      <c r="E75" s="57"/>
      <c r="F75" s="57">
        <f t="shared" si="2"/>
        <v>100</v>
      </c>
      <c r="G75" s="57"/>
      <c r="H75" s="57"/>
      <c r="I75" s="57">
        <v>100</v>
      </c>
      <c r="J75" s="57"/>
      <c r="K75" s="57"/>
      <c r="L75" s="57">
        <f t="shared" si="3"/>
        <v>0</v>
      </c>
      <c r="M75" s="57"/>
      <c r="N75" s="57"/>
      <c r="O75" s="59"/>
      <c r="P75" s="59"/>
    </row>
    <row r="76" spans="1:16" ht="10.5" customHeight="1" x14ac:dyDescent="0.2">
      <c r="A76" s="1">
        <v>64</v>
      </c>
      <c r="B76" s="56" t="s">
        <v>27</v>
      </c>
      <c r="C76" s="57">
        <v>73298</v>
      </c>
      <c r="D76" s="57"/>
      <c r="E76" s="57"/>
      <c r="F76" s="57">
        <f t="shared" si="2"/>
        <v>226431</v>
      </c>
      <c r="G76" s="57"/>
      <c r="H76" s="57"/>
      <c r="I76" s="57"/>
      <c r="J76" s="57"/>
      <c r="K76" s="57"/>
      <c r="L76" s="57">
        <f t="shared" si="3"/>
        <v>226431</v>
      </c>
      <c r="M76" s="57">
        <v>48493</v>
      </c>
      <c r="N76" s="57">
        <v>177938</v>
      </c>
      <c r="O76" s="59"/>
      <c r="P76" s="59"/>
    </row>
    <row r="77" spans="1:16" ht="10.5" customHeight="1" x14ac:dyDescent="0.2">
      <c r="A77" s="1">
        <v>65</v>
      </c>
      <c r="B77" s="60" t="s">
        <v>28</v>
      </c>
      <c r="C77" s="57">
        <v>51984</v>
      </c>
      <c r="D77" s="57"/>
      <c r="E77" s="57"/>
      <c r="F77" s="57">
        <f t="shared" si="2"/>
        <v>161914</v>
      </c>
      <c r="G77" s="57">
        <v>2288</v>
      </c>
      <c r="H77" s="57"/>
      <c r="I77" s="57"/>
      <c r="J77" s="57"/>
      <c r="K77" s="57"/>
      <c r="L77" s="57">
        <f t="shared" si="3"/>
        <v>159626</v>
      </c>
      <c r="M77" s="57">
        <v>34228</v>
      </c>
      <c r="N77" s="57">
        <v>125398</v>
      </c>
      <c r="O77" s="59"/>
      <c r="P77" s="59"/>
    </row>
    <row r="78" spans="1:16" ht="10.5" customHeight="1" x14ac:dyDescent="0.2">
      <c r="A78" s="1">
        <v>66</v>
      </c>
      <c r="B78" s="56" t="s">
        <v>132</v>
      </c>
      <c r="C78" s="57">
        <v>55981</v>
      </c>
      <c r="D78" s="57"/>
      <c r="E78" s="57"/>
      <c r="F78" s="57">
        <f t="shared" si="2"/>
        <v>162006</v>
      </c>
      <c r="G78" s="57">
        <f>4587-2294</f>
        <v>2293</v>
      </c>
      <c r="H78" s="57">
        <v>2294</v>
      </c>
      <c r="I78" s="57"/>
      <c r="J78" s="57"/>
      <c r="K78" s="57"/>
      <c r="L78" s="57">
        <f t="shared" si="3"/>
        <v>157419</v>
      </c>
      <c r="M78" s="57">
        <v>32513</v>
      </c>
      <c r="N78" s="57">
        <v>124906</v>
      </c>
      <c r="O78" s="59"/>
      <c r="P78" s="59"/>
    </row>
    <row r="79" spans="1:16" ht="24" customHeight="1" x14ac:dyDescent="0.2">
      <c r="A79" s="1">
        <v>67</v>
      </c>
      <c r="B79" s="56" t="s">
        <v>133</v>
      </c>
      <c r="C79" s="57">
        <v>3000</v>
      </c>
      <c r="D79" s="57"/>
      <c r="E79" s="57"/>
      <c r="F79" s="57">
        <f t="shared" si="2"/>
        <v>24758</v>
      </c>
      <c r="G79" s="57"/>
      <c r="H79" s="57"/>
      <c r="I79" s="57">
        <v>24758</v>
      </c>
      <c r="J79" s="57"/>
      <c r="K79" s="57"/>
      <c r="L79" s="57">
        <f t="shared" si="3"/>
        <v>0</v>
      </c>
      <c r="M79" s="57"/>
      <c r="N79" s="57"/>
      <c r="O79" s="59"/>
      <c r="P79" s="59"/>
    </row>
    <row r="80" spans="1:16" ht="10.5" customHeight="1" x14ac:dyDescent="0.2">
      <c r="A80" s="1">
        <v>68</v>
      </c>
      <c r="B80" s="60" t="s">
        <v>29</v>
      </c>
      <c r="C80" s="57">
        <v>22614</v>
      </c>
      <c r="D80" s="57"/>
      <c r="E80" s="57"/>
      <c r="F80" s="57">
        <f t="shared" si="2"/>
        <v>69853</v>
      </c>
      <c r="G80" s="57"/>
      <c r="H80" s="57"/>
      <c r="I80" s="57"/>
      <c r="J80" s="57"/>
      <c r="K80" s="57"/>
      <c r="L80" s="57">
        <f t="shared" si="3"/>
        <v>69853</v>
      </c>
      <c r="M80" s="57">
        <v>15368</v>
      </c>
      <c r="N80" s="57">
        <v>54485</v>
      </c>
      <c r="O80" s="59"/>
      <c r="P80" s="59"/>
    </row>
    <row r="81" spans="1:16" ht="10.5" customHeight="1" x14ac:dyDescent="0.2">
      <c r="A81" s="1">
        <v>69</v>
      </c>
      <c r="B81" s="56" t="s">
        <v>30</v>
      </c>
      <c r="C81" s="57">
        <v>15153</v>
      </c>
      <c r="D81" s="57"/>
      <c r="E81" s="57"/>
      <c r="F81" s="57">
        <f t="shared" si="2"/>
        <v>46800</v>
      </c>
      <c r="G81" s="57"/>
      <c r="H81" s="57"/>
      <c r="I81" s="57"/>
      <c r="J81" s="57"/>
      <c r="K81" s="57"/>
      <c r="L81" s="57">
        <f t="shared" si="3"/>
        <v>46800</v>
      </c>
      <c r="M81" s="57">
        <v>9705</v>
      </c>
      <c r="N81" s="57">
        <v>37095</v>
      </c>
      <c r="O81" s="59"/>
      <c r="P81" s="59"/>
    </row>
    <row r="82" spans="1:16" ht="10.5" customHeight="1" x14ac:dyDescent="0.2">
      <c r="A82" s="1">
        <v>70</v>
      </c>
      <c r="B82" s="60" t="s">
        <v>31</v>
      </c>
      <c r="C82" s="57">
        <v>11760</v>
      </c>
      <c r="D82" s="57"/>
      <c r="E82" s="57"/>
      <c r="F82" s="57">
        <f t="shared" si="2"/>
        <v>37600</v>
      </c>
      <c r="G82" s="57"/>
      <c r="H82" s="57"/>
      <c r="I82" s="57"/>
      <c r="J82" s="57"/>
      <c r="K82" s="57"/>
      <c r="L82" s="57">
        <f t="shared" si="3"/>
        <v>37600</v>
      </c>
      <c r="M82" s="57">
        <v>8428</v>
      </c>
      <c r="N82" s="57">
        <v>29172</v>
      </c>
      <c r="O82" s="59"/>
      <c r="P82" s="59"/>
    </row>
    <row r="83" spans="1:16" ht="10.5" customHeight="1" x14ac:dyDescent="0.2">
      <c r="A83" s="1">
        <v>71</v>
      </c>
      <c r="B83" s="56" t="s">
        <v>32</v>
      </c>
      <c r="C83" s="57">
        <v>17827</v>
      </c>
      <c r="D83" s="57"/>
      <c r="E83" s="57"/>
      <c r="F83" s="57">
        <f t="shared" si="2"/>
        <v>54888</v>
      </c>
      <c r="G83" s="57"/>
      <c r="H83" s="57"/>
      <c r="I83" s="57"/>
      <c r="J83" s="57"/>
      <c r="K83" s="57"/>
      <c r="L83" s="57">
        <f t="shared" si="3"/>
        <v>54888</v>
      </c>
      <c r="M83" s="57">
        <v>12243</v>
      </c>
      <c r="N83" s="57">
        <v>42645</v>
      </c>
      <c r="O83" s="59"/>
      <c r="P83" s="59"/>
    </row>
    <row r="84" spans="1:16" ht="10.5" customHeight="1" x14ac:dyDescent="0.2">
      <c r="A84" s="1">
        <v>72</v>
      </c>
      <c r="B84" s="60" t="s">
        <v>33</v>
      </c>
      <c r="C84" s="57">
        <v>7799</v>
      </c>
      <c r="D84" s="57"/>
      <c r="E84" s="57"/>
      <c r="F84" s="57">
        <f t="shared" si="2"/>
        <v>24082</v>
      </c>
      <c r="G84" s="57"/>
      <c r="H84" s="57"/>
      <c r="I84" s="57"/>
      <c r="J84" s="57"/>
      <c r="K84" s="57"/>
      <c r="L84" s="57">
        <f t="shared" si="3"/>
        <v>24082</v>
      </c>
      <c r="M84" s="57">
        <v>7306</v>
      </c>
      <c r="N84" s="57">
        <v>16776</v>
      </c>
      <c r="O84" s="59"/>
      <c r="P84" s="59"/>
    </row>
    <row r="85" spans="1:16" ht="10.5" customHeight="1" x14ac:dyDescent="0.2">
      <c r="A85" s="1">
        <v>73</v>
      </c>
      <c r="B85" s="60" t="s">
        <v>34</v>
      </c>
      <c r="C85" s="57">
        <v>14699</v>
      </c>
      <c r="D85" s="57"/>
      <c r="E85" s="57"/>
      <c r="F85" s="57">
        <f t="shared" si="2"/>
        <v>45610</v>
      </c>
      <c r="G85" s="57"/>
      <c r="H85" s="57"/>
      <c r="I85" s="57"/>
      <c r="J85" s="57"/>
      <c r="K85" s="57"/>
      <c r="L85" s="57">
        <f t="shared" si="3"/>
        <v>45610</v>
      </c>
      <c r="M85" s="57">
        <v>11153</v>
      </c>
      <c r="N85" s="57">
        <v>34457</v>
      </c>
      <c r="O85" s="59"/>
      <c r="P85" s="59"/>
    </row>
    <row r="86" spans="1:16" ht="11.25" customHeight="1" x14ac:dyDescent="0.2">
      <c r="A86" s="1">
        <v>74</v>
      </c>
      <c r="B86" s="60" t="s">
        <v>35</v>
      </c>
      <c r="C86" s="57">
        <v>22079</v>
      </c>
      <c r="D86" s="57"/>
      <c r="E86" s="57"/>
      <c r="F86" s="57">
        <f t="shared" si="2"/>
        <v>68210</v>
      </c>
      <c r="G86" s="57"/>
      <c r="H86" s="57"/>
      <c r="I86" s="57"/>
      <c r="J86" s="57"/>
      <c r="K86" s="57"/>
      <c r="L86" s="57">
        <f t="shared" si="3"/>
        <v>68210</v>
      </c>
      <c r="M86" s="57">
        <v>18545</v>
      </c>
      <c r="N86" s="57">
        <v>49665</v>
      </c>
      <c r="O86" s="59"/>
      <c r="P86" s="59"/>
    </row>
    <row r="87" spans="1:16" ht="10.5" customHeight="1" x14ac:dyDescent="0.2">
      <c r="A87" s="1">
        <v>75</v>
      </c>
      <c r="B87" s="56" t="s">
        <v>36</v>
      </c>
      <c r="C87" s="57">
        <v>12123</v>
      </c>
      <c r="D87" s="57"/>
      <c r="E87" s="57"/>
      <c r="F87" s="57">
        <f t="shared" si="2"/>
        <v>37450</v>
      </c>
      <c r="G87" s="57"/>
      <c r="H87" s="57"/>
      <c r="I87" s="57"/>
      <c r="J87" s="57"/>
      <c r="K87" s="57"/>
      <c r="L87" s="57">
        <f t="shared" si="3"/>
        <v>37450</v>
      </c>
      <c r="M87" s="57">
        <v>8981</v>
      </c>
      <c r="N87" s="57">
        <v>28469</v>
      </c>
      <c r="O87" s="59"/>
      <c r="P87" s="59"/>
    </row>
    <row r="88" spans="1:16" ht="10.5" customHeight="1" x14ac:dyDescent="0.2">
      <c r="A88" s="1">
        <v>76</v>
      </c>
      <c r="B88" s="60" t="s">
        <v>134</v>
      </c>
      <c r="C88" s="57">
        <v>225</v>
      </c>
      <c r="D88" s="57"/>
      <c r="E88" s="57"/>
      <c r="F88" s="57">
        <f t="shared" si="2"/>
        <v>150</v>
      </c>
      <c r="G88" s="57"/>
      <c r="H88" s="57"/>
      <c r="I88" s="57">
        <v>150</v>
      </c>
      <c r="J88" s="57"/>
      <c r="K88" s="57"/>
      <c r="L88" s="57">
        <f t="shared" si="3"/>
        <v>0</v>
      </c>
      <c r="M88" s="57"/>
      <c r="N88" s="57"/>
      <c r="O88" s="59"/>
      <c r="P88" s="59"/>
    </row>
    <row r="89" spans="1:16" ht="10.5" customHeight="1" x14ac:dyDescent="0.2">
      <c r="A89" s="1">
        <v>77</v>
      </c>
      <c r="B89" s="60" t="s">
        <v>135</v>
      </c>
      <c r="C89" s="57">
        <v>250</v>
      </c>
      <c r="D89" s="57"/>
      <c r="E89" s="57"/>
      <c r="F89" s="57">
        <f t="shared" si="2"/>
        <v>50</v>
      </c>
      <c r="G89" s="57"/>
      <c r="H89" s="57"/>
      <c r="I89" s="57">
        <v>50</v>
      </c>
      <c r="J89" s="57"/>
      <c r="K89" s="57"/>
      <c r="L89" s="57">
        <f t="shared" si="3"/>
        <v>0</v>
      </c>
      <c r="M89" s="57"/>
      <c r="N89" s="57"/>
      <c r="O89" s="59"/>
      <c r="P89" s="59"/>
    </row>
    <row r="90" spans="1:16" ht="10.5" customHeight="1" x14ac:dyDescent="0.2">
      <c r="A90" s="1">
        <v>78</v>
      </c>
      <c r="B90" s="69" t="s">
        <v>229</v>
      </c>
      <c r="C90" s="57">
        <v>0</v>
      </c>
      <c r="D90" s="57"/>
      <c r="E90" s="57"/>
      <c r="F90" s="57">
        <f t="shared" si="2"/>
        <v>175</v>
      </c>
      <c r="G90" s="57"/>
      <c r="H90" s="57"/>
      <c r="I90" s="57">
        <v>175</v>
      </c>
      <c r="J90" s="57"/>
      <c r="K90" s="57"/>
      <c r="L90" s="57">
        <f t="shared" si="3"/>
        <v>0</v>
      </c>
      <c r="M90" s="57"/>
      <c r="N90" s="57"/>
      <c r="O90" s="59"/>
      <c r="P90" s="59"/>
    </row>
    <row r="91" spans="1:16" ht="10.5" customHeight="1" x14ac:dyDescent="0.2">
      <c r="A91" s="1">
        <v>79</v>
      </c>
      <c r="B91" s="60" t="s">
        <v>136</v>
      </c>
      <c r="C91" s="57">
        <v>115</v>
      </c>
      <c r="D91" s="57"/>
      <c r="E91" s="57"/>
      <c r="F91" s="57">
        <f t="shared" si="2"/>
        <v>50</v>
      </c>
      <c r="G91" s="57"/>
      <c r="H91" s="57"/>
      <c r="I91" s="57">
        <v>50</v>
      </c>
      <c r="J91" s="57"/>
      <c r="K91" s="57"/>
      <c r="L91" s="57">
        <f t="shared" si="3"/>
        <v>0</v>
      </c>
      <c r="M91" s="57"/>
      <c r="N91" s="57"/>
      <c r="O91" s="59"/>
      <c r="P91" s="59"/>
    </row>
    <row r="92" spans="1:16" ht="15" customHeight="1" x14ac:dyDescent="0.2">
      <c r="A92" s="1">
        <v>80</v>
      </c>
      <c r="B92" s="60" t="s">
        <v>137</v>
      </c>
      <c r="C92" s="57">
        <v>0</v>
      </c>
      <c r="D92" s="57"/>
      <c r="E92" s="57"/>
      <c r="F92" s="57">
        <f t="shared" si="2"/>
        <v>100</v>
      </c>
      <c r="G92" s="57"/>
      <c r="H92" s="57"/>
      <c r="I92" s="57">
        <v>100</v>
      </c>
      <c r="J92" s="57"/>
      <c r="K92" s="57"/>
      <c r="L92" s="57">
        <f t="shared" si="3"/>
        <v>0</v>
      </c>
      <c r="M92" s="57"/>
      <c r="N92" s="57"/>
      <c r="O92" s="59"/>
      <c r="P92" s="59"/>
    </row>
    <row r="93" spans="1:16" ht="10.5" customHeight="1" x14ac:dyDescent="0.2">
      <c r="A93" s="1">
        <v>81</v>
      </c>
      <c r="B93" s="70" t="s">
        <v>230</v>
      </c>
      <c r="C93" s="57">
        <v>0</v>
      </c>
      <c r="D93" s="57"/>
      <c r="E93" s="57"/>
      <c r="F93" s="57">
        <f t="shared" si="2"/>
        <v>894</v>
      </c>
      <c r="G93" s="57"/>
      <c r="H93" s="57"/>
      <c r="I93" s="57">
        <v>894</v>
      </c>
      <c r="J93" s="57"/>
      <c r="K93" s="57"/>
      <c r="L93" s="57">
        <f t="shared" si="3"/>
        <v>0</v>
      </c>
      <c r="M93" s="57"/>
      <c r="N93" s="57"/>
      <c r="O93" s="59"/>
      <c r="P93" s="59"/>
    </row>
    <row r="94" spans="1:16" ht="10.5" customHeight="1" x14ac:dyDescent="0.2">
      <c r="A94" s="1">
        <v>82</v>
      </c>
      <c r="B94" s="61" t="s">
        <v>138</v>
      </c>
      <c r="C94" s="57">
        <f>13953-430</f>
        <v>13523</v>
      </c>
      <c r="D94" s="57"/>
      <c r="E94" s="57"/>
      <c r="F94" s="57">
        <f t="shared" si="2"/>
        <v>63560</v>
      </c>
      <c r="G94" s="57"/>
      <c r="H94" s="57"/>
      <c r="I94" s="57"/>
      <c r="J94" s="57"/>
      <c r="K94" s="57"/>
      <c r="L94" s="57">
        <f t="shared" si="3"/>
        <v>63560</v>
      </c>
      <c r="M94" s="57">
        <v>13361</v>
      </c>
      <c r="N94" s="57">
        <v>50199</v>
      </c>
      <c r="O94" s="59"/>
      <c r="P94" s="59"/>
    </row>
    <row r="95" spans="1:16" ht="10.5" customHeight="1" x14ac:dyDescent="0.2">
      <c r="A95" s="1">
        <v>83</v>
      </c>
      <c r="B95" s="61" t="s">
        <v>139</v>
      </c>
      <c r="C95" s="57">
        <f>11980-290+480</f>
        <v>12170</v>
      </c>
      <c r="D95" s="57"/>
      <c r="E95" s="57"/>
      <c r="F95" s="57">
        <f t="shared" si="2"/>
        <v>54572</v>
      </c>
      <c r="G95" s="57"/>
      <c r="H95" s="57"/>
      <c r="I95" s="57"/>
      <c r="J95" s="57"/>
      <c r="K95" s="57"/>
      <c r="L95" s="57">
        <f t="shared" si="3"/>
        <v>54572</v>
      </c>
      <c r="M95" s="57">
        <v>10628</v>
      </c>
      <c r="N95" s="57">
        <v>43944</v>
      </c>
      <c r="O95" s="59"/>
      <c r="P95" s="59"/>
    </row>
    <row r="96" spans="1:16" ht="10.5" customHeight="1" x14ac:dyDescent="0.2">
      <c r="A96" s="1">
        <v>84</v>
      </c>
      <c r="B96" s="61" t="s">
        <v>140</v>
      </c>
      <c r="C96" s="57">
        <f>23443-60</f>
        <v>23383</v>
      </c>
      <c r="D96" s="57">
        <v>7392</v>
      </c>
      <c r="E96" s="57"/>
      <c r="F96" s="57">
        <f t="shared" si="2"/>
        <v>74206.047721097551</v>
      </c>
      <c r="G96" s="57"/>
      <c r="H96" s="57"/>
      <c r="I96" s="57"/>
      <c r="J96" s="57"/>
      <c r="K96" s="57">
        <v>1090</v>
      </c>
      <c r="L96" s="57">
        <f t="shared" si="3"/>
        <v>73116.047721097551</v>
      </c>
      <c r="M96" s="57">
        <v>16723.047721097548</v>
      </c>
      <c r="N96" s="57">
        <v>56393</v>
      </c>
      <c r="O96" s="59"/>
      <c r="P96" s="59"/>
    </row>
    <row r="97" spans="1:16" ht="10.5" customHeight="1" x14ac:dyDescent="0.2">
      <c r="A97" s="1">
        <v>85</v>
      </c>
      <c r="B97" s="61" t="s">
        <v>141</v>
      </c>
      <c r="C97" s="57">
        <f>26846-221</f>
        <v>26625</v>
      </c>
      <c r="D97" s="57">
        <v>7210</v>
      </c>
      <c r="E97" s="57"/>
      <c r="F97" s="57">
        <f t="shared" si="2"/>
        <v>90520</v>
      </c>
      <c r="G97" s="57"/>
      <c r="H97" s="57"/>
      <c r="I97" s="57"/>
      <c r="J97" s="57"/>
      <c r="K97" s="57">
        <v>1063</v>
      </c>
      <c r="L97" s="57">
        <f t="shared" si="3"/>
        <v>89457</v>
      </c>
      <c r="M97" s="57">
        <v>22570</v>
      </c>
      <c r="N97" s="57">
        <v>66887</v>
      </c>
      <c r="O97" s="59"/>
      <c r="P97" s="59"/>
    </row>
    <row r="98" spans="1:16" ht="10.5" customHeight="1" x14ac:dyDescent="0.2">
      <c r="A98" s="1">
        <v>86</v>
      </c>
      <c r="B98" s="61" t="s">
        <v>142</v>
      </c>
      <c r="C98" s="57">
        <f>7572-66</f>
        <v>7506</v>
      </c>
      <c r="D98" s="57"/>
      <c r="E98" s="57"/>
      <c r="F98" s="57">
        <f t="shared" si="2"/>
        <v>34493</v>
      </c>
      <c r="G98" s="57"/>
      <c r="H98" s="57"/>
      <c r="I98" s="57"/>
      <c r="J98" s="57"/>
      <c r="K98" s="57"/>
      <c r="L98" s="57">
        <f t="shared" si="3"/>
        <v>34493</v>
      </c>
      <c r="M98" s="57">
        <v>8081</v>
      </c>
      <c r="N98" s="57">
        <v>26412</v>
      </c>
      <c r="O98" s="59"/>
      <c r="P98" s="59"/>
    </row>
    <row r="99" spans="1:16" ht="22.5" customHeight="1" x14ac:dyDescent="0.2">
      <c r="A99" s="1">
        <v>87</v>
      </c>
      <c r="B99" s="61" t="s">
        <v>143</v>
      </c>
      <c r="C99" s="57">
        <v>0</v>
      </c>
      <c r="D99" s="57"/>
      <c r="E99" s="57"/>
      <c r="F99" s="57">
        <f t="shared" si="2"/>
        <v>20562</v>
      </c>
      <c r="G99" s="57"/>
      <c r="H99" s="57"/>
      <c r="I99" s="57">
        <v>20562</v>
      </c>
      <c r="J99" s="57"/>
      <c r="K99" s="57"/>
      <c r="L99" s="57">
        <f t="shared" si="3"/>
        <v>0</v>
      </c>
      <c r="M99" s="57"/>
      <c r="N99" s="57"/>
      <c r="O99" s="59"/>
      <c r="P99" s="59"/>
    </row>
    <row r="100" spans="1:16" ht="24" customHeight="1" x14ac:dyDescent="0.2">
      <c r="A100" s="1">
        <v>88</v>
      </c>
      <c r="B100" s="61" t="s">
        <v>144</v>
      </c>
      <c r="C100" s="57">
        <v>9725</v>
      </c>
      <c r="D100" s="57"/>
      <c r="E100" s="57"/>
      <c r="F100" s="57">
        <f t="shared" si="2"/>
        <v>30217</v>
      </c>
      <c r="G100" s="57"/>
      <c r="H100" s="57"/>
      <c r="I100" s="57">
        <v>30217</v>
      </c>
      <c r="J100" s="57"/>
      <c r="K100" s="57"/>
      <c r="L100" s="57">
        <f t="shared" si="3"/>
        <v>0</v>
      </c>
      <c r="M100" s="57"/>
      <c r="N100" s="57"/>
      <c r="O100" s="59"/>
      <c r="P100" s="59"/>
    </row>
    <row r="101" spans="1:16" ht="10.5" customHeight="1" x14ac:dyDescent="0.2">
      <c r="A101" s="1">
        <v>89</v>
      </c>
      <c r="B101" s="61" t="s">
        <v>145</v>
      </c>
      <c r="C101" s="57">
        <v>27360</v>
      </c>
      <c r="D101" s="57"/>
      <c r="E101" s="57"/>
      <c r="F101" s="57">
        <f t="shared" si="2"/>
        <v>96868</v>
      </c>
      <c r="G101" s="57"/>
      <c r="H101" s="57"/>
      <c r="I101" s="57"/>
      <c r="J101" s="57"/>
      <c r="K101" s="57"/>
      <c r="L101" s="57">
        <f t="shared" si="3"/>
        <v>96868</v>
      </c>
      <c r="M101" s="57">
        <v>23662</v>
      </c>
      <c r="N101" s="57">
        <v>73206</v>
      </c>
      <c r="O101" s="59"/>
      <c r="P101" s="59"/>
    </row>
    <row r="102" spans="1:16" ht="10.5" customHeight="1" x14ac:dyDescent="0.2">
      <c r="A102" s="1">
        <v>90</v>
      </c>
      <c r="B102" s="61" t="s">
        <v>146</v>
      </c>
      <c r="C102" s="57">
        <v>15309</v>
      </c>
      <c r="D102" s="57"/>
      <c r="E102" s="57"/>
      <c r="F102" s="57">
        <f t="shared" si="2"/>
        <v>52712</v>
      </c>
      <c r="G102" s="57"/>
      <c r="H102" s="57"/>
      <c r="I102" s="57"/>
      <c r="J102" s="57"/>
      <c r="K102" s="57"/>
      <c r="L102" s="57">
        <f t="shared" si="3"/>
        <v>52712</v>
      </c>
      <c r="M102" s="57">
        <v>14136</v>
      </c>
      <c r="N102" s="57">
        <v>38576</v>
      </c>
      <c r="O102" s="59"/>
      <c r="P102" s="59"/>
    </row>
    <row r="103" spans="1:16" ht="10.5" customHeight="1" x14ac:dyDescent="0.2">
      <c r="A103" s="1">
        <v>91</v>
      </c>
      <c r="B103" s="61" t="s">
        <v>147</v>
      </c>
      <c r="C103" s="57">
        <v>14721</v>
      </c>
      <c r="D103" s="57"/>
      <c r="E103" s="57"/>
      <c r="F103" s="57">
        <f t="shared" si="2"/>
        <v>64293</v>
      </c>
      <c r="G103" s="57">
        <v>4774</v>
      </c>
      <c r="H103" s="57"/>
      <c r="I103" s="57"/>
      <c r="J103" s="57"/>
      <c r="K103" s="57"/>
      <c r="L103" s="57">
        <f t="shared" si="3"/>
        <v>59519</v>
      </c>
      <c r="M103" s="57">
        <v>16945</v>
      </c>
      <c r="N103" s="57">
        <v>42574</v>
      </c>
      <c r="O103" s="59"/>
      <c r="P103" s="59"/>
    </row>
    <row r="104" spans="1:16" ht="10.5" customHeight="1" x14ac:dyDescent="0.2">
      <c r="A104" s="1">
        <v>92</v>
      </c>
      <c r="B104" s="61" t="s">
        <v>148</v>
      </c>
      <c r="C104" s="57">
        <v>11459</v>
      </c>
      <c r="D104" s="57"/>
      <c r="E104" s="57"/>
      <c r="F104" s="57">
        <f t="shared" si="2"/>
        <v>39765</v>
      </c>
      <c r="G104" s="57"/>
      <c r="H104" s="57"/>
      <c r="I104" s="57"/>
      <c r="J104" s="57"/>
      <c r="K104" s="57"/>
      <c r="L104" s="57">
        <f t="shared" si="3"/>
        <v>39765</v>
      </c>
      <c r="M104" s="57">
        <v>10507</v>
      </c>
      <c r="N104" s="57">
        <v>29258</v>
      </c>
      <c r="O104" s="59"/>
      <c r="P104" s="59"/>
    </row>
    <row r="105" spans="1:16" ht="10.5" customHeight="1" x14ac:dyDescent="0.2">
      <c r="A105" s="1">
        <v>93</v>
      </c>
      <c r="B105" s="61" t="s">
        <v>75</v>
      </c>
      <c r="C105" s="57">
        <v>28200</v>
      </c>
      <c r="D105" s="57"/>
      <c r="E105" s="57"/>
      <c r="F105" s="57">
        <f t="shared" si="2"/>
        <v>117591</v>
      </c>
      <c r="G105" s="57">
        <v>4675</v>
      </c>
      <c r="H105" s="57"/>
      <c r="I105" s="57"/>
      <c r="J105" s="57"/>
      <c r="K105" s="57"/>
      <c r="L105" s="57">
        <f t="shared" si="3"/>
        <v>112916</v>
      </c>
      <c r="M105" s="57">
        <v>28679</v>
      </c>
      <c r="N105" s="57">
        <v>84237</v>
      </c>
      <c r="O105" s="59"/>
      <c r="P105" s="59"/>
    </row>
    <row r="106" spans="1:16" ht="10.5" customHeight="1" x14ac:dyDescent="0.2">
      <c r="A106" s="1">
        <v>94</v>
      </c>
      <c r="B106" s="61" t="s">
        <v>149</v>
      </c>
      <c r="C106" s="57">
        <v>15028</v>
      </c>
      <c r="D106" s="57"/>
      <c r="E106" s="57"/>
      <c r="F106" s="57">
        <f t="shared" si="2"/>
        <v>60177</v>
      </c>
      <c r="G106" s="57"/>
      <c r="H106" s="57"/>
      <c r="I106" s="57"/>
      <c r="J106" s="57"/>
      <c r="K106" s="57"/>
      <c r="L106" s="57">
        <f t="shared" si="3"/>
        <v>60177</v>
      </c>
      <c r="M106" s="57">
        <v>20396</v>
      </c>
      <c r="N106" s="57">
        <v>39781</v>
      </c>
      <c r="O106" s="59"/>
      <c r="P106" s="59"/>
    </row>
    <row r="107" spans="1:16" ht="10.5" customHeight="1" x14ac:dyDescent="0.2">
      <c r="A107" s="1">
        <v>95</v>
      </c>
      <c r="B107" s="61" t="s">
        <v>76</v>
      </c>
      <c r="C107" s="57">
        <v>16995</v>
      </c>
      <c r="D107" s="57"/>
      <c r="E107" s="57"/>
      <c r="F107" s="57">
        <f t="shared" si="2"/>
        <v>59686</v>
      </c>
      <c r="G107" s="57"/>
      <c r="H107" s="57"/>
      <c r="I107" s="57"/>
      <c r="J107" s="57"/>
      <c r="K107" s="57"/>
      <c r="L107" s="57">
        <f t="shared" si="3"/>
        <v>59686</v>
      </c>
      <c r="M107" s="57">
        <v>17192</v>
      </c>
      <c r="N107" s="57">
        <v>42494</v>
      </c>
      <c r="O107" s="59"/>
      <c r="P107" s="59"/>
    </row>
    <row r="108" spans="1:16" ht="10.5" customHeight="1" x14ac:dyDescent="0.2">
      <c r="A108" s="1">
        <v>96</v>
      </c>
      <c r="B108" s="61" t="s">
        <v>150</v>
      </c>
      <c r="C108" s="57">
        <v>10374</v>
      </c>
      <c r="D108" s="57"/>
      <c r="E108" s="57"/>
      <c r="F108" s="57">
        <f t="shared" si="2"/>
        <v>42906</v>
      </c>
      <c r="G108" s="57">
        <v>7016</v>
      </c>
      <c r="H108" s="57"/>
      <c r="I108" s="57"/>
      <c r="J108" s="57"/>
      <c r="K108" s="57"/>
      <c r="L108" s="57">
        <f t="shared" si="3"/>
        <v>35890</v>
      </c>
      <c r="M108" s="57">
        <v>11205</v>
      </c>
      <c r="N108" s="57">
        <v>24685</v>
      </c>
      <c r="O108" s="59"/>
      <c r="P108" s="59"/>
    </row>
    <row r="109" spans="1:16" ht="10.5" customHeight="1" x14ac:dyDescent="0.2">
      <c r="A109" s="1">
        <v>97</v>
      </c>
      <c r="B109" s="61" t="s">
        <v>151</v>
      </c>
      <c r="C109" s="57">
        <v>28528</v>
      </c>
      <c r="D109" s="57"/>
      <c r="E109" s="57"/>
      <c r="F109" s="57">
        <f t="shared" si="2"/>
        <v>123377</v>
      </c>
      <c r="G109" s="57">
        <v>5815</v>
      </c>
      <c r="H109" s="57"/>
      <c r="I109" s="57"/>
      <c r="J109" s="57"/>
      <c r="K109" s="57"/>
      <c r="L109" s="57">
        <f t="shared" si="3"/>
        <v>117562</v>
      </c>
      <c r="M109" s="57">
        <v>28322</v>
      </c>
      <c r="N109" s="57">
        <v>89240</v>
      </c>
      <c r="O109" s="59"/>
      <c r="P109" s="59"/>
    </row>
    <row r="110" spans="1:16" ht="10.5" customHeight="1" x14ac:dyDescent="0.2">
      <c r="A110" s="1">
        <v>98</v>
      </c>
      <c r="B110" s="61" t="s">
        <v>152</v>
      </c>
      <c r="C110" s="57">
        <v>12983</v>
      </c>
      <c r="D110" s="57"/>
      <c r="E110" s="57"/>
      <c r="F110" s="57">
        <f t="shared" si="2"/>
        <v>45037</v>
      </c>
      <c r="G110" s="57"/>
      <c r="H110" s="57"/>
      <c r="I110" s="57"/>
      <c r="J110" s="57"/>
      <c r="K110" s="57"/>
      <c r="L110" s="57">
        <f t="shared" si="3"/>
        <v>45037</v>
      </c>
      <c r="M110" s="57">
        <v>12727</v>
      </c>
      <c r="N110" s="57">
        <v>32310</v>
      </c>
      <c r="O110" s="59"/>
      <c r="P110" s="59"/>
    </row>
    <row r="111" spans="1:16" ht="10.5" customHeight="1" x14ac:dyDescent="0.2">
      <c r="A111" s="1">
        <v>99</v>
      </c>
      <c r="B111" s="61" t="s">
        <v>153</v>
      </c>
      <c r="C111" s="57">
        <v>12553</v>
      </c>
      <c r="D111" s="57"/>
      <c r="E111" s="57"/>
      <c r="F111" s="57">
        <f t="shared" si="2"/>
        <v>44038</v>
      </c>
      <c r="G111" s="57"/>
      <c r="H111" s="57"/>
      <c r="I111" s="57"/>
      <c r="J111" s="57"/>
      <c r="K111" s="57"/>
      <c r="L111" s="57">
        <f t="shared" si="3"/>
        <v>44038</v>
      </c>
      <c r="M111" s="57">
        <f>15481+371</f>
        <v>15852</v>
      </c>
      <c r="N111" s="57">
        <v>28186</v>
      </c>
      <c r="O111" s="59"/>
      <c r="P111" s="59"/>
    </row>
    <row r="112" spans="1:16" ht="12.75" customHeight="1" x14ac:dyDescent="0.2">
      <c r="A112" s="1">
        <v>100</v>
      </c>
      <c r="B112" s="61" t="s">
        <v>154</v>
      </c>
      <c r="C112" s="57">
        <v>0</v>
      </c>
      <c r="D112" s="57"/>
      <c r="E112" s="57"/>
      <c r="F112" s="57">
        <f t="shared" si="2"/>
        <v>16487</v>
      </c>
      <c r="G112" s="57"/>
      <c r="H112" s="57"/>
      <c r="I112" s="57">
        <v>16487</v>
      </c>
      <c r="J112" s="57"/>
      <c r="K112" s="57"/>
      <c r="L112" s="57">
        <f t="shared" si="3"/>
        <v>0</v>
      </c>
      <c r="M112" s="57"/>
      <c r="N112" s="57"/>
      <c r="O112" s="59"/>
      <c r="P112" s="59"/>
    </row>
    <row r="113" spans="1:16" ht="14.25" customHeight="1" x14ac:dyDescent="0.2">
      <c r="A113" s="1">
        <v>101</v>
      </c>
      <c r="B113" s="61" t="s">
        <v>155</v>
      </c>
      <c r="C113" s="57">
        <v>23001</v>
      </c>
      <c r="D113" s="57"/>
      <c r="E113" s="57"/>
      <c r="F113" s="57">
        <f t="shared" si="2"/>
        <v>19227</v>
      </c>
      <c r="G113" s="57"/>
      <c r="H113" s="57"/>
      <c r="I113" s="57">
        <v>19227</v>
      </c>
      <c r="J113" s="57"/>
      <c r="K113" s="57"/>
      <c r="L113" s="57">
        <f t="shared" si="3"/>
        <v>0</v>
      </c>
      <c r="M113" s="57"/>
      <c r="N113" s="57"/>
      <c r="O113" s="59"/>
      <c r="P113" s="59"/>
    </row>
    <row r="114" spans="1:16" ht="13.5" customHeight="1" x14ac:dyDescent="0.2">
      <c r="A114" s="1">
        <v>102</v>
      </c>
      <c r="B114" s="61" t="s">
        <v>156</v>
      </c>
      <c r="C114" s="57">
        <v>0</v>
      </c>
      <c r="D114" s="57"/>
      <c r="E114" s="57"/>
      <c r="F114" s="57">
        <f t="shared" si="2"/>
        <v>22812</v>
      </c>
      <c r="G114" s="57"/>
      <c r="H114" s="57"/>
      <c r="I114" s="57">
        <v>22812</v>
      </c>
      <c r="J114" s="57"/>
      <c r="K114" s="57"/>
      <c r="L114" s="57">
        <f t="shared" si="3"/>
        <v>0</v>
      </c>
      <c r="M114" s="57"/>
      <c r="N114" s="57"/>
      <c r="O114" s="59"/>
      <c r="P114" s="59"/>
    </row>
    <row r="115" spans="1:16" ht="15" customHeight="1" x14ac:dyDescent="0.2">
      <c r="A115" s="1">
        <v>103</v>
      </c>
      <c r="B115" s="61" t="s">
        <v>157</v>
      </c>
      <c r="C115" s="57">
        <v>0</v>
      </c>
      <c r="D115" s="57"/>
      <c r="E115" s="57"/>
      <c r="F115" s="57">
        <f t="shared" si="2"/>
        <v>18511</v>
      </c>
      <c r="G115" s="57"/>
      <c r="H115" s="57"/>
      <c r="I115" s="57">
        <v>18511</v>
      </c>
      <c r="J115" s="57"/>
      <c r="K115" s="57"/>
      <c r="L115" s="57">
        <f t="shared" si="3"/>
        <v>0</v>
      </c>
      <c r="M115" s="57"/>
      <c r="N115" s="57"/>
      <c r="O115" s="59"/>
      <c r="P115" s="59"/>
    </row>
    <row r="116" spans="1:16" ht="15.75" customHeight="1" x14ac:dyDescent="0.2">
      <c r="A116" s="1">
        <v>104</v>
      </c>
      <c r="B116" s="61" t="s">
        <v>158</v>
      </c>
      <c r="C116" s="57">
        <v>0</v>
      </c>
      <c r="D116" s="57"/>
      <c r="E116" s="57"/>
      <c r="F116" s="57">
        <f t="shared" si="2"/>
        <v>27899</v>
      </c>
      <c r="G116" s="57"/>
      <c r="H116" s="57"/>
      <c r="I116" s="57">
        <v>27899</v>
      </c>
      <c r="J116" s="57"/>
      <c r="K116" s="57"/>
      <c r="L116" s="57">
        <f t="shared" si="3"/>
        <v>0</v>
      </c>
      <c r="M116" s="57"/>
      <c r="N116" s="57"/>
      <c r="O116" s="59"/>
      <c r="P116" s="59"/>
    </row>
    <row r="117" spans="1:16" ht="15.75" customHeight="1" x14ac:dyDescent="0.2">
      <c r="A117" s="1">
        <v>105</v>
      </c>
      <c r="B117" s="61" t="s">
        <v>159</v>
      </c>
      <c r="C117" s="57">
        <v>0</v>
      </c>
      <c r="D117" s="57"/>
      <c r="E117" s="57"/>
      <c r="F117" s="57">
        <f t="shared" si="2"/>
        <v>16867</v>
      </c>
      <c r="G117" s="57"/>
      <c r="H117" s="57"/>
      <c r="I117" s="57">
        <v>16867</v>
      </c>
      <c r="J117" s="57"/>
      <c r="K117" s="57"/>
      <c r="L117" s="57">
        <f t="shared" si="3"/>
        <v>0</v>
      </c>
      <c r="M117" s="57"/>
      <c r="N117" s="57"/>
      <c r="O117" s="59"/>
      <c r="P117" s="59"/>
    </row>
    <row r="118" spans="1:16" ht="13.5" customHeight="1" x14ac:dyDescent="0.2">
      <c r="A118" s="1">
        <v>106</v>
      </c>
      <c r="B118" s="61" t="s">
        <v>160</v>
      </c>
      <c r="C118" s="57">
        <v>0</v>
      </c>
      <c r="D118" s="57"/>
      <c r="E118" s="57"/>
      <c r="F118" s="57">
        <f t="shared" si="2"/>
        <v>14605</v>
      </c>
      <c r="G118" s="57"/>
      <c r="H118" s="57"/>
      <c r="I118" s="57">
        <v>14605</v>
      </c>
      <c r="J118" s="57"/>
      <c r="K118" s="57"/>
      <c r="L118" s="57">
        <f t="shared" si="3"/>
        <v>0</v>
      </c>
      <c r="M118" s="57"/>
      <c r="N118" s="57"/>
      <c r="O118" s="59"/>
      <c r="P118" s="59"/>
    </row>
    <row r="119" spans="1:16" ht="10.5" customHeight="1" x14ac:dyDescent="0.2">
      <c r="A119" s="1">
        <v>107</v>
      </c>
      <c r="B119" s="61" t="s">
        <v>161</v>
      </c>
      <c r="C119" s="57">
        <f>38543-60</f>
        <v>38483</v>
      </c>
      <c r="D119" s="57">
        <v>9233</v>
      </c>
      <c r="E119" s="57"/>
      <c r="F119" s="57">
        <f t="shared" si="2"/>
        <v>112234</v>
      </c>
      <c r="G119" s="57"/>
      <c r="H119" s="57"/>
      <c r="I119" s="57"/>
      <c r="J119" s="57"/>
      <c r="K119" s="57">
        <v>1361</v>
      </c>
      <c r="L119" s="57">
        <f t="shared" si="3"/>
        <v>110873</v>
      </c>
      <c r="M119" s="57">
        <v>25651</v>
      </c>
      <c r="N119" s="57">
        <v>85222</v>
      </c>
      <c r="O119" s="59"/>
      <c r="P119" s="59"/>
    </row>
    <row r="120" spans="1:16" ht="10.5" customHeight="1" x14ac:dyDescent="0.2">
      <c r="A120" s="1">
        <v>108</v>
      </c>
      <c r="B120" s="61" t="s">
        <v>162</v>
      </c>
      <c r="C120" s="57">
        <f>41087+103</f>
        <v>41190</v>
      </c>
      <c r="D120" s="57">
        <f>24625+103</f>
        <v>24728</v>
      </c>
      <c r="E120" s="57"/>
      <c r="F120" s="57">
        <f t="shared" si="2"/>
        <v>74597</v>
      </c>
      <c r="G120" s="57"/>
      <c r="H120" s="57"/>
      <c r="I120" s="57"/>
      <c r="J120" s="57"/>
      <c r="K120" s="57">
        <v>3629</v>
      </c>
      <c r="L120" s="57">
        <f t="shared" si="3"/>
        <v>70968</v>
      </c>
      <c r="M120" s="57">
        <v>26101</v>
      </c>
      <c r="N120" s="57">
        <v>44867</v>
      </c>
      <c r="O120" s="59"/>
      <c r="P120" s="59"/>
    </row>
    <row r="121" spans="1:16" ht="10.5" customHeight="1" x14ac:dyDescent="0.2">
      <c r="A121" s="1">
        <v>109</v>
      </c>
      <c r="B121" s="61" t="s">
        <v>77</v>
      </c>
      <c r="C121" s="57">
        <v>14481</v>
      </c>
      <c r="D121" s="57"/>
      <c r="E121" s="57"/>
      <c r="F121" s="57">
        <f t="shared" si="2"/>
        <v>63752</v>
      </c>
      <c r="G121" s="57"/>
      <c r="H121" s="57"/>
      <c r="I121" s="57"/>
      <c r="J121" s="57"/>
      <c r="K121" s="57"/>
      <c r="L121" s="57">
        <f t="shared" si="3"/>
        <v>63752</v>
      </c>
      <c r="M121" s="57">
        <v>12912</v>
      </c>
      <c r="N121" s="57">
        <v>50840</v>
      </c>
      <c r="O121" s="59"/>
      <c r="P121" s="59"/>
    </row>
    <row r="122" spans="1:16" ht="10.5" customHeight="1" x14ac:dyDescent="0.2">
      <c r="A122" s="1">
        <v>110</v>
      </c>
      <c r="B122" s="61" t="s">
        <v>163</v>
      </c>
      <c r="C122" s="57">
        <v>8209</v>
      </c>
      <c r="D122" s="57"/>
      <c r="E122" s="57"/>
      <c r="F122" s="57">
        <f t="shared" si="2"/>
        <v>37189</v>
      </c>
      <c r="G122" s="57"/>
      <c r="H122" s="57"/>
      <c r="I122" s="57"/>
      <c r="J122" s="57"/>
      <c r="K122" s="57"/>
      <c r="L122" s="57">
        <f t="shared" si="3"/>
        <v>37189</v>
      </c>
      <c r="M122" s="57">
        <v>11096</v>
      </c>
      <c r="N122" s="57">
        <v>26093</v>
      </c>
      <c r="O122" s="59"/>
      <c r="P122" s="59"/>
    </row>
    <row r="123" spans="1:16" ht="10.5" customHeight="1" x14ac:dyDescent="0.2">
      <c r="A123" s="1">
        <v>111</v>
      </c>
      <c r="B123" s="61" t="s">
        <v>164</v>
      </c>
      <c r="C123" s="57">
        <v>43627</v>
      </c>
      <c r="D123" s="57">
        <v>26209</v>
      </c>
      <c r="E123" s="57">
        <v>13682</v>
      </c>
      <c r="F123" s="57">
        <f t="shared" si="2"/>
        <v>16942</v>
      </c>
      <c r="G123" s="57"/>
      <c r="H123" s="57"/>
      <c r="I123" s="57"/>
      <c r="J123" s="57"/>
      <c r="K123" s="57">
        <v>3862</v>
      </c>
      <c r="L123" s="57">
        <f t="shared" si="3"/>
        <v>13080</v>
      </c>
      <c r="M123" s="57">
        <v>3059</v>
      </c>
      <c r="N123" s="57">
        <v>10021</v>
      </c>
      <c r="O123" s="59"/>
      <c r="P123" s="59"/>
    </row>
    <row r="124" spans="1:16" ht="10.5" customHeight="1" x14ac:dyDescent="0.2">
      <c r="A124" s="1">
        <v>112</v>
      </c>
      <c r="B124" s="61" t="s">
        <v>165</v>
      </c>
      <c r="C124" s="57">
        <v>6990</v>
      </c>
      <c r="D124" s="57"/>
      <c r="E124" s="57"/>
      <c r="F124" s="57">
        <f t="shared" si="2"/>
        <v>31888</v>
      </c>
      <c r="G124" s="57"/>
      <c r="H124" s="57"/>
      <c r="I124" s="57"/>
      <c r="J124" s="57"/>
      <c r="K124" s="57"/>
      <c r="L124" s="57">
        <f t="shared" si="3"/>
        <v>31888</v>
      </c>
      <c r="M124" s="57">
        <f>9892+225</f>
        <v>10117</v>
      </c>
      <c r="N124" s="57">
        <v>21771</v>
      </c>
      <c r="O124" s="59"/>
      <c r="P124" s="59"/>
    </row>
    <row r="125" spans="1:16" ht="10.5" customHeight="1" x14ac:dyDescent="0.2">
      <c r="A125" s="1">
        <v>113</v>
      </c>
      <c r="B125" s="61" t="s">
        <v>78</v>
      </c>
      <c r="C125" s="57">
        <f>42904+11+720</f>
        <v>43635</v>
      </c>
      <c r="D125" s="57"/>
      <c r="E125" s="57"/>
      <c r="F125" s="57">
        <f t="shared" si="2"/>
        <v>189430.97628965075</v>
      </c>
      <c r="G125" s="57">
        <f>5935-2968</f>
        <v>2967</v>
      </c>
      <c r="H125" s="57">
        <v>2968</v>
      </c>
      <c r="I125" s="57"/>
      <c r="J125" s="57"/>
      <c r="K125" s="57"/>
      <c r="L125" s="57">
        <f t="shared" si="3"/>
        <v>183495.97628965075</v>
      </c>
      <c r="M125" s="57">
        <v>58793.976289650753</v>
      </c>
      <c r="N125" s="57">
        <v>124702</v>
      </c>
      <c r="O125" s="59"/>
      <c r="P125" s="59"/>
    </row>
    <row r="126" spans="1:16" ht="10.5" customHeight="1" x14ac:dyDescent="0.2">
      <c r="A126" s="1">
        <v>114</v>
      </c>
      <c r="B126" s="61" t="s">
        <v>166</v>
      </c>
      <c r="C126" s="57">
        <v>28184</v>
      </c>
      <c r="D126" s="57"/>
      <c r="E126" s="57"/>
      <c r="F126" s="57">
        <f t="shared" si="2"/>
        <v>53352</v>
      </c>
      <c r="G126" s="57"/>
      <c r="H126" s="57"/>
      <c r="I126" s="57"/>
      <c r="J126" s="57"/>
      <c r="K126" s="57"/>
      <c r="L126" s="57">
        <f t="shared" si="3"/>
        <v>53352</v>
      </c>
      <c r="M126" s="57">
        <v>11225</v>
      </c>
      <c r="N126" s="57">
        <v>42127</v>
      </c>
      <c r="O126" s="59"/>
      <c r="P126" s="59"/>
    </row>
    <row r="127" spans="1:16" ht="10.5" customHeight="1" x14ac:dyDescent="0.2">
      <c r="A127" s="1">
        <v>115</v>
      </c>
      <c r="B127" s="61" t="s">
        <v>71</v>
      </c>
      <c r="C127" s="57">
        <v>16114</v>
      </c>
      <c r="D127" s="57"/>
      <c r="E127" s="57"/>
      <c r="F127" s="57">
        <f t="shared" si="2"/>
        <v>71952</v>
      </c>
      <c r="G127" s="57"/>
      <c r="H127" s="57"/>
      <c r="I127" s="57"/>
      <c r="J127" s="57"/>
      <c r="K127" s="57"/>
      <c r="L127" s="57">
        <f t="shared" si="3"/>
        <v>71952</v>
      </c>
      <c r="M127" s="57">
        <v>18708</v>
      </c>
      <c r="N127" s="57">
        <v>53244</v>
      </c>
      <c r="O127" s="59"/>
      <c r="P127" s="59"/>
    </row>
    <row r="128" spans="1:16" ht="10.5" customHeight="1" x14ac:dyDescent="0.2">
      <c r="A128" s="1">
        <v>116</v>
      </c>
      <c r="B128" s="61" t="s">
        <v>79</v>
      </c>
      <c r="C128" s="57">
        <v>0</v>
      </c>
      <c r="D128" s="57"/>
      <c r="E128" s="57"/>
      <c r="F128" s="57">
        <f t="shared" si="2"/>
        <v>34164</v>
      </c>
      <c r="G128" s="57"/>
      <c r="H128" s="57"/>
      <c r="I128" s="57">
        <v>34164</v>
      </c>
      <c r="J128" s="57"/>
      <c r="K128" s="57"/>
      <c r="L128" s="57">
        <f t="shared" si="3"/>
        <v>0</v>
      </c>
      <c r="M128" s="57"/>
      <c r="N128" s="57"/>
      <c r="O128" s="59"/>
      <c r="P128" s="59"/>
    </row>
    <row r="129" spans="1:16" ht="10.5" customHeight="1" x14ac:dyDescent="0.2">
      <c r="A129" s="314">
        <v>117</v>
      </c>
      <c r="B129" s="61" t="s">
        <v>58</v>
      </c>
      <c r="C129" s="57">
        <v>4245</v>
      </c>
      <c r="D129" s="57"/>
      <c r="E129" s="57"/>
      <c r="F129" s="57">
        <f t="shared" si="2"/>
        <v>13417</v>
      </c>
      <c r="G129" s="57"/>
      <c r="H129" s="57"/>
      <c r="I129" s="57"/>
      <c r="J129" s="57"/>
      <c r="K129" s="57"/>
      <c r="L129" s="57">
        <f t="shared" si="3"/>
        <v>13417</v>
      </c>
      <c r="M129" s="57">
        <v>2851</v>
      </c>
      <c r="N129" s="57">
        <v>10566</v>
      </c>
      <c r="O129" s="59"/>
      <c r="P129" s="59"/>
    </row>
    <row r="130" spans="1:16" ht="26.25" customHeight="1" x14ac:dyDescent="0.2">
      <c r="A130" s="315"/>
      <c r="B130" s="71" t="s">
        <v>167</v>
      </c>
      <c r="C130" s="72">
        <v>0</v>
      </c>
      <c r="D130" s="72"/>
      <c r="E130" s="72"/>
      <c r="F130" s="57">
        <f t="shared" si="2"/>
        <v>4470</v>
      </c>
      <c r="G130" s="72"/>
      <c r="H130" s="72"/>
      <c r="I130" s="72">
        <v>4470</v>
      </c>
      <c r="J130" s="72"/>
      <c r="K130" s="72"/>
      <c r="L130" s="72">
        <f t="shared" si="3"/>
        <v>0</v>
      </c>
      <c r="M130" s="72"/>
      <c r="N130" s="72"/>
      <c r="O130" s="59"/>
      <c r="P130" s="59"/>
    </row>
    <row r="131" spans="1:16" ht="23.25" customHeight="1" x14ac:dyDescent="0.2">
      <c r="A131" s="1">
        <v>118</v>
      </c>
      <c r="B131" s="61" t="s">
        <v>168</v>
      </c>
      <c r="C131" s="57">
        <v>0</v>
      </c>
      <c r="D131" s="57"/>
      <c r="E131" s="57"/>
      <c r="F131" s="57">
        <f t="shared" si="2"/>
        <v>1341</v>
      </c>
      <c r="G131" s="57"/>
      <c r="H131" s="57"/>
      <c r="I131" s="57">
        <v>1341</v>
      </c>
      <c r="J131" s="57"/>
      <c r="K131" s="57"/>
      <c r="L131" s="57">
        <f t="shared" si="3"/>
        <v>0</v>
      </c>
      <c r="M131" s="57"/>
      <c r="N131" s="57"/>
      <c r="O131" s="59"/>
      <c r="P131" s="59"/>
    </row>
    <row r="132" spans="1:16" ht="10.5" customHeight="1" x14ac:dyDescent="0.2">
      <c r="A132" s="1">
        <v>119</v>
      </c>
      <c r="B132" s="60" t="s">
        <v>169</v>
      </c>
      <c r="C132" s="57">
        <v>2365</v>
      </c>
      <c r="D132" s="57"/>
      <c r="E132" s="57"/>
      <c r="F132" s="57">
        <f t="shared" si="2"/>
        <v>8023</v>
      </c>
      <c r="G132" s="57"/>
      <c r="H132" s="57"/>
      <c r="I132" s="57"/>
      <c r="J132" s="57"/>
      <c r="K132" s="57"/>
      <c r="L132" s="57">
        <f t="shared" si="3"/>
        <v>8023</v>
      </c>
      <c r="M132" s="57">
        <v>1807</v>
      </c>
      <c r="N132" s="57">
        <v>6216</v>
      </c>
      <c r="O132" s="59"/>
      <c r="P132" s="59"/>
    </row>
    <row r="133" spans="1:16" ht="10.5" customHeight="1" x14ac:dyDescent="0.2">
      <c r="A133" s="1">
        <v>120</v>
      </c>
      <c r="B133" s="56" t="s">
        <v>37</v>
      </c>
      <c r="C133" s="57">
        <v>9927</v>
      </c>
      <c r="D133" s="57"/>
      <c r="E133" s="57"/>
      <c r="F133" s="57">
        <f t="shared" si="2"/>
        <v>30677</v>
      </c>
      <c r="G133" s="57"/>
      <c r="H133" s="57"/>
      <c r="I133" s="57"/>
      <c r="J133" s="57"/>
      <c r="K133" s="57"/>
      <c r="L133" s="57">
        <f t="shared" si="3"/>
        <v>30677</v>
      </c>
      <c r="M133" s="57">
        <v>9323</v>
      </c>
      <c r="N133" s="57">
        <v>21354</v>
      </c>
      <c r="O133" s="59"/>
      <c r="P133" s="59"/>
    </row>
    <row r="134" spans="1:16" ht="10.5" customHeight="1" x14ac:dyDescent="0.2">
      <c r="A134" s="1">
        <v>121</v>
      </c>
      <c r="B134" s="60" t="s">
        <v>38</v>
      </c>
      <c r="C134" s="57">
        <v>10074</v>
      </c>
      <c r="D134" s="57"/>
      <c r="E134" s="57"/>
      <c r="F134" s="57">
        <f t="shared" si="2"/>
        <v>31135</v>
      </c>
      <c r="G134" s="57"/>
      <c r="H134" s="57"/>
      <c r="I134" s="57"/>
      <c r="J134" s="57"/>
      <c r="K134" s="57"/>
      <c r="L134" s="57">
        <f t="shared" si="3"/>
        <v>31135</v>
      </c>
      <c r="M134" s="57">
        <v>9284</v>
      </c>
      <c r="N134" s="57">
        <v>21851</v>
      </c>
      <c r="O134" s="59"/>
      <c r="P134" s="59"/>
    </row>
    <row r="135" spans="1:16" ht="11.25" customHeight="1" x14ac:dyDescent="0.2">
      <c r="A135" s="1">
        <v>122</v>
      </c>
      <c r="B135" s="56" t="s">
        <v>39</v>
      </c>
      <c r="C135" s="57">
        <v>28337</v>
      </c>
      <c r="D135" s="57"/>
      <c r="E135" s="57"/>
      <c r="F135" s="57">
        <f t="shared" si="2"/>
        <v>87884</v>
      </c>
      <c r="G135" s="57"/>
      <c r="H135" s="57"/>
      <c r="I135" s="57"/>
      <c r="J135" s="57"/>
      <c r="K135" s="57"/>
      <c r="L135" s="57">
        <f t="shared" si="3"/>
        <v>87884</v>
      </c>
      <c r="M135" s="57">
        <v>21432</v>
      </c>
      <c r="N135" s="57">
        <v>66452</v>
      </c>
      <c r="O135" s="59"/>
      <c r="P135" s="59"/>
    </row>
    <row r="136" spans="1:16" ht="10.5" customHeight="1" x14ac:dyDescent="0.2">
      <c r="A136" s="1">
        <v>123</v>
      </c>
      <c r="B136" s="60" t="s">
        <v>40</v>
      </c>
      <c r="C136" s="57">
        <v>12355</v>
      </c>
      <c r="D136" s="57"/>
      <c r="E136" s="57"/>
      <c r="F136" s="57">
        <f t="shared" si="2"/>
        <v>38175</v>
      </c>
      <c r="G136" s="57"/>
      <c r="H136" s="57"/>
      <c r="I136" s="57"/>
      <c r="J136" s="57"/>
      <c r="K136" s="57"/>
      <c r="L136" s="57">
        <f t="shared" si="3"/>
        <v>38175</v>
      </c>
      <c r="M136" s="57">
        <v>9050</v>
      </c>
      <c r="N136" s="57">
        <v>29125</v>
      </c>
      <c r="O136" s="59"/>
      <c r="P136" s="59"/>
    </row>
    <row r="137" spans="1:16" ht="10.5" customHeight="1" x14ac:dyDescent="0.2">
      <c r="A137" s="1">
        <v>124</v>
      </c>
      <c r="B137" s="60" t="s">
        <v>41</v>
      </c>
      <c r="C137" s="57">
        <v>15121</v>
      </c>
      <c r="D137" s="57"/>
      <c r="E137" s="57"/>
      <c r="F137" s="57">
        <f t="shared" ref="F137:F189" si="4">G137+I137+J137+K137+L137+H137</f>
        <v>46694</v>
      </c>
      <c r="G137" s="57"/>
      <c r="H137" s="57"/>
      <c r="I137" s="57"/>
      <c r="J137" s="57"/>
      <c r="K137" s="57"/>
      <c r="L137" s="57">
        <f t="shared" si="3"/>
        <v>46694</v>
      </c>
      <c r="M137" s="57">
        <v>11207</v>
      </c>
      <c r="N137" s="57">
        <v>35487</v>
      </c>
      <c r="O137" s="59"/>
      <c r="P137" s="59"/>
    </row>
    <row r="138" spans="1:16" ht="10.5" customHeight="1" x14ac:dyDescent="0.2">
      <c r="A138" s="1">
        <v>125</v>
      </c>
      <c r="B138" s="56" t="s">
        <v>42</v>
      </c>
      <c r="C138" s="57">
        <v>29340</v>
      </c>
      <c r="D138" s="57"/>
      <c r="E138" s="57"/>
      <c r="F138" s="57">
        <f t="shared" si="4"/>
        <v>90717</v>
      </c>
      <c r="G138" s="57"/>
      <c r="H138" s="57"/>
      <c r="I138" s="57"/>
      <c r="J138" s="57"/>
      <c r="K138" s="57"/>
      <c r="L138" s="57">
        <f t="shared" ref="L138:L191" si="5">M138+N138</f>
        <v>90717</v>
      </c>
      <c r="M138" s="57">
        <v>27838</v>
      </c>
      <c r="N138" s="57">
        <v>62879</v>
      </c>
      <c r="O138" s="59"/>
      <c r="P138" s="59"/>
    </row>
    <row r="139" spans="1:16" ht="10.5" customHeight="1" x14ac:dyDescent="0.2">
      <c r="A139" s="1">
        <v>126</v>
      </c>
      <c r="B139" s="56" t="s">
        <v>43</v>
      </c>
      <c r="C139" s="57">
        <v>25635</v>
      </c>
      <c r="D139" s="57"/>
      <c r="E139" s="57"/>
      <c r="F139" s="57">
        <f t="shared" si="4"/>
        <v>79209</v>
      </c>
      <c r="G139" s="57"/>
      <c r="H139" s="57"/>
      <c r="I139" s="57"/>
      <c r="J139" s="57"/>
      <c r="K139" s="57"/>
      <c r="L139" s="57">
        <f t="shared" si="5"/>
        <v>79209</v>
      </c>
      <c r="M139" s="57">
        <v>16634</v>
      </c>
      <c r="N139" s="57">
        <v>62575</v>
      </c>
      <c r="O139" s="59"/>
      <c r="P139" s="59"/>
    </row>
    <row r="140" spans="1:16" ht="10.5" customHeight="1" x14ac:dyDescent="0.2">
      <c r="A140" s="1">
        <v>127</v>
      </c>
      <c r="B140" s="60" t="s">
        <v>44</v>
      </c>
      <c r="C140" s="57">
        <v>9300</v>
      </c>
      <c r="D140" s="57"/>
      <c r="E140" s="57"/>
      <c r="F140" s="57">
        <f t="shared" si="4"/>
        <v>28695</v>
      </c>
      <c r="G140" s="57"/>
      <c r="H140" s="57"/>
      <c r="I140" s="57"/>
      <c r="J140" s="57"/>
      <c r="K140" s="57"/>
      <c r="L140" s="57">
        <f t="shared" si="5"/>
        <v>28695</v>
      </c>
      <c r="M140" s="57">
        <v>7743</v>
      </c>
      <c r="N140" s="57">
        <v>20952</v>
      </c>
      <c r="O140" s="59"/>
      <c r="P140" s="59"/>
    </row>
    <row r="141" spans="1:16" ht="10.5" customHeight="1" x14ac:dyDescent="0.2">
      <c r="A141" s="1">
        <v>128</v>
      </c>
      <c r="B141" s="56" t="s">
        <v>45</v>
      </c>
      <c r="C141" s="57">
        <v>14613</v>
      </c>
      <c r="D141" s="57"/>
      <c r="E141" s="57"/>
      <c r="F141" s="57">
        <f t="shared" si="4"/>
        <v>45142</v>
      </c>
      <c r="G141" s="57"/>
      <c r="H141" s="57"/>
      <c r="I141" s="57"/>
      <c r="J141" s="57"/>
      <c r="K141" s="57"/>
      <c r="L141" s="57">
        <f t="shared" si="5"/>
        <v>45142</v>
      </c>
      <c r="M141" s="57">
        <v>8594</v>
      </c>
      <c r="N141" s="57">
        <v>36548</v>
      </c>
      <c r="O141" s="59"/>
      <c r="P141" s="59"/>
    </row>
    <row r="142" spans="1:16" ht="10.5" customHeight="1" x14ac:dyDescent="0.2">
      <c r="A142" s="1">
        <v>129</v>
      </c>
      <c r="B142" s="60" t="s">
        <v>46</v>
      </c>
      <c r="C142" s="57">
        <v>13934</v>
      </c>
      <c r="D142" s="57"/>
      <c r="E142" s="57"/>
      <c r="F142" s="57">
        <f t="shared" si="4"/>
        <v>43067</v>
      </c>
      <c r="G142" s="57"/>
      <c r="H142" s="57"/>
      <c r="I142" s="57"/>
      <c r="J142" s="57"/>
      <c r="K142" s="57"/>
      <c r="L142" s="57">
        <f t="shared" si="5"/>
        <v>43067</v>
      </c>
      <c r="M142" s="57">
        <v>12239</v>
      </c>
      <c r="N142" s="57">
        <v>30828</v>
      </c>
      <c r="O142" s="59"/>
      <c r="P142" s="59"/>
    </row>
    <row r="143" spans="1:16" ht="10.5" customHeight="1" x14ac:dyDescent="0.2">
      <c r="A143" s="1">
        <v>130</v>
      </c>
      <c r="B143" s="60" t="s">
        <v>47</v>
      </c>
      <c r="C143" s="57">
        <v>16861</v>
      </c>
      <c r="D143" s="57"/>
      <c r="E143" s="57"/>
      <c r="F143" s="57">
        <f t="shared" si="4"/>
        <v>54694</v>
      </c>
      <c r="G143" s="57">
        <v>2552</v>
      </c>
      <c r="H143" s="57"/>
      <c r="I143" s="57"/>
      <c r="J143" s="57"/>
      <c r="K143" s="57"/>
      <c r="L143" s="57">
        <f t="shared" si="5"/>
        <v>52142</v>
      </c>
      <c r="M143" s="57">
        <v>10249</v>
      </c>
      <c r="N143" s="57">
        <v>41893</v>
      </c>
      <c r="O143" s="59"/>
      <c r="P143" s="59"/>
    </row>
    <row r="144" spans="1:16" ht="10.5" customHeight="1" x14ac:dyDescent="0.2">
      <c r="A144" s="1">
        <v>131</v>
      </c>
      <c r="B144" s="56" t="s">
        <v>48</v>
      </c>
      <c r="C144" s="57">
        <v>10773</v>
      </c>
      <c r="D144" s="57"/>
      <c r="E144" s="57"/>
      <c r="F144" s="57">
        <f t="shared" si="4"/>
        <v>33297</v>
      </c>
      <c r="G144" s="57"/>
      <c r="H144" s="57"/>
      <c r="I144" s="57"/>
      <c r="J144" s="57"/>
      <c r="K144" s="57"/>
      <c r="L144" s="57">
        <f t="shared" si="5"/>
        <v>33297</v>
      </c>
      <c r="M144" s="57">
        <v>8880</v>
      </c>
      <c r="N144" s="57">
        <v>24417</v>
      </c>
      <c r="O144" s="59"/>
      <c r="P144" s="59"/>
    </row>
    <row r="145" spans="1:16" ht="10.5" customHeight="1" x14ac:dyDescent="0.2">
      <c r="A145" s="1">
        <v>132</v>
      </c>
      <c r="B145" s="60" t="s">
        <v>49</v>
      </c>
      <c r="C145" s="57">
        <v>15929</v>
      </c>
      <c r="D145" s="57"/>
      <c r="E145" s="57"/>
      <c r="F145" s="57">
        <f t="shared" si="4"/>
        <v>49199.982871125612</v>
      </c>
      <c r="G145" s="57"/>
      <c r="H145" s="57"/>
      <c r="I145" s="57"/>
      <c r="J145" s="57"/>
      <c r="K145" s="57"/>
      <c r="L145" s="57">
        <f t="shared" si="5"/>
        <v>49199.982871125612</v>
      </c>
      <c r="M145" s="57">
        <v>10295.982871125612</v>
      </c>
      <c r="N145" s="57">
        <v>38904</v>
      </c>
      <c r="O145" s="59"/>
      <c r="P145" s="59"/>
    </row>
    <row r="146" spans="1:16" ht="10.5" customHeight="1" x14ac:dyDescent="0.2">
      <c r="A146" s="1">
        <v>133</v>
      </c>
      <c r="B146" s="60" t="s">
        <v>50</v>
      </c>
      <c r="C146" s="57">
        <v>26621</v>
      </c>
      <c r="D146" s="57"/>
      <c r="E146" s="57"/>
      <c r="F146" s="57">
        <f t="shared" si="4"/>
        <v>82240</v>
      </c>
      <c r="G146" s="57"/>
      <c r="H146" s="57"/>
      <c r="I146" s="57"/>
      <c r="J146" s="57"/>
      <c r="K146" s="57"/>
      <c r="L146" s="57">
        <f t="shared" si="5"/>
        <v>82240</v>
      </c>
      <c r="M146" s="57">
        <v>21410</v>
      </c>
      <c r="N146" s="57">
        <v>60830</v>
      </c>
      <c r="O146" s="59"/>
      <c r="P146" s="59"/>
    </row>
    <row r="147" spans="1:16" ht="10.5" customHeight="1" x14ac:dyDescent="0.2">
      <c r="A147" s="1">
        <v>134</v>
      </c>
      <c r="B147" s="60" t="s">
        <v>51</v>
      </c>
      <c r="C147" s="57">
        <v>12725</v>
      </c>
      <c r="D147" s="57"/>
      <c r="E147" s="57"/>
      <c r="F147" s="57">
        <f t="shared" si="4"/>
        <v>39314</v>
      </c>
      <c r="G147" s="57"/>
      <c r="H147" s="57"/>
      <c r="I147" s="57"/>
      <c r="J147" s="57"/>
      <c r="K147" s="57"/>
      <c r="L147" s="57">
        <f t="shared" si="5"/>
        <v>39314</v>
      </c>
      <c r="M147" s="57">
        <v>7856</v>
      </c>
      <c r="N147" s="57">
        <v>31458</v>
      </c>
      <c r="O147" s="59"/>
      <c r="P147" s="59"/>
    </row>
    <row r="148" spans="1:16" ht="24" customHeight="1" x14ac:dyDescent="0.2">
      <c r="A148" s="1">
        <v>135</v>
      </c>
      <c r="B148" s="61" t="s">
        <v>59</v>
      </c>
      <c r="C148" s="57">
        <v>7086</v>
      </c>
      <c r="D148" s="57"/>
      <c r="E148" s="57"/>
      <c r="F148" s="57">
        <f t="shared" si="4"/>
        <v>32104</v>
      </c>
      <c r="G148" s="57"/>
      <c r="H148" s="57"/>
      <c r="I148" s="57"/>
      <c r="J148" s="57"/>
      <c r="K148" s="57"/>
      <c r="L148" s="57">
        <f t="shared" si="5"/>
        <v>32104</v>
      </c>
      <c r="M148" s="57">
        <v>7343</v>
      </c>
      <c r="N148" s="57">
        <v>24761</v>
      </c>
      <c r="O148" s="59"/>
      <c r="P148" s="59"/>
    </row>
    <row r="149" spans="1:16" ht="10.5" customHeight="1" x14ac:dyDescent="0.2">
      <c r="A149" s="1">
        <v>136</v>
      </c>
      <c r="B149" s="73" t="s">
        <v>231</v>
      </c>
      <c r="C149" s="57">
        <v>0</v>
      </c>
      <c r="D149" s="57"/>
      <c r="E149" s="57"/>
      <c r="F149" s="57">
        <f t="shared" si="4"/>
        <v>1003</v>
      </c>
      <c r="G149" s="57"/>
      <c r="H149" s="57"/>
      <c r="I149" s="57"/>
      <c r="J149" s="57">
        <f>240+602+210-49</f>
        <v>1003</v>
      </c>
      <c r="K149" s="57"/>
      <c r="L149" s="57">
        <f t="shared" si="5"/>
        <v>0</v>
      </c>
      <c r="M149" s="57"/>
      <c r="N149" s="57"/>
      <c r="O149" s="59"/>
      <c r="P149" s="59"/>
    </row>
    <row r="150" spans="1:16" ht="10.5" customHeight="1" x14ac:dyDescent="0.2">
      <c r="A150" s="1">
        <v>137</v>
      </c>
      <c r="B150" s="61" t="s">
        <v>170</v>
      </c>
      <c r="C150" s="57">
        <v>0</v>
      </c>
      <c r="D150" s="57"/>
      <c r="E150" s="57"/>
      <c r="F150" s="57">
        <f t="shared" si="4"/>
        <v>0</v>
      </c>
      <c r="G150" s="57"/>
      <c r="H150" s="57"/>
      <c r="I150" s="57">
        <f>56-56</f>
        <v>0</v>
      </c>
      <c r="J150" s="57"/>
      <c r="K150" s="57"/>
      <c r="L150" s="57">
        <f t="shared" si="5"/>
        <v>0</v>
      </c>
      <c r="M150" s="57"/>
      <c r="N150" s="57"/>
      <c r="O150" s="59"/>
      <c r="P150" s="59"/>
    </row>
    <row r="151" spans="1:16" ht="10.5" customHeight="1" x14ac:dyDescent="0.2">
      <c r="A151" s="1">
        <v>138</v>
      </c>
      <c r="B151" s="61" t="s">
        <v>171</v>
      </c>
      <c r="C151" s="57">
        <v>0</v>
      </c>
      <c r="D151" s="57"/>
      <c r="E151" s="57"/>
      <c r="F151" s="57">
        <f t="shared" si="4"/>
        <v>31</v>
      </c>
      <c r="G151" s="57"/>
      <c r="H151" s="57"/>
      <c r="I151" s="57">
        <v>31</v>
      </c>
      <c r="J151" s="57"/>
      <c r="K151" s="57"/>
      <c r="L151" s="57">
        <f t="shared" si="5"/>
        <v>0</v>
      </c>
      <c r="M151" s="57"/>
      <c r="N151" s="57"/>
      <c r="O151" s="59"/>
      <c r="P151" s="59"/>
    </row>
    <row r="152" spans="1:16" ht="10.5" customHeight="1" x14ac:dyDescent="0.2">
      <c r="A152" s="1">
        <v>139</v>
      </c>
      <c r="B152" s="60" t="s">
        <v>173</v>
      </c>
      <c r="C152" s="57">
        <f>103-92</f>
        <v>11</v>
      </c>
      <c r="D152" s="57"/>
      <c r="E152" s="57"/>
      <c r="F152" s="57">
        <f t="shared" si="4"/>
        <v>19</v>
      </c>
      <c r="G152" s="57"/>
      <c r="H152" s="57"/>
      <c r="I152" s="57">
        <f>113-94</f>
        <v>19</v>
      </c>
      <c r="J152" s="57"/>
      <c r="K152" s="57"/>
      <c r="L152" s="57">
        <f t="shared" si="5"/>
        <v>0</v>
      </c>
      <c r="M152" s="57"/>
      <c r="N152" s="57"/>
      <c r="O152" s="59"/>
      <c r="P152" s="59"/>
    </row>
    <row r="153" spans="1:16" ht="10.5" customHeight="1" x14ac:dyDescent="0.2">
      <c r="A153" s="1">
        <v>140</v>
      </c>
      <c r="B153" s="60" t="s">
        <v>174</v>
      </c>
      <c r="C153" s="57">
        <f>50-50</f>
        <v>0</v>
      </c>
      <c r="D153" s="57"/>
      <c r="E153" s="57"/>
      <c r="F153" s="57">
        <f t="shared" si="4"/>
        <v>0</v>
      </c>
      <c r="G153" s="57"/>
      <c r="H153" s="57"/>
      <c r="I153" s="57">
        <f>113-113</f>
        <v>0</v>
      </c>
      <c r="J153" s="57"/>
      <c r="K153" s="57"/>
      <c r="L153" s="57">
        <f t="shared" si="5"/>
        <v>0</v>
      </c>
      <c r="M153" s="57"/>
      <c r="N153" s="57"/>
      <c r="O153" s="59"/>
      <c r="P153" s="59"/>
    </row>
    <row r="154" spans="1:16" ht="10.5" customHeight="1" x14ac:dyDescent="0.2">
      <c r="A154" s="1">
        <v>141</v>
      </c>
      <c r="B154" s="56" t="s">
        <v>175</v>
      </c>
      <c r="C154" s="57">
        <v>250</v>
      </c>
      <c r="D154" s="57"/>
      <c r="E154" s="57"/>
      <c r="F154" s="57">
        <f t="shared" si="4"/>
        <v>447</v>
      </c>
      <c r="G154" s="57"/>
      <c r="H154" s="57"/>
      <c r="I154" s="57">
        <v>447</v>
      </c>
      <c r="J154" s="57"/>
      <c r="K154" s="57"/>
      <c r="L154" s="57">
        <f t="shared" si="5"/>
        <v>0</v>
      </c>
      <c r="M154" s="57"/>
      <c r="N154" s="57"/>
      <c r="O154" s="59"/>
      <c r="P154" s="59"/>
    </row>
    <row r="155" spans="1:16" ht="10.5" customHeight="1" x14ac:dyDescent="0.2">
      <c r="A155" s="1">
        <v>142</v>
      </c>
      <c r="B155" s="60" t="s">
        <v>232</v>
      </c>
      <c r="C155" s="57">
        <v>0</v>
      </c>
      <c r="D155" s="57"/>
      <c r="E155" s="57"/>
      <c r="F155" s="57">
        <f t="shared" si="4"/>
        <v>113</v>
      </c>
      <c r="G155" s="57"/>
      <c r="H155" s="57"/>
      <c r="I155" s="57">
        <v>113</v>
      </c>
      <c r="J155" s="57"/>
      <c r="K155" s="57"/>
      <c r="L155" s="57">
        <f t="shared" si="5"/>
        <v>0</v>
      </c>
      <c r="M155" s="57"/>
      <c r="N155" s="57"/>
      <c r="O155" s="59"/>
      <c r="P155" s="59"/>
    </row>
    <row r="156" spans="1:16" ht="10.5" customHeight="1" x14ac:dyDescent="0.2">
      <c r="A156" s="1">
        <v>143</v>
      </c>
      <c r="B156" s="60" t="s">
        <v>176</v>
      </c>
      <c r="C156" s="57">
        <v>0</v>
      </c>
      <c r="D156" s="57"/>
      <c r="E156" s="57"/>
      <c r="F156" s="57">
        <f t="shared" si="4"/>
        <v>0</v>
      </c>
      <c r="G156" s="57"/>
      <c r="H156" s="57"/>
      <c r="I156" s="57">
        <f>56-56</f>
        <v>0</v>
      </c>
      <c r="J156" s="57"/>
      <c r="K156" s="57"/>
      <c r="L156" s="57">
        <f t="shared" si="5"/>
        <v>0</v>
      </c>
      <c r="M156" s="57"/>
      <c r="N156" s="57"/>
      <c r="O156" s="59"/>
      <c r="P156" s="59"/>
    </row>
    <row r="157" spans="1:16" ht="10.5" customHeight="1" x14ac:dyDescent="0.2">
      <c r="A157" s="1">
        <v>144</v>
      </c>
      <c r="B157" s="60" t="s">
        <v>177</v>
      </c>
      <c r="C157" s="57">
        <v>0</v>
      </c>
      <c r="D157" s="57"/>
      <c r="E157" s="57"/>
      <c r="F157" s="57">
        <f t="shared" si="4"/>
        <v>56</v>
      </c>
      <c r="G157" s="57"/>
      <c r="H157" s="57"/>
      <c r="I157" s="57">
        <v>56</v>
      </c>
      <c r="J157" s="57"/>
      <c r="K157" s="57"/>
      <c r="L157" s="57">
        <f t="shared" si="5"/>
        <v>0</v>
      </c>
      <c r="M157" s="57"/>
      <c r="N157" s="57"/>
      <c r="O157" s="59"/>
      <c r="P157" s="59"/>
    </row>
    <row r="158" spans="1:16" ht="10.5" customHeight="1" x14ac:dyDescent="0.2">
      <c r="A158" s="1">
        <v>145</v>
      </c>
      <c r="B158" s="60" t="s">
        <v>233</v>
      </c>
      <c r="C158" s="57">
        <v>0</v>
      </c>
      <c r="D158" s="57"/>
      <c r="E158" s="57"/>
      <c r="F158" s="57">
        <f t="shared" si="4"/>
        <v>56</v>
      </c>
      <c r="G158" s="57"/>
      <c r="H158" s="57"/>
      <c r="I158" s="57">
        <v>56</v>
      </c>
      <c r="J158" s="57"/>
      <c r="K158" s="57"/>
      <c r="L158" s="57">
        <f t="shared" si="5"/>
        <v>0</v>
      </c>
      <c r="M158" s="57"/>
      <c r="N158" s="57"/>
      <c r="O158" s="59"/>
      <c r="P158" s="59"/>
    </row>
    <row r="159" spans="1:16" s="3" customFormat="1" ht="12.75" customHeight="1" x14ac:dyDescent="0.2">
      <c r="A159" s="1">
        <v>146</v>
      </c>
      <c r="B159" s="61" t="s">
        <v>234</v>
      </c>
      <c r="C159" s="57">
        <v>0</v>
      </c>
      <c r="D159" s="57"/>
      <c r="E159" s="57"/>
      <c r="F159" s="57">
        <f t="shared" si="4"/>
        <v>5390</v>
      </c>
      <c r="G159" s="57"/>
      <c r="H159" s="57"/>
      <c r="I159" s="57"/>
      <c r="J159" s="57">
        <f>1332+3624+210+224</f>
        <v>5390</v>
      </c>
      <c r="K159" s="57"/>
      <c r="L159" s="57">
        <f t="shared" si="5"/>
        <v>0</v>
      </c>
      <c r="M159" s="57"/>
      <c r="N159" s="57"/>
      <c r="O159" s="59"/>
      <c r="P159" s="59"/>
    </row>
    <row r="160" spans="1:16" ht="12" customHeight="1" x14ac:dyDescent="0.2">
      <c r="A160" s="1">
        <v>147</v>
      </c>
      <c r="B160" s="60" t="s">
        <v>179</v>
      </c>
      <c r="C160" s="57">
        <v>103</v>
      </c>
      <c r="D160" s="57"/>
      <c r="E160" s="57"/>
      <c r="F160" s="57">
        <f t="shared" si="4"/>
        <v>113</v>
      </c>
      <c r="G160" s="57"/>
      <c r="H160" s="57"/>
      <c r="I160" s="57">
        <v>113</v>
      </c>
      <c r="J160" s="57"/>
      <c r="K160" s="57"/>
      <c r="L160" s="57">
        <f t="shared" si="5"/>
        <v>0</v>
      </c>
      <c r="M160" s="57"/>
      <c r="N160" s="57"/>
      <c r="O160" s="59"/>
      <c r="P160" s="59"/>
    </row>
    <row r="161" spans="1:16" ht="10.5" customHeight="1" x14ac:dyDescent="0.2">
      <c r="A161" s="1">
        <v>148</v>
      </c>
      <c r="B161" s="60" t="s">
        <v>206</v>
      </c>
      <c r="C161" s="57">
        <v>0</v>
      </c>
      <c r="D161" s="57"/>
      <c r="E161" s="57"/>
      <c r="F161" s="57">
        <f t="shared" si="4"/>
        <v>31</v>
      </c>
      <c r="G161" s="57"/>
      <c r="H161" s="57"/>
      <c r="I161" s="57">
        <f>31</f>
        <v>31</v>
      </c>
      <c r="J161" s="57"/>
      <c r="K161" s="57"/>
      <c r="L161" s="57">
        <f t="shared" si="5"/>
        <v>0</v>
      </c>
      <c r="M161" s="57"/>
      <c r="N161" s="57"/>
      <c r="O161" s="59"/>
      <c r="P161" s="59"/>
    </row>
    <row r="162" spans="1:16" ht="12.75" customHeight="1" x14ac:dyDescent="0.2">
      <c r="A162" s="1">
        <v>149</v>
      </c>
      <c r="B162" s="60" t="s">
        <v>180</v>
      </c>
      <c r="C162" s="57">
        <v>0</v>
      </c>
      <c r="D162" s="57"/>
      <c r="E162" s="57"/>
      <c r="F162" s="57">
        <f t="shared" si="4"/>
        <v>0</v>
      </c>
      <c r="G162" s="57"/>
      <c r="H162" s="57"/>
      <c r="I162" s="57">
        <f>31-31</f>
        <v>0</v>
      </c>
      <c r="J162" s="57"/>
      <c r="K162" s="57"/>
      <c r="L162" s="57">
        <f t="shared" si="5"/>
        <v>0</v>
      </c>
      <c r="M162" s="57"/>
      <c r="N162" s="57"/>
      <c r="O162" s="59"/>
      <c r="P162" s="59"/>
    </row>
    <row r="163" spans="1:16" s="74" customFormat="1" ht="12.75" customHeight="1" x14ac:dyDescent="0.2">
      <c r="A163" s="1">
        <v>150</v>
      </c>
      <c r="B163" s="60" t="s">
        <v>181</v>
      </c>
      <c r="C163" s="57">
        <v>0</v>
      </c>
      <c r="D163" s="57"/>
      <c r="E163" s="57"/>
      <c r="F163" s="57">
        <f t="shared" si="4"/>
        <v>31</v>
      </c>
      <c r="G163" s="57"/>
      <c r="H163" s="57"/>
      <c r="I163" s="57">
        <v>31</v>
      </c>
      <c r="J163" s="57"/>
      <c r="K163" s="57"/>
      <c r="L163" s="57">
        <f t="shared" si="5"/>
        <v>0</v>
      </c>
      <c r="M163" s="57"/>
      <c r="N163" s="57"/>
      <c r="O163" s="59"/>
      <c r="P163" s="59"/>
    </row>
    <row r="164" spans="1:16" x14ac:dyDescent="0.2">
      <c r="A164" s="1">
        <v>151</v>
      </c>
      <c r="B164" s="60" t="s">
        <v>235</v>
      </c>
      <c r="C164" s="57">
        <v>0</v>
      </c>
      <c r="D164" s="57"/>
      <c r="E164" s="57"/>
      <c r="F164" s="57">
        <f t="shared" si="4"/>
        <v>26</v>
      </c>
      <c r="G164" s="57"/>
      <c r="H164" s="57"/>
      <c r="I164" s="57">
        <v>26</v>
      </c>
      <c r="J164" s="57"/>
      <c r="K164" s="57"/>
      <c r="L164" s="57">
        <f t="shared" si="5"/>
        <v>0</v>
      </c>
      <c r="M164" s="57"/>
      <c r="N164" s="57"/>
      <c r="O164" s="59"/>
      <c r="P164" s="59"/>
    </row>
    <row r="165" spans="1:16" x14ac:dyDescent="0.2">
      <c r="A165" s="1">
        <v>152</v>
      </c>
      <c r="B165" s="60" t="s">
        <v>60</v>
      </c>
      <c r="C165" s="57">
        <v>25</v>
      </c>
      <c r="D165" s="57"/>
      <c r="E165" s="57"/>
      <c r="F165" s="57">
        <f t="shared" si="4"/>
        <v>459</v>
      </c>
      <c r="G165" s="57"/>
      <c r="H165" s="57"/>
      <c r="I165" s="57">
        <v>459</v>
      </c>
      <c r="J165" s="57"/>
      <c r="K165" s="57"/>
      <c r="L165" s="57">
        <f t="shared" si="5"/>
        <v>0</v>
      </c>
      <c r="M165" s="57"/>
      <c r="N165" s="57"/>
      <c r="O165" s="59"/>
      <c r="P165" s="59"/>
    </row>
    <row r="166" spans="1:16" ht="14.25" customHeight="1" x14ac:dyDescent="0.2">
      <c r="A166" s="1">
        <v>153</v>
      </c>
      <c r="B166" s="60" t="s">
        <v>182</v>
      </c>
      <c r="C166" s="57">
        <v>0</v>
      </c>
      <c r="D166" s="57"/>
      <c r="E166" s="57"/>
      <c r="F166" s="57">
        <f t="shared" si="4"/>
        <v>50</v>
      </c>
      <c r="G166" s="57"/>
      <c r="H166" s="57"/>
      <c r="I166" s="57">
        <v>50</v>
      </c>
      <c r="J166" s="57"/>
      <c r="K166" s="57"/>
      <c r="L166" s="57">
        <f t="shared" si="5"/>
        <v>0</v>
      </c>
      <c r="M166" s="57"/>
      <c r="N166" s="57"/>
      <c r="O166" s="59"/>
      <c r="P166" s="59"/>
    </row>
    <row r="167" spans="1:16" x14ac:dyDescent="0.2">
      <c r="A167" s="1">
        <v>154</v>
      </c>
      <c r="B167" s="60" t="s">
        <v>183</v>
      </c>
      <c r="C167" s="57">
        <v>103</v>
      </c>
      <c r="D167" s="57"/>
      <c r="E167" s="57"/>
      <c r="F167" s="57">
        <f t="shared" si="4"/>
        <v>169</v>
      </c>
      <c r="G167" s="57"/>
      <c r="H167" s="57"/>
      <c r="I167" s="57">
        <v>169</v>
      </c>
      <c r="J167" s="57"/>
      <c r="K167" s="57"/>
      <c r="L167" s="57">
        <f t="shared" si="5"/>
        <v>0</v>
      </c>
      <c r="M167" s="57"/>
      <c r="N167" s="57"/>
      <c r="O167" s="59"/>
      <c r="P167" s="59"/>
    </row>
    <row r="168" spans="1:16" x14ac:dyDescent="0.2">
      <c r="A168" s="1">
        <v>155</v>
      </c>
      <c r="B168" s="60" t="s">
        <v>184</v>
      </c>
      <c r="C168" s="57">
        <v>103</v>
      </c>
      <c r="D168" s="57"/>
      <c r="E168" s="57"/>
      <c r="F168" s="57">
        <f t="shared" si="4"/>
        <v>113</v>
      </c>
      <c r="G168" s="57"/>
      <c r="H168" s="57"/>
      <c r="I168" s="57">
        <v>113</v>
      </c>
      <c r="J168" s="57"/>
      <c r="K168" s="57"/>
      <c r="L168" s="57">
        <f t="shared" si="5"/>
        <v>0</v>
      </c>
      <c r="M168" s="57"/>
      <c r="N168" s="57"/>
      <c r="O168" s="59"/>
      <c r="P168" s="59"/>
    </row>
    <row r="169" spans="1:16" x14ac:dyDescent="0.2">
      <c r="A169" s="1">
        <v>156</v>
      </c>
      <c r="B169" s="60" t="s">
        <v>236</v>
      </c>
      <c r="C169" s="57">
        <v>0</v>
      </c>
      <c r="D169" s="57"/>
      <c r="E169" s="57"/>
      <c r="F169" s="57">
        <f t="shared" si="4"/>
        <v>853</v>
      </c>
      <c r="G169" s="57"/>
      <c r="H169" s="57"/>
      <c r="I169" s="57"/>
      <c r="J169" s="57">
        <f>120+908-175</f>
        <v>853</v>
      </c>
      <c r="K169" s="57"/>
      <c r="L169" s="57">
        <f t="shared" si="5"/>
        <v>0</v>
      </c>
      <c r="M169" s="57"/>
      <c r="N169" s="57"/>
      <c r="O169" s="59"/>
      <c r="P169" s="59"/>
    </row>
    <row r="170" spans="1:16" x14ac:dyDescent="0.2">
      <c r="A170" s="1">
        <v>157</v>
      </c>
      <c r="B170" s="60" t="s">
        <v>185</v>
      </c>
      <c r="C170" s="57">
        <v>0</v>
      </c>
      <c r="D170" s="57"/>
      <c r="E170" s="57"/>
      <c r="F170" s="57">
        <f t="shared" si="4"/>
        <v>25</v>
      </c>
      <c r="G170" s="57"/>
      <c r="H170" s="57"/>
      <c r="I170" s="57">
        <v>25</v>
      </c>
      <c r="J170" s="57"/>
      <c r="K170" s="57"/>
      <c r="L170" s="57">
        <f t="shared" si="5"/>
        <v>0</v>
      </c>
      <c r="M170" s="57"/>
      <c r="N170" s="57"/>
      <c r="O170" s="59"/>
      <c r="P170" s="59"/>
    </row>
    <row r="171" spans="1:16" x14ac:dyDescent="0.2">
      <c r="A171" s="1">
        <v>158</v>
      </c>
      <c r="B171" s="60" t="s">
        <v>237</v>
      </c>
      <c r="C171" s="57">
        <v>0</v>
      </c>
      <c r="D171" s="57"/>
      <c r="E171" s="57"/>
      <c r="F171" s="57">
        <f t="shared" si="4"/>
        <v>31</v>
      </c>
      <c r="G171" s="57"/>
      <c r="H171" s="57"/>
      <c r="I171" s="57">
        <v>31</v>
      </c>
      <c r="J171" s="57"/>
      <c r="K171" s="57"/>
      <c r="L171" s="57">
        <f t="shared" si="5"/>
        <v>0</v>
      </c>
      <c r="M171" s="57"/>
      <c r="N171" s="57"/>
      <c r="O171" s="59"/>
      <c r="P171" s="59"/>
    </row>
    <row r="172" spans="1:16" x14ac:dyDescent="0.2">
      <c r="A172" s="1">
        <v>159</v>
      </c>
      <c r="B172" s="60" t="s">
        <v>238</v>
      </c>
      <c r="C172" s="57">
        <v>0</v>
      </c>
      <c r="D172" s="57"/>
      <c r="E172" s="57"/>
      <c r="F172" s="57">
        <f t="shared" si="4"/>
        <v>2037</v>
      </c>
      <c r="G172" s="57"/>
      <c r="H172" s="57"/>
      <c r="I172" s="57"/>
      <c r="J172" s="57">
        <f>420+1617</f>
        <v>2037</v>
      </c>
      <c r="K172" s="57"/>
      <c r="L172" s="57">
        <f t="shared" si="5"/>
        <v>0</v>
      </c>
      <c r="M172" s="57"/>
      <c r="N172" s="57"/>
      <c r="O172" s="59"/>
      <c r="P172" s="59"/>
    </row>
    <row r="173" spans="1:16" s="75" customFormat="1" ht="14.25" customHeight="1" x14ac:dyDescent="0.2">
      <c r="A173" s="1">
        <v>160</v>
      </c>
      <c r="B173" s="60" t="s">
        <v>186</v>
      </c>
      <c r="C173" s="57">
        <v>103</v>
      </c>
      <c r="D173" s="57"/>
      <c r="E173" s="57"/>
      <c r="F173" s="57">
        <f t="shared" si="4"/>
        <v>113</v>
      </c>
      <c r="G173" s="57"/>
      <c r="H173" s="57"/>
      <c r="I173" s="57">
        <v>113</v>
      </c>
      <c r="J173" s="57"/>
      <c r="K173" s="57"/>
      <c r="L173" s="57">
        <f t="shared" si="5"/>
        <v>0</v>
      </c>
      <c r="M173" s="57"/>
      <c r="N173" s="57"/>
      <c r="O173" s="59"/>
      <c r="P173" s="59"/>
    </row>
    <row r="174" spans="1:16" s="75" customFormat="1" ht="15.75" customHeight="1" x14ac:dyDescent="0.2">
      <c r="A174" s="1">
        <v>161</v>
      </c>
      <c r="B174" s="60" t="s">
        <v>187</v>
      </c>
      <c r="C174" s="57">
        <v>103</v>
      </c>
      <c r="D174" s="57"/>
      <c r="E174" s="57"/>
      <c r="F174" s="57">
        <f t="shared" si="4"/>
        <v>113</v>
      </c>
      <c r="G174" s="57"/>
      <c r="H174" s="57"/>
      <c r="I174" s="57">
        <v>113</v>
      </c>
      <c r="J174" s="57"/>
      <c r="K174" s="57"/>
      <c r="L174" s="57">
        <f t="shared" si="5"/>
        <v>0</v>
      </c>
      <c r="M174" s="57"/>
      <c r="N174" s="57"/>
      <c r="O174" s="59"/>
      <c r="P174" s="59"/>
    </row>
    <row r="175" spans="1:16" x14ac:dyDescent="0.2">
      <c r="A175" s="1">
        <v>162</v>
      </c>
      <c r="B175" s="60" t="s">
        <v>188</v>
      </c>
      <c r="C175" s="57">
        <v>103</v>
      </c>
      <c r="D175" s="57"/>
      <c r="E175" s="57"/>
      <c r="F175" s="57">
        <f t="shared" si="4"/>
        <v>113</v>
      </c>
      <c r="G175" s="57"/>
      <c r="H175" s="57"/>
      <c r="I175" s="57">
        <v>113</v>
      </c>
      <c r="J175" s="57"/>
      <c r="K175" s="57"/>
      <c r="L175" s="57">
        <f t="shared" si="5"/>
        <v>0</v>
      </c>
      <c r="M175" s="57"/>
      <c r="N175" s="57"/>
      <c r="O175" s="59"/>
      <c r="P175" s="59"/>
    </row>
    <row r="176" spans="1:16" x14ac:dyDescent="0.2">
      <c r="A176" s="1">
        <v>163</v>
      </c>
      <c r="B176" s="60" t="s">
        <v>239</v>
      </c>
      <c r="C176" s="57">
        <f>96-96</f>
        <v>0</v>
      </c>
      <c r="D176" s="57"/>
      <c r="E176" s="57"/>
      <c r="F176" s="57">
        <f t="shared" si="4"/>
        <v>0</v>
      </c>
      <c r="G176" s="57"/>
      <c r="H176" s="57"/>
      <c r="I176" s="57">
        <f>113-113</f>
        <v>0</v>
      </c>
      <c r="J176" s="57"/>
      <c r="K176" s="57"/>
      <c r="L176" s="57">
        <f t="shared" si="5"/>
        <v>0</v>
      </c>
      <c r="M176" s="57"/>
      <c r="N176" s="57"/>
      <c r="O176" s="59"/>
      <c r="P176" s="59"/>
    </row>
    <row r="177" spans="1:16" x14ac:dyDescent="0.2">
      <c r="A177" s="1">
        <v>164</v>
      </c>
      <c r="B177" s="60" t="s">
        <v>240</v>
      </c>
      <c r="C177" s="57">
        <v>0</v>
      </c>
      <c r="D177" s="57"/>
      <c r="E177" s="57"/>
      <c r="F177" s="57">
        <f t="shared" si="4"/>
        <v>0</v>
      </c>
      <c r="G177" s="57"/>
      <c r="H177" s="57"/>
      <c r="I177" s="57">
        <f>113-113</f>
        <v>0</v>
      </c>
      <c r="J177" s="57"/>
      <c r="K177" s="57"/>
      <c r="L177" s="57">
        <f t="shared" si="5"/>
        <v>0</v>
      </c>
      <c r="M177" s="57"/>
      <c r="N177" s="57"/>
      <c r="O177" s="59"/>
      <c r="P177" s="59"/>
    </row>
    <row r="178" spans="1:16" x14ac:dyDescent="0.2">
      <c r="A178" s="1">
        <v>165</v>
      </c>
      <c r="B178" s="60" t="s">
        <v>190</v>
      </c>
      <c r="C178" s="57">
        <f>103-103</f>
        <v>0</v>
      </c>
      <c r="D178" s="57"/>
      <c r="E178" s="57"/>
      <c r="F178" s="57">
        <f t="shared" si="4"/>
        <v>0</v>
      </c>
      <c r="G178" s="57"/>
      <c r="H178" s="57"/>
      <c r="I178" s="57">
        <f>169-169</f>
        <v>0</v>
      </c>
      <c r="J178" s="57"/>
      <c r="K178" s="57"/>
      <c r="L178" s="57">
        <f t="shared" si="5"/>
        <v>0</v>
      </c>
      <c r="M178" s="57"/>
      <c r="N178" s="57"/>
      <c r="O178" s="59"/>
      <c r="P178" s="59"/>
    </row>
    <row r="179" spans="1:16" x14ac:dyDescent="0.2">
      <c r="A179" s="1">
        <v>166</v>
      </c>
      <c r="B179" s="60" t="s">
        <v>81</v>
      </c>
      <c r="C179" s="57">
        <v>0</v>
      </c>
      <c r="D179" s="57"/>
      <c r="E179" s="57"/>
      <c r="F179" s="57">
        <f t="shared" si="4"/>
        <v>467</v>
      </c>
      <c r="G179" s="57"/>
      <c r="H179" s="57"/>
      <c r="I179" s="57"/>
      <c r="J179" s="57">
        <f>457+10</f>
        <v>467</v>
      </c>
      <c r="K179" s="57"/>
      <c r="L179" s="57">
        <f t="shared" si="5"/>
        <v>0</v>
      </c>
      <c r="M179" s="57"/>
      <c r="N179" s="57"/>
      <c r="O179" s="59"/>
      <c r="P179" s="59"/>
    </row>
    <row r="180" spans="1:16" x14ac:dyDescent="0.2">
      <c r="A180" s="1">
        <v>167</v>
      </c>
      <c r="B180" s="60" t="s">
        <v>69</v>
      </c>
      <c r="C180" s="57">
        <f>13584+238</f>
        <v>13822</v>
      </c>
      <c r="D180" s="57">
        <f>10854+238</f>
        <v>11092</v>
      </c>
      <c r="E180" s="57"/>
      <c r="F180" s="57">
        <f t="shared" si="4"/>
        <v>1608</v>
      </c>
      <c r="G180" s="57"/>
      <c r="H180" s="57"/>
      <c r="I180" s="57"/>
      <c r="J180" s="57">
        <f>87+12-90</f>
        <v>9</v>
      </c>
      <c r="K180" s="57">
        <v>1599</v>
      </c>
      <c r="L180" s="57">
        <f t="shared" si="5"/>
        <v>0</v>
      </c>
      <c r="M180" s="57"/>
      <c r="N180" s="57"/>
      <c r="O180" s="59"/>
      <c r="P180" s="59"/>
    </row>
    <row r="181" spans="1:16" x14ac:dyDescent="0.2">
      <c r="A181" s="1">
        <v>168</v>
      </c>
      <c r="B181" s="60" t="s">
        <v>62</v>
      </c>
      <c r="C181" s="57">
        <v>12283</v>
      </c>
      <c r="D181" s="57"/>
      <c r="E181" s="57">
        <v>12283</v>
      </c>
      <c r="F181" s="57">
        <f t="shared" si="4"/>
        <v>23691</v>
      </c>
      <c r="G181" s="57"/>
      <c r="H181" s="57"/>
      <c r="I181" s="57">
        <v>23691</v>
      </c>
      <c r="J181" s="57"/>
      <c r="K181" s="57"/>
      <c r="L181" s="57">
        <f t="shared" si="5"/>
        <v>0</v>
      </c>
      <c r="M181" s="57"/>
      <c r="N181" s="57"/>
      <c r="O181" s="59"/>
      <c r="P181" s="59"/>
    </row>
    <row r="182" spans="1:16" x14ac:dyDescent="0.2">
      <c r="A182" s="1">
        <v>169</v>
      </c>
      <c r="B182" s="60" t="s">
        <v>84</v>
      </c>
      <c r="C182" s="57">
        <v>0</v>
      </c>
      <c r="D182" s="57"/>
      <c r="E182" s="57"/>
      <c r="F182" s="57">
        <f t="shared" si="4"/>
        <v>35562</v>
      </c>
      <c r="G182" s="57"/>
      <c r="H182" s="57"/>
      <c r="I182" s="57">
        <v>35562</v>
      </c>
      <c r="J182" s="57"/>
      <c r="K182" s="57"/>
      <c r="L182" s="57">
        <f t="shared" si="5"/>
        <v>0</v>
      </c>
      <c r="M182" s="57"/>
      <c r="N182" s="57"/>
      <c r="O182" s="59"/>
      <c r="P182" s="59"/>
    </row>
    <row r="183" spans="1:16" x14ac:dyDescent="0.2">
      <c r="A183" s="1">
        <v>170</v>
      </c>
      <c r="B183" s="60" t="s">
        <v>83</v>
      </c>
      <c r="C183" s="57">
        <v>0</v>
      </c>
      <c r="D183" s="57"/>
      <c r="E183" s="57"/>
      <c r="F183" s="57">
        <f t="shared" si="4"/>
        <v>35453</v>
      </c>
      <c r="G183" s="57"/>
      <c r="H183" s="57"/>
      <c r="I183" s="57">
        <v>35453</v>
      </c>
      <c r="J183" s="57"/>
      <c r="K183" s="57"/>
      <c r="L183" s="57">
        <f t="shared" si="5"/>
        <v>0</v>
      </c>
      <c r="M183" s="57"/>
      <c r="N183" s="57"/>
      <c r="O183" s="59"/>
      <c r="P183" s="59"/>
    </row>
    <row r="184" spans="1:16" x14ac:dyDescent="0.2">
      <c r="A184" s="1">
        <v>171</v>
      </c>
      <c r="B184" s="60" t="s">
        <v>70</v>
      </c>
      <c r="C184" s="57">
        <f>30000+1127</f>
        <v>31127</v>
      </c>
      <c r="D184" s="57"/>
      <c r="E184" s="57"/>
      <c r="F184" s="57">
        <f t="shared" si="4"/>
        <v>0</v>
      </c>
      <c r="G184" s="57"/>
      <c r="H184" s="57"/>
      <c r="I184" s="57"/>
      <c r="J184" s="57"/>
      <c r="K184" s="57"/>
      <c r="L184" s="57">
        <f t="shared" si="5"/>
        <v>0</v>
      </c>
      <c r="M184" s="57"/>
      <c r="N184" s="57"/>
      <c r="O184" s="59"/>
      <c r="P184" s="59"/>
    </row>
    <row r="185" spans="1:16" x14ac:dyDescent="0.2">
      <c r="A185" s="314">
        <v>172</v>
      </c>
      <c r="B185" s="60" t="s">
        <v>191</v>
      </c>
      <c r="C185" s="57">
        <f>48492-11</f>
        <v>48481</v>
      </c>
      <c r="D185" s="57">
        <v>34804</v>
      </c>
      <c r="E185" s="57"/>
      <c r="F185" s="57">
        <f t="shared" si="4"/>
        <v>69935</v>
      </c>
      <c r="G185" s="57"/>
      <c r="H185" s="57"/>
      <c r="I185" s="57"/>
      <c r="J185" s="57"/>
      <c r="K185" s="57">
        <v>5128</v>
      </c>
      <c r="L185" s="57">
        <f t="shared" si="5"/>
        <v>64807</v>
      </c>
      <c r="M185" s="57">
        <v>17714</v>
      </c>
      <c r="N185" s="57">
        <v>47093</v>
      </c>
      <c r="O185" s="59"/>
      <c r="P185" s="59"/>
    </row>
    <row r="186" spans="1:16" s="77" customFormat="1" ht="39.75" customHeight="1" x14ac:dyDescent="0.2">
      <c r="A186" s="315"/>
      <c r="B186" s="76" t="s">
        <v>65</v>
      </c>
      <c r="C186" s="66">
        <v>33814</v>
      </c>
      <c r="D186" s="66"/>
      <c r="E186" s="66"/>
      <c r="F186" s="57">
        <f t="shared" si="4"/>
        <v>119519</v>
      </c>
      <c r="G186" s="66"/>
      <c r="H186" s="66"/>
      <c r="I186" s="66"/>
      <c r="J186" s="66"/>
      <c r="K186" s="66"/>
      <c r="L186" s="66">
        <f t="shared" si="5"/>
        <v>119519</v>
      </c>
      <c r="M186" s="66">
        <v>24314</v>
      </c>
      <c r="N186" s="66">
        <v>95205</v>
      </c>
      <c r="O186" s="59"/>
      <c r="P186" s="59"/>
    </row>
    <row r="187" spans="1:16" x14ac:dyDescent="0.2">
      <c r="A187" s="1">
        <v>173</v>
      </c>
      <c r="B187" s="60" t="s">
        <v>192</v>
      </c>
      <c r="C187" s="57">
        <v>4000</v>
      </c>
      <c r="D187" s="57"/>
      <c r="E187" s="57"/>
      <c r="F187" s="57">
        <f t="shared" si="4"/>
        <v>0</v>
      </c>
      <c r="G187" s="57"/>
      <c r="H187" s="57"/>
      <c r="I187" s="57"/>
      <c r="J187" s="57"/>
      <c r="K187" s="57"/>
      <c r="L187" s="57">
        <f t="shared" si="5"/>
        <v>0</v>
      </c>
      <c r="M187" s="57"/>
      <c r="N187" s="57"/>
      <c r="O187" s="59"/>
      <c r="P187" s="59"/>
    </row>
    <row r="188" spans="1:16" x14ac:dyDescent="0.2">
      <c r="A188" s="1">
        <v>174</v>
      </c>
      <c r="B188" s="60" t="s">
        <v>193</v>
      </c>
      <c r="C188" s="57">
        <v>0</v>
      </c>
      <c r="D188" s="57"/>
      <c r="E188" s="57"/>
      <c r="F188" s="57">
        <f t="shared" si="4"/>
        <v>13410</v>
      </c>
      <c r="G188" s="57"/>
      <c r="H188" s="57"/>
      <c r="I188" s="57">
        <v>13410</v>
      </c>
      <c r="J188" s="57"/>
      <c r="K188" s="57"/>
      <c r="L188" s="57">
        <f t="shared" si="5"/>
        <v>0</v>
      </c>
      <c r="M188" s="57"/>
      <c r="N188" s="57"/>
      <c r="O188" s="59"/>
      <c r="P188" s="59"/>
    </row>
    <row r="189" spans="1:16" x14ac:dyDescent="0.2">
      <c r="A189" s="1">
        <v>175</v>
      </c>
      <c r="B189" s="60" t="s">
        <v>85</v>
      </c>
      <c r="C189" s="57">
        <v>0</v>
      </c>
      <c r="D189" s="57"/>
      <c r="E189" s="57"/>
      <c r="F189" s="57">
        <f t="shared" si="4"/>
        <v>894</v>
      </c>
      <c r="G189" s="57"/>
      <c r="H189" s="57"/>
      <c r="I189" s="57">
        <v>894</v>
      </c>
      <c r="J189" s="57"/>
      <c r="K189" s="57"/>
      <c r="L189" s="57">
        <f t="shared" si="5"/>
        <v>0</v>
      </c>
      <c r="M189" s="57"/>
      <c r="N189" s="57"/>
      <c r="O189" s="59"/>
      <c r="P189" s="59"/>
    </row>
    <row r="190" spans="1:16" x14ac:dyDescent="0.2">
      <c r="A190" s="4"/>
      <c r="B190" s="60" t="s">
        <v>66</v>
      </c>
      <c r="C190" s="57">
        <v>9204</v>
      </c>
      <c r="D190" s="57"/>
      <c r="E190" s="57"/>
      <c r="F190" s="57">
        <f>20307-7295</f>
        <v>13012</v>
      </c>
      <c r="G190" s="57"/>
      <c r="H190" s="57"/>
      <c r="I190" s="57"/>
      <c r="J190" s="57"/>
      <c r="K190" s="57"/>
      <c r="L190" s="57">
        <f t="shared" si="5"/>
        <v>0</v>
      </c>
      <c r="M190" s="57"/>
      <c r="N190" s="57"/>
      <c r="O190" s="59"/>
      <c r="P190" s="59"/>
    </row>
    <row r="191" spans="1:16" x14ac:dyDescent="0.2">
      <c r="A191" s="4"/>
      <c r="B191" s="79" t="s">
        <v>241</v>
      </c>
      <c r="C191" s="57">
        <v>0</v>
      </c>
      <c r="D191" s="57"/>
      <c r="E191" s="57"/>
      <c r="F191" s="57">
        <f t="shared" ref="F191" si="6">G191+I191+J191+K191+L191</f>
        <v>957</v>
      </c>
      <c r="G191" s="57"/>
      <c r="H191" s="57"/>
      <c r="I191" s="57"/>
      <c r="J191" s="57">
        <f>1309-12-430+90</f>
        <v>957</v>
      </c>
      <c r="K191" s="57"/>
      <c r="L191" s="57">
        <f t="shared" si="5"/>
        <v>0</v>
      </c>
      <c r="M191" s="57"/>
      <c r="N191" s="57"/>
      <c r="O191" s="59"/>
      <c r="P191" s="59"/>
    </row>
    <row r="192" spans="1:16" x14ac:dyDescent="0.2">
      <c r="A192" s="62"/>
      <c r="B192" s="62" t="s">
        <v>52</v>
      </c>
      <c r="C192" s="78">
        <f>SUM(C7:C191)</f>
        <v>2272164</v>
      </c>
      <c r="D192" s="78">
        <f t="shared" ref="D192:N192" si="7">SUM(D7:D191)</f>
        <v>126879</v>
      </c>
      <c r="E192" s="78">
        <f t="shared" si="7"/>
        <v>25965</v>
      </c>
      <c r="F192" s="78">
        <f>SUM(F7:F191)</f>
        <v>7181662.0068818731</v>
      </c>
      <c r="G192" s="78">
        <f t="shared" si="7"/>
        <v>69028</v>
      </c>
      <c r="H192" s="78">
        <f t="shared" si="7"/>
        <v>11490</v>
      </c>
      <c r="I192" s="78">
        <f t="shared" si="7"/>
        <v>532348</v>
      </c>
      <c r="J192" s="78">
        <f t="shared" si="7"/>
        <v>10716</v>
      </c>
      <c r="K192" s="78">
        <f t="shared" si="7"/>
        <v>17732</v>
      </c>
      <c r="L192" s="78">
        <f t="shared" si="7"/>
        <v>6527336.0068818731</v>
      </c>
      <c r="M192" s="78">
        <f t="shared" si="7"/>
        <v>1674822.0068818741</v>
      </c>
      <c r="N192" s="78">
        <f t="shared" si="7"/>
        <v>4852514</v>
      </c>
      <c r="O192" s="59"/>
      <c r="P192" s="59"/>
    </row>
    <row r="193" spans="3:14" x14ac:dyDescent="0.2">
      <c r="F193" s="63"/>
    </row>
    <row r="194" spans="3:14" x14ac:dyDescent="0.2">
      <c r="C194" s="55"/>
      <c r="D194" s="55"/>
      <c r="E194" s="55"/>
      <c r="F194" s="63"/>
      <c r="G194" s="225"/>
      <c r="H194" s="225"/>
      <c r="I194" s="225"/>
      <c r="J194" s="225"/>
      <c r="K194" s="225"/>
      <c r="L194" s="225"/>
      <c r="M194" s="55"/>
      <c r="N194" s="55"/>
    </row>
    <row r="195" spans="3:14" x14ac:dyDescent="0.2">
      <c r="F195" s="63"/>
    </row>
  </sheetData>
  <mergeCells count="23">
    <mergeCell ref="A185:A186"/>
    <mergeCell ref="J4:J6"/>
    <mergeCell ref="K4:K6"/>
    <mergeCell ref="L4:N4"/>
    <mergeCell ref="D5:D6"/>
    <mergeCell ref="E5:E6"/>
    <mergeCell ref="L5:L6"/>
    <mergeCell ref="M5:N5"/>
    <mergeCell ref="A11:A12"/>
    <mergeCell ref="A51:A52"/>
    <mergeCell ref="A56:A58"/>
    <mergeCell ref="A61:A62"/>
    <mergeCell ref="A129:A130"/>
    <mergeCell ref="A1:N1"/>
    <mergeCell ref="A3:A6"/>
    <mergeCell ref="B3:B6"/>
    <mergeCell ref="C3:C6"/>
    <mergeCell ref="D3:E4"/>
    <mergeCell ref="F3:F6"/>
    <mergeCell ref="G3:N3"/>
    <mergeCell ref="G4:G6"/>
    <mergeCell ref="H4:H6"/>
    <mergeCell ref="I4:I6"/>
  </mergeCells>
  <pageMargins left="0.51181102362204722" right="0.39370078740157483" top="0.39370078740157483" bottom="0.19685039370078741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80"/>
  <sheetViews>
    <sheetView zoomScale="130" zoomScaleNormal="130" workbookViewId="0">
      <pane xSplit="3" ySplit="7" topLeftCell="D167" activePane="bottomRight" state="frozen"/>
      <selection pane="topRight" activeCell="D1" sqref="D1"/>
      <selection pane="bottomLeft" activeCell="A8" sqref="A8"/>
      <selection pane="bottomRight" activeCell="H181" sqref="H181"/>
    </sheetView>
  </sheetViews>
  <sheetFormatPr defaultRowHeight="15" x14ac:dyDescent="0.25"/>
  <cols>
    <col min="1" max="1" width="4.28515625" style="5" customWidth="1"/>
    <col min="2" max="2" width="26.140625" style="7" customWidth="1"/>
    <col min="3" max="3" width="7" style="5" customWidth="1"/>
    <col min="4" max="5" width="7.7109375" style="5" customWidth="1"/>
    <col min="6" max="6" width="5.5703125" style="5" customWidth="1"/>
    <col min="7" max="7" width="8.85546875" style="5" customWidth="1"/>
    <col min="8" max="8" width="10.42578125" style="5" customWidth="1"/>
    <col min="9" max="9" width="9.28515625" style="5" customWidth="1"/>
    <col min="10" max="10" width="6" style="8" customWidth="1"/>
    <col min="11" max="11" width="6.5703125" style="5" customWidth="1"/>
    <col min="12" max="12" width="7" style="5" customWidth="1"/>
    <col min="13" max="13" width="6.85546875" style="5" customWidth="1"/>
    <col min="14" max="14" width="8" style="5" customWidth="1"/>
    <col min="15" max="15" width="6.42578125" style="5" customWidth="1"/>
    <col min="16" max="16" width="8.7109375" style="5" customWidth="1"/>
    <col min="17" max="16384" width="9.140625" style="5"/>
  </cols>
  <sheetData>
    <row r="1" spans="1:16" x14ac:dyDescent="0.25">
      <c r="A1" s="318" t="s">
        <v>87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.75" x14ac:dyDescent="0.25">
      <c r="A2" s="6"/>
      <c r="O2" s="319" t="s">
        <v>88</v>
      </c>
      <c r="P2" s="319"/>
    </row>
    <row r="3" spans="1:16" s="9" customFormat="1" ht="11.25" customHeight="1" x14ac:dyDescent="0.25">
      <c r="A3" s="317" t="s">
        <v>0</v>
      </c>
      <c r="B3" s="317" t="s">
        <v>89</v>
      </c>
      <c r="C3" s="320" t="s">
        <v>90</v>
      </c>
      <c r="D3" s="317" t="s">
        <v>82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s="9" customFormat="1" ht="21" customHeight="1" x14ac:dyDescent="0.25">
      <c r="A4" s="317"/>
      <c r="B4" s="317"/>
      <c r="C4" s="321"/>
      <c r="D4" s="317" t="s">
        <v>91</v>
      </c>
      <c r="E4" s="323" t="s">
        <v>92</v>
      </c>
      <c r="F4" s="324"/>
      <c r="G4" s="320" t="s">
        <v>93</v>
      </c>
      <c r="H4" s="320" t="s">
        <v>94</v>
      </c>
      <c r="I4" s="320" t="s">
        <v>95</v>
      </c>
      <c r="J4" s="317" t="s">
        <v>96</v>
      </c>
      <c r="K4" s="317" t="s">
        <v>82</v>
      </c>
      <c r="L4" s="317"/>
      <c r="M4" s="320" t="s">
        <v>97</v>
      </c>
      <c r="N4" s="320" t="s">
        <v>98</v>
      </c>
      <c r="O4" s="317" t="s">
        <v>99</v>
      </c>
      <c r="P4" s="317"/>
    </row>
    <row r="5" spans="1:16" s="9" customFormat="1" ht="15" customHeight="1" x14ac:dyDescent="0.25">
      <c r="A5" s="317"/>
      <c r="B5" s="317"/>
      <c r="C5" s="321"/>
      <c r="D5" s="317"/>
      <c r="E5" s="320" t="s">
        <v>100</v>
      </c>
      <c r="F5" s="320" t="s">
        <v>101</v>
      </c>
      <c r="G5" s="321"/>
      <c r="H5" s="321"/>
      <c r="I5" s="321"/>
      <c r="J5" s="317"/>
      <c r="K5" s="320" t="s">
        <v>102</v>
      </c>
      <c r="L5" s="320" t="s">
        <v>103</v>
      </c>
      <c r="M5" s="321"/>
      <c r="N5" s="321"/>
      <c r="O5" s="317"/>
      <c r="P5" s="317"/>
    </row>
    <row r="6" spans="1:16" s="9" customFormat="1" ht="32.25" customHeight="1" x14ac:dyDescent="0.25">
      <c r="A6" s="317"/>
      <c r="B6" s="317"/>
      <c r="C6" s="322"/>
      <c r="D6" s="317"/>
      <c r="E6" s="322"/>
      <c r="F6" s="322"/>
      <c r="G6" s="322"/>
      <c r="H6" s="322"/>
      <c r="I6" s="322"/>
      <c r="J6" s="317"/>
      <c r="K6" s="322"/>
      <c r="L6" s="322"/>
      <c r="M6" s="322"/>
      <c r="N6" s="322"/>
      <c r="O6" s="218" t="s">
        <v>104</v>
      </c>
      <c r="P6" s="218" t="s">
        <v>105</v>
      </c>
    </row>
    <row r="7" spans="1:16" s="9" customFormat="1" ht="12.75" customHeight="1" x14ac:dyDescent="0.25">
      <c r="A7" s="218">
        <v>1</v>
      </c>
      <c r="B7" s="218">
        <v>2</v>
      </c>
      <c r="C7" s="218">
        <v>3</v>
      </c>
      <c r="D7" s="218">
        <v>4</v>
      </c>
      <c r="E7" s="218">
        <v>5</v>
      </c>
      <c r="F7" s="218">
        <v>6</v>
      </c>
      <c r="G7" s="218">
        <v>7</v>
      </c>
      <c r="H7" s="218">
        <v>8</v>
      </c>
      <c r="I7" s="218">
        <v>9</v>
      </c>
      <c r="J7" s="218">
        <v>10</v>
      </c>
      <c r="K7" s="218">
        <v>11</v>
      </c>
      <c r="L7" s="218">
        <v>12</v>
      </c>
      <c r="M7" s="218">
        <v>13</v>
      </c>
      <c r="N7" s="218">
        <v>14</v>
      </c>
      <c r="O7" s="218">
        <v>15</v>
      </c>
      <c r="P7" s="218">
        <v>16</v>
      </c>
    </row>
    <row r="8" spans="1:16" s="12" customFormat="1" ht="15" customHeight="1" x14ac:dyDescent="0.2">
      <c r="A8" s="217">
        <v>1</v>
      </c>
      <c r="B8" s="10" t="s">
        <v>1</v>
      </c>
      <c r="C8" s="11">
        <f t="shared" ref="C8:C72" si="0">D8+E8+F8+G8+H8+I8+J8+M8+N8+O8+P8</f>
        <v>154408</v>
      </c>
      <c r="D8" s="11">
        <f>16951+1149</f>
        <v>18100</v>
      </c>
      <c r="E8" s="11">
        <v>10139</v>
      </c>
      <c r="F8" s="11">
        <v>2032</v>
      </c>
      <c r="G8" s="11">
        <v>529</v>
      </c>
      <c r="H8" s="11">
        <v>20224</v>
      </c>
      <c r="I8" s="11">
        <v>14494</v>
      </c>
      <c r="J8" s="11">
        <v>1464</v>
      </c>
      <c r="K8" s="11">
        <v>1025</v>
      </c>
      <c r="L8" s="11">
        <v>439</v>
      </c>
      <c r="M8" s="11"/>
      <c r="N8" s="11"/>
      <c r="O8" s="11">
        <v>7321</v>
      </c>
      <c r="P8" s="11">
        <v>80105</v>
      </c>
    </row>
    <row r="9" spans="1:16" s="12" customFormat="1" ht="16.5" x14ac:dyDescent="0.2">
      <c r="A9" s="217">
        <v>2</v>
      </c>
      <c r="B9" s="10" t="s">
        <v>106</v>
      </c>
      <c r="C9" s="11">
        <f t="shared" si="0"/>
        <v>6000</v>
      </c>
      <c r="D9" s="1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/>
      <c r="M9" s="11"/>
      <c r="N9" s="11">
        <v>6000</v>
      </c>
      <c r="O9" s="11"/>
      <c r="P9" s="11">
        <v>0</v>
      </c>
    </row>
    <row r="10" spans="1:16" s="14" customFormat="1" ht="12" x14ac:dyDescent="0.2">
      <c r="A10" s="217">
        <v>3</v>
      </c>
      <c r="B10" s="13" t="s">
        <v>2</v>
      </c>
      <c r="C10" s="11">
        <f t="shared" si="0"/>
        <v>162886</v>
      </c>
      <c r="D10" s="11">
        <f>14786-883</f>
        <v>13903</v>
      </c>
      <c r="E10" s="11">
        <v>10964</v>
      </c>
      <c r="F10" s="11">
        <v>3065</v>
      </c>
      <c r="G10" s="11">
        <v>193</v>
      </c>
      <c r="H10" s="11">
        <v>20242</v>
      </c>
      <c r="I10" s="11">
        <v>12941</v>
      </c>
      <c r="J10" s="11">
        <v>1464</v>
      </c>
      <c r="K10" s="11">
        <v>1025</v>
      </c>
      <c r="L10" s="11">
        <v>439</v>
      </c>
      <c r="M10" s="11">
        <v>260</v>
      </c>
      <c r="N10" s="11"/>
      <c r="O10" s="11">
        <v>10325</v>
      </c>
      <c r="P10" s="11">
        <v>89529</v>
      </c>
    </row>
    <row r="11" spans="1:16" s="14" customFormat="1" ht="15.75" customHeight="1" x14ac:dyDescent="0.2">
      <c r="A11" s="217">
        <v>4</v>
      </c>
      <c r="B11" s="13" t="s">
        <v>107</v>
      </c>
      <c r="C11" s="11">
        <f t="shared" si="0"/>
        <v>5340</v>
      </c>
      <c r="D11" s="11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/>
      <c r="L11" s="11"/>
      <c r="M11" s="11"/>
      <c r="N11" s="11">
        <v>5340</v>
      </c>
      <c r="O11" s="11"/>
      <c r="P11" s="11">
        <v>0</v>
      </c>
    </row>
    <row r="12" spans="1:16" s="14" customFormat="1" ht="12" x14ac:dyDescent="0.2">
      <c r="A12" s="328">
        <v>5</v>
      </c>
      <c r="B12" s="15" t="s">
        <v>3</v>
      </c>
      <c r="C12" s="11">
        <f t="shared" si="0"/>
        <v>381735</v>
      </c>
      <c r="D12" s="11">
        <f>27670+5692</f>
        <v>33362</v>
      </c>
      <c r="E12" s="11">
        <v>26783</v>
      </c>
      <c r="F12" s="11">
        <v>8202</v>
      </c>
      <c r="G12" s="11">
        <v>128</v>
      </c>
      <c r="H12" s="11">
        <v>57504</v>
      </c>
      <c r="I12" s="11">
        <v>33454</v>
      </c>
      <c r="J12" s="11">
        <v>1464</v>
      </c>
      <c r="K12" s="11">
        <v>1025</v>
      </c>
      <c r="L12" s="11">
        <v>439</v>
      </c>
      <c r="M12" s="11"/>
      <c r="N12" s="11"/>
      <c r="O12" s="11">
        <v>48289</v>
      </c>
      <c r="P12" s="11">
        <v>172549</v>
      </c>
    </row>
    <row r="13" spans="1:16" s="14" customFormat="1" ht="26.25" customHeight="1" x14ac:dyDescent="0.2">
      <c r="A13" s="328"/>
      <c r="B13" s="16" t="s">
        <v>108</v>
      </c>
      <c r="C13" s="11">
        <f t="shared" si="0"/>
        <v>48167</v>
      </c>
      <c r="D13" s="11"/>
      <c r="E13" s="11">
        <v>3515</v>
      </c>
      <c r="F13" s="11">
        <v>1094</v>
      </c>
      <c r="G13" s="11">
        <v>21</v>
      </c>
      <c r="H13" s="11">
        <v>6830</v>
      </c>
      <c r="I13" s="11">
        <v>3052</v>
      </c>
      <c r="J13" s="11">
        <v>0</v>
      </c>
      <c r="K13" s="11"/>
      <c r="L13" s="11"/>
      <c r="M13" s="11"/>
      <c r="N13" s="11"/>
      <c r="O13" s="11">
        <v>7920</v>
      </c>
      <c r="P13" s="11">
        <v>25735</v>
      </c>
    </row>
    <row r="14" spans="1:16" s="14" customFormat="1" ht="12" x14ac:dyDescent="0.2">
      <c r="A14" s="217">
        <v>6</v>
      </c>
      <c r="B14" s="13" t="s">
        <v>4</v>
      </c>
      <c r="C14" s="11">
        <f t="shared" si="0"/>
        <v>115240</v>
      </c>
      <c r="D14" s="11"/>
      <c r="E14" s="11">
        <v>9401</v>
      </c>
      <c r="F14" s="11">
        <v>2741</v>
      </c>
      <c r="G14" s="11">
        <v>204</v>
      </c>
      <c r="H14" s="11">
        <v>14925</v>
      </c>
      <c r="I14" s="11">
        <v>9691</v>
      </c>
      <c r="J14" s="11">
        <v>1464</v>
      </c>
      <c r="K14" s="11">
        <v>1025</v>
      </c>
      <c r="L14" s="11">
        <v>439</v>
      </c>
      <c r="M14" s="11"/>
      <c r="N14" s="11"/>
      <c r="O14" s="11">
        <v>17450</v>
      </c>
      <c r="P14" s="11">
        <v>59364</v>
      </c>
    </row>
    <row r="15" spans="1:16" s="14" customFormat="1" ht="12" x14ac:dyDescent="0.2">
      <c r="A15" s="217">
        <v>7</v>
      </c>
      <c r="B15" s="13" t="s">
        <v>5</v>
      </c>
      <c r="C15" s="11">
        <f t="shared" si="0"/>
        <v>46702</v>
      </c>
      <c r="D15" s="11"/>
      <c r="E15" s="11">
        <v>4289</v>
      </c>
      <c r="F15" s="11">
        <v>1139</v>
      </c>
      <c r="G15" s="11">
        <v>80</v>
      </c>
      <c r="H15" s="11">
        <v>7034</v>
      </c>
      <c r="I15" s="11">
        <v>5329</v>
      </c>
      <c r="J15" s="11">
        <v>0</v>
      </c>
      <c r="K15" s="11"/>
      <c r="L15" s="11"/>
      <c r="M15" s="11"/>
      <c r="N15" s="11"/>
      <c r="O15" s="11">
        <v>9750</v>
      </c>
      <c r="P15" s="11">
        <v>19081</v>
      </c>
    </row>
    <row r="16" spans="1:16" s="14" customFormat="1" ht="12" x14ac:dyDescent="0.2">
      <c r="A16" s="217">
        <v>8</v>
      </c>
      <c r="B16" s="13" t="s">
        <v>6</v>
      </c>
      <c r="C16" s="11">
        <f t="shared" si="0"/>
        <v>51519</v>
      </c>
      <c r="D16" s="11"/>
      <c r="E16" s="11">
        <v>4292</v>
      </c>
      <c r="F16" s="11">
        <v>1051</v>
      </c>
      <c r="G16" s="11">
        <v>120</v>
      </c>
      <c r="H16" s="11">
        <v>7076</v>
      </c>
      <c r="I16" s="11">
        <v>4938</v>
      </c>
      <c r="J16" s="11">
        <v>1464</v>
      </c>
      <c r="K16" s="11">
        <v>1025</v>
      </c>
      <c r="L16" s="11">
        <v>439</v>
      </c>
      <c r="M16" s="11"/>
      <c r="N16" s="11"/>
      <c r="O16" s="11">
        <v>6546</v>
      </c>
      <c r="P16" s="11">
        <v>26032</v>
      </c>
    </row>
    <row r="17" spans="1:16" s="14" customFormat="1" ht="12" x14ac:dyDescent="0.2">
      <c r="A17" s="217">
        <v>9</v>
      </c>
      <c r="B17" s="13" t="s">
        <v>7</v>
      </c>
      <c r="C17" s="11">
        <f t="shared" si="0"/>
        <v>57051</v>
      </c>
      <c r="D17" s="11"/>
      <c r="E17" s="11">
        <v>4846</v>
      </c>
      <c r="F17" s="11">
        <v>1465</v>
      </c>
      <c r="G17" s="11">
        <v>71</v>
      </c>
      <c r="H17" s="11">
        <v>8423</v>
      </c>
      <c r="I17" s="11">
        <v>4574</v>
      </c>
      <c r="J17" s="11">
        <v>0</v>
      </c>
      <c r="K17" s="11"/>
      <c r="L17" s="11"/>
      <c r="M17" s="11"/>
      <c r="N17" s="11"/>
      <c r="O17" s="11">
        <v>8579</v>
      </c>
      <c r="P17" s="11">
        <v>29093</v>
      </c>
    </row>
    <row r="18" spans="1:16" s="14" customFormat="1" ht="12" x14ac:dyDescent="0.2">
      <c r="A18" s="217">
        <v>10</v>
      </c>
      <c r="B18" s="13" t="s">
        <v>8</v>
      </c>
      <c r="C18" s="11">
        <f t="shared" si="0"/>
        <v>57875</v>
      </c>
      <c r="D18" s="11"/>
      <c r="E18" s="11">
        <v>4895</v>
      </c>
      <c r="F18" s="11">
        <v>1316</v>
      </c>
      <c r="G18" s="11">
        <v>67</v>
      </c>
      <c r="H18" s="11">
        <v>8176</v>
      </c>
      <c r="I18" s="11">
        <v>5772</v>
      </c>
      <c r="J18" s="11">
        <v>0</v>
      </c>
      <c r="K18" s="11"/>
      <c r="L18" s="11"/>
      <c r="M18" s="11"/>
      <c r="N18" s="11"/>
      <c r="O18" s="11">
        <v>10032</v>
      </c>
      <c r="P18" s="11">
        <v>27617</v>
      </c>
    </row>
    <row r="19" spans="1:16" s="14" customFormat="1" ht="12" x14ac:dyDescent="0.2">
      <c r="A19" s="217">
        <v>11</v>
      </c>
      <c r="B19" s="15" t="s">
        <v>9</v>
      </c>
      <c r="C19" s="11">
        <f t="shared" si="0"/>
        <v>61045</v>
      </c>
      <c r="D19" s="11"/>
      <c r="E19" s="11">
        <v>4571</v>
      </c>
      <c r="F19" s="11">
        <v>1321</v>
      </c>
      <c r="G19" s="11">
        <v>158</v>
      </c>
      <c r="H19" s="11">
        <v>7996</v>
      </c>
      <c r="I19" s="11">
        <v>5674</v>
      </c>
      <c r="J19" s="11">
        <v>0</v>
      </c>
      <c r="K19" s="11"/>
      <c r="L19" s="11"/>
      <c r="M19" s="11"/>
      <c r="N19" s="11"/>
      <c r="O19" s="11">
        <v>10188</v>
      </c>
      <c r="P19" s="11">
        <v>31137</v>
      </c>
    </row>
    <row r="20" spans="1:16" s="14" customFormat="1" ht="12" x14ac:dyDescent="0.2">
      <c r="A20" s="217">
        <v>12</v>
      </c>
      <c r="B20" s="13" t="s">
        <v>10</v>
      </c>
      <c r="C20" s="11">
        <f t="shared" si="0"/>
        <v>56199</v>
      </c>
      <c r="D20" s="11"/>
      <c r="E20" s="11">
        <v>4768</v>
      </c>
      <c r="F20" s="11">
        <v>1220</v>
      </c>
      <c r="G20" s="11">
        <v>55</v>
      </c>
      <c r="H20" s="11">
        <v>8106</v>
      </c>
      <c r="I20" s="11">
        <v>6770</v>
      </c>
      <c r="J20" s="11">
        <v>1464</v>
      </c>
      <c r="K20" s="11">
        <v>1025</v>
      </c>
      <c r="L20" s="11">
        <v>439</v>
      </c>
      <c r="M20" s="11"/>
      <c r="N20" s="11"/>
      <c r="O20" s="11">
        <v>9847</v>
      </c>
      <c r="P20" s="11">
        <v>23969</v>
      </c>
    </row>
    <row r="21" spans="1:16" s="14" customFormat="1" ht="12" x14ac:dyDescent="0.2">
      <c r="A21" s="217">
        <v>13</v>
      </c>
      <c r="B21" s="15" t="s">
        <v>54</v>
      </c>
      <c r="C21" s="11">
        <f t="shared" si="0"/>
        <v>71231</v>
      </c>
      <c r="D21" s="11"/>
      <c r="E21" s="11">
        <v>5942</v>
      </c>
      <c r="F21" s="11">
        <v>3276</v>
      </c>
      <c r="G21" s="11">
        <v>60</v>
      </c>
      <c r="H21" s="11">
        <v>12752</v>
      </c>
      <c r="I21" s="11">
        <v>5953</v>
      </c>
      <c r="J21" s="11">
        <v>0</v>
      </c>
      <c r="K21" s="11"/>
      <c r="L21" s="11"/>
      <c r="M21" s="11"/>
      <c r="N21" s="11"/>
      <c r="O21" s="11">
        <v>11356</v>
      </c>
      <c r="P21" s="11">
        <v>31892</v>
      </c>
    </row>
    <row r="22" spans="1:16" s="14" customFormat="1" ht="12" x14ac:dyDescent="0.2">
      <c r="A22" s="217">
        <v>14</v>
      </c>
      <c r="B22" s="13" t="s">
        <v>11</v>
      </c>
      <c r="C22" s="11">
        <f t="shared" si="0"/>
        <v>52965</v>
      </c>
      <c r="D22" s="11"/>
      <c r="E22" s="11">
        <v>4690</v>
      </c>
      <c r="F22" s="11">
        <v>1341</v>
      </c>
      <c r="G22" s="11">
        <v>92</v>
      </c>
      <c r="H22" s="11">
        <v>6996</v>
      </c>
      <c r="I22" s="11">
        <v>6291</v>
      </c>
      <c r="J22" s="11">
        <v>0</v>
      </c>
      <c r="K22" s="11"/>
      <c r="L22" s="11"/>
      <c r="M22" s="11"/>
      <c r="N22" s="11"/>
      <c r="O22" s="11">
        <v>7477</v>
      </c>
      <c r="P22" s="11">
        <v>26078</v>
      </c>
    </row>
    <row r="23" spans="1:16" s="14" customFormat="1" ht="12" x14ac:dyDescent="0.2">
      <c r="A23" s="217">
        <v>15</v>
      </c>
      <c r="B23" s="13" t="s">
        <v>109</v>
      </c>
      <c r="C23" s="11">
        <f t="shared" si="0"/>
        <v>0</v>
      </c>
      <c r="D23" s="1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/>
      <c r="N23" s="11">
        <v>0</v>
      </c>
      <c r="O23" s="11"/>
      <c r="P23" s="11">
        <v>0</v>
      </c>
    </row>
    <row r="24" spans="1:16" s="14" customFormat="1" ht="12" x14ac:dyDescent="0.2">
      <c r="A24" s="217">
        <v>16</v>
      </c>
      <c r="B24" s="13" t="s">
        <v>110</v>
      </c>
      <c r="C24" s="11">
        <f t="shared" si="0"/>
        <v>25</v>
      </c>
      <c r="D24" s="1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/>
      <c r="L24" s="11"/>
      <c r="M24" s="11"/>
      <c r="N24" s="11">
        <v>25</v>
      </c>
      <c r="O24" s="11"/>
      <c r="P24" s="11">
        <v>0</v>
      </c>
    </row>
    <row r="25" spans="1:16" s="14" customFormat="1" ht="12" x14ac:dyDescent="0.2">
      <c r="A25" s="217">
        <v>17</v>
      </c>
      <c r="B25" s="13" t="s">
        <v>111</v>
      </c>
      <c r="C25" s="11">
        <f t="shared" si="0"/>
        <v>25</v>
      </c>
      <c r="D25" s="1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/>
      <c r="L25" s="11"/>
      <c r="M25" s="11"/>
      <c r="N25" s="11">
        <v>25</v>
      </c>
      <c r="O25" s="11"/>
      <c r="P25" s="11">
        <v>0</v>
      </c>
    </row>
    <row r="26" spans="1:16" s="14" customFormat="1" ht="12" x14ac:dyDescent="0.2">
      <c r="A26" s="217">
        <v>18</v>
      </c>
      <c r="B26" s="13" t="s">
        <v>112</v>
      </c>
      <c r="C26" s="11">
        <f t="shared" si="0"/>
        <v>0</v>
      </c>
      <c r="D26" s="1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/>
      <c r="L26" s="11"/>
      <c r="M26" s="11"/>
      <c r="N26" s="11">
        <v>0</v>
      </c>
      <c r="O26" s="11"/>
      <c r="P26" s="11">
        <v>0</v>
      </c>
    </row>
    <row r="27" spans="1:16" s="14" customFormat="1" ht="12" x14ac:dyDescent="0.2">
      <c r="A27" s="217">
        <v>19</v>
      </c>
      <c r="B27" s="13" t="s">
        <v>113</v>
      </c>
      <c r="C27" s="11">
        <f t="shared" si="0"/>
        <v>100</v>
      </c>
      <c r="D27" s="1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/>
      <c r="L27" s="11"/>
      <c r="M27" s="11"/>
      <c r="N27" s="11">
        <v>100</v>
      </c>
      <c r="O27" s="11"/>
      <c r="P27" s="11">
        <v>0</v>
      </c>
    </row>
    <row r="28" spans="1:16" s="14" customFormat="1" ht="12" x14ac:dyDescent="0.2">
      <c r="A28" s="217">
        <v>20</v>
      </c>
      <c r="B28" s="13" t="s">
        <v>72</v>
      </c>
      <c r="C28" s="11">
        <f t="shared" si="0"/>
        <v>159804</v>
      </c>
      <c r="D28" s="11">
        <f>16608+178</f>
        <v>16786</v>
      </c>
      <c r="E28" s="11">
        <v>10353</v>
      </c>
      <c r="F28" s="11">
        <v>2472</v>
      </c>
      <c r="G28" s="11">
        <v>264</v>
      </c>
      <c r="H28" s="11">
        <v>19020</v>
      </c>
      <c r="I28" s="11">
        <v>15013</v>
      </c>
      <c r="J28" s="11">
        <v>1464</v>
      </c>
      <c r="K28" s="11">
        <v>1025</v>
      </c>
      <c r="L28" s="11">
        <v>439</v>
      </c>
      <c r="M28" s="11">
        <v>0</v>
      </c>
      <c r="N28" s="11"/>
      <c r="O28" s="11">
        <v>13219</v>
      </c>
      <c r="P28" s="11">
        <v>81213</v>
      </c>
    </row>
    <row r="29" spans="1:16" s="14" customFormat="1" ht="16.5" x14ac:dyDescent="0.2">
      <c r="A29" s="217">
        <v>21</v>
      </c>
      <c r="B29" s="17" t="s">
        <v>114</v>
      </c>
      <c r="C29" s="11">
        <f t="shared" si="0"/>
        <v>9821</v>
      </c>
      <c r="D29" s="1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/>
      <c r="L29" s="11"/>
      <c r="M29" s="11"/>
      <c r="N29" s="11">
        <v>9821</v>
      </c>
      <c r="O29" s="11"/>
      <c r="P29" s="11">
        <v>0</v>
      </c>
    </row>
    <row r="30" spans="1:16" s="14" customFormat="1" ht="12" x14ac:dyDescent="0.2">
      <c r="A30" s="217">
        <v>22</v>
      </c>
      <c r="B30" s="13" t="s">
        <v>12</v>
      </c>
      <c r="C30" s="11">
        <f t="shared" si="0"/>
        <v>136272</v>
      </c>
      <c r="D30" s="11"/>
      <c r="E30" s="11">
        <v>9989</v>
      </c>
      <c r="F30" s="11">
        <v>2461</v>
      </c>
      <c r="G30" s="11">
        <v>127</v>
      </c>
      <c r="H30" s="11">
        <v>15855</v>
      </c>
      <c r="I30" s="11">
        <v>15110</v>
      </c>
      <c r="J30" s="11">
        <v>0</v>
      </c>
      <c r="K30" s="11"/>
      <c r="L30" s="11"/>
      <c r="M30" s="11"/>
      <c r="N30" s="11"/>
      <c r="O30" s="11">
        <v>25083</v>
      </c>
      <c r="P30" s="11">
        <v>67647</v>
      </c>
    </row>
    <row r="31" spans="1:16" s="14" customFormat="1" ht="12" x14ac:dyDescent="0.2">
      <c r="A31" s="217">
        <v>23</v>
      </c>
      <c r="B31" s="13" t="s">
        <v>13</v>
      </c>
      <c r="C31" s="11">
        <f t="shared" si="0"/>
        <v>282484</v>
      </c>
      <c r="D31" s="11">
        <v>24954</v>
      </c>
      <c r="E31" s="11">
        <v>19576</v>
      </c>
      <c r="F31" s="11">
        <v>4203</v>
      </c>
      <c r="G31" s="11">
        <v>740</v>
      </c>
      <c r="H31" s="11">
        <v>35065</v>
      </c>
      <c r="I31" s="11">
        <v>23690</v>
      </c>
      <c r="J31" s="11">
        <v>1464</v>
      </c>
      <c r="K31" s="11">
        <v>1025</v>
      </c>
      <c r="L31" s="11">
        <v>439</v>
      </c>
      <c r="M31" s="11"/>
      <c r="N31" s="11"/>
      <c r="O31" s="11">
        <v>43085</v>
      </c>
      <c r="P31" s="11">
        <v>129707</v>
      </c>
    </row>
    <row r="32" spans="1:16" s="14" customFormat="1" ht="12" x14ac:dyDescent="0.2">
      <c r="A32" s="217">
        <v>24</v>
      </c>
      <c r="B32" s="13" t="s">
        <v>14</v>
      </c>
      <c r="C32" s="11">
        <f t="shared" si="0"/>
        <v>179021</v>
      </c>
      <c r="D32" s="11"/>
      <c r="E32" s="11">
        <v>14489</v>
      </c>
      <c r="F32" s="11">
        <v>6711</v>
      </c>
      <c r="G32" s="11">
        <v>300</v>
      </c>
      <c r="H32" s="11">
        <v>24398</v>
      </c>
      <c r="I32" s="11">
        <v>17439</v>
      </c>
      <c r="J32" s="11">
        <v>1464</v>
      </c>
      <c r="K32" s="11">
        <v>1025</v>
      </c>
      <c r="L32" s="11">
        <v>439</v>
      </c>
      <c r="M32" s="11"/>
      <c r="N32" s="11"/>
      <c r="O32" s="11">
        <v>33600</v>
      </c>
      <c r="P32" s="11">
        <v>80620</v>
      </c>
    </row>
    <row r="33" spans="1:16" s="14" customFormat="1" ht="12" x14ac:dyDescent="0.2">
      <c r="A33" s="217">
        <v>25</v>
      </c>
      <c r="B33" s="13" t="s">
        <v>115</v>
      </c>
      <c r="C33" s="11">
        <f t="shared" si="0"/>
        <v>39889</v>
      </c>
      <c r="D33" s="11"/>
      <c r="E33" s="11">
        <v>2929</v>
      </c>
      <c r="F33" s="11">
        <v>884</v>
      </c>
      <c r="G33" s="11">
        <v>56</v>
      </c>
      <c r="H33" s="11">
        <v>4911</v>
      </c>
      <c r="I33" s="11">
        <v>3355</v>
      </c>
      <c r="J33" s="11">
        <v>0</v>
      </c>
      <c r="K33" s="11"/>
      <c r="L33" s="11"/>
      <c r="M33" s="11"/>
      <c r="N33" s="11"/>
      <c r="O33" s="11">
        <v>11218</v>
      </c>
      <c r="P33" s="11">
        <v>16536</v>
      </c>
    </row>
    <row r="34" spans="1:16" s="14" customFormat="1" ht="12" x14ac:dyDescent="0.2">
      <c r="A34" s="217">
        <v>26</v>
      </c>
      <c r="B34" s="13" t="s">
        <v>15</v>
      </c>
      <c r="C34" s="11">
        <f t="shared" si="0"/>
        <v>69438</v>
      </c>
      <c r="D34" s="11"/>
      <c r="E34" s="11">
        <v>5736</v>
      </c>
      <c r="F34" s="11">
        <v>1568</v>
      </c>
      <c r="G34" s="11">
        <v>130</v>
      </c>
      <c r="H34" s="11">
        <v>9958</v>
      </c>
      <c r="I34" s="11">
        <v>8450</v>
      </c>
      <c r="J34" s="11">
        <v>0</v>
      </c>
      <c r="K34" s="11"/>
      <c r="L34" s="11"/>
      <c r="M34" s="11"/>
      <c r="N34" s="11"/>
      <c r="O34" s="11">
        <v>6863</v>
      </c>
      <c r="P34" s="11">
        <v>36733</v>
      </c>
    </row>
    <row r="35" spans="1:16" s="14" customFormat="1" ht="12" x14ac:dyDescent="0.2">
      <c r="A35" s="217">
        <v>27</v>
      </c>
      <c r="B35" s="13" t="s">
        <v>16</v>
      </c>
      <c r="C35" s="11">
        <f t="shared" si="0"/>
        <v>87613</v>
      </c>
      <c r="D35" s="11"/>
      <c r="E35" s="11">
        <v>7482</v>
      </c>
      <c r="F35" s="11">
        <v>2355</v>
      </c>
      <c r="G35" s="11">
        <v>306</v>
      </c>
      <c r="H35" s="11">
        <v>13167</v>
      </c>
      <c r="I35" s="11">
        <v>12514</v>
      </c>
      <c r="J35" s="11">
        <v>1464</v>
      </c>
      <c r="K35" s="11">
        <v>1025</v>
      </c>
      <c r="L35" s="11">
        <v>439</v>
      </c>
      <c r="M35" s="11"/>
      <c r="N35" s="11"/>
      <c r="O35" s="11">
        <v>12367</v>
      </c>
      <c r="P35" s="11">
        <v>37958</v>
      </c>
    </row>
    <row r="36" spans="1:16" s="14" customFormat="1" ht="12" x14ac:dyDescent="0.2">
      <c r="A36" s="217">
        <v>28</v>
      </c>
      <c r="B36" s="13" t="s">
        <v>17</v>
      </c>
      <c r="C36" s="11">
        <f t="shared" si="0"/>
        <v>36995</v>
      </c>
      <c r="D36" s="11"/>
      <c r="E36" s="11">
        <v>3071</v>
      </c>
      <c r="F36" s="11">
        <v>890</v>
      </c>
      <c r="G36" s="11">
        <v>30</v>
      </c>
      <c r="H36" s="11">
        <v>4953</v>
      </c>
      <c r="I36" s="11">
        <v>5532</v>
      </c>
      <c r="J36" s="11">
        <v>0</v>
      </c>
      <c r="K36" s="11"/>
      <c r="L36" s="11"/>
      <c r="M36" s="11"/>
      <c r="N36" s="11"/>
      <c r="O36" s="11">
        <v>7900</v>
      </c>
      <c r="P36" s="11">
        <v>14619</v>
      </c>
    </row>
    <row r="37" spans="1:16" s="14" customFormat="1" ht="12" x14ac:dyDescent="0.2">
      <c r="A37" s="217">
        <v>29</v>
      </c>
      <c r="B37" s="13" t="s">
        <v>18</v>
      </c>
      <c r="C37" s="11">
        <f t="shared" si="0"/>
        <v>31596</v>
      </c>
      <c r="D37" s="11"/>
      <c r="E37" s="11">
        <v>3044</v>
      </c>
      <c r="F37" s="11">
        <v>891</v>
      </c>
      <c r="G37" s="11">
        <v>209</v>
      </c>
      <c r="H37" s="11">
        <v>5173</v>
      </c>
      <c r="I37" s="11">
        <v>4236</v>
      </c>
      <c r="J37" s="11">
        <v>0</v>
      </c>
      <c r="K37" s="11"/>
      <c r="L37" s="11"/>
      <c r="M37" s="11"/>
      <c r="N37" s="11"/>
      <c r="O37" s="11">
        <v>5254</v>
      </c>
      <c r="P37" s="11">
        <v>12789</v>
      </c>
    </row>
    <row r="38" spans="1:16" s="14" customFormat="1" ht="12" x14ac:dyDescent="0.2">
      <c r="A38" s="217">
        <v>30</v>
      </c>
      <c r="B38" s="13" t="s">
        <v>116</v>
      </c>
      <c r="C38" s="11">
        <f t="shared" si="0"/>
        <v>2</v>
      </c>
      <c r="D38" s="11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/>
      <c r="L38" s="11"/>
      <c r="M38" s="11"/>
      <c r="N38" s="11">
        <v>2</v>
      </c>
      <c r="O38" s="11"/>
      <c r="P38" s="11">
        <v>0</v>
      </c>
    </row>
    <row r="39" spans="1:16" s="14" customFormat="1" ht="12" x14ac:dyDescent="0.2">
      <c r="A39" s="217">
        <v>31</v>
      </c>
      <c r="B39" s="13" t="s">
        <v>117</v>
      </c>
      <c r="C39" s="11">
        <f t="shared" si="0"/>
        <v>127483</v>
      </c>
      <c r="D39" s="11"/>
      <c r="E39" s="11">
        <v>13140</v>
      </c>
      <c r="F39" s="11">
        <v>3879</v>
      </c>
      <c r="G39" s="11">
        <v>0</v>
      </c>
      <c r="H39" s="11">
        <v>27838</v>
      </c>
      <c r="I39" s="11">
        <v>0</v>
      </c>
      <c r="J39" s="11">
        <v>0</v>
      </c>
      <c r="K39" s="11"/>
      <c r="L39" s="11"/>
      <c r="M39" s="11">
        <v>4238</v>
      </c>
      <c r="N39" s="11"/>
      <c r="O39" s="11">
        <v>13097</v>
      </c>
      <c r="P39" s="11">
        <v>65291</v>
      </c>
    </row>
    <row r="40" spans="1:16" s="14" customFormat="1" ht="12" x14ac:dyDescent="0.2">
      <c r="A40" s="217">
        <v>32</v>
      </c>
      <c r="B40" s="13" t="s">
        <v>118</v>
      </c>
      <c r="C40" s="11">
        <f t="shared" si="0"/>
        <v>170146</v>
      </c>
      <c r="D40" s="11">
        <f>34990+1314</f>
        <v>36304</v>
      </c>
      <c r="E40" s="11">
        <v>13837</v>
      </c>
      <c r="F40" s="11">
        <v>4163</v>
      </c>
      <c r="G40" s="11">
        <v>0</v>
      </c>
      <c r="H40" s="11">
        <v>32854</v>
      </c>
      <c r="I40" s="11">
        <v>0</v>
      </c>
      <c r="J40" s="11">
        <v>1464</v>
      </c>
      <c r="K40" s="11">
        <v>1025</v>
      </c>
      <c r="L40" s="11">
        <v>439</v>
      </c>
      <c r="M40" s="11"/>
      <c r="N40" s="11"/>
      <c r="O40" s="11">
        <v>28920</v>
      </c>
      <c r="P40" s="11">
        <v>52604</v>
      </c>
    </row>
    <row r="41" spans="1:16" s="14" customFormat="1" ht="12" x14ac:dyDescent="0.2">
      <c r="A41" s="217">
        <v>33</v>
      </c>
      <c r="B41" s="13" t="s">
        <v>119</v>
      </c>
      <c r="C41" s="11">
        <f t="shared" si="0"/>
        <v>146341</v>
      </c>
      <c r="D41" s="11"/>
      <c r="E41" s="11">
        <v>13584</v>
      </c>
      <c r="F41" s="11">
        <v>3679</v>
      </c>
      <c r="G41" s="11">
        <v>30</v>
      </c>
      <c r="H41" s="11">
        <v>29020</v>
      </c>
      <c r="I41" s="11">
        <v>7724</v>
      </c>
      <c r="J41" s="11">
        <v>1464</v>
      </c>
      <c r="K41" s="11">
        <v>1025</v>
      </c>
      <c r="L41" s="11">
        <v>439</v>
      </c>
      <c r="M41" s="11">
        <v>0</v>
      </c>
      <c r="N41" s="11"/>
      <c r="O41" s="11">
        <v>19000</v>
      </c>
      <c r="P41" s="11">
        <v>71840</v>
      </c>
    </row>
    <row r="42" spans="1:16" s="14" customFormat="1" ht="12" x14ac:dyDescent="0.2">
      <c r="A42" s="328">
        <v>34</v>
      </c>
      <c r="B42" s="13" t="s">
        <v>120</v>
      </c>
      <c r="C42" s="11">
        <f t="shared" si="0"/>
        <v>83042</v>
      </c>
      <c r="D42" s="11"/>
      <c r="E42" s="11">
        <v>5534</v>
      </c>
      <c r="F42" s="11">
        <v>1708</v>
      </c>
      <c r="G42" s="11">
        <v>4</v>
      </c>
      <c r="H42" s="11">
        <v>12612</v>
      </c>
      <c r="I42" s="11">
        <v>7505</v>
      </c>
      <c r="J42" s="11">
        <v>0</v>
      </c>
      <c r="K42" s="11"/>
      <c r="L42" s="11"/>
      <c r="M42" s="11">
        <v>4046</v>
      </c>
      <c r="N42" s="11"/>
      <c r="O42" s="11">
        <v>10825</v>
      </c>
      <c r="P42" s="11">
        <v>40808</v>
      </c>
    </row>
    <row r="43" spans="1:16" s="14" customFormat="1" ht="24.75" x14ac:dyDescent="0.2">
      <c r="A43" s="328"/>
      <c r="B43" s="16" t="s">
        <v>121</v>
      </c>
      <c r="C43" s="11">
        <f t="shared" si="0"/>
        <v>102385</v>
      </c>
      <c r="D43" s="11"/>
      <c r="E43" s="11">
        <v>7567</v>
      </c>
      <c r="F43" s="11">
        <v>2496</v>
      </c>
      <c r="G43" s="11">
        <v>60</v>
      </c>
      <c r="H43" s="11">
        <v>14464</v>
      </c>
      <c r="I43" s="11">
        <v>9245</v>
      </c>
      <c r="J43" s="11">
        <v>1464</v>
      </c>
      <c r="K43" s="11">
        <v>1025</v>
      </c>
      <c r="L43" s="11">
        <v>439</v>
      </c>
      <c r="M43" s="11"/>
      <c r="N43" s="11"/>
      <c r="O43" s="11">
        <v>11055</v>
      </c>
      <c r="P43" s="11">
        <v>56034</v>
      </c>
    </row>
    <row r="44" spans="1:16" s="14" customFormat="1" ht="16.5" x14ac:dyDescent="0.2">
      <c r="A44" s="217">
        <v>35</v>
      </c>
      <c r="B44" s="13" t="s">
        <v>122</v>
      </c>
      <c r="C44" s="11">
        <f t="shared" si="0"/>
        <v>1600</v>
      </c>
      <c r="D44" s="11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/>
      <c r="L44" s="11"/>
      <c r="M44" s="11">
        <v>1600</v>
      </c>
      <c r="N44" s="11"/>
      <c r="O44" s="11"/>
      <c r="P44" s="11">
        <v>0</v>
      </c>
    </row>
    <row r="45" spans="1:16" s="14" customFormat="1" ht="12" x14ac:dyDescent="0.2">
      <c r="A45" s="217">
        <v>36</v>
      </c>
      <c r="B45" s="13" t="s">
        <v>123</v>
      </c>
      <c r="C45" s="11">
        <f t="shared" si="0"/>
        <v>144267</v>
      </c>
      <c r="D45" s="11">
        <f>10520+602</f>
        <v>11122</v>
      </c>
      <c r="E45" s="11">
        <v>0</v>
      </c>
      <c r="F45" s="11">
        <v>0</v>
      </c>
      <c r="G45" s="11">
        <v>325</v>
      </c>
      <c r="H45" s="11">
        <v>0</v>
      </c>
      <c r="I45" s="11">
        <v>55100</v>
      </c>
      <c r="J45" s="11">
        <v>0</v>
      </c>
      <c r="K45" s="11"/>
      <c r="L45" s="11"/>
      <c r="M45" s="11">
        <v>2430</v>
      </c>
      <c r="N45" s="11"/>
      <c r="O45" s="11">
        <v>3609</v>
      </c>
      <c r="P45" s="11">
        <v>71681</v>
      </c>
    </row>
    <row r="46" spans="1:16" s="14" customFormat="1" ht="16.5" x14ac:dyDescent="0.2">
      <c r="A46" s="217">
        <v>37</v>
      </c>
      <c r="B46" s="13" t="s">
        <v>124</v>
      </c>
      <c r="C46" s="11">
        <f t="shared" si="0"/>
        <v>11500</v>
      </c>
      <c r="D46" s="11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/>
      <c r="L46" s="11"/>
      <c r="M46" s="11"/>
      <c r="N46" s="11">
        <v>11500</v>
      </c>
      <c r="O46" s="11"/>
      <c r="P46" s="11">
        <v>0</v>
      </c>
    </row>
    <row r="47" spans="1:16" s="14" customFormat="1" ht="12" x14ac:dyDescent="0.2">
      <c r="A47" s="217">
        <v>38</v>
      </c>
      <c r="B47" s="13" t="s">
        <v>125</v>
      </c>
      <c r="C47" s="11">
        <f t="shared" si="0"/>
        <v>10266</v>
      </c>
      <c r="D47" s="11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/>
      <c r="L47" s="11"/>
      <c r="M47" s="11"/>
      <c r="N47" s="11">
        <v>10266</v>
      </c>
      <c r="O47" s="11">
        <v>0</v>
      </c>
      <c r="P47" s="11">
        <v>0</v>
      </c>
    </row>
    <row r="48" spans="1:16" s="14" customFormat="1" ht="12" x14ac:dyDescent="0.2">
      <c r="A48" s="325">
        <v>39</v>
      </c>
      <c r="B48" s="13" t="s">
        <v>73</v>
      </c>
      <c r="C48" s="11">
        <f t="shared" si="0"/>
        <v>250236</v>
      </c>
      <c r="D48" s="11">
        <f>24366-1449</f>
        <v>22917</v>
      </c>
      <c r="E48" s="11">
        <v>26907</v>
      </c>
      <c r="F48" s="11">
        <v>7156</v>
      </c>
      <c r="G48" s="11">
        <v>0</v>
      </c>
      <c r="H48" s="11">
        <v>56557</v>
      </c>
      <c r="I48" s="11">
        <v>0</v>
      </c>
      <c r="J48" s="11">
        <v>1464</v>
      </c>
      <c r="K48" s="11">
        <v>1025</v>
      </c>
      <c r="L48" s="11">
        <v>439</v>
      </c>
      <c r="M48" s="11"/>
      <c r="N48" s="11"/>
      <c r="O48" s="11">
        <f>16500+11000-11000</f>
        <v>16500</v>
      </c>
      <c r="P48" s="11">
        <v>118735</v>
      </c>
    </row>
    <row r="49" spans="1:16" s="14" customFormat="1" ht="30.75" customHeight="1" x14ac:dyDescent="0.2">
      <c r="A49" s="326"/>
      <c r="B49" s="16" t="s">
        <v>126</v>
      </c>
      <c r="C49" s="11">
        <f t="shared" si="0"/>
        <v>62589</v>
      </c>
      <c r="D49" s="11"/>
      <c r="E49" s="11">
        <v>0</v>
      </c>
      <c r="F49" s="11">
        <v>0</v>
      </c>
      <c r="G49" s="11">
        <v>231</v>
      </c>
      <c r="H49" s="11">
        <v>0</v>
      </c>
      <c r="I49" s="11">
        <v>28421</v>
      </c>
      <c r="J49" s="11">
        <v>0</v>
      </c>
      <c r="K49" s="11"/>
      <c r="L49" s="11"/>
      <c r="M49" s="11"/>
      <c r="N49" s="11"/>
      <c r="O49" s="11">
        <v>8093</v>
      </c>
      <c r="P49" s="11">
        <v>25844</v>
      </c>
    </row>
    <row r="50" spans="1:16" s="14" customFormat="1" ht="18.75" customHeight="1" x14ac:dyDescent="0.2">
      <c r="A50" s="327"/>
      <c r="B50" s="16" t="s">
        <v>456</v>
      </c>
      <c r="C50" s="11">
        <f t="shared" si="0"/>
        <v>11000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11000</v>
      </c>
      <c r="P50" s="11"/>
    </row>
    <row r="51" spans="1:16" s="18" customFormat="1" ht="22.5" customHeight="1" x14ac:dyDescent="0.2">
      <c r="A51" s="217">
        <v>40</v>
      </c>
      <c r="B51" s="13" t="s">
        <v>127</v>
      </c>
      <c r="C51" s="11">
        <f t="shared" si="0"/>
        <v>16800</v>
      </c>
      <c r="D51" s="11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/>
      <c r="L51" s="11"/>
      <c r="M51" s="11"/>
      <c r="N51" s="11">
        <v>16800</v>
      </c>
      <c r="O51" s="11"/>
      <c r="P51" s="11">
        <v>0</v>
      </c>
    </row>
    <row r="52" spans="1:16" s="14" customFormat="1" ht="15" customHeight="1" x14ac:dyDescent="0.2">
      <c r="A52" s="217">
        <v>41</v>
      </c>
      <c r="B52" s="13" t="s">
        <v>128</v>
      </c>
      <c r="C52" s="11">
        <f t="shared" si="0"/>
        <v>11900</v>
      </c>
      <c r="D52" s="11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  <c r="L52" s="11"/>
      <c r="M52" s="11"/>
      <c r="N52" s="11">
        <v>11900</v>
      </c>
      <c r="O52" s="11"/>
      <c r="P52" s="11">
        <v>0</v>
      </c>
    </row>
    <row r="53" spans="1:16" s="14" customFormat="1" ht="12" x14ac:dyDescent="0.2">
      <c r="A53" s="328">
        <v>42</v>
      </c>
      <c r="B53" s="13" t="s">
        <v>74</v>
      </c>
      <c r="C53" s="11">
        <f t="shared" si="0"/>
        <v>175832</v>
      </c>
      <c r="D53" s="11">
        <f>14260+4016</f>
        <v>18276</v>
      </c>
      <c r="E53" s="11">
        <v>13205</v>
      </c>
      <c r="F53" s="11">
        <v>2983</v>
      </c>
      <c r="G53" s="11">
        <v>236</v>
      </c>
      <c r="H53" s="11">
        <v>21968</v>
      </c>
      <c r="I53" s="11">
        <v>13179</v>
      </c>
      <c r="J53" s="11">
        <v>1464</v>
      </c>
      <c r="K53" s="11">
        <v>1025</v>
      </c>
      <c r="L53" s="11">
        <v>439</v>
      </c>
      <c r="M53" s="11"/>
      <c r="N53" s="11"/>
      <c r="O53" s="11">
        <v>25080</v>
      </c>
      <c r="P53" s="11">
        <v>79441</v>
      </c>
    </row>
    <row r="54" spans="1:16" s="14" customFormat="1" ht="29.25" customHeight="1" x14ac:dyDescent="0.2">
      <c r="A54" s="328"/>
      <c r="B54" s="16" t="s">
        <v>129</v>
      </c>
      <c r="C54" s="11">
        <f t="shared" si="0"/>
        <v>60867</v>
      </c>
      <c r="D54" s="11"/>
      <c r="E54" s="11">
        <v>4546</v>
      </c>
      <c r="F54" s="11">
        <v>1336</v>
      </c>
      <c r="G54" s="11">
        <v>112</v>
      </c>
      <c r="H54" s="11">
        <v>7822</v>
      </c>
      <c r="I54" s="11">
        <v>5072</v>
      </c>
      <c r="J54" s="11">
        <v>0</v>
      </c>
      <c r="K54" s="11"/>
      <c r="L54" s="11"/>
      <c r="M54" s="11"/>
      <c r="N54" s="11"/>
      <c r="O54" s="11">
        <v>6835</v>
      </c>
      <c r="P54" s="11">
        <v>35144</v>
      </c>
    </row>
    <row r="55" spans="1:16" s="14" customFormat="1" ht="12" x14ac:dyDescent="0.2">
      <c r="A55" s="217">
        <v>43</v>
      </c>
      <c r="B55" s="13" t="s">
        <v>19</v>
      </c>
      <c r="C55" s="11">
        <f t="shared" si="0"/>
        <v>224091</v>
      </c>
      <c r="D55" s="11">
        <f>8695-1566</f>
        <v>7129</v>
      </c>
      <c r="E55" s="11">
        <v>17787</v>
      </c>
      <c r="F55" s="11">
        <v>4767</v>
      </c>
      <c r="G55" s="11">
        <v>347</v>
      </c>
      <c r="H55" s="11">
        <v>28899</v>
      </c>
      <c r="I55" s="11">
        <v>18666</v>
      </c>
      <c r="J55" s="11">
        <v>0</v>
      </c>
      <c r="K55" s="11"/>
      <c r="L55" s="11"/>
      <c r="M55" s="11"/>
      <c r="N55" s="11"/>
      <c r="O55" s="11">
        <v>39139</v>
      </c>
      <c r="P55" s="11">
        <v>107357</v>
      </c>
    </row>
    <row r="56" spans="1:16" s="14" customFormat="1" ht="12" x14ac:dyDescent="0.2">
      <c r="A56" s="217">
        <v>44</v>
      </c>
      <c r="B56" s="13" t="s">
        <v>20</v>
      </c>
      <c r="C56" s="11">
        <f t="shared" si="0"/>
        <v>215012</v>
      </c>
      <c r="D56" s="11"/>
      <c r="E56" s="11">
        <v>17441</v>
      </c>
      <c r="F56" s="11">
        <v>4435</v>
      </c>
      <c r="G56" s="11">
        <v>373</v>
      </c>
      <c r="H56" s="11">
        <v>33148</v>
      </c>
      <c r="I56" s="11">
        <v>19115</v>
      </c>
      <c r="J56" s="11">
        <v>1464</v>
      </c>
      <c r="K56" s="11">
        <v>1025</v>
      </c>
      <c r="L56" s="11">
        <v>439</v>
      </c>
      <c r="M56" s="11"/>
      <c r="N56" s="11"/>
      <c r="O56" s="11">
        <v>28122</v>
      </c>
      <c r="P56" s="11">
        <v>110914</v>
      </c>
    </row>
    <row r="57" spans="1:16" s="14" customFormat="1" ht="12" x14ac:dyDescent="0.2">
      <c r="A57" s="217">
        <v>45</v>
      </c>
      <c r="B57" s="13" t="s">
        <v>21</v>
      </c>
      <c r="C57" s="11">
        <f t="shared" si="0"/>
        <v>60584</v>
      </c>
      <c r="D57" s="11"/>
      <c r="E57" s="11">
        <v>5426</v>
      </c>
      <c r="F57" s="11">
        <v>1395</v>
      </c>
      <c r="G57" s="11">
        <v>25</v>
      </c>
      <c r="H57" s="11">
        <v>8969</v>
      </c>
      <c r="I57" s="11">
        <v>7823</v>
      </c>
      <c r="J57" s="11">
        <v>0</v>
      </c>
      <c r="K57" s="11"/>
      <c r="L57" s="11"/>
      <c r="M57" s="11"/>
      <c r="N57" s="11"/>
      <c r="O57" s="11">
        <v>11492</v>
      </c>
      <c r="P57" s="11">
        <v>25454</v>
      </c>
    </row>
    <row r="58" spans="1:16" s="14" customFormat="1" ht="12" x14ac:dyDescent="0.2">
      <c r="A58" s="217">
        <v>46</v>
      </c>
      <c r="B58" s="13" t="s">
        <v>22</v>
      </c>
      <c r="C58" s="11">
        <f t="shared" si="0"/>
        <v>78778</v>
      </c>
      <c r="D58" s="11"/>
      <c r="E58" s="11">
        <v>5419</v>
      </c>
      <c r="F58" s="11">
        <v>1109</v>
      </c>
      <c r="G58" s="11">
        <v>90</v>
      </c>
      <c r="H58" s="11">
        <v>10746</v>
      </c>
      <c r="I58" s="11">
        <v>8167</v>
      </c>
      <c r="J58" s="11">
        <v>0</v>
      </c>
      <c r="K58" s="11"/>
      <c r="L58" s="11"/>
      <c r="M58" s="11"/>
      <c r="N58" s="11"/>
      <c r="O58" s="11">
        <v>10077</v>
      </c>
      <c r="P58" s="11">
        <v>43170</v>
      </c>
    </row>
    <row r="59" spans="1:16" s="18" customFormat="1" ht="14.25" customHeight="1" x14ac:dyDescent="0.2">
      <c r="A59" s="217">
        <v>47</v>
      </c>
      <c r="B59" s="13" t="s">
        <v>23</v>
      </c>
      <c r="C59" s="11">
        <f t="shared" si="0"/>
        <v>70792</v>
      </c>
      <c r="D59" s="11"/>
      <c r="E59" s="11">
        <v>5945</v>
      </c>
      <c r="F59" s="11">
        <v>1201</v>
      </c>
      <c r="G59" s="11">
        <v>53</v>
      </c>
      <c r="H59" s="11">
        <v>9594</v>
      </c>
      <c r="I59" s="11">
        <v>6799</v>
      </c>
      <c r="J59" s="11">
        <v>0</v>
      </c>
      <c r="K59" s="11"/>
      <c r="L59" s="11"/>
      <c r="M59" s="11"/>
      <c r="N59" s="11"/>
      <c r="O59" s="11">
        <v>9008</v>
      </c>
      <c r="P59" s="11">
        <v>38192</v>
      </c>
    </row>
    <row r="60" spans="1:16" s="14" customFormat="1" ht="12" x14ac:dyDescent="0.2">
      <c r="A60" s="217">
        <v>48</v>
      </c>
      <c r="B60" s="13" t="s">
        <v>24</v>
      </c>
      <c r="C60" s="11">
        <f t="shared" si="0"/>
        <v>46223</v>
      </c>
      <c r="D60" s="11"/>
      <c r="E60" s="11">
        <v>4405</v>
      </c>
      <c r="F60" s="11">
        <v>1122</v>
      </c>
      <c r="G60" s="11">
        <v>184</v>
      </c>
      <c r="H60" s="11">
        <v>6763</v>
      </c>
      <c r="I60" s="11">
        <v>4989</v>
      </c>
      <c r="J60" s="11">
        <v>0</v>
      </c>
      <c r="K60" s="11"/>
      <c r="L60" s="11"/>
      <c r="M60" s="11"/>
      <c r="N60" s="11"/>
      <c r="O60" s="11">
        <v>5707</v>
      </c>
      <c r="P60" s="11">
        <v>23053</v>
      </c>
    </row>
    <row r="61" spans="1:16" s="14" customFormat="1" ht="12" x14ac:dyDescent="0.2">
      <c r="A61" s="217">
        <v>49</v>
      </c>
      <c r="B61" s="13" t="s">
        <v>25</v>
      </c>
      <c r="C61" s="11">
        <f t="shared" si="0"/>
        <v>85085</v>
      </c>
      <c r="D61" s="11"/>
      <c r="E61" s="11">
        <v>7260</v>
      </c>
      <c r="F61" s="11">
        <v>1993</v>
      </c>
      <c r="G61" s="11">
        <v>118</v>
      </c>
      <c r="H61" s="11">
        <v>11334</v>
      </c>
      <c r="I61" s="11">
        <v>6547</v>
      </c>
      <c r="J61" s="11">
        <v>0</v>
      </c>
      <c r="K61" s="11"/>
      <c r="L61" s="11"/>
      <c r="M61" s="11"/>
      <c r="N61" s="11"/>
      <c r="O61" s="11">
        <v>7165</v>
      </c>
      <c r="P61" s="11">
        <v>50668</v>
      </c>
    </row>
    <row r="62" spans="1:16" s="18" customFormat="1" ht="14.25" customHeight="1" x14ac:dyDescent="0.2">
      <c r="A62" s="217">
        <v>50</v>
      </c>
      <c r="B62" s="13" t="s">
        <v>26</v>
      </c>
      <c r="C62" s="11">
        <f t="shared" si="0"/>
        <v>38800</v>
      </c>
      <c r="D62" s="11"/>
      <c r="E62" s="11">
        <v>3518</v>
      </c>
      <c r="F62" s="11">
        <v>821</v>
      </c>
      <c r="G62" s="11">
        <v>71</v>
      </c>
      <c r="H62" s="11">
        <v>5233</v>
      </c>
      <c r="I62" s="11">
        <v>3387</v>
      </c>
      <c r="J62" s="11">
        <v>0</v>
      </c>
      <c r="K62" s="11"/>
      <c r="L62" s="11"/>
      <c r="M62" s="11"/>
      <c r="N62" s="11"/>
      <c r="O62" s="11">
        <v>5988</v>
      </c>
      <c r="P62" s="11">
        <v>19782</v>
      </c>
    </row>
    <row r="63" spans="1:16" s="14" customFormat="1" ht="17.25" customHeight="1" x14ac:dyDescent="0.2">
      <c r="A63" s="217">
        <v>51</v>
      </c>
      <c r="B63" s="13" t="s">
        <v>130</v>
      </c>
      <c r="C63" s="11">
        <f t="shared" si="0"/>
        <v>17936</v>
      </c>
      <c r="D63" s="11"/>
      <c r="E63" s="11">
        <v>2189</v>
      </c>
      <c r="F63" s="11">
        <v>515</v>
      </c>
      <c r="G63" s="11">
        <v>0</v>
      </c>
      <c r="H63" s="11">
        <v>4317</v>
      </c>
      <c r="I63" s="11">
        <v>0</v>
      </c>
      <c r="J63" s="11">
        <v>0</v>
      </c>
      <c r="K63" s="11"/>
      <c r="L63" s="11"/>
      <c r="M63" s="11"/>
      <c r="N63" s="11"/>
      <c r="O63" s="11">
        <v>839</v>
      </c>
      <c r="P63" s="11">
        <v>10076</v>
      </c>
    </row>
    <row r="64" spans="1:16" s="14" customFormat="1" ht="12" x14ac:dyDescent="0.2">
      <c r="A64" s="217">
        <v>52</v>
      </c>
      <c r="B64" s="13" t="s">
        <v>57</v>
      </c>
      <c r="C64" s="11">
        <f t="shared" si="0"/>
        <v>11000</v>
      </c>
      <c r="D64" s="11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/>
      <c r="L64" s="11"/>
      <c r="M64" s="11"/>
      <c r="N64" s="11">
        <f>22000-11000</f>
        <v>11000</v>
      </c>
      <c r="O64" s="11"/>
      <c r="P64" s="11">
        <v>0</v>
      </c>
    </row>
    <row r="65" spans="1:16" s="14" customFormat="1" ht="12" x14ac:dyDescent="0.2">
      <c r="A65" s="217">
        <v>53</v>
      </c>
      <c r="B65" s="13" t="s">
        <v>131</v>
      </c>
      <c r="C65" s="11">
        <f t="shared" si="0"/>
        <v>31724</v>
      </c>
      <c r="D65" s="11"/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/>
      <c r="L65" s="11"/>
      <c r="M65" s="11"/>
      <c r="N65" s="11"/>
      <c r="O65" s="11">
        <v>4600</v>
      </c>
      <c r="P65" s="11">
        <v>27124</v>
      </c>
    </row>
    <row r="66" spans="1:16" s="14" customFormat="1" ht="12" x14ac:dyDescent="0.2">
      <c r="A66" s="217">
        <v>54</v>
      </c>
      <c r="B66" s="10" t="s">
        <v>27</v>
      </c>
      <c r="C66" s="11">
        <f t="shared" si="0"/>
        <v>332378</v>
      </c>
      <c r="D66" s="11">
        <f>5281-316</f>
        <v>4965</v>
      </c>
      <c r="E66" s="11">
        <v>25389</v>
      </c>
      <c r="F66" s="11">
        <v>7380</v>
      </c>
      <c r="G66" s="11">
        <v>676</v>
      </c>
      <c r="H66" s="11">
        <v>54281</v>
      </c>
      <c r="I66" s="11">
        <v>30926</v>
      </c>
      <c r="J66" s="11">
        <v>1464</v>
      </c>
      <c r="K66" s="11">
        <v>1025</v>
      </c>
      <c r="L66" s="11">
        <v>439</v>
      </c>
      <c r="M66" s="11">
        <v>398</v>
      </c>
      <c r="N66" s="11"/>
      <c r="O66" s="11">
        <v>56995</v>
      </c>
      <c r="P66" s="11">
        <v>149904</v>
      </c>
    </row>
    <row r="67" spans="1:16" s="14" customFormat="1" ht="12" x14ac:dyDescent="0.2">
      <c r="A67" s="217">
        <v>55</v>
      </c>
      <c r="B67" s="13" t="s">
        <v>28</v>
      </c>
      <c r="C67" s="11">
        <f t="shared" si="0"/>
        <v>238257</v>
      </c>
      <c r="D67" s="11"/>
      <c r="E67" s="11">
        <v>18307</v>
      </c>
      <c r="F67" s="11">
        <v>3858</v>
      </c>
      <c r="G67" s="11">
        <v>154</v>
      </c>
      <c r="H67" s="11">
        <v>33246</v>
      </c>
      <c r="I67" s="11">
        <v>19717</v>
      </c>
      <c r="J67" s="11">
        <v>1464</v>
      </c>
      <c r="K67" s="11">
        <v>1025</v>
      </c>
      <c r="L67" s="11">
        <v>439</v>
      </c>
      <c r="M67" s="11"/>
      <c r="N67" s="11"/>
      <c r="O67" s="11">
        <v>29409</v>
      </c>
      <c r="P67" s="11">
        <v>132102</v>
      </c>
    </row>
    <row r="68" spans="1:16" s="14" customFormat="1" ht="12" x14ac:dyDescent="0.2">
      <c r="A68" s="217">
        <v>56</v>
      </c>
      <c r="B68" s="10" t="s">
        <v>132</v>
      </c>
      <c r="C68" s="11">
        <f t="shared" si="0"/>
        <v>302146</v>
      </c>
      <c r="D68" s="11">
        <v>38967</v>
      </c>
      <c r="E68" s="11">
        <v>19722</v>
      </c>
      <c r="F68" s="11">
        <v>5846</v>
      </c>
      <c r="G68" s="11">
        <v>319</v>
      </c>
      <c r="H68" s="11">
        <v>44776</v>
      </c>
      <c r="I68" s="11">
        <v>24574</v>
      </c>
      <c r="J68" s="11">
        <v>1464</v>
      </c>
      <c r="K68" s="11">
        <v>1025</v>
      </c>
      <c r="L68" s="11">
        <v>439</v>
      </c>
      <c r="M68" s="11">
        <v>1892</v>
      </c>
      <c r="N68" s="11"/>
      <c r="O68" s="11">
        <v>31209</v>
      </c>
      <c r="P68" s="11">
        <v>133377</v>
      </c>
    </row>
    <row r="69" spans="1:16" s="14" customFormat="1" ht="16.5" x14ac:dyDescent="0.2">
      <c r="A69" s="217">
        <v>57</v>
      </c>
      <c r="B69" s="10" t="s">
        <v>133</v>
      </c>
      <c r="C69" s="11">
        <f t="shared" si="0"/>
        <v>11200</v>
      </c>
      <c r="D69" s="11"/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/>
      <c r="L69" s="11"/>
      <c r="M69" s="11"/>
      <c r="N69" s="11">
        <v>11200</v>
      </c>
      <c r="O69" s="11"/>
      <c r="P69" s="11">
        <v>0</v>
      </c>
    </row>
    <row r="70" spans="1:16" s="14" customFormat="1" ht="12" x14ac:dyDescent="0.2">
      <c r="A70" s="217">
        <v>58</v>
      </c>
      <c r="B70" s="13" t="s">
        <v>29</v>
      </c>
      <c r="C70" s="11">
        <f t="shared" si="0"/>
        <v>102212</v>
      </c>
      <c r="D70" s="11"/>
      <c r="E70" s="11">
        <v>7864</v>
      </c>
      <c r="F70" s="11">
        <v>2149</v>
      </c>
      <c r="G70" s="11">
        <v>176</v>
      </c>
      <c r="H70" s="11">
        <v>13330</v>
      </c>
      <c r="I70" s="11">
        <v>8582</v>
      </c>
      <c r="J70" s="11">
        <v>1464</v>
      </c>
      <c r="K70" s="11">
        <v>1025</v>
      </c>
      <c r="L70" s="11">
        <v>439</v>
      </c>
      <c r="M70" s="11"/>
      <c r="N70" s="11"/>
      <c r="O70" s="11">
        <v>12454</v>
      </c>
      <c r="P70" s="11">
        <v>56193</v>
      </c>
    </row>
    <row r="71" spans="1:16" s="14" customFormat="1" ht="12" x14ac:dyDescent="0.2">
      <c r="A71" s="217">
        <v>59</v>
      </c>
      <c r="B71" s="10" t="s">
        <v>30</v>
      </c>
      <c r="C71" s="11">
        <f t="shared" si="0"/>
        <v>68573</v>
      </c>
      <c r="D71" s="11"/>
      <c r="E71" s="11">
        <v>5916</v>
      </c>
      <c r="F71" s="11">
        <v>1758</v>
      </c>
      <c r="G71" s="11">
        <v>125</v>
      </c>
      <c r="H71" s="11">
        <v>9478</v>
      </c>
      <c r="I71" s="11">
        <v>5529</v>
      </c>
      <c r="J71" s="11">
        <v>0</v>
      </c>
      <c r="K71" s="11"/>
      <c r="L71" s="11"/>
      <c r="M71" s="11"/>
      <c r="N71" s="11"/>
      <c r="O71" s="11">
        <v>7845</v>
      </c>
      <c r="P71" s="11">
        <v>37922</v>
      </c>
    </row>
    <row r="72" spans="1:16" s="14" customFormat="1" ht="12" x14ac:dyDescent="0.2">
      <c r="A72" s="217">
        <v>60</v>
      </c>
      <c r="B72" s="13" t="s">
        <v>31</v>
      </c>
      <c r="C72" s="11">
        <f t="shared" si="0"/>
        <v>51765</v>
      </c>
      <c r="D72" s="11"/>
      <c r="E72" s="11">
        <v>4950</v>
      </c>
      <c r="F72" s="11">
        <v>1135</v>
      </c>
      <c r="G72" s="11">
        <v>195</v>
      </c>
      <c r="H72" s="11">
        <v>7299</v>
      </c>
      <c r="I72" s="11">
        <v>5438</v>
      </c>
      <c r="J72" s="11">
        <v>0</v>
      </c>
      <c r="K72" s="11"/>
      <c r="L72" s="11"/>
      <c r="M72" s="11"/>
      <c r="N72" s="11"/>
      <c r="O72" s="11">
        <v>8128</v>
      </c>
      <c r="P72" s="11">
        <v>24620</v>
      </c>
    </row>
    <row r="73" spans="1:16" s="14" customFormat="1" ht="12" x14ac:dyDescent="0.2">
      <c r="A73" s="217">
        <v>61</v>
      </c>
      <c r="B73" s="10" t="s">
        <v>32</v>
      </c>
      <c r="C73" s="11">
        <f t="shared" ref="C73:C136" si="1">D73+E73+F73+G73+H73+I73+J73+M73+N73+O73+P73</f>
        <v>75176</v>
      </c>
      <c r="D73" s="11"/>
      <c r="E73" s="11">
        <v>6226</v>
      </c>
      <c r="F73" s="11">
        <v>1848</v>
      </c>
      <c r="G73" s="11">
        <v>124</v>
      </c>
      <c r="H73" s="11">
        <v>6690</v>
      </c>
      <c r="I73" s="11">
        <v>6749</v>
      </c>
      <c r="J73" s="11">
        <v>0</v>
      </c>
      <c r="K73" s="11"/>
      <c r="L73" s="11"/>
      <c r="M73" s="11"/>
      <c r="N73" s="11"/>
      <c r="O73" s="11">
        <v>15306</v>
      </c>
      <c r="P73" s="11">
        <v>38233</v>
      </c>
    </row>
    <row r="74" spans="1:16" s="14" customFormat="1" ht="12" x14ac:dyDescent="0.2">
      <c r="A74" s="217">
        <v>62</v>
      </c>
      <c r="B74" s="13" t="s">
        <v>33</v>
      </c>
      <c r="C74" s="11">
        <f t="shared" si="1"/>
        <v>35376</v>
      </c>
      <c r="D74" s="11"/>
      <c r="E74" s="11">
        <v>3190</v>
      </c>
      <c r="F74" s="11">
        <v>1048</v>
      </c>
      <c r="G74" s="11">
        <v>45</v>
      </c>
      <c r="H74" s="11">
        <v>5317</v>
      </c>
      <c r="I74" s="11">
        <v>2976</v>
      </c>
      <c r="J74" s="11">
        <v>0</v>
      </c>
      <c r="K74" s="11"/>
      <c r="L74" s="11"/>
      <c r="M74" s="11"/>
      <c r="N74" s="11"/>
      <c r="O74" s="11">
        <v>3114</v>
      </c>
      <c r="P74" s="11">
        <v>19686</v>
      </c>
    </row>
    <row r="75" spans="1:16" s="14" customFormat="1" ht="12" x14ac:dyDescent="0.2">
      <c r="A75" s="217">
        <v>63</v>
      </c>
      <c r="B75" s="13" t="s">
        <v>34</v>
      </c>
      <c r="C75" s="11">
        <f t="shared" si="1"/>
        <v>68611</v>
      </c>
      <c r="D75" s="11"/>
      <c r="E75" s="11">
        <v>5973</v>
      </c>
      <c r="F75" s="11">
        <v>1847</v>
      </c>
      <c r="G75" s="11">
        <v>20</v>
      </c>
      <c r="H75" s="11">
        <v>10261</v>
      </c>
      <c r="I75" s="11">
        <v>5895</v>
      </c>
      <c r="J75" s="11">
        <v>1464</v>
      </c>
      <c r="K75" s="11">
        <v>1025</v>
      </c>
      <c r="L75" s="11">
        <v>439</v>
      </c>
      <c r="M75" s="11"/>
      <c r="N75" s="11"/>
      <c r="O75" s="11">
        <v>8996</v>
      </c>
      <c r="P75" s="11">
        <v>34155</v>
      </c>
    </row>
    <row r="76" spans="1:16" s="14" customFormat="1" ht="12" x14ac:dyDescent="0.2">
      <c r="A76" s="217">
        <v>64</v>
      </c>
      <c r="B76" s="13" t="s">
        <v>35</v>
      </c>
      <c r="C76" s="11">
        <f t="shared" si="1"/>
        <v>98859</v>
      </c>
      <c r="D76" s="11"/>
      <c r="E76" s="11">
        <v>8694</v>
      </c>
      <c r="F76" s="11">
        <v>2114</v>
      </c>
      <c r="G76" s="11">
        <v>170</v>
      </c>
      <c r="H76" s="11">
        <v>15326</v>
      </c>
      <c r="I76" s="11">
        <v>8610</v>
      </c>
      <c r="J76" s="11">
        <v>0</v>
      </c>
      <c r="K76" s="11"/>
      <c r="L76" s="11"/>
      <c r="M76" s="11"/>
      <c r="N76" s="11"/>
      <c r="O76" s="11">
        <v>12008</v>
      </c>
      <c r="P76" s="11">
        <v>51937</v>
      </c>
    </row>
    <row r="77" spans="1:16" s="14" customFormat="1" ht="12" x14ac:dyDescent="0.2">
      <c r="A77" s="217">
        <v>65</v>
      </c>
      <c r="B77" s="10" t="s">
        <v>36</v>
      </c>
      <c r="C77" s="11">
        <f t="shared" si="1"/>
        <v>51511</v>
      </c>
      <c r="D77" s="11"/>
      <c r="E77" s="11">
        <v>4510</v>
      </c>
      <c r="F77" s="11">
        <v>998</v>
      </c>
      <c r="G77" s="11">
        <v>105</v>
      </c>
      <c r="H77" s="11">
        <v>7467</v>
      </c>
      <c r="I77" s="11">
        <v>5323</v>
      </c>
      <c r="J77" s="11">
        <v>0</v>
      </c>
      <c r="K77" s="11"/>
      <c r="L77" s="11"/>
      <c r="M77" s="11"/>
      <c r="N77" s="11"/>
      <c r="O77" s="11">
        <v>9835</v>
      </c>
      <c r="P77" s="11">
        <v>23273</v>
      </c>
    </row>
    <row r="78" spans="1:16" s="14" customFormat="1" ht="12" x14ac:dyDescent="0.2">
      <c r="A78" s="217">
        <v>66</v>
      </c>
      <c r="B78" s="13" t="s">
        <v>134</v>
      </c>
      <c r="C78" s="11">
        <f t="shared" si="1"/>
        <v>107</v>
      </c>
      <c r="D78" s="11"/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/>
      <c r="L78" s="11"/>
      <c r="M78" s="11"/>
      <c r="N78" s="11">
        <v>107</v>
      </c>
      <c r="O78" s="11"/>
      <c r="P78" s="11">
        <v>0</v>
      </c>
    </row>
    <row r="79" spans="1:16" s="14" customFormat="1" ht="12" x14ac:dyDescent="0.2">
      <c r="A79" s="217">
        <v>67</v>
      </c>
      <c r="B79" s="13" t="s">
        <v>135</v>
      </c>
      <c r="C79" s="11">
        <f t="shared" si="1"/>
        <v>100</v>
      </c>
      <c r="D79" s="11"/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/>
      <c r="L79" s="11"/>
      <c r="M79" s="11"/>
      <c r="N79" s="11">
        <v>100</v>
      </c>
      <c r="O79" s="11"/>
      <c r="P79" s="11">
        <v>0</v>
      </c>
    </row>
    <row r="80" spans="1:16" s="14" customFormat="1" ht="12" x14ac:dyDescent="0.2">
      <c r="A80" s="217">
        <v>68</v>
      </c>
      <c r="B80" s="13" t="s">
        <v>136</v>
      </c>
      <c r="C80" s="11">
        <f t="shared" si="1"/>
        <v>85</v>
      </c>
      <c r="D80" s="11"/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/>
      <c r="L80" s="11"/>
      <c r="M80" s="11"/>
      <c r="N80" s="11">
        <v>85</v>
      </c>
      <c r="O80" s="11"/>
      <c r="P80" s="11">
        <v>0</v>
      </c>
    </row>
    <row r="81" spans="1:16" s="14" customFormat="1" ht="16.5" x14ac:dyDescent="0.2">
      <c r="A81" s="217">
        <v>69</v>
      </c>
      <c r="B81" s="13" t="s">
        <v>137</v>
      </c>
      <c r="C81" s="11">
        <f t="shared" si="1"/>
        <v>25</v>
      </c>
      <c r="D81" s="11"/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/>
      <c r="L81" s="11"/>
      <c r="M81" s="11"/>
      <c r="N81" s="11">
        <v>25</v>
      </c>
      <c r="O81" s="11"/>
      <c r="P81" s="11">
        <v>0</v>
      </c>
    </row>
    <row r="82" spans="1:16" s="14" customFormat="1" ht="12" x14ac:dyDescent="0.2">
      <c r="A82" s="217">
        <v>70</v>
      </c>
      <c r="B82" s="19" t="s">
        <v>138</v>
      </c>
      <c r="C82" s="11">
        <f t="shared" si="1"/>
        <v>118813</v>
      </c>
      <c r="D82" s="11"/>
      <c r="E82" s="11">
        <v>0</v>
      </c>
      <c r="F82" s="11">
        <v>0</v>
      </c>
      <c r="G82" s="11">
        <v>270</v>
      </c>
      <c r="H82" s="11">
        <v>0</v>
      </c>
      <c r="I82" s="11">
        <v>40809</v>
      </c>
      <c r="J82" s="11">
        <v>0</v>
      </c>
      <c r="K82" s="11"/>
      <c r="L82" s="11"/>
      <c r="M82" s="11">
        <v>609</v>
      </c>
      <c r="N82" s="11"/>
      <c r="O82" s="11">
        <v>10096</v>
      </c>
      <c r="P82" s="11">
        <v>67029</v>
      </c>
    </row>
    <row r="83" spans="1:16" s="14" customFormat="1" ht="12" x14ac:dyDescent="0.2">
      <c r="A83" s="217">
        <v>71</v>
      </c>
      <c r="B83" s="19" t="s">
        <v>139</v>
      </c>
      <c r="C83" s="11">
        <f t="shared" si="1"/>
        <v>105533</v>
      </c>
      <c r="D83" s="11"/>
      <c r="E83" s="11">
        <v>0</v>
      </c>
      <c r="F83" s="11">
        <v>0</v>
      </c>
      <c r="G83" s="11">
        <v>418</v>
      </c>
      <c r="H83" s="11">
        <v>0</v>
      </c>
      <c r="I83" s="11">
        <v>34522</v>
      </c>
      <c r="J83" s="11">
        <v>0</v>
      </c>
      <c r="K83" s="11"/>
      <c r="L83" s="11"/>
      <c r="M83" s="11"/>
      <c r="N83" s="11"/>
      <c r="O83" s="11">
        <f>2720+900</f>
        <v>3620</v>
      </c>
      <c r="P83" s="11">
        <v>66973</v>
      </c>
    </row>
    <row r="84" spans="1:16" s="14" customFormat="1" ht="12" x14ac:dyDescent="0.2">
      <c r="A84" s="217">
        <v>72</v>
      </c>
      <c r="B84" s="19" t="s">
        <v>140</v>
      </c>
      <c r="C84" s="11">
        <f t="shared" si="1"/>
        <v>138748</v>
      </c>
      <c r="D84" s="11"/>
      <c r="E84" s="11">
        <v>0</v>
      </c>
      <c r="F84" s="11">
        <v>0</v>
      </c>
      <c r="G84" s="11">
        <v>75</v>
      </c>
      <c r="H84" s="11">
        <v>0</v>
      </c>
      <c r="I84" s="11">
        <v>47168</v>
      </c>
      <c r="J84" s="11">
        <v>0</v>
      </c>
      <c r="K84" s="11"/>
      <c r="L84" s="11"/>
      <c r="M84" s="11"/>
      <c r="N84" s="11"/>
      <c r="O84" s="11">
        <v>10494</v>
      </c>
      <c r="P84" s="11">
        <v>81011</v>
      </c>
    </row>
    <row r="85" spans="1:16" s="14" customFormat="1" ht="12" x14ac:dyDescent="0.2">
      <c r="A85" s="217">
        <v>73</v>
      </c>
      <c r="B85" s="19" t="s">
        <v>141</v>
      </c>
      <c r="C85" s="11">
        <f t="shared" si="1"/>
        <v>171762</v>
      </c>
      <c r="D85" s="11">
        <f>15262-911</f>
        <v>14351</v>
      </c>
      <c r="E85" s="11">
        <v>0</v>
      </c>
      <c r="F85" s="11">
        <v>0</v>
      </c>
      <c r="G85" s="11">
        <v>352</v>
      </c>
      <c r="H85" s="11">
        <v>0</v>
      </c>
      <c r="I85" s="11">
        <v>65888</v>
      </c>
      <c r="J85" s="11">
        <v>0</v>
      </c>
      <c r="K85" s="11"/>
      <c r="L85" s="11"/>
      <c r="M85" s="11"/>
      <c r="N85" s="11"/>
      <c r="O85" s="11">
        <v>32843</v>
      </c>
      <c r="P85" s="11">
        <v>58328</v>
      </c>
    </row>
    <row r="86" spans="1:16" s="14" customFormat="1" ht="12" x14ac:dyDescent="0.2">
      <c r="A86" s="217">
        <v>74</v>
      </c>
      <c r="B86" s="19" t="s">
        <v>142</v>
      </c>
      <c r="C86" s="11">
        <f t="shared" si="1"/>
        <v>68130</v>
      </c>
      <c r="D86" s="11"/>
      <c r="E86" s="11">
        <v>0</v>
      </c>
      <c r="F86" s="11">
        <v>0</v>
      </c>
      <c r="G86" s="11">
        <v>105</v>
      </c>
      <c r="H86" s="11">
        <v>0</v>
      </c>
      <c r="I86" s="11">
        <v>20656</v>
      </c>
      <c r="J86" s="11">
        <v>0</v>
      </c>
      <c r="K86" s="11"/>
      <c r="L86" s="11"/>
      <c r="M86" s="11"/>
      <c r="N86" s="11"/>
      <c r="O86" s="11">
        <v>4555</v>
      </c>
      <c r="P86" s="11">
        <v>42814</v>
      </c>
    </row>
    <row r="87" spans="1:16" s="14" customFormat="1" ht="16.5" x14ac:dyDescent="0.2">
      <c r="A87" s="217">
        <v>75</v>
      </c>
      <c r="B87" s="19" t="s">
        <v>143</v>
      </c>
      <c r="C87" s="11">
        <f t="shared" si="1"/>
        <v>29413</v>
      </c>
      <c r="D87" s="11"/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/>
      <c r="L87" s="11"/>
      <c r="M87" s="11"/>
      <c r="N87" s="11">
        <v>29413</v>
      </c>
      <c r="O87" s="11"/>
      <c r="P87" s="11">
        <v>0</v>
      </c>
    </row>
    <row r="88" spans="1:16" s="14" customFormat="1" ht="16.5" x14ac:dyDescent="0.2">
      <c r="A88" s="217">
        <v>76</v>
      </c>
      <c r="B88" s="19" t="s">
        <v>144</v>
      </c>
      <c r="C88" s="11">
        <f t="shared" si="1"/>
        <v>31369</v>
      </c>
      <c r="D88" s="11"/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/>
      <c r="L88" s="11"/>
      <c r="M88" s="11"/>
      <c r="N88" s="11">
        <v>31369</v>
      </c>
      <c r="O88" s="11"/>
      <c r="P88" s="11">
        <v>0</v>
      </c>
    </row>
    <row r="89" spans="1:16" s="14" customFormat="1" ht="12" x14ac:dyDescent="0.2">
      <c r="A89" s="217">
        <v>77</v>
      </c>
      <c r="B89" s="19" t="s">
        <v>145</v>
      </c>
      <c r="C89" s="11">
        <f t="shared" si="1"/>
        <v>121848</v>
      </c>
      <c r="D89" s="11"/>
      <c r="E89" s="11">
        <v>13167</v>
      </c>
      <c r="F89" s="11">
        <v>1852</v>
      </c>
      <c r="G89" s="11">
        <v>0</v>
      </c>
      <c r="H89" s="11">
        <v>22439</v>
      </c>
      <c r="I89" s="11">
        <v>3052</v>
      </c>
      <c r="J89" s="11">
        <v>478</v>
      </c>
      <c r="K89" s="11">
        <v>335</v>
      </c>
      <c r="L89" s="11">
        <v>143</v>
      </c>
      <c r="M89" s="11"/>
      <c r="N89" s="11"/>
      <c r="O89" s="11">
        <v>5042</v>
      </c>
      <c r="P89" s="11">
        <v>75818</v>
      </c>
    </row>
    <row r="90" spans="1:16" s="14" customFormat="1" ht="12" x14ac:dyDescent="0.2">
      <c r="A90" s="217">
        <v>78</v>
      </c>
      <c r="B90" s="19" t="s">
        <v>146</v>
      </c>
      <c r="C90" s="11">
        <f t="shared" si="1"/>
        <v>103353</v>
      </c>
      <c r="D90" s="11">
        <f>17452-1042</f>
        <v>16410</v>
      </c>
      <c r="E90" s="11">
        <v>10125</v>
      </c>
      <c r="F90" s="11">
        <v>2996</v>
      </c>
      <c r="G90" s="11">
        <v>0</v>
      </c>
      <c r="H90" s="11">
        <v>24123</v>
      </c>
      <c r="I90" s="11">
        <v>0</v>
      </c>
      <c r="J90" s="11">
        <v>0</v>
      </c>
      <c r="K90" s="11"/>
      <c r="L90" s="11"/>
      <c r="M90" s="11"/>
      <c r="N90" s="11"/>
      <c r="O90" s="11">
        <v>7010</v>
      </c>
      <c r="P90" s="11">
        <v>42689</v>
      </c>
    </row>
    <row r="91" spans="1:16" s="14" customFormat="1" ht="12" x14ac:dyDescent="0.2">
      <c r="A91" s="217">
        <v>79</v>
      </c>
      <c r="B91" s="19" t="s">
        <v>147</v>
      </c>
      <c r="C91" s="11">
        <f t="shared" si="1"/>
        <v>84686</v>
      </c>
      <c r="D91" s="11"/>
      <c r="E91" s="11">
        <v>9919</v>
      </c>
      <c r="F91" s="11">
        <v>2729</v>
      </c>
      <c r="G91" s="11">
        <v>0</v>
      </c>
      <c r="H91" s="11">
        <v>21455</v>
      </c>
      <c r="I91" s="11">
        <v>0</v>
      </c>
      <c r="J91" s="11">
        <v>0</v>
      </c>
      <c r="K91" s="11"/>
      <c r="L91" s="11"/>
      <c r="M91" s="11"/>
      <c r="N91" s="11"/>
      <c r="O91" s="11">
        <v>13719</v>
      </c>
      <c r="P91" s="11">
        <v>36864</v>
      </c>
    </row>
    <row r="92" spans="1:16" s="14" customFormat="1" ht="12" x14ac:dyDescent="0.2">
      <c r="A92" s="217">
        <v>80</v>
      </c>
      <c r="B92" s="19" t="s">
        <v>148</v>
      </c>
      <c r="C92" s="11">
        <f t="shared" si="1"/>
        <v>89017</v>
      </c>
      <c r="D92" s="11">
        <f>26791-1600</f>
        <v>25191</v>
      </c>
      <c r="E92" s="11">
        <v>7249</v>
      </c>
      <c r="F92" s="11">
        <v>1751</v>
      </c>
      <c r="G92" s="11">
        <v>0</v>
      </c>
      <c r="H92" s="11">
        <v>15578</v>
      </c>
      <c r="I92" s="11">
        <v>0</v>
      </c>
      <c r="J92" s="11">
        <v>0</v>
      </c>
      <c r="K92" s="11"/>
      <c r="L92" s="11"/>
      <c r="M92" s="11"/>
      <c r="N92" s="11"/>
      <c r="O92" s="11">
        <v>6437</v>
      </c>
      <c r="P92" s="11">
        <v>32811</v>
      </c>
    </row>
    <row r="93" spans="1:16" s="14" customFormat="1" ht="12" x14ac:dyDescent="0.2">
      <c r="A93" s="217">
        <v>81</v>
      </c>
      <c r="B93" s="19" t="s">
        <v>75</v>
      </c>
      <c r="C93" s="11">
        <f t="shared" si="1"/>
        <v>185884</v>
      </c>
      <c r="D93" s="11"/>
      <c r="E93" s="11">
        <v>16887</v>
      </c>
      <c r="F93" s="11">
        <v>4848</v>
      </c>
      <c r="G93" s="11">
        <v>0</v>
      </c>
      <c r="H93" s="11">
        <v>41031</v>
      </c>
      <c r="I93" s="11">
        <v>0</v>
      </c>
      <c r="J93" s="11">
        <v>1464</v>
      </c>
      <c r="K93" s="11">
        <v>1025</v>
      </c>
      <c r="L93" s="11">
        <v>439</v>
      </c>
      <c r="M93" s="11"/>
      <c r="N93" s="11"/>
      <c r="O93" s="11">
        <v>43044</v>
      </c>
      <c r="P93" s="11">
        <v>78610</v>
      </c>
    </row>
    <row r="94" spans="1:16" s="14" customFormat="1" ht="12" x14ac:dyDescent="0.2">
      <c r="A94" s="217">
        <v>82</v>
      </c>
      <c r="B94" s="19" t="s">
        <v>149</v>
      </c>
      <c r="C94" s="11">
        <f t="shared" si="1"/>
        <v>99519</v>
      </c>
      <c r="D94" s="11"/>
      <c r="E94" s="11">
        <v>9613</v>
      </c>
      <c r="F94" s="11">
        <v>2794</v>
      </c>
      <c r="G94" s="11">
        <v>0</v>
      </c>
      <c r="H94" s="11">
        <v>24254</v>
      </c>
      <c r="I94" s="11">
        <v>0</v>
      </c>
      <c r="J94" s="11">
        <v>512</v>
      </c>
      <c r="K94" s="11">
        <v>358</v>
      </c>
      <c r="L94" s="11">
        <v>154</v>
      </c>
      <c r="M94" s="11"/>
      <c r="N94" s="11"/>
      <c r="O94" s="11">
        <v>20397</v>
      </c>
      <c r="P94" s="11">
        <v>41949</v>
      </c>
    </row>
    <row r="95" spans="1:16" s="14" customFormat="1" ht="12" x14ac:dyDescent="0.2">
      <c r="A95" s="217">
        <v>83</v>
      </c>
      <c r="B95" s="19" t="s">
        <v>76</v>
      </c>
      <c r="C95" s="11">
        <f t="shared" si="1"/>
        <v>112622</v>
      </c>
      <c r="D95" s="11">
        <f>17685-1056</f>
        <v>16629</v>
      </c>
      <c r="E95" s="11">
        <v>10776</v>
      </c>
      <c r="F95" s="11">
        <v>2720</v>
      </c>
      <c r="G95" s="11">
        <v>0</v>
      </c>
      <c r="H95" s="11">
        <v>22478</v>
      </c>
      <c r="I95" s="11">
        <v>0</v>
      </c>
      <c r="J95" s="11">
        <v>1464</v>
      </c>
      <c r="K95" s="11">
        <v>1025</v>
      </c>
      <c r="L95" s="11">
        <v>439</v>
      </c>
      <c r="M95" s="11">
        <v>661</v>
      </c>
      <c r="N95" s="11"/>
      <c r="O95" s="11">
        <v>10011</v>
      </c>
      <c r="P95" s="11">
        <v>47883</v>
      </c>
    </row>
    <row r="96" spans="1:16" s="14" customFormat="1" ht="12" x14ac:dyDescent="0.2">
      <c r="A96" s="217">
        <v>84</v>
      </c>
      <c r="B96" s="19" t="s">
        <v>150</v>
      </c>
      <c r="C96" s="11">
        <f t="shared" si="1"/>
        <v>58065</v>
      </c>
      <c r="D96" s="11"/>
      <c r="E96" s="11">
        <v>6544</v>
      </c>
      <c r="F96" s="11">
        <v>1802</v>
      </c>
      <c r="G96" s="11">
        <v>0</v>
      </c>
      <c r="H96" s="11">
        <v>14552</v>
      </c>
      <c r="I96" s="11">
        <v>0</v>
      </c>
      <c r="J96" s="11">
        <v>0</v>
      </c>
      <c r="K96" s="11"/>
      <c r="L96" s="11"/>
      <c r="M96" s="11"/>
      <c r="N96" s="11"/>
      <c r="O96" s="11">
        <v>4696</v>
      </c>
      <c r="P96" s="11">
        <v>30471</v>
      </c>
    </row>
    <row r="97" spans="1:16" s="14" customFormat="1" ht="12" x14ac:dyDescent="0.2">
      <c r="A97" s="217">
        <v>85</v>
      </c>
      <c r="B97" s="19" t="s">
        <v>151</v>
      </c>
      <c r="C97" s="11">
        <f t="shared" si="1"/>
        <v>193065</v>
      </c>
      <c r="D97" s="11"/>
      <c r="E97" s="11">
        <v>19313</v>
      </c>
      <c r="F97" s="11">
        <v>5991</v>
      </c>
      <c r="G97" s="11">
        <v>0</v>
      </c>
      <c r="H97" s="11">
        <v>42019</v>
      </c>
      <c r="I97" s="11">
        <v>0</v>
      </c>
      <c r="J97" s="11">
        <v>1464</v>
      </c>
      <c r="K97" s="11">
        <v>1025</v>
      </c>
      <c r="L97" s="11">
        <v>439</v>
      </c>
      <c r="M97" s="11"/>
      <c r="N97" s="11"/>
      <c r="O97" s="11">
        <v>29000</v>
      </c>
      <c r="P97" s="11">
        <v>95278</v>
      </c>
    </row>
    <row r="98" spans="1:16" s="14" customFormat="1" ht="12" x14ac:dyDescent="0.2">
      <c r="A98" s="217">
        <v>86</v>
      </c>
      <c r="B98" s="19" t="s">
        <v>152</v>
      </c>
      <c r="C98" s="11">
        <f t="shared" si="1"/>
        <v>72740</v>
      </c>
      <c r="D98" s="11"/>
      <c r="E98" s="11">
        <v>8077</v>
      </c>
      <c r="F98" s="11">
        <v>1909</v>
      </c>
      <c r="G98" s="11">
        <v>0</v>
      </c>
      <c r="H98" s="11">
        <v>19123</v>
      </c>
      <c r="I98" s="11">
        <v>0</v>
      </c>
      <c r="J98" s="11">
        <v>0</v>
      </c>
      <c r="K98" s="11"/>
      <c r="L98" s="11"/>
      <c r="M98" s="11"/>
      <c r="N98" s="11"/>
      <c r="O98" s="11">
        <v>7560</v>
      </c>
      <c r="P98" s="11">
        <v>36071</v>
      </c>
    </row>
    <row r="99" spans="1:16" s="14" customFormat="1" ht="12" x14ac:dyDescent="0.2">
      <c r="A99" s="217">
        <v>87</v>
      </c>
      <c r="B99" s="19" t="s">
        <v>153</v>
      </c>
      <c r="C99" s="11">
        <f t="shared" si="1"/>
        <v>71088</v>
      </c>
      <c r="D99" s="11"/>
      <c r="E99" s="11">
        <v>7672</v>
      </c>
      <c r="F99" s="11">
        <v>2106</v>
      </c>
      <c r="G99" s="11">
        <v>0</v>
      </c>
      <c r="H99" s="11">
        <v>14459</v>
      </c>
      <c r="I99" s="11">
        <v>0</v>
      </c>
      <c r="J99" s="11">
        <v>0</v>
      </c>
      <c r="K99" s="11"/>
      <c r="L99" s="11"/>
      <c r="M99" s="11"/>
      <c r="N99" s="11"/>
      <c r="O99" s="11">
        <f>10870+2500</f>
        <v>13370</v>
      </c>
      <c r="P99" s="11">
        <v>33481</v>
      </c>
    </row>
    <row r="100" spans="1:16" s="14" customFormat="1" ht="16.5" x14ac:dyDescent="0.2">
      <c r="A100" s="217">
        <v>88</v>
      </c>
      <c r="B100" s="19" t="s">
        <v>154</v>
      </c>
      <c r="C100" s="11">
        <f t="shared" si="1"/>
        <v>2646</v>
      </c>
      <c r="D100" s="11"/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/>
      <c r="L100" s="11"/>
      <c r="M100" s="11"/>
      <c r="N100" s="11">
        <v>2646</v>
      </c>
      <c r="O100" s="11"/>
      <c r="P100" s="11">
        <v>0</v>
      </c>
    </row>
    <row r="101" spans="1:16" s="14" customFormat="1" ht="16.5" x14ac:dyDescent="0.2">
      <c r="A101" s="217">
        <v>89</v>
      </c>
      <c r="B101" s="19" t="s">
        <v>155</v>
      </c>
      <c r="C101" s="11">
        <f t="shared" si="1"/>
        <v>3086</v>
      </c>
      <c r="D101" s="11"/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/>
      <c r="L101" s="11"/>
      <c r="M101" s="11"/>
      <c r="N101" s="11">
        <v>3086</v>
      </c>
      <c r="O101" s="11"/>
      <c r="P101" s="11">
        <v>0</v>
      </c>
    </row>
    <row r="102" spans="1:16" s="14" customFormat="1" ht="16.5" x14ac:dyDescent="0.2">
      <c r="A102" s="217">
        <v>90</v>
      </c>
      <c r="B102" s="19" t="s">
        <v>156</v>
      </c>
      <c r="C102" s="11">
        <f t="shared" si="1"/>
        <v>3661</v>
      </c>
      <c r="D102" s="11"/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/>
      <c r="L102" s="11"/>
      <c r="M102" s="11"/>
      <c r="N102" s="11">
        <v>3661</v>
      </c>
      <c r="O102" s="11"/>
      <c r="P102" s="11">
        <v>0</v>
      </c>
    </row>
    <row r="103" spans="1:16" s="14" customFormat="1" ht="16.5" x14ac:dyDescent="0.2">
      <c r="A103" s="217">
        <v>91</v>
      </c>
      <c r="B103" s="19" t="s">
        <v>157</v>
      </c>
      <c r="C103" s="11">
        <f t="shared" si="1"/>
        <v>2971</v>
      </c>
      <c r="D103" s="11"/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/>
      <c r="L103" s="11"/>
      <c r="M103" s="11"/>
      <c r="N103" s="11">
        <v>2971</v>
      </c>
      <c r="O103" s="11"/>
      <c r="P103" s="11">
        <v>0</v>
      </c>
    </row>
    <row r="104" spans="1:16" s="14" customFormat="1" ht="16.5" x14ac:dyDescent="0.2">
      <c r="A104" s="217">
        <v>92</v>
      </c>
      <c r="B104" s="19" t="s">
        <v>158</v>
      </c>
      <c r="C104" s="11">
        <f t="shared" si="1"/>
        <v>13089</v>
      </c>
      <c r="D104" s="11"/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/>
      <c r="L104" s="11"/>
      <c r="M104" s="11"/>
      <c r="N104" s="11">
        <v>13089</v>
      </c>
      <c r="O104" s="11"/>
      <c r="P104" s="11">
        <v>0</v>
      </c>
    </row>
    <row r="105" spans="1:16" s="14" customFormat="1" ht="16.5" x14ac:dyDescent="0.2">
      <c r="A105" s="217">
        <v>93</v>
      </c>
      <c r="B105" s="19" t="s">
        <v>159</v>
      </c>
      <c r="C105" s="11">
        <f t="shared" si="1"/>
        <v>2707</v>
      </c>
      <c r="D105" s="11"/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/>
      <c r="L105" s="11"/>
      <c r="M105" s="11"/>
      <c r="N105" s="11">
        <v>2707</v>
      </c>
      <c r="O105" s="11"/>
      <c r="P105" s="11">
        <v>0</v>
      </c>
    </row>
    <row r="106" spans="1:16" s="14" customFormat="1" ht="16.5" x14ac:dyDescent="0.2">
      <c r="A106" s="217">
        <v>94</v>
      </c>
      <c r="B106" s="19" t="s">
        <v>160</v>
      </c>
      <c r="C106" s="11">
        <f t="shared" si="1"/>
        <v>2344</v>
      </c>
      <c r="D106" s="11"/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/>
      <c r="L106" s="11"/>
      <c r="M106" s="11"/>
      <c r="N106" s="11">
        <v>2344</v>
      </c>
      <c r="O106" s="11"/>
      <c r="P106" s="11">
        <v>0</v>
      </c>
    </row>
    <row r="107" spans="1:16" s="14" customFormat="1" ht="12" x14ac:dyDescent="0.2">
      <c r="A107" s="217">
        <v>95</v>
      </c>
      <c r="B107" s="19" t="s">
        <v>161</v>
      </c>
      <c r="C107" s="11">
        <f t="shared" si="1"/>
        <v>159704</v>
      </c>
      <c r="D107" s="11">
        <f>13574-545</f>
        <v>13029</v>
      </c>
      <c r="E107" s="11">
        <v>10897</v>
      </c>
      <c r="F107" s="11">
        <v>2790</v>
      </c>
      <c r="G107" s="11">
        <v>185</v>
      </c>
      <c r="H107" s="11">
        <v>25653</v>
      </c>
      <c r="I107" s="11">
        <v>20833</v>
      </c>
      <c r="J107" s="11">
        <v>0</v>
      </c>
      <c r="K107" s="11"/>
      <c r="L107" s="11"/>
      <c r="M107" s="11"/>
      <c r="N107" s="11"/>
      <c r="O107" s="11">
        <v>24171</v>
      </c>
      <c r="P107" s="11">
        <v>62146</v>
      </c>
    </row>
    <row r="108" spans="1:16" s="14" customFormat="1" ht="12" x14ac:dyDescent="0.2">
      <c r="A108" s="217">
        <v>96</v>
      </c>
      <c r="B108" s="19" t="s">
        <v>162</v>
      </c>
      <c r="C108" s="11">
        <f t="shared" si="1"/>
        <v>123540.8</v>
      </c>
      <c r="D108" s="11"/>
      <c r="E108" s="11">
        <v>12001</v>
      </c>
      <c r="F108" s="11">
        <v>2036</v>
      </c>
      <c r="G108" s="11">
        <v>0</v>
      </c>
      <c r="H108" s="11">
        <v>29039</v>
      </c>
      <c r="I108" s="11">
        <v>0</v>
      </c>
      <c r="J108" s="11">
        <v>1463.8</v>
      </c>
      <c r="K108" s="11">
        <v>1024.8</v>
      </c>
      <c r="L108" s="11">
        <v>439</v>
      </c>
      <c r="M108" s="11">
        <v>2635</v>
      </c>
      <c r="N108" s="11"/>
      <c r="O108" s="11">
        <v>24330</v>
      </c>
      <c r="P108" s="11">
        <v>52036</v>
      </c>
    </row>
    <row r="109" spans="1:16" s="14" customFormat="1" ht="12" x14ac:dyDescent="0.2">
      <c r="A109" s="217">
        <v>97</v>
      </c>
      <c r="B109" s="19" t="s">
        <v>77</v>
      </c>
      <c r="C109" s="11">
        <f t="shared" si="1"/>
        <v>98844</v>
      </c>
      <c r="D109" s="11"/>
      <c r="E109" s="11">
        <v>9275</v>
      </c>
      <c r="F109" s="11">
        <v>2961</v>
      </c>
      <c r="G109" s="11">
        <v>0</v>
      </c>
      <c r="H109" s="11">
        <v>21651</v>
      </c>
      <c r="I109" s="11">
        <v>0</v>
      </c>
      <c r="J109" s="11">
        <v>0</v>
      </c>
      <c r="K109" s="11"/>
      <c r="L109" s="11"/>
      <c r="M109" s="11">
        <v>108</v>
      </c>
      <c r="N109" s="11"/>
      <c r="O109" s="11">
        <v>15592</v>
      </c>
      <c r="P109" s="11">
        <v>49257</v>
      </c>
    </row>
    <row r="110" spans="1:16" s="14" customFormat="1" ht="12" x14ac:dyDescent="0.2">
      <c r="A110" s="217">
        <v>98</v>
      </c>
      <c r="B110" s="19" t="s">
        <v>163</v>
      </c>
      <c r="C110" s="11">
        <f t="shared" si="1"/>
        <v>52253</v>
      </c>
      <c r="D110" s="11"/>
      <c r="E110" s="11">
        <v>5336</v>
      </c>
      <c r="F110" s="11">
        <v>1566</v>
      </c>
      <c r="G110" s="11">
        <v>0</v>
      </c>
      <c r="H110" s="11">
        <v>9468</v>
      </c>
      <c r="I110" s="11">
        <v>0</v>
      </c>
      <c r="J110" s="11">
        <v>0</v>
      </c>
      <c r="K110" s="11"/>
      <c r="L110" s="11"/>
      <c r="M110" s="11"/>
      <c r="N110" s="11"/>
      <c r="O110" s="11">
        <v>10416</v>
      </c>
      <c r="P110" s="11">
        <v>25467</v>
      </c>
    </row>
    <row r="111" spans="1:16" s="14" customFormat="1" ht="12" x14ac:dyDescent="0.2">
      <c r="A111" s="217">
        <v>99</v>
      </c>
      <c r="B111" s="19" t="s">
        <v>164</v>
      </c>
      <c r="C111" s="11">
        <f t="shared" si="1"/>
        <v>35893</v>
      </c>
      <c r="D111" s="11">
        <f>17052-3344</f>
        <v>13708</v>
      </c>
      <c r="E111" s="11">
        <v>2108</v>
      </c>
      <c r="F111" s="11">
        <v>523</v>
      </c>
      <c r="G111" s="11">
        <v>0</v>
      </c>
      <c r="H111" s="11">
        <v>4757</v>
      </c>
      <c r="I111" s="11">
        <v>0</v>
      </c>
      <c r="J111" s="11">
        <v>1464</v>
      </c>
      <c r="K111" s="11">
        <v>1025</v>
      </c>
      <c r="L111" s="11">
        <v>439</v>
      </c>
      <c r="M111" s="11"/>
      <c r="N111" s="11"/>
      <c r="O111" s="11">
        <v>467</v>
      </c>
      <c r="P111" s="11">
        <v>12866</v>
      </c>
    </row>
    <row r="112" spans="1:16" s="14" customFormat="1" ht="12" x14ac:dyDescent="0.2">
      <c r="A112" s="217">
        <v>100</v>
      </c>
      <c r="B112" s="19" t="s">
        <v>165</v>
      </c>
      <c r="C112" s="11">
        <f t="shared" si="1"/>
        <v>42779</v>
      </c>
      <c r="D112" s="11"/>
      <c r="E112" s="11">
        <v>3534</v>
      </c>
      <c r="F112" s="11">
        <v>681</v>
      </c>
      <c r="G112" s="11">
        <v>0</v>
      </c>
      <c r="H112" s="11">
        <v>5867</v>
      </c>
      <c r="I112" s="11">
        <v>0</v>
      </c>
      <c r="J112" s="11">
        <v>0</v>
      </c>
      <c r="K112" s="11"/>
      <c r="L112" s="11"/>
      <c r="M112" s="11"/>
      <c r="N112" s="11"/>
      <c r="O112" s="11">
        <v>8963</v>
      </c>
      <c r="P112" s="11">
        <v>23734</v>
      </c>
    </row>
    <row r="113" spans="1:16" s="14" customFormat="1" ht="12" x14ac:dyDescent="0.2">
      <c r="A113" s="217">
        <v>101</v>
      </c>
      <c r="B113" s="19" t="s">
        <v>78</v>
      </c>
      <c r="C113" s="11">
        <f t="shared" si="1"/>
        <v>302017</v>
      </c>
      <c r="D113" s="11"/>
      <c r="E113" s="11">
        <v>25723</v>
      </c>
      <c r="F113" s="11">
        <v>5859</v>
      </c>
      <c r="G113" s="11">
        <v>0</v>
      </c>
      <c r="H113" s="11">
        <v>58768</v>
      </c>
      <c r="I113" s="11">
        <v>0</v>
      </c>
      <c r="J113" s="11">
        <v>2928</v>
      </c>
      <c r="K113" s="11">
        <v>2050</v>
      </c>
      <c r="L113" s="11">
        <v>878</v>
      </c>
      <c r="M113" s="11">
        <v>21274</v>
      </c>
      <c r="N113" s="11"/>
      <c r="O113" s="11">
        <v>58119</v>
      </c>
      <c r="P113" s="11">
        <v>129346</v>
      </c>
    </row>
    <row r="114" spans="1:16" s="14" customFormat="1" ht="12" x14ac:dyDescent="0.2">
      <c r="A114" s="217">
        <v>102</v>
      </c>
      <c r="B114" s="19" t="s">
        <v>166</v>
      </c>
      <c r="C114" s="11">
        <f t="shared" si="1"/>
        <v>102109</v>
      </c>
      <c r="D114" s="11">
        <f>9712-580</f>
        <v>9132</v>
      </c>
      <c r="E114" s="11">
        <v>0</v>
      </c>
      <c r="F114" s="11">
        <v>0</v>
      </c>
      <c r="G114" s="11">
        <v>482</v>
      </c>
      <c r="H114" s="11">
        <v>0</v>
      </c>
      <c r="I114" s="11">
        <v>34088</v>
      </c>
      <c r="J114" s="11">
        <v>0</v>
      </c>
      <c r="K114" s="11"/>
      <c r="L114" s="11"/>
      <c r="M114" s="11"/>
      <c r="N114" s="11"/>
      <c r="O114" s="11">
        <v>4131</v>
      </c>
      <c r="P114" s="11">
        <v>54276</v>
      </c>
    </row>
    <row r="115" spans="1:16" s="14" customFormat="1" ht="12" x14ac:dyDescent="0.2">
      <c r="A115" s="217">
        <v>103</v>
      </c>
      <c r="B115" s="19" t="s">
        <v>71</v>
      </c>
      <c r="C115" s="11">
        <f t="shared" si="1"/>
        <v>120248</v>
      </c>
      <c r="D115" s="11">
        <f>18753-1120</f>
        <v>17633</v>
      </c>
      <c r="E115" s="11">
        <v>7150</v>
      </c>
      <c r="F115" s="11">
        <v>1607</v>
      </c>
      <c r="G115" s="11">
        <v>0</v>
      </c>
      <c r="H115" s="11">
        <v>15672</v>
      </c>
      <c r="I115" s="11">
        <v>0</v>
      </c>
      <c r="J115" s="11">
        <v>0</v>
      </c>
      <c r="K115" s="11"/>
      <c r="L115" s="11"/>
      <c r="M115" s="11">
        <v>207</v>
      </c>
      <c r="N115" s="11"/>
      <c r="O115" s="11">
        <v>17865</v>
      </c>
      <c r="P115" s="11">
        <v>60114</v>
      </c>
    </row>
    <row r="116" spans="1:16" s="14" customFormat="1" ht="12" x14ac:dyDescent="0.2">
      <c r="A116" s="217">
        <v>104</v>
      </c>
      <c r="B116" s="19" t="s">
        <v>79</v>
      </c>
      <c r="C116" s="11">
        <f t="shared" si="1"/>
        <v>44588</v>
      </c>
      <c r="D116" s="11"/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/>
      <c r="L116" s="11"/>
      <c r="M116" s="11"/>
      <c r="N116" s="11">
        <v>44588</v>
      </c>
      <c r="O116" s="11"/>
      <c r="P116" s="11">
        <v>0</v>
      </c>
    </row>
    <row r="117" spans="1:16" s="14" customFormat="1" ht="12" x14ac:dyDescent="0.2">
      <c r="A117" s="328">
        <v>105</v>
      </c>
      <c r="B117" s="19" t="s">
        <v>58</v>
      </c>
      <c r="C117" s="11">
        <f t="shared" si="1"/>
        <v>28235</v>
      </c>
      <c r="D117" s="11"/>
      <c r="E117" s="11">
        <v>904</v>
      </c>
      <c r="F117" s="11">
        <v>38</v>
      </c>
      <c r="G117" s="11">
        <v>0</v>
      </c>
      <c r="H117" s="11">
        <v>243</v>
      </c>
      <c r="I117" s="11">
        <v>0</v>
      </c>
      <c r="J117" s="11">
        <v>0</v>
      </c>
      <c r="K117" s="11"/>
      <c r="L117" s="11"/>
      <c r="M117" s="11">
        <v>8240</v>
      </c>
      <c r="N117" s="11"/>
      <c r="O117" s="11">
        <v>732</v>
      </c>
      <c r="P117" s="11">
        <v>18078</v>
      </c>
    </row>
    <row r="118" spans="1:16" s="14" customFormat="1" ht="16.5" x14ac:dyDescent="0.2">
      <c r="A118" s="328"/>
      <c r="B118" s="19" t="s">
        <v>167</v>
      </c>
      <c r="C118" s="11">
        <f t="shared" si="1"/>
        <v>3600</v>
      </c>
      <c r="D118" s="11"/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/>
      <c r="L118" s="11"/>
      <c r="M118" s="11"/>
      <c r="N118" s="11">
        <v>3600</v>
      </c>
      <c r="O118" s="11"/>
      <c r="P118" s="11">
        <v>0</v>
      </c>
    </row>
    <row r="119" spans="1:16" s="14" customFormat="1" ht="16.5" x14ac:dyDescent="0.2">
      <c r="A119" s="217">
        <v>106</v>
      </c>
      <c r="B119" s="19" t="s">
        <v>168</v>
      </c>
      <c r="C119" s="11">
        <f t="shared" si="1"/>
        <v>8362</v>
      </c>
      <c r="D119" s="11"/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/>
      <c r="L119" s="11"/>
      <c r="M119" s="11"/>
      <c r="N119" s="11">
        <v>8362</v>
      </c>
      <c r="O119" s="11"/>
      <c r="P119" s="11">
        <v>0</v>
      </c>
    </row>
    <row r="120" spans="1:16" s="14" customFormat="1" ht="12" x14ac:dyDescent="0.2">
      <c r="A120" s="217">
        <v>107</v>
      </c>
      <c r="B120" s="13" t="s">
        <v>169</v>
      </c>
      <c r="C120" s="11">
        <f t="shared" si="1"/>
        <v>13304</v>
      </c>
      <c r="D120" s="11"/>
      <c r="E120" s="11">
        <v>1444</v>
      </c>
      <c r="F120" s="11">
        <v>233</v>
      </c>
      <c r="G120" s="11">
        <v>0</v>
      </c>
      <c r="H120" s="11">
        <v>3731</v>
      </c>
      <c r="I120" s="11">
        <v>0</v>
      </c>
      <c r="J120" s="11">
        <v>0</v>
      </c>
      <c r="K120" s="11"/>
      <c r="L120" s="11"/>
      <c r="M120" s="11"/>
      <c r="N120" s="11"/>
      <c r="O120" s="11">
        <v>1140</v>
      </c>
      <c r="P120" s="11">
        <v>6756</v>
      </c>
    </row>
    <row r="121" spans="1:16" s="14" customFormat="1" ht="12" x14ac:dyDescent="0.2">
      <c r="A121" s="217">
        <v>108</v>
      </c>
      <c r="B121" s="10" t="s">
        <v>37</v>
      </c>
      <c r="C121" s="11">
        <f t="shared" si="1"/>
        <v>41689</v>
      </c>
      <c r="D121" s="11">
        <v>1170</v>
      </c>
      <c r="E121" s="11">
        <v>3397</v>
      </c>
      <c r="F121" s="11">
        <v>749</v>
      </c>
      <c r="G121" s="11">
        <v>93</v>
      </c>
      <c r="H121" s="11">
        <v>6054</v>
      </c>
      <c r="I121" s="11">
        <v>5521</v>
      </c>
      <c r="J121" s="11">
        <v>0</v>
      </c>
      <c r="K121" s="11"/>
      <c r="L121" s="11"/>
      <c r="M121" s="11"/>
      <c r="N121" s="11"/>
      <c r="O121" s="11">
        <v>5522</v>
      </c>
      <c r="P121" s="11">
        <v>19183</v>
      </c>
    </row>
    <row r="122" spans="1:16" s="14" customFormat="1" ht="12" x14ac:dyDescent="0.2">
      <c r="A122" s="217">
        <v>109</v>
      </c>
      <c r="B122" s="13" t="s">
        <v>38</v>
      </c>
      <c r="C122" s="11">
        <f t="shared" si="1"/>
        <v>41576</v>
      </c>
      <c r="D122" s="11"/>
      <c r="E122" s="11">
        <v>3708</v>
      </c>
      <c r="F122" s="11">
        <v>855</v>
      </c>
      <c r="G122" s="11">
        <v>16</v>
      </c>
      <c r="H122" s="11">
        <v>6595</v>
      </c>
      <c r="I122" s="11">
        <v>5408</v>
      </c>
      <c r="J122" s="11">
        <v>0</v>
      </c>
      <c r="K122" s="11"/>
      <c r="L122" s="11"/>
      <c r="M122" s="11"/>
      <c r="N122" s="11"/>
      <c r="O122" s="11">
        <v>3826</v>
      </c>
      <c r="P122" s="11">
        <v>21168</v>
      </c>
    </row>
    <row r="123" spans="1:16" s="14" customFormat="1" ht="12" x14ac:dyDescent="0.2">
      <c r="A123" s="217">
        <v>110</v>
      </c>
      <c r="B123" s="10" t="s">
        <v>39</v>
      </c>
      <c r="C123" s="11">
        <f t="shared" si="1"/>
        <v>126844</v>
      </c>
      <c r="D123" s="11"/>
      <c r="E123" s="11">
        <v>8199</v>
      </c>
      <c r="F123" s="11">
        <v>1795</v>
      </c>
      <c r="G123" s="11">
        <v>180</v>
      </c>
      <c r="H123" s="11">
        <v>16791</v>
      </c>
      <c r="I123" s="11">
        <v>12517</v>
      </c>
      <c r="J123" s="11">
        <v>0</v>
      </c>
      <c r="K123" s="11"/>
      <c r="L123" s="11"/>
      <c r="M123" s="11"/>
      <c r="N123" s="11"/>
      <c r="O123" s="11">
        <v>15173</v>
      </c>
      <c r="P123" s="11">
        <v>72189</v>
      </c>
    </row>
    <row r="124" spans="1:16" s="14" customFormat="1" ht="12" x14ac:dyDescent="0.2">
      <c r="A124" s="217">
        <v>111</v>
      </c>
      <c r="B124" s="13" t="s">
        <v>40</v>
      </c>
      <c r="C124" s="11">
        <f t="shared" si="1"/>
        <v>54226</v>
      </c>
      <c r="D124" s="11"/>
      <c r="E124" s="11">
        <v>4583</v>
      </c>
      <c r="F124" s="11">
        <v>911</v>
      </c>
      <c r="G124" s="11">
        <v>42</v>
      </c>
      <c r="H124" s="11">
        <v>7747</v>
      </c>
      <c r="I124" s="11">
        <v>5567</v>
      </c>
      <c r="J124" s="11">
        <v>0</v>
      </c>
      <c r="K124" s="11"/>
      <c r="L124" s="11"/>
      <c r="M124" s="11"/>
      <c r="N124" s="11"/>
      <c r="O124" s="11">
        <v>7365</v>
      </c>
      <c r="P124" s="11">
        <v>28011</v>
      </c>
    </row>
    <row r="125" spans="1:16" s="14" customFormat="1" ht="12" x14ac:dyDescent="0.2">
      <c r="A125" s="217">
        <v>112</v>
      </c>
      <c r="B125" s="13" t="s">
        <v>41</v>
      </c>
      <c r="C125" s="11">
        <f t="shared" si="1"/>
        <v>70993</v>
      </c>
      <c r="D125" s="11"/>
      <c r="E125" s="11">
        <v>5985</v>
      </c>
      <c r="F125" s="11">
        <v>1574</v>
      </c>
      <c r="G125" s="11">
        <v>79</v>
      </c>
      <c r="H125" s="11">
        <v>9776</v>
      </c>
      <c r="I125" s="11">
        <v>5058</v>
      </c>
      <c r="J125" s="11">
        <v>322</v>
      </c>
      <c r="K125" s="11">
        <v>225</v>
      </c>
      <c r="L125" s="11">
        <v>97</v>
      </c>
      <c r="M125" s="11"/>
      <c r="N125" s="11"/>
      <c r="O125" s="11">
        <v>13792</v>
      </c>
      <c r="P125" s="11">
        <v>34407</v>
      </c>
    </row>
    <row r="126" spans="1:16" s="14" customFormat="1" ht="12" x14ac:dyDescent="0.2">
      <c r="A126" s="217">
        <v>113</v>
      </c>
      <c r="B126" s="10" t="s">
        <v>42</v>
      </c>
      <c r="C126" s="11">
        <f t="shared" si="1"/>
        <v>127064</v>
      </c>
      <c r="D126" s="11"/>
      <c r="E126" s="11">
        <v>9474</v>
      </c>
      <c r="F126" s="11">
        <v>2502</v>
      </c>
      <c r="G126" s="11">
        <v>265</v>
      </c>
      <c r="H126" s="11">
        <v>15392</v>
      </c>
      <c r="I126" s="11">
        <v>12243</v>
      </c>
      <c r="J126" s="11">
        <v>0</v>
      </c>
      <c r="K126" s="11"/>
      <c r="L126" s="11"/>
      <c r="M126" s="11"/>
      <c r="N126" s="11"/>
      <c r="O126" s="11">
        <v>10700</v>
      </c>
      <c r="P126" s="11">
        <v>76488</v>
      </c>
    </row>
    <row r="127" spans="1:16" s="14" customFormat="1" ht="12" x14ac:dyDescent="0.2">
      <c r="A127" s="217">
        <v>114</v>
      </c>
      <c r="B127" s="10" t="s">
        <v>43</v>
      </c>
      <c r="C127" s="11">
        <f t="shared" si="1"/>
        <v>123108</v>
      </c>
      <c r="D127" s="11"/>
      <c r="E127" s="11">
        <v>8337</v>
      </c>
      <c r="F127" s="11">
        <v>2153</v>
      </c>
      <c r="G127" s="11">
        <v>112</v>
      </c>
      <c r="H127" s="11">
        <v>15783</v>
      </c>
      <c r="I127" s="11">
        <v>8240</v>
      </c>
      <c r="J127" s="11">
        <v>0</v>
      </c>
      <c r="K127" s="11"/>
      <c r="L127" s="11"/>
      <c r="M127" s="11"/>
      <c r="N127" s="11"/>
      <c r="O127" s="11">
        <v>29227</v>
      </c>
      <c r="P127" s="11">
        <v>59256</v>
      </c>
    </row>
    <row r="128" spans="1:16" s="14" customFormat="1" ht="12" x14ac:dyDescent="0.2">
      <c r="A128" s="217">
        <v>115</v>
      </c>
      <c r="B128" s="13" t="s">
        <v>44</v>
      </c>
      <c r="C128" s="11">
        <f t="shared" si="1"/>
        <v>38453</v>
      </c>
      <c r="D128" s="11"/>
      <c r="E128" s="11">
        <v>3505</v>
      </c>
      <c r="F128" s="11">
        <v>918</v>
      </c>
      <c r="G128" s="11">
        <v>45</v>
      </c>
      <c r="H128" s="11">
        <v>4198</v>
      </c>
      <c r="I128" s="11">
        <v>4110</v>
      </c>
      <c r="J128" s="11">
        <v>0</v>
      </c>
      <c r="K128" s="11"/>
      <c r="L128" s="11"/>
      <c r="M128" s="11"/>
      <c r="N128" s="11"/>
      <c r="O128" s="11">
        <v>10114</v>
      </c>
      <c r="P128" s="11">
        <v>15563</v>
      </c>
    </row>
    <row r="129" spans="1:16" s="14" customFormat="1" ht="12" x14ac:dyDescent="0.2">
      <c r="A129" s="217">
        <v>116</v>
      </c>
      <c r="B129" s="10" t="s">
        <v>45</v>
      </c>
      <c r="C129" s="11">
        <f t="shared" si="1"/>
        <v>63390</v>
      </c>
      <c r="D129" s="11"/>
      <c r="E129" s="11">
        <v>5731</v>
      </c>
      <c r="F129" s="11">
        <v>1481</v>
      </c>
      <c r="G129" s="11">
        <v>72</v>
      </c>
      <c r="H129" s="11">
        <v>7556</v>
      </c>
      <c r="I129" s="11">
        <v>6080</v>
      </c>
      <c r="J129" s="11">
        <v>0</v>
      </c>
      <c r="K129" s="11"/>
      <c r="L129" s="11"/>
      <c r="M129" s="11"/>
      <c r="N129" s="11"/>
      <c r="O129" s="11">
        <v>8916</v>
      </c>
      <c r="P129" s="11">
        <v>33554</v>
      </c>
    </row>
    <row r="130" spans="1:16" s="14" customFormat="1" ht="12" x14ac:dyDescent="0.2">
      <c r="A130" s="217">
        <v>117</v>
      </c>
      <c r="B130" s="13" t="s">
        <v>46</v>
      </c>
      <c r="C130" s="11">
        <f t="shared" si="1"/>
        <v>61010</v>
      </c>
      <c r="D130" s="11"/>
      <c r="E130" s="11">
        <v>5189</v>
      </c>
      <c r="F130" s="11">
        <v>1396</v>
      </c>
      <c r="G130" s="11">
        <v>90</v>
      </c>
      <c r="H130" s="11">
        <v>8666</v>
      </c>
      <c r="I130" s="11">
        <v>6224</v>
      </c>
      <c r="J130" s="11">
        <v>0</v>
      </c>
      <c r="K130" s="11"/>
      <c r="L130" s="11"/>
      <c r="M130" s="11">
        <v>670</v>
      </c>
      <c r="N130" s="11"/>
      <c r="O130" s="11">
        <v>12372</v>
      </c>
      <c r="P130" s="11">
        <v>26403</v>
      </c>
    </row>
    <row r="131" spans="1:16" s="14" customFormat="1" ht="12" x14ac:dyDescent="0.2">
      <c r="A131" s="217">
        <v>118</v>
      </c>
      <c r="B131" s="13" t="s">
        <v>47</v>
      </c>
      <c r="C131" s="11">
        <f t="shared" si="1"/>
        <v>87230</v>
      </c>
      <c r="D131" s="11">
        <f>11216+1486</f>
        <v>12702</v>
      </c>
      <c r="E131" s="11">
        <v>5248</v>
      </c>
      <c r="F131" s="11">
        <v>1339</v>
      </c>
      <c r="G131" s="11">
        <v>61</v>
      </c>
      <c r="H131" s="11">
        <v>9566</v>
      </c>
      <c r="I131" s="11">
        <v>7885</v>
      </c>
      <c r="J131" s="11">
        <v>1464</v>
      </c>
      <c r="K131" s="11">
        <v>1025</v>
      </c>
      <c r="L131" s="11">
        <v>439</v>
      </c>
      <c r="M131" s="11"/>
      <c r="N131" s="11"/>
      <c r="O131" s="11">
        <v>9040</v>
      </c>
      <c r="P131" s="11">
        <v>39925</v>
      </c>
    </row>
    <row r="132" spans="1:16" s="14" customFormat="1" ht="12" x14ac:dyDescent="0.2">
      <c r="A132" s="217">
        <v>119</v>
      </c>
      <c r="B132" s="10" t="s">
        <v>48</v>
      </c>
      <c r="C132" s="11">
        <f t="shared" si="1"/>
        <v>47030</v>
      </c>
      <c r="D132" s="11"/>
      <c r="E132" s="11">
        <v>4161</v>
      </c>
      <c r="F132" s="11">
        <v>1201</v>
      </c>
      <c r="G132" s="11">
        <v>113</v>
      </c>
      <c r="H132" s="11">
        <v>6712</v>
      </c>
      <c r="I132" s="11">
        <v>4583</v>
      </c>
      <c r="J132" s="11">
        <v>0</v>
      </c>
      <c r="K132" s="11"/>
      <c r="L132" s="11"/>
      <c r="M132" s="11"/>
      <c r="N132" s="11"/>
      <c r="O132" s="11">
        <v>11432</v>
      </c>
      <c r="P132" s="11">
        <v>18828</v>
      </c>
    </row>
    <row r="133" spans="1:16" s="14" customFormat="1" ht="12" x14ac:dyDescent="0.2">
      <c r="A133" s="217">
        <v>120</v>
      </c>
      <c r="B133" s="13" t="s">
        <v>49</v>
      </c>
      <c r="C133" s="11">
        <f t="shared" si="1"/>
        <v>70875</v>
      </c>
      <c r="D133" s="11"/>
      <c r="E133" s="11">
        <v>6228</v>
      </c>
      <c r="F133" s="11">
        <v>1685</v>
      </c>
      <c r="G133" s="11">
        <v>76</v>
      </c>
      <c r="H133" s="11">
        <v>10051</v>
      </c>
      <c r="I133" s="11">
        <v>6096</v>
      </c>
      <c r="J133" s="11">
        <v>0</v>
      </c>
      <c r="K133" s="11"/>
      <c r="L133" s="11"/>
      <c r="M133" s="11"/>
      <c r="N133" s="11"/>
      <c r="O133" s="11">
        <v>10947</v>
      </c>
      <c r="P133" s="11">
        <v>35792</v>
      </c>
    </row>
    <row r="134" spans="1:16" s="14" customFormat="1" ht="12" x14ac:dyDescent="0.2">
      <c r="A134" s="217">
        <v>121</v>
      </c>
      <c r="B134" s="13" t="s">
        <v>50</v>
      </c>
      <c r="C134" s="11">
        <f t="shared" si="1"/>
        <v>114911</v>
      </c>
      <c r="D134" s="11">
        <v>20</v>
      </c>
      <c r="E134" s="11">
        <v>9969</v>
      </c>
      <c r="F134" s="11">
        <v>2463</v>
      </c>
      <c r="G134" s="11">
        <v>75</v>
      </c>
      <c r="H134" s="11">
        <v>17117</v>
      </c>
      <c r="I134" s="11">
        <v>13814</v>
      </c>
      <c r="J134" s="11">
        <v>0</v>
      </c>
      <c r="K134" s="11"/>
      <c r="L134" s="11"/>
      <c r="M134" s="11"/>
      <c r="N134" s="11"/>
      <c r="O134" s="11">
        <v>19852</v>
      </c>
      <c r="P134" s="11">
        <v>51601</v>
      </c>
    </row>
    <row r="135" spans="1:16" s="14" customFormat="1" ht="12" x14ac:dyDescent="0.2">
      <c r="A135" s="217">
        <v>122</v>
      </c>
      <c r="B135" s="13" t="s">
        <v>51</v>
      </c>
      <c r="C135" s="11">
        <f t="shared" si="1"/>
        <v>54994</v>
      </c>
      <c r="D135" s="11"/>
      <c r="E135" s="11">
        <v>4793</v>
      </c>
      <c r="F135" s="11">
        <v>1199</v>
      </c>
      <c r="G135" s="11">
        <v>112</v>
      </c>
      <c r="H135" s="11">
        <v>7971</v>
      </c>
      <c r="I135" s="11">
        <v>6190</v>
      </c>
      <c r="J135" s="11">
        <v>0</v>
      </c>
      <c r="K135" s="11"/>
      <c r="L135" s="11"/>
      <c r="M135" s="11"/>
      <c r="N135" s="11"/>
      <c r="O135" s="11">
        <v>7145</v>
      </c>
      <c r="P135" s="11">
        <v>27584</v>
      </c>
    </row>
    <row r="136" spans="1:16" s="14" customFormat="1" ht="21" customHeight="1" x14ac:dyDescent="0.2">
      <c r="A136" s="217">
        <v>123</v>
      </c>
      <c r="B136" s="19" t="s">
        <v>59</v>
      </c>
      <c r="C136" s="11">
        <f t="shared" si="1"/>
        <v>52288</v>
      </c>
      <c r="D136" s="11"/>
      <c r="E136" s="11">
        <v>3994</v>
      </c>
      <c r="F136" s="11">
        <v>989</v>
      </c>
      <c r="G136" s="11">
        <v>0</v>
      </c>
      <c r="H136" s="11">
        <v>6758</v>
      </c>
      <c r="I136" s="11">
        <v>0</v>
      </c>
      <c r="J136" s="11">
        <v>3080</v>
      </c>
      <c r="K136" s="11">
        <v>2156</v>
      </c>
      <c r="L136" s="11">
        <v>924</v>
      </c>
      <c r="M136" s="11"/>
      <c r="N136" s="11"/>
      <c r="O136" s="11">
        <v>4577</v>
      </c>
      <c r="P136" s="11">
        <v>32890</v>
      </c>
    </row>
    <row r="137" spans="1:16" s="14" customFormat="1" ht="12" x14ac:dyDescent="0.2">
      <c r="A137" s="217">
        <v>124</v>
      </c>
      <c r="B137" s="19" t="s">
        <v>170</v>
      </c>
      <c r="C137" s="11">
        <f t="shared" ref="C137:C173" si="2">D137+E137+F137+G137+H137+I137+J137+M137+N137+O137+P137</f>
        <v>0</v>
      </c>
      <c r="D137" s="11"/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/>
      <c r="L137" s="11"/>
      <c r="M137" s="11"/>
      <c r="N137" s="11">
        <v>0</v>
      </c>
      <c r="O137" s="11"/>
      <c r="P137" s="11">
        <v>0</v>
      </c>
    </row>
    <row r="138" spans="1:16" s="14" customFormat="1" ht="12" x14ac:dyDescent="0.2">
      <c r="A138" s="217">
        <v>125</v>
      </c>
      <c r="B138" s="19" t="s">
        <v>171</v>
      </c>
      <c r="C138" s="11">
        <f t="shared" si="2"/>
        <v>25</v>
      </c>
      <c r="D138" s="11"/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/>
      <c r="L138" s="11"/>
      <c r="M138" s="11"/>
      <c r="N138" s="11">
        <v>25</v>
      </c>
      <c r="O138" s="11"/>
      <c r="P138" s="11">
        <v>0</v>
      </c>
    </row>
    <row r="139" spans="1:16" s="18" customFormat="1" ht="12.75" customHeight="1" x14ac:dyDescent="0.2">
      <c r="A139" s="217">
        <v>126</v>
      </c>
      <c r="B139" s="13" t="s">
        <v>172</v>
      </c>
      <c r="C139" s="11">
        <f t="shared" si="2"/>
        <v>0</v>
      </c>
      <c r="D139" s="11"/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/>
      <c r="L139" s="11"/>
      <c r="M139" s="11"/>
      <c r="N139" s="11"/>
      <c r="O139" s="11"/>
      <c r="P139" s="11">
        <v>0</v>
      </c>
    </row>
    <row r="140" spans="1:16" s="14" customFormat="1" ht="12" x14ac:dyDescent="0.2">
      <c r="A140" s="217">
        <v>127</v>
      </c>
      <c r="B140" s="13" t="s">
        <v>173</v>
      </c>
      <c r="C140" s="11">
        <f t="shared" si="2"/>
        <v>1</v>
      </c>
      <c r="D140" s="11"/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/>
      <c r="L140" s="11"/>
      <c r="M140" s="11"/>
      <c r="N140" s="11">
        <v>1</v>
      </c>
      <c r="O140" s="11"/>
      <c r="P140" s="11">
        <v>0</v>
      </c>
    </row>
    <row r="141" spans="1:16" s="14" customFormat="1" ht="12" x14ac:dyDescent="0.2">
      <c r="A141" s="217">
        <v>128</v>
      </c>
      <c r="B141" s="13" t="s">
        <v>174</v>
      </c>
      <c r="C141" s="11">
        <f t="shared" si="2"/>
        <v>0</v>
      </c>
      <c r="D141" s="11"/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/>
      <c r="L141" s="11"/>
      <c r="M141" s="11"/>
      <c r="N141" s="11">
        <v>0</v>
      </c>
      <c r="O141" s="11"/>
      <c r="P141" s="11">
        <v>0</v>
      </c>
    </row>
    <row r="142" spans="1:16" s="20" customFormat="1" ht="12" x14ac:dyDescent="0.2">
      <c r="A142" s="217">
        <v>129</v>
      </c>
      <c r="B142" s="10" t="s">
        <v>175</v>
      </c>
      <c r="C142" s="11">
        <f t="shared" si="2"/>
        <v>100</v>
      </c>
      <c r="D142" s="11"/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/>
      <c r="L142" s="11"/>
      <c r="M142" s="11"/>
      <c r="N142" s="11">
        <v>100</v>
      </c>
      <c r="O142" s="11"/>
      <c r="P142" s="11">
        <v>0</v>
      </c>
    </row>
    <row r="143" spans="1:16" x14ac:dyDescent="0.25">
      <c r="A143" s="217">
        <v>130</v>
      </c>
      <c r="B143" s="13" t="s">
        <v>176</v>
      </c>
      <c r="C143" s="11">
        <f t="shared" si="2"/>
        <v>0</v>
      </c>
      <c r="D143" s="11"/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/>
      <c r="L143" s="11"/>
      <c r="M143" s="11"/>
      <c r="N143" s="11">
        <v>0</v>
      </c>
      <c r="O143" s="11"/>
      <c r="P143" s="11">
        <v>0</v>
      </c>
    </row>
    <row r="144" spans="1:16" x14ac:dyDescent="0.25">
      <c r="A144" s="217">
        <v>131</v>
      </c>
      <c r="B144" s="13" t="s">
        <v>177</v>
      </c>
      <c r="C144" s="11">
        <f t="shared" si="2"/>
        <v>50</v>
      </c>
      <c r="D144" s="11"/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/>
      <c r="L144" s="11"/>
      <c r="M144" s="11"/>
      <c r="N144" s="11">
        <v>50</v>
      </c>
      <c r="O144" s="11"/>
      <c r="P144" s="11">
        <v>0</v>
      </c>
    </row>
    <row r="145" spans="1:16" x14ac:dyDescent="0.25">
      <c r="A145" s="217">
        <v>132</v>
      </c>
      <c r="B145" s="13" t="s">
        <v>178</v>
      </c>
      <c r="C145" s="11">
        <f t="shared" si="2"/>
        <v>40</v>
      </c>
      <c r="D145" s="11"/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/>
      <c r="L145" s="11"/>
      <c r="M145" s="11"/>
      <c r="N145" s="11">
        <v>40</v>
      </c>
      <c r="O145" s="11"/>
      <c r="P145" s="11">
        <v>0</v>
      </c>
    </row>
    <row r="146" spans="1:16" x14ac:dyDescent="0.25">
      <c r="A146" s="217">
        <v>133</v>
      </c>
      <c r="B146" s="13" t="s">
        <v>179</v>
      </c>
      <c r="C146" s="11">
        <f t="shared" si="2"/>
        <v>32</v>
      </c>
      <c r="D146" s="11"/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/>
      <c r="L146" s="11"/>
      <c r="M146" s="11"/>
      <c r="N146" s="11">
        <v>32</v>
      </c>
      <c r="O146" s="11"/>
      <c r="P146" s="11">
        <v>0</v>
      </c>
    </row>
    <row r="147" spans="1:16" x14ac:dyDescent="0.25">
      <c r="A147" s="217">
        <v>134</v>
      </c>
      <c r="B147" s="13" t="s">
        <v>180</v>
      </c>
      <c r="C147" s="11">
        <f t="shared" si="2"/>
        <v>0</v>
      </c>
      <c r="D147" s="11"/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/>
      <c r="L147" s="11"/>
      <c r="M147" s="11"/>
      <c r="N147" s="11">
        <v>0</v>
      </c>
      <c r="O147" s="11"/>
      <c r="P147" s="11">
        <v>0</v>
      </c>
    </row>
    <row r="148" spans="1:16" x14ac:dyDescent="0.25">
      <c r="A148" s="217">
        <v>135</v>
      </c>
      <c r="B148" s="13" t="s">
        <v>181</v>
      </c>
      <c r="C148" s="11">
        <f t="shared" si="2"/>
        <v>25</v>
      </c>
      <c r="D148" s="11"/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/>
      <c r="L148" s="11"/>
      <c r="M148" s="11"/>
      <c r="N148" s="11">
        <v>25</v>
      </c>
      <c r="O148" s="11"/>
      <c r="P148" s="11">
        <v>0</v>
      </c>
    </row>
    <row r="149" spans="1:16" x14ac:dyDescent="0.25">
      <c r="A149" s="217">
        <v>136</v>
      </c>
      <c r="B149" s="13" t="s">
        <v>60</v>
      </c>
      <c r="C149" s="11">
        <f t="shared" si="2"/>
        <v>382</v>
      </c>
      <c r="D149" s="11"/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/>
      <c r="L149" s="11"/>
      <c r="M149" s="11"/>
      <c r="N149" s="11">
        <v>382</v>
      </c>
      <c r="O149" s="11"/>
      <c r="P149" s="11">
        <v>0</v>
      </c>
    </row>
    <row r="150" spans="1:16" x14ac:dyDescent="0.25">
      <c r="A150" s="217">
        <v>137</v>
      </c>
      <c r="B150" s="13" t="s">
        <v>182</v>
      </c>
      <c r="C150" s="11">
        <f t="shared" si="2"/>
        <v>90</v>
      </c>
      <c r="D150" s="11"/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/>
      <c r="L150" s="11"/>
      <c r="M150" s="11"/>
      <c r="N150" s="11">
        <v>90</v>
      </c>
      <c r="O150" s="11"/>
      <c r="P150" s="11">
        <v>0</v>
      </c>
    </row>
    <row r="151" spans="1:16" x14ac:dyDescent="0.25">
      <c r="A151" s="217">
        <v>138</v>
      </c>
      <c r="B151" s="13" t="s">
        <v>183</v>
      </c>
      <c r="C151" s="11">
        <f t="shared" si="2"/>
        <v>82</v>
      </c>
      <c r="D151" s="11"/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/>
      <c r="L151" s="11"/>
      <c r="M151" s="11"/>
      <c r="N151" s="11">
        <v>82</v>
      </c>
      <c r="O151" s="11"/>
      <c r="P151" s="11">
        <v>0</v>
      </c>
    </row>
    <row r="152" spans="1:16" x14ac:dyDescent="0.25">
      <c r="A152" s="217">
        <v>139</v>
      </c>
      <c r="B152" s="13" t="s">
        <v>184</v>
      </c>
      <c r="C152" s="11">
        <f t="shared" si="2"/>
        <v>32</v>
      </c>
      <c r="D152" s="11"/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/>
      <c r="L152" s="11"/>
      <c r="M152" s="11"/>
      <c r="N152" s="11">
        <v>32</v>
      </c>
      <c r="O152" s="11"/>
      <c r="P152" s="11">
        <v>0</v>
      </c>
    </row>
    <row r="153" spans="1:16" x14ac:dyDescent="0.25">
      <c r="A153" s="217">
        <v>140</v>
      </c>
      <c r="B153" s="13" t="s">
        <v>185</v>
      </c>
      <c r="C153" s="11">
        <f t="shared" si="2"/>
        <v>25</v>
      </c>
      <c r="D153" s="11"/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/>
      <c r="L153" s="11"/>
      <c r="M153" s="11"/>
      <c r="N153" s="11">
        <v>25</v>
      </c>
      <c r="O153" s="11"/>
      <c r="P153" s="11">
        <v>0</v>
      </c>
    </row>
    <row r="154" spans="1:16" x14ac:dyDescent="0.25">
      <c r="A154" s="217">
        <v>141</v>
      </c>
      <c r="B154" s="13" t="s">
        <v>186</v>
      </c>
      <c r="C154" s="11">
        <f t="shared" si="2"/>
        <v>32</v>
      </c>
      <c r="D154" s="11"/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/>
      <c r="L154" s="11"/>
      <c r="M154" s="11"/>
      <c r="N154" s="11">
        <v>32</v>
      </c>
      <c r="O154" s="11"/>
      <c r="P154" s="11">
        <v>0</v>
      </c>
    </row>
    <row r="155" spans="1:16" ht="16.5" x14ac:dyDescent="0.25">
      <c r="A155" s="217">
        <v>142</v>
      </c>
      <c r="B155" s="13" t="s">
        <v>187</v>
      </c>
      <c r="C155" s="11">
        <f t="shared" si="2"/>
        <v>32</v>
      </c>
      <c r="D155" s="11"/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/>
      <c r="L155" s="11"/>
      <c r="M155" s="11"/>
      <c r="N155" s="11">
        <v>32</v>
      </c>
      <c r="O155" s="11"/>
      <c r="P155" s="11">
        <v>0</v>
      </c>
    </row>
    <row r="156" spans="1:16" x14ac:dyDescent="0.25">
      <c r="A156" s="217">
        <v>143</v>
      </c>
      <c r="B156" s="13" t="s">
        <v>188</v>
      </c>
      <c r="C156" s="11">
        <f t="shared" si="2"/>
        <v>32</v>
      </c>
      <c r="D156" s="11"/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/>
      <c r="L156" s="11"/>
      <c r="M156" s="11"/>
      <c r="N156" s="11">
        <v>32</v>
      </c>
      <c r="O156" s="11"/>
      <c r="P156" s="11">
        <v>0</v>
      </c>
    </row>
    <row r="157" spans="1:16" x14ac:dyDescent="0.25">
      <c r="A157" s="217">
        <v>144</v>
      </c>
      <c r="B157" s="13" t="s">
        <v>189</v>
      </c>
      <c r="C157" s="11">
        <f t="shared" si="2"/>
        <v>0</v>
      </c>
      <c r="D157" s="11"/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/>
      <c r="L157" s="11"/>
      <c r="M157" s="11"/>
      <c r="N157" s="11">
        <v>0</v>
      </c>
      <c r="O157" s="11"/>
      <c r="P157" s="11">
        <v>0</v>
      </c>
    </row>
    <row r="158" spans="1:16" x14ac:dyDescent="0.25">
      <c r="A158" s="217">
        <v>145</v>
      </c>
      <c r="B158" s="13" t="s">
        <v>190</v>
      </c>
      <c r="C158" s="11">
        <f t="shared" si="2"/>
        <v>0</v>
      </c>
      <c r="D158" s="11"/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/>
      <c r="L158" s="11"/>
      <c r="M158" s="11"/>
      <c r="N158" s="11">
        <v>0</v>
      </c>
      <c r="O158" s="11"/>
      <c r="P158" s="11">
        <v>0</v>
      </c>
    </row>
    <row r="159" spans="1:16" x14ac:dyDescent="0.25">
      <c r="A159" s="217">
        <v>146</v>
      </c>
      <c r="B159" s="13" t="s">
        <v>81</v>
      </c>
      <c r="C159" s="11">
        <f t="shared" si="2"/>
        <v>229358</v>
      </c>
      <c r="D159" s="11"/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/>
      <c r="L159" s="11"/>
      <c r="M159" s="11">
        <v>229358</v>
      </c>
      <c r="N159" s="11"/>
      <c r="O159" s="11"/>
      <c r="P159" s="11">
        <v>0</v>
      </c>
    </row>
    <row r="160" spans="1:16" x14ac:dyDescent="0.25">
      <c r="A160" s="217">
        <v>147</v>
      </c>
      <c r="B160" s="13" t="s">
        <v>86</v>
      </c>
      <c r="C160" s="11">
        <f t="shared" si="2"/>
        <v>124000</v>
      </c>
      <c r="D160" s="11"/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/>
      <c r="L160" s="11"/>
      <c r="M160" s="11">
        <v>124000</v>
      </c>
      <c r="N160" s="11"/>
      <c r="O160" s="11"/>
      <c r="P160" s="11">
        <v>0</v>
      </c>
    </row>
    <row r="161" spans="1:16" x14ac:dyDescent="0.25">
      <c r="A161" s="217">
        <v>148</v>
      </c>
      <c r="B161" s="13" t="s">
        <v>61</v>
      </c>
      <c r="C161" s="11">
        <f t="shared" si="2"/>
        <v>81000</v>
      </c>
      <c r="D161" s="11"/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/>
      <c r="L161" s="11"/>
      <c r="M161" s="11">
        <v>81000</v>
      </c>
      <c r="N161" s="11"/>
      <c r="O161" s="11"/>
      <c r="P161" s="11">
        <v>0</v>
      </c>
    </row>
    <row r="162" spans="1:16" x14ac:dyDescent="0.25">
      <c r="A162" s="217">
        <v>149</v>
      </c>
      <c r="B162" s="13" t="s">
        <v>69</v>
      </c>
      <c r="C162" s="11">
        <f t="shared" si="2"/>
        <v>113000</v>
      </c>
      <c r="D162" s="11"/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/>
      <c r="L162" s="11"/>
      <c r="M162" s="11">
        <v>113000</v>
      </c>
      <c r="N162" s="11"/>
      <c r="O162" s="11"/>
      <c r="P162" s="11">
        <v>0</v>
      </c>
    </row>
    <row r="163" spans="1:16" x14ac:dyDescent="0.25">
      <c r="A163" s="217">
        <v>150</v>
      </c>
      <c r="B163" s="13" t="s">
        <v>62</v>
      </c>
      <c r="C163" s="11">
        <f t="shared" si="2"/>
        <v>7873</v>
      </c>
      <c r="D163" s="11"/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/>
      <c r="L163" s="11"/>
      <c r="M163" s="11">
        <v>7873</v>
      </c>
      <c r="N163" s="11">
        <v>0</v>
      </c>
      <c r="O163" s="11"/>
      <c r="P163" s="11">
        <v>0</v>
      </c>
    </row>
    <row r="164" spans="1:16" x14ac:dyDescent="0.25">
      <c r="A164" s="217">
        <v>151</v>
      </c>
      <c r="B164" s="13" t="s">
        <v>84</v>
      </c>
      <c r="C164" s="11">
        <f t="shared" si="2"/>
        <v>65356</v>
      </c>
      <c r="D164" s="11"/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/>
      <c r="L164" s="11"/>
      <c r="M164" s="11">
        <v>65356</v>
      </c>
      <c r="N164" s="11"/>
      <c r="O164" s="11"/>
      <c r="P164" s="11">
        <v>0</v>
      </c>
    </row>
    <row r="165" spans="1:16" x14ac:dyDescent="0.25">
      <c r="A165" s="217">
        <v>152</v>
      </c>
      <c r="B165" s="13" t="s">
        <v>83</v>
      </c>
      <c r="C165" s="11">
        <f t="shared" si="2"/>
        <v>54704</v>
      </c>
      <c r="D165" s="11"/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/>
      <c r="L165" s="11"/>
      <c r="M165" s="11">
        <v>4000</v>
      </c>
      <c r="N165" s="11">
        <v>50704</v>
      </c>
      <c r="O165" s="11"/>
      <c r="P165" s="11">
        <v>0</v>
      </c>
    </row>
    <row r="166" spans="1:16" x14ac:dyDescent="0.25">
      <c r="A166" s="217">
        <v>153</v>
      </c>
      <c r="B166" s="13" t="s">
        <v>80</v>
      </c>
      <c r="C166" s="11">
        <f t="shared" si="2"/>
        <v>68000</v>
      </c>
      <c r="D166" s="11"/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/>
      <c r="L166" s="11"/>
      <c r="M166" s="11">
        <v>68000</v>
      </c>
      <c r="N166" s="11"/>
      <c r="O166" s="11"/>
      <c r="P166" s="11">
        <v>0</v>
      </c>
    </row>
    <row r="167" spans="1:16" x14ac:dyDescent="0.25">
      <c r="A167" s="217">
        <v>154</v>
      </c>
      <c r="B167" s="13" t="s">
        <v>63</v>
      </c>
      <c r="C167" s="11">
        <f t="shared" si="2"/>
        <v>18984</v>
      </c>
      <c r="D167" s="11">
        <f>20199-1215</f>
        <v>18984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/>
      <c r="L167" s="11"/>
      <c r="M167" s="11"/>
      <c r="N167" s="11"/>
      <c r="O167" s="11"/>
      <c r="P167" s="11">
        <v>0</v>
      </c>
    </row>
    <row r="168" spans="1:16" x14ac:dyDescent="0.25">
      <c r="A168" s="217">
        <v>155</v>
      </c>
      <c r="B168" s="13" t="s">
        <v>64</v>
      </c>
      <c r="C168" s="11">
        <f t="shared" si="2"/>
        <v>57392</v>
      </c>
      <c r="D168" s="11"/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4392</v>
      </c>
      <c r="K168" s="11">
        <v>3074</v>
      </c>
      <c r="L168" s="11">
        <v>1318</v>
      </c>
      <c r="M168" s="11">
        <v>53000</v>
      </c>
      <c r="N168" s="11"/>
      <c r="O168" s="11"/>
      <c r="P168" s="11">
        <v>0</v>
      </c>
    </row>
    <row r="169" spans="1:16" x14ac:dyDescent="0.25">
      <c r="A169" s="217">
        <v>156</v>
      </c>
      <c r="B169" s="13" t="s">
        <v>70</v>
      </c>
      <c r="C169" s="11">
        <f t="shared" si="2"/>
        <v>800</v>
      </c>
      <c r="D169" s="11"/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/>
      <c r="L169" s="11"/>
      <c r="M169" s="11">
        <v>800</v>
      </c>
      <c r="N169" s="11"/>
      <c r="O169" s="11"/>
      <c r="P169" s="11">
        <v>0</v>
      </c>
    </row>
    <row r="170" spans="1:16" x14ac:dyDescent="0.25">
      <c r="A170" s="328">
        <v>157</v>
      </c>
      <c r="B170" s="13" t="s">
        <v>191</v>
      </c>
      <c r="C170" s="11">
        <f t="shared" si="2"/>
        <v>114855</v>
      </c>
      <c r="D170" s="11"/>
      <c r="E170" s="11">
        <v>7870</v>
      </c>
      <c r="F170" s="11">
        <v>2117</v>
      </c>
      <c r="G170" s="11">
        <v>0</v>
      </c>
      <c r="H170" s="11">
        <v>20368</v>
      </c>
      <c r="I170" s="11">
        <v>0</v>
      </c>
      <c r="J170" s="11">
        <v>0</v>
      </c>
      <c r="K170" s="11"/>
      <c r="L170" s="11"/>
      <c r="M170" s="11">
        <f>2686+1500</f>
        <v>4186</v>
      </c>
      <c r="N170" s="11"/>
      <c r="O170" s="11">
        <v>35950</v>
      </c>
      <c r="P170" s="11">
        <v>44364</v>
      </c>
    </row>
    <row r="171" spans="1:16" ht="28.5" customHeight="1" x14ac:dyDescent="0.25">
      <c r="A171" s="328"/>
      <c r="B171" s="21" t="s">
        <v>65</v>
      </c>
      <c r="C171" s="11">
        <f t="shared" si="2"/>
        <v>160816</v>
      </c>
      <c r="D171" s="11"/>
      <c r="E171" s="11">
        <v>12440</v>
      </c>
      <c r="F171" s="11">
        <v>3394</v>
      </c>
      <c r="G171" s="11">
        <v>165</v>
      </c>
      <c r="H171" s="11">
        <v>20482</v>
      </c>
      <c r="I171" s="11">
        <v>19674</v>
      </c>
      <c r="J171" s="11">
        <v>0</v>
      </c>
      <c r="K171" s="11"/>
      <c r="L171" s="11"/>
      <c r="M171" s="11"/>
      <c r="N171" s="11"/>
      <c r="O171" s="11">
        <v>20230</v>
      </c>
      <c r="P171" s="11">
        <v>84431</v>
      </c>
    </row>
    <row r="172" spans="1:16" x14ac:dyDescent="0.25">
      <c r="A172" s="217">
        <v>158</v>
      </c>
      <c r="B172" s="13" t="s">
        <v>192</v>
      </c>
      <c r="C172" s="11">
        <f t="shared" si="2"/>
        <v>3000</v>
      </c>
      <c r="D172" s="11"/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/>
      <c r="L172" s="11"/>
      <c r="M172" s="11">
        <v>3000</v>
      </c>
      <c r="N172" s="11"/>
      <c r="O172" s="11"/>
      <c r="P172" s="11">
        <v>0</v>
      </c>
    </row>
    <row r="173" spans="1:16" x14ac:dyDescent="0.25">
      <c r="A173" s="217">
        <v>159</v>
      </c>
      <c r="B173" s="13" t="s">
        <v>193</v>
      </c>
      <c r="C173" s="11">
        <f t="shared" si="2"/>
        <v>9430</v>
      </c>
      <c r="D173" s="11"/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/>
      <c r="L173" s="11"/>
      <c r="M173" s="11">
        <v>9430</v>
      </c>
      <c r="N173" s="11"/>
      <c r="O173" s="11"/>
      <c r="P173" s="11">
        <v>0</v>
      </c>
    </row>
    <row r="174" spans="1:16" x14ac:dyDescent="0.25">
      <c r="A174" s="22"/>
      <c r="B174" s="13" t="s">
        <v>66</v>
      </c>
      <c r="C174" s="11">
        <f>315480-137-900</f>
        <v>314443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x14ac:dyDescent="0.25">
      <c r="A175" s="23"/>
      <c r="B175" s="23" t="s">
        <v>52</v>
      </c>
      <c r="C175" s="24">
        <f>SUM(C8:C174)</f>
        <v>11685415.800000001</v>
      </c>
      <c r="D175" s="24">
        <f t="shared" ref="D175:P175" si="3">SUM(D8:D174)</f>
        <v>405744</v>
      </c>
      <c r="E175" s="24">
        <f>SUM(E8:E174)</f>
        <v>764740</v>
      </c>
      <c r="F175" s="24">
        <f t="shared" ref="F175:I175" si="4">SUM(F8:F174)</f>
        <v>204950</v>
      </c>
      <c r="G175" s="24">
        <f t="shared" si="4"/>
        <v>11791</v>
      </c>
      <c r="H175" s="24">
        <f t="shared" si="4"/>
        <v>1482336</v>
      </c>
      <c r="I175" s="24">
        <f t="shared" si="4"/>
        <v>946556</v>
      </c>
      <c r="J175" s="24">
        <f t="shared" si="3"/>
        <v>51239.8</v>
      </c>
      <c r="K175" s="24">
        <f t="shared" si="3"/>
        <v>35872.800000000003</v>
      </c>
      <c r="L175" s="24">
        <f t="shared" si="3"/>
        <v>15367</v>
      </c>
      <c r="M175" s="24">
        <f t="shared" si="3"/>
        <v>812271</v>
      </c>
      <c r="N175" s="24">
        <f t="shared" si="3"/>
        <v>293816</v>
      </c>
      <c r="O175" s="24">
        <f t="shared" si="3"/>
        <v>1419119</v>
      </c>
      <c r="P175" s="24">
        <f t="shared" si="3"/>
        <v>4978410</v>
      </c>
    </row>
    <row r="176" spans="1:16" x14ac:dyDescent="0.2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2:16" x14ac:dyDescent="0.25">
      <c r="B177" s="27"/>
      <c r="C177" s="25"/>
      <c r="D177" s="25"/>
      <c r="E177" s="25"/>
      <c r="F177" s="25"/>
      <c r="G177" s="26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2:16" x14ac:dyDescent="0.25">
      <c r="B178" s="5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2:16" x14ac:dyDescent="0.25">
      <c r="J179" s="5"/>
      <c r="M179" s="29"/>
    </row>
    <row r="180" spans="2:16" x14ac:dyDescent="0.25">
      <c r="C180" s="12"/>
    </row>
  </sheetData>
  <mergeCells count="26">
    <mergeCell ref="A117:A118"/>
    <mergeCell ref="A170:A171"/>
    <mergeCell ref="E5:E6"/>
    <mergeCell ref="A12:A13"/>
    <mergeCell ref="A42:A43"/>
    <mergeCell ref="K4:L4"/>
    <mergeCell ref="M4:M6"/>
    <mergeCell ref="N4:N6"/>
    <mergeCell ref="A48:A50"/>
    <mergeCell ref="A53:A54"/>
    <mergeCell ref="O4:P5"/>
    <mergeCell ref="A1:P1"/>
    <mergeCell ref="O2:P2"/>
    <mergeCell ref="A3:A6"/>
    <mergeCell ref="B3:B6"/>
    <mergeCell ref="C3:C6"/>
    <mergeCell ref="D3:P3"/>
    <mergeCell ref="D4:D6"/>
    <mergeCell ref="E4:F4"/>
    <mergeCell ref="G4:G6"/>
    <mergeCell ref="H4:H6"/>
    <mergeCell ref="F5:F6"/>
    <mergeCell ref="K5:K6"/>
    <mergeCell ref="L5:L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73"/>
  <sheetViews>
    <sheetView zoomScale="130" zoomScaleNormal="130" workbookViewId="0">
      <pane xSplit="3" ySplit="7" topLeftCell="D158" activePane="bottomRight" state="frozen"/>
      <selection pane="topRight" activeCell="D1" sqref="D1"/>
      <selection pane="bottomLeft" activeCell="A8" sqref="A8"/>
      <selection pane="bottomRight" activeCell="F171" sqref="F171"/>
    </sheetView>
  </sheetViews>
  <sheetFormatPr defaultRowHeight="15" x14ac:dyDescent="0.25"/>
  <cols>
    <col min="1" max="1" width="4.28515625" style="5" customWidth="1"/>
    <col min="2" max="2" width="21.42578125" style="7" customWidth="1"/>
    <col min="3" max="4" width="7" style="5" customWidth="1"/>
    <col min="5" max="5" width="18" style="5" customWidth="1"/>
    <col min="6" max="6" width="10.85546875" style="5" customWidth="1"/>
    <col min="7" max="7" width="9.7109375" style="5" customWidth="1"/>
    <col min="8" max="8" width="8.5703125" style="5" customWidth="1"/>
    <col min="9" max="9" width="8.42578125" style="5" customWidth="1"/>
    <col min="10" max="10" width="7.42578125" style="5" customWidth="1"/>
    <col min="11" max="11" width="8" style="5" customWidth="1"/>
    <col min="12" max="13" width="12.5703125" style="5" customWidth="1"/>
    <col min="14" max="14" width="14" style="5" customWidth="1"/>
    <col min="15" max="16384" width="9.140625" style="5"/>
  </cols>
  <sheetData>
    <row r="1" spans="1:14" x14ac:dyDescent="0.25">
      <c r="A1" s="318" t="s">
        <v>87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4" ht="16.5" thickBot="1" x14ac:dyDescent="0.3">
      <c r="A2" s="6"/>
    </row>
    <row r="3" spans="1:14" s="9" customFormat="1" x14ac:dyDescent="0.25">
      <c r="A3" s="329" t="s">
        <v>0</v>
      </c>
      <c r="B3" s="332" t="s">
        <v>89</v>
      </c>
      <c r="C3" s="335" t="s">
        <v>90</v>
      </c>
      <c r="D3" s="338" t="s">
        <v>194</v>
      </c>
      <c r="E3" s="339"/>
      <c r="F3" s="339"/>
      <c r="G3" s="339"/>
      <c r="H3" s="339"/>
      <c r="I3" s="340"/>
      <c r="J3" s="341" t="s">
        <v>195</v>
      </c>
      <c r="K3" s="342"/>
      <c r="L3" s="342"/>
      <c r="M3" s="343"/>
    </row>
    <row r="4" spans="1:14" s="9" customFormat="1" x14ac:dyDescent="0.25">
      <c r="A4" s="330"/>
      <c r="B4" s="333"/>
      <c r="C4" s="336"/>
      <c r="D4" s="344" t="s">
        <v>52</v>
      </c>
      <c r="E4" s="324" t="s">
        <v>196</v>
      </c>
      <c r="F4" s="324"/>
      <c r="G4" s="324"/>
      <c r="H4" s="324"/>
      <c r="I4" s="345"/>
      <c r="J4" s="344" t="s">
        <v>52</v>
      </c>
      <c r="K4" s="317" t="s">
        <v>196</v>
      </c>
      <c r="L4" s="317"/>
      <c r="M4" s="346"/>
    </row>
    <row r="5" spans="1:14" s="30" customFormat="1" x14ac:dyDescent="0.25">
      <c r="A5" s="330"/>
      <c r="B5" s="333"/>
      <c r="C5" s="336"/>
      <c r="D5" s="344"/>
      <c r="E5" s="352" t="s">
        <v>197</v>
      </c>
      <c r="F5" s="353"/>
      <c r="G5" s="353" t="s">
        <v>198</v>
      </c>
      <c r="H5" s="353" t="s">
        <v>199</v>
      </c>
      <c r="I5" s="354" t="s">
        <v>200</v>
      </c>
      <c r="J5" s="344"/>
      <c r="K5" s="353" t="s">
        <v>201</v>
      </c>
      <c r="L5" s="353" t="s">
        <v>202</v>
      </c>
      <c r="M5" s="348" t="s">
        <v>203</v>
      </c>
    </row>
    <row r="6" spans="1:14" s="30" customFormat="1" ht="41.25" x14ac:dyDescent="0.25">
      <c r="A6" s="331"/>
      <c r="B6" s="334"/>
      <c r="C6" s="337"/>
      <c r="D6" s="344"/>
      <c r="E6" s="221" t="s">
        <v>204</v>
      </c>
      <c r="F6" s="222" t="s">
        <v>205</v>
      </c>
      <c r="G6" s="353"/>
      <c r="H6" s="353"/>
      <c r="I6" s="355"/>
      <c r="J6" s="344"/>
      <c r="K6" s="353"/>
      <c r="L6" s="353"/>
      <c r="M6" s="348"/>
    </row>
    <row r="7" spans="1:14" s="9" customFormat="1" x14ac:dyDescent="0.25">
      <c r="A7" s="223">
        <v>1</v>
      </c>
      <c r="B7" s="219">
        <v>2</v>
      </c>
      <c r="C7" s="31">
        <v>3</v>
      </c>
      <c r="D7" s="223">
        <v>4</v>
      </c>
      <c r="E7" s="218">
        <v>5</v>
      </c>
      <c r="F7" s="218">
        <v>6</v>
      </c>
      <c r="G7" s="218">
        <v>7</v>
      </c>
      <c r="H7" s="218">
        <v>8</v>
      </c>
      <c r="I7" s="224">
        <v>9</v>
      </c>
      <c r="J7" s="223">
        <v>10</v>
      </c>
      <c r="K7" s="218">
        <v>11</v>
      </c>
      <c r="L7" s="218">
        <v>12</v>
      </c>
      <c r="M7" s="224">
        <v>13</v>
      </c>
    </row>
    <row r="8" spans="1:14" s="12" customFormat="1" ht="12" x14ac:dyDescent="0.2">
      <c r="A8" s="220">
        <v>1</v>
      </c>
      <c r="B8" s="32" t="s">
        <v>1</v>
      </c>
      <c r="C8" s="33">
        <f>D8+J8</f>
        <v>154408</v>
      </c>
      <c r="D8" s="34">
        <f>E8+F8+G8+H8+I8</f>
        <v>102675</v>
      </c>
      <c r="E8" s="11">
        <v>34718</v>
      </c>
      <c r="F8" s="11">
        <v>10668</v>
      </c>
      <c r="G8" s="11">
        <v>2032</v>
      </c>
      <c r="H8" s="11">
        <v>37157</v>
      </c>
      <c r="I8" s="35">
        <v>18100</v>
      </c>
      <c r="J8" s="34">
        <f>K8+L8+M8</f>
        <v>51733</v>
      </c>
      <c r="K8" s="11">
        <v>19394</v>
      </c>
      <c r="L8" s="11">
        <v>11190</v>
      </c>
      <c r="M8" s="35">
        <v>21149</v>
      </c>
    </row>
    <row r="9" spans="1:14" s="12" customFormat="1" ht="16.5" x14ac:dyDescent="0.2">
      <c r="A9" s="220">
        <v>2</v>
      </c>
      <c r="B9" s="32" t="s">
        <v>106</v>
      </c>
      <c r="C9" s="33">
        <f t="shared" ref="C9:C73" si="0">D9+J9</f>
        <v>6000</v>
      </c>
      <c r="D9" s="34">
        <f t="shared" ref="D9:D73" si="1">E9+F9+G9+H9+I9</f>
        <v>0</v>
      </c>
      <c r="E9" s="11">
        <v>0</v>
      </c>
      <c r="F9" s="11">
        <v>0</v>
      </c>
      <c r="G9" s="11">
        <v>0</v>
      </c>
      <c r="H9" s="11">
        <v>0</v>
      </c>
      <c r="I9" s="35">
        <v>0</v>
      </c>
      <c r="J9" s="34">
        <f t="shared" ref="J9:J73" si="2">K9+L9+M9</f>
        <v>6000</v>
      </c>
      <c r="K9" s="11">
        <v>2682</v>
      </c>
      <c r="L9" s="11">
        <v>3318</v>
      </c>
      <c r="M9" s="35">
        <v>0</v>
      </c>
    </row>
    <row r="10" spans="1:14" s="14" customFormat="1" ht="12" x14ac:dyDescent="0.2">
      <c r="A10" s="220">
        <v>3</v>
      </c>
      <c r="B10" s="36" t="s">
        <v>2</v>
      </c>
      <c r="C10" s="33">
        <f t="shared" si="0"/>
        <v>162886</v>
      </c>
      <c r="D10" s="34">
        <f t="shared" si="1"/>
        <v>99259</v>
      </c>
      <c r="E10" s="11">
        <v>33183</v>
      </c>
      <c r="F10" s="11">
        <v>11157</v>
      </c>
      <c r="G10" s="11">
        <v>3065</v>
      </c>
      <c r="H10" s="11">
        <v>37951</v>
      </c>
      <c r="I10" s="35">
        <v>13903</v>
      </c>
      <c r="J10" s="34">
        <f t="shared" si="2"/>
        <v>63627</v>
      </c>
      <c r="K10" s="11">
        <v>43118</v>
      </c>
      <c r="L10" s="11">
        <v>4529</v>
      </c>
      <c r="M10" s="35">
        <v>15980</v>
      </c>
      <c r="N10" s="12"/>
    </row>
    <row r="11" spans="1:14" s="14" customFormat="1" ht="12" x14ac:dyDescent="0.2">
      <c r="A11" s="220">
        <v>4</v>
      </c>
      <c r="B11" s="36" t="s">
        <v>107</v>
      </c>
      <c r="C11" s="33">
        <f t="shared" si="0"/>
        <v>5340</v>
      </c>
      <c r="D11" s="34">
        <f t="shared" si="1"/>
        <v>0</v>
      </c>
      <c r="E11" s="37">
        <v>0</v>
      </c>
      <c r="F11" s="11">
        <v>0</v>
      </c>
      <c r="G11" s="11">
        <v>0</v>
      </c>
      <c r="H11" s="11">
        <v>0</v>
      </c>
      <c r="I11" s="35">
        <v>0</v>
      </c>
      <c r="J11" s="34">
        <f t="shared" si="2"/>
        <v>5340</v>
      </c>
      <c r="K11" s="11">
        <v>3195</v>
      </c>
      <c r="L11" s="11">
        <v>382</v>
      </c>
      <c r="M11" s="35">
        <v>1763</v>
      </c>
      <c r="N11" s="12"/>
    </row>
    <row r="12" spans="1:14" s="14" customFormat="1" ht="12" x14ac:dyDescent="0.2">
      <c r="A12" s="347">
        <v>5</v>
      </c>
      <c r="B12" s="38" t="s">
        <v>3</v>
      </c>
      <c r="C12" s="33">
        <f t="shared" si="0"/>
        <v>381735</v>
      </c>
      <c r="D12" s="34">
        <f t="shared" si="1"/>
        <v>244429</v>
      </c>
      <c r="E12" s="11">
        <v>90958</v>
      </c>
      <c r="F12" s="11">
        <v>26911</v>
      </c>
      <c r="G12" s="11">
        <v>8202</v>
      </c>
      <c r="H12" s="11">
        <v>84996</v>
      </c>
      <c r="I12" s="35">
        <v>33362</v>
      </c>
      <c r="J12" s="34">
        <f t="shared" si="2"/>
        <v>137306</v>
      </c>
      <c r="K12" s="11">
        <v>80692</v>
      </c>
      <c r="L12" s="11">
        <v>1338</v>
      </c>
      <c r="M12" s="35">
        <v>55276</v>
      </c>
      <c r="N12" s="12"/>
    </row>
    <row r="13" spans="1:14" s="14" customFormat="1" ht="33" x14ac:dyDescent="0.2">
      <c r="A13" s="347"/>
      <c r="B13" s="39" t="s">
        <v>108</v>
      </c>
      <c r="C13" s="33">
        <f t="shared" si="0"/>
        <v>48167</v>
      </c>
      <c r="D13" s="34">
        <f t="shared" si="1"/>
        <v>25468</v>
      </c>
      <c r="E13" s="11">
        <v>9882</v>
      </c>
      <c r="F13" s="11">
        <v>3536</v>
      </c>
      <c r="G13" s="11">
        <v>1094</v>
      </c>
      <c r="H13" s="11">
        <v>10956</v>
      </c>
      <c r="I13" s="35">
        <v>0</v>
      </c>
      <c r="J13" s="34">
        <f t="shared" si="2"/>
        <v>22699</v>
      </c>
      <c r="K13" s="11">
        <v>5179</v>
      </c>
      <c r="L13" s="11">
        <v>9312</v>
      </c>
      <c r="M13" s="35">
        <v>8208</v>
      </c>
      <c r="N13" s="12"/>
    </row>
    <row r="14" spans="1:14" s="14" customFormat="1" ht="12" x14ac:dyDescent="0.2">
      <c r="A14" s="220">
        <v>6</v>
      </c>
      <c r="B14" s="36" t="s">
        <v>4</v>
      </c>
      <c r="C14" s="33">
        <f t="shared" si="0"/>
        <v>115240</v>
      </c>
      <c r="D14" s="34">
        <f t="shared" si="1"/>
        <v>65407</v>
      </c>
      <c r="E14" s="11">
        <v>24616</v>
      </c>
      <c r="F14" s="11">
        <v>9605</v>
      </c>
      <c r="G14" s="11">
        <v>2741</v>
      </c>
      <c r="H14" s="11">
        <v>28445</v>
      </c>
      <c r="I14" s="35">
        <v>0</v>
      </c>
      <c r="J14" s="34">
        <f t="shared" si="2"/>
        <v>49833</v>
      </c>
      <c r="K14" s="11">
        <v>35028</v>
      </c>
      <c r="L14" s="11">
        <v>415</v>
      </c>
      <c r="M14" s="35">
        <v>14390</v>
      </c>
      <c r="N14" s="12"/>
    </row>
    <row r="15" spans="1:14" s="14" customFormat="1" ht="12" x14ac:dyDescent="0.2">
      <c r="A15" s="220">
        <v>7</v>
      </c>
      <c r="B15" s="36" t="s">
        <v>5</v>
      </c>
      <c r="C15" s="33">
        <f t="shared" si="0"/>
        <v>46702</v>
      </c>
      <c r="D15" s="34">
        <f t="shared" si="1"/>
        <v>30300</v>
      </c>
      <c r="E15" s="11">
        <v>12363</v>
      </c>
      <c r="F15" s="11">
        <v>4369</v>
      </c>
      <c r="G15" s="11">
        <v>1139</v>
      </c>
      <c r="H15" s="11">
        <v>12429</v>
      </c>
      <c r="I15" s="35">
        <v>0</v>
      </c>
      <c r="J15" s="34">
        <f t="shared" si="2"/>
        <v>16402</v>
      </c>
      <c r="K15" s="11">
        <v>11131</v>
      </c>
      <c r="L15" s="11">
        <v>0</v>
      </c>
      <c r="M15" s="35">
        <v>5271</v>
      </c>
      <c r="N15" s="12"/>
    </row>
    <row r="16" spans="1:14" s="14" customFormat="1" ht="12" x14ac:dyDescent="0.2">
      <c r="A16" s="220">
        <v>8</v>
      </c>
      <c r="B16" s="36" t="s">
        <v>6</v>
      </c>
      <c r="C16" s="33">
        <f t="shared" si="0"/>
        <v>51519</v>
      </c>
      <c r="D16" s="34">
        <f t="shared" si="1"/>
        <v>30321</v>
      </c>
      <c r="E16" s="11">
        <v>12014</v>
      </c>
      <c r="F16" s="11">
        <v>4412</v>
      </c>
      <c r="G16" s="11">
        <v>1051</v>
      </c>
      <c r="H16" s="11">
        <v>12844</v>
      </c>
      <c r="I16" s="35">
        <v>0</v>
      </c>
      <c r="J16" s="34">
        <f>K16+L16+M16</f>
        <v>21198</v>
      </c>
      <c r="K16" s="11">
        <v>15010</v>
      </c>
      <c r="L16" s="11">
        <v>0</v>
      </c>
      <c r="M16" s="35">
        <v>6188</v>
      </c>
      <c r="N16" s="12"/>
    </row>
    <row r="17" spans="1:14" s="14" customFormat="1" ht="12" x14ac:dyDescent="0.2">
      <c r="A17" s="220">
        <v>9</v>
      </c>
      <c r="B17" s="36" t="s">
        <v>7</v>
      </c>
      <c r="C17" s="33">
        <f t="shared" si="0"/>
        <v>57051</v>
      </c>
      <c r="D17" s="34">
        <f t="shared" si="1"/>
        <v>33266</v>
      </c>
      <c r="E17" s="11">
        <v>12997</v>
      </c>
      <c r="F17" s="11">
        <v>4917</v>
      </c>
      <c r="G17" s="11">
        <v>1465</v>
      </c>
      <c r="H17" s="11">
        <v>13887</v>
      </c>
      <c r="I17" s="35">
        <v>0</v>
      </c>
      <c r="J17" s="34">
        <f t="shared" si="2"/>
        <v>23785</v>
      </c>
      <c r="K17" s="11">
        <v>15312</v>
      </c>
      <c r="L17" s="11">
        <v>0</v>
      </c>
      <c r="M17" s="35">
        <v>8473</v>
      </c>
      <c r="N17" s="12"/>
    </row>
    <row r="18" spans="1:14" s="14" customFormat="1" ht="12" x14ac:dyDescent="0.2">
      <c r="A18" s="220">
        <v>10</v>
      </c>
      <c r="B18" s="36" t="s">
        <v>8</v>
      </c>
      <c r="C18" s="33">
        <f t="shared" si="0"/>
        <v>57875</v>
      </c>
      <c r="D18" s="34">
        <f t="shared" si="1"/>
        <v>34921</v>
      </c>
      <c r="E18" s="11">
        <v>13948</v>
      </c>
      <c r="F18" s="11">
        <v>4962</v>
      </c>
      <c r="G18" s="11">
        <v>1316</v>
      </c>
      <c r="H18" s="11">
        <v>14695</v>
      </c>
      <c r="I18" s="35">
        <v>0</v>
      </c>
      <c r="J18" s="34">
        <f t="shared" si="2"/>
        <v>22954</v>
      </c>
      <c r="K18" s="11">
        <v>16376</v>
      </c>
      <c r="L18" s="11">
        <v>1426</v>
      </c>
      <c r="M18" s="35">
        <v>5152</v>
      </c>
      <c r="N18" s="12"/>
    </row>
    <row r="19" spans="1:14" s="14" customFormat="1" ht="12" x14ac:dyDescent="0.2">
      <c r="A19" s="220">
        <v>11</v>
      </c>
      <c r="B19" s="38" t="s">
        <v>9</v>
      </c>
      <c r="C19" s="33">
        <f t="shared" si="0"/>
        <v>61045</v>
      </c>
      <c r="D19" s="34">
        <f t="shared" si="1"/>
        <v>35393</v>
      </c>
      <c r="E19" s="11">
        <v>13670</v>
      </c>
      <c r="F19" s="11">
        <v>4729</v>
      </c>
      <c r="G19" s="11">
        <v>1321</v>
      </c>
      <c r="H19" s="11">
        <v>15673</v>
      </c>
      <c r="I19" s="35">
        <v>0</v>
      </c>
      <c r="J19" s="34">
        <f t="shared" si="2"/>
        <v>25652</v>
      </c>
      <c r="K19" s="11">
        <v>13371</v>
      </c>
      <c r="L19" s="11">
        <v>0</v>
      </c>
      <c r="M19" s="35">
        <v>12281</v>
      </c>
      <c r="N19" s="12"/>
    </row>
    <row r="20" spans="1:14" s="14" customFormat="1" ht="12" x14ac:dyDescent="0.2">
      <c r="A20" s="220">
        <v>12</v>
      </c>
      <c r="B20" s="36" t="s">
        <v>10</v>
      </c>
      <c r="C20" s="33">
        <f t="shared" si="0"/>
        <v>56199</v>
      </c>
      <c r="D20" s="34">
        <f t="shared" si="1"/>
        <v>35488</v>
      </c>
      <c r="E20" s="11">
        <v>14876</v>
      </c>
      <c r="F20" s="11">
        <v>4823</v>
      </c>
      <c r="G20" s="11">
        <v>1220</v>
      </c>
      <c r="H20" s="11">
        <v>14569</v>
      </c>
      <c r="I20" s="35">
        <v>0</v>
      </c>
      <c r="J20" s="34">
        <f t="shared" si="2"/>
        <v>20711</v>
      </c>
      <c r="K20" s="11">
        <v>10091</v>
      </c>
      <c r="L20" s="11">
        <v>0</v>
      </c>
      <c r="M20" s="35">
        <v>10620</v>
      </c>
      <c r="N20" s="12"/>
    </row>
    <row r="21" spans="1:14" s="14" customFormat="1" ht="12" x14ac:dyDescent="0.2">
      <c r="A21" s="220">
        <v>13</v>
      </c>
      <c r="B21" s="38" t="s">
        <v>54</v>
      </c>
      <c r="C21" s="33">
        <f t="shared" si="0"/>
        <v>71231</v>
      </c>
      <c r="D21" s="34">
        <f t="shared" si="1"/>
        <v>45033</v>
      </c>
      <c r="E21" s="11">
        <v>18705</v>
      </c>
      <c r="F21" s="11">
        <v>6002</v>
      </c>
      <c r="G21" s="11">
        <v>3276</v>
      </c>
      <c r="H21" s="11">
        <v>17050</v>
      </c>
      <c r="I21" s="35">
        <v>0</v>
      </c>
      <c r="J21" s="34">
        <f t="shared" si="2"/>
        <v>26198</v>
      </c>
      <c r="K21" s="11">
        <v>10668</v>
      </c>
      <c r="L21" s="11">
        <v>3222</v>
      </c>
      <c r="M21" s="35">
        <v>12308</v>
      </c>
      <c r="N21" s="12"/>
    </row>
    <row r="22" spans="1:14" s="14" customFormat="1" ht="12" x14ac:dyDescent="0.2">
      <c r="A22" s="220">
        <v>14</v>
      </c>
      <c r="B22" s="36" t="s">
        <v>11</v>
      </c>
      <c r="C22" s="33">
        <f t="shared" si="0"/>
        <v>52965</v>
      </c>
      <c r="D22" s="34">
        <f t="shared" si="1"/>
        <v>33787</v>
      </c>
      <c r="E22" s="11">
        <v>13287</v>
      </c>
      <c r="F22" s="11">
        <v>4782</v>
      </c>
      <c r="G22" s="11">
        <v>1341</v>
      </c>
      <c r="H22" s="11">
        <v>14377</v>
      </c>
      <c r="I22" s="35">
        <v>0</v>
      </c>
      <c r="J22" s="34">
        <f t="shared" si="2"/>
        <v>19178</v>
      </c>
      <c r="K22" s="11">
        <v>7508</v>
      </c>
      <c r="L22" s="11">
        <v>0</v>
      </c>
      <c r="M22" s="35">
        <v>11670</v>
      </c>
      <c r="N22" s="12"/>
    </row>
    <row r="23" spans="1:14" s="14" customFormat="1" ht="12" x14ac:dyDescent="0.2">
      <c r="A23" s="220">
        <v>16</v>
      </c>
      <c r="B23" s="36" t="s">
        <v>110</v>
      </c>
      <c r="C23" s="33">
        <f t="shared" si="0"/>
        <v>25</v>
      </c>
      <c r="D23" s="34">
        <f t="shared" si="1"/>
        <v>0</v>
      </c>
      <c r="E23" s="11">
        <v>0</v>
      </c>
      <c r="F23" s="11">
        <v>0</v>
      </c>
      <c r="G23" s="11">
        <v>0</v>
      </c>
      <c r="H23" s="11">
        <v>0</v>
      </c>
      <c r="I23" s="35">
        <v>0</v>
      </c>
      <c r="J23" s="34">
        <f t="shared" si="2"/>
        <v>25</v>
      </c>
      <c r="K23" s="11">
        <v>16</v>
      </c>
      <c r="L23" s="11">
        <v>0</v>
      </c>
      <c r="M23" s="35">
        <v>9</v>
      </c>
      <c r="N23" s="12"/>
    </row>
    <row r="24" spans="1:14" s="14" customFormat="1" ht="12" x14ac:dyDescent="0.2">
      <c r="A24" s="220">
        <v>17</v>
      </c>
      <c r="B24" s="36" t="s">
        <v>111</v>
      </c>
      <c r="C24" s="33">
        <f t="shared" si="0"/>
        <v>25</v>
      </c>
      <c r="D24" s="34">
        <f t="shared" si="1"/>
        <v>0</v>
      </c>
      <c r="E24" s="11">
        <v>0</v>
      </c>
      <c r="F24" s="11">
        <v>0</v>
      </c>
      <c r="G24" s="11">
        <v>0</v>
      </c>
      <c r="H24" s="11">
        <v>0</v>
      </c>
      <c r="I24" s="35">
        <v>0</v>
      </c>
      <c r="J24" s="34">
        <f t="shared" si="2"/>
        <v>25</v>
      </c>
      <c r="K24" s="11">
        <v>25</v>
      </c>
      <c r="L24" s="11">
        <v>0</v>
      </c>
      <c r="M24" s="35">
        <v>0</v>
      </c>
      <c r="N24" s="12"/>
    </row>
    <row r="25" spans="1:14" s="14" customFormat="1" ht="12" x14ac:dyDescent="0.2">
      <c r="A25" s="220">
        <v>19</v>
      </c>
      <c r="B25" s="36" t="s">
        <v>113</v>
      </c>
      <c r="C25" s="33">
        <f t="shared" si="0"/>
        <v>100</v>
      </c>
      <c r="D25" s="34">
        <f t="shared" si="1"/>
        <v>0</v>
      </c>
      <c r="E25" s="11">
        <v>0</v>
      </c>
      <c r="F25" s="11">
        <v>0</v>
      </c>
      <c r="G25" s="11">
        <v>0</v>
      </c>
      <c r="H25" s="11">
        <v>0</v>
      </c>
      <c r="I25" s="35">
        <v>0</v>
      </c>
      <c r="J25" s="34">
        <f t="shared" si="2"/>
        <v>100</v>
      </c>
      <c r="K25" s="11">
        <v>100</v>
      </c>
      <c r="L25" s="11">
        <v>0</v>
      </c>
      <c r="M25" s="35">
        <v>0</v>
      </c>
      <c r="N25" s="12"/>
    </row>
    <row r="26" spans="1:14" s="14" customFormat="1" ht="12" x14ac:dyDescent="0.2">
      <c r="A26" s="220">
        <v>20</v>
      </c>
      <c r="B26" s="36" t="s">
        <v>72</v>
      </c>
      <c r="C26" s="33">
        <f t="shared" si="0"/>
        <v>159804</v>
      </c>
      <c r="D26" s="34">
        <f t="shared" si="1"/>
        <v>102898</v>
      </c>
      <c r="E26" s="11">
        <v>34033</v>
      </c>
      <c r="F26" s="11">
        <v>10617</v>
      </c>
      <c r="G26" s="11">
        <v>2472</v>
      </c>
      <c r="H26" s="11">
        <v>38990</v>
      </c>
      <c r="I26" s="35">
        <v>16786</v>
      </c>
      <c r="J26" s="34">
        <f t="shared" si="2"/>
        <v>56906</v>
      </c>
      <c r="K26" s="11">
        <v>32542</v>
      </c>
      <c r="L26" s="11">
        <v>3128</v>
      </c>
      <c r="M26" s="35">
        <v>21236</v>
      </c>
      <c r="N26" s="12"/>
    </row>
    <row r="27" spans="1:14" s="14" customFormat="1" ht="16.5" x14ac:dyDescent="0.2">
      <c r="A27" s="220">
        <v>21</v>
      </c>
      <c r="B27" s="40" t="s">
        <v>114</v>
      </c>
      <c r="C27" s="33">
        <f t="shared" si="0"/>
        <v>9821</v>
      </c>
      <c r="D27" s="34">
        <f t="shared" si="1"/>
        <v>0</v>
      </c>
      <c r="E27" s="11">
        <v>0</v>
      </c>
      <c r="F27" s="11">
        <v>0</v>
      </c>
      <c r="G27" s="11">
        <v>0</v>
      </c>
      <c r="H27" s="11">
        <v>0</v>
      </c>
      <c r="I27" s="35">
        <v>0</v>
      </c>
      <c r="J27" s="34">
        <f t="shared" si="2"/>
        <v>9821</v>
      </c>
      <c r="K27" s="11">
        <v>5461</v>
      </c>
      <c r="L27" s="11">
        <v>3844</v>
      </c>
      <c r="M27" s="35">
        <v>516</v>
      </c>
      <c r="N27" s="12"/>
    </row>
    <row r="28" spans="1:14" s="14" customFormat="1" ht="12" x14ac:dyDescent="0.2">
      <c r="A28" s="220">
        <v>22</v>
      </c>
      <c r="B28" s="36" t="s">
        <v>12</v>
      </c>
      <c r="C28" s="33">
        <f t="shared" si="0"/>
        <v>136272</v>
      </c>
      <c r="D28" s="34">
        <f t="shared" si="1"/>
        <v>79793</v>
      </c>
      <c r="E28" s="11">
        <v>30965</v>
      </c>
      <c r="F28" s="11">
        <v>10116</v>
      </c>
      <c r="G28" s="11">
        <v>2461</v>
      </c>
      <c r="H28" s="11">
        <v>36251</v>
      </c>
      <c r="I28" s="35">
        <v>0</v>
      </c>
      <c r="J28" s="34">
        <f t="shared" si="2"/>
        <v>56479</v>
      </c>
      <c r="K28" s="11">
        <v>31209</v>
      </c>
      <c r="L28" s="11">
        <v>6976</v>
      </c>
      <c r="M28" s="35">
        <v>18294</v>
      </c>
      <c r="N28" s="12"/>
    </row>
    <row r="29" spans="1:14" s="14" customFormat="1" ht="12" x14ac:dyDescent="0.2">
      <c r="A29" s="220">
        <v>23</v>
      </c>
      <c r="B29" s="36" t="s">
        <v>13</v>
      </c>
      <c r="C29" s="33">
        <f t="shared" si="0"/>
        <v>282484</v>
      </c>
      <c r="D29" s="34">
        <f t="shared" si="1"/>
        <v>173178</v>
      </c>
      <c r="E29" s="11">
        <v>58755</v>
      </c>
      <c r="F29" s="11">
        <v>20316</v>
      </c>
      <c r="G29" s="11">
        <v>4203</v>
      </c>
      <c r="H29" s="11">
        <v>64950</v>
      </c>
      <c r="I29" s="35">
        <v>24954</v>
      </c>
      <c r="J29" s="34">
        <f t="shared" si="2"/>
        <v>109306</v>
      </c>
      <c r="K29" s="11">
        <v>33967</v>
      </c>
      <c r="L29" s="11">
        <v>20800</v>
      </c>
      <c r="M29" s="35">
        <v>54539</v>
      </c>
      <c r="N29" s="12"/>
    </row>
    <row r="30" spans="1:14" s="14" customFormat="1" ht="12" x14ac:dyDescent="0.2">
      <c r="A30" s="220">
        <v>24</v>
      </c>
      <c r="B30" s="36" t="s">
        <v>14</v>
      </c>
      <c r="C30" s="33">
        <f t="shared" si="0"/>
        <v>179021</v>
      </c>
      <c r="D30" s="34">
        <f t="shared" si="1"/>
        <v>109035</v>
      </c>
      <c r="E30" s="11">
        <v>41837</v>
      </c>
      <c r="F30" s="11">
        <v>14789</v>
      </c>
      <c r="G30" s="11">
        <v>6711</v>
      </c>
      <c r="H30" s="11">
        <v>45698</v>
      </c>
      <c r="I30" s="35">
        <v>0</v>
      </c>
      <c r="J30" s="34">
        <f t="shared" si="2"/>
        <v>69986</v>
      </c>
      <c r="K30" s="11">
        <v>36308</v>
      </c>
      <c r="L30" s="11">
        <v>13655</v>
      </c>
      <c r="M30" s="35">
        <v>20023</v>
      </c>
      <c r="N30" s="12"/>
    </row>
    <row r="31" spans="1:14" s="14" customFormat="1" ht="12" x14ac:dyDescent="0.2">
      <c r="A31" s="220">
        <v>25</v>
      </c>
      <c r="B31" s="36" t="s">
        <v>115</v>
      </c>
      <c r="C31" s="33">
        <f t="shared" si="0"/>
        <v>39889</v>
      </c>
      <c r="D31" s="34">
        <f t="shared" si="1"/>
        <v>20711</v>
      </c>
      <c r="E31" s="11">
        <v>8266</v>
      </c>
      <c r="F31" s="11">
        <v>2985</v>
      </c>
      <c r="G31" s="11">
        <v>884</v>
      </c>
      <c r="H31" s="11">
        <v>8576</v>
      </c>
      <c r="I31" s="35">
        <v>0</v>
      </c>
      <c r="J31" s="34">
        <f t="shared" si="2"/>
        <v>19178</v>
      </c>
      <c r="K31" s="11">
        <v>11434</v>
      </c>
      <c r="L31" s="11">
        <v>3141</v>
      </c>
      <c r="M31" s="35">
        <v>4603</v>
      </c>
      <c r="N31" s="12"/>
    </row>
    <row r="32" spans="1:14" s="14" customFormat="1" ht="12" x14ac:dyDescent="0.2">
      <c r="A32" s="220">
        <v>26</v>
      </c>
      <c r="B32" s="36" t="s">
        <v>15</v>
      </c>
      <c r="C32" s="33">
        <f t="shared" si="0"/>
        <v>69438</v>
      </c>
      <c r="D32" s="34">
        <f t="shared" si="1"/>
        <v>44781</v>
      </c>
      <c r="E32" s="11">
        <v>18408</v>
      </c>
      <c r="F32" s="11">
        <v>5866</v>
      </c>
      <c r="G32" s="11">
        <v>1568</v>
      </c>
      <c r="H32" s="11">
        <v>18939</v>
      </c>
      <c r="I32" s="35">
        <v>0</v>
      </c>
      <c r="J32" s="34">
        <f t="shared" si="2"/>
        <v>24657</v>
      </c>
      <c r="K32" s="11">
        <v>13836</v>
      </c>
      <c r="L32" s="11">
        <v>2897</v>
      </c>
      <c r="M32" s="35">
        <v>7924</v>
      </c>
      <c r="N32" s="12"/>
    </row>
    <row r="33" spans="1:14" s="14" customFormat="1" ht="12" x14ac:dyDescent="0.2">
      <c r="A33" s="220">
        <v>27</v>
      </c>
      <c r="B33" s="36" t="s">
        <v>16</v>
      </c>
      <c r="C33" s="33">
        <f t="shared" si="0"/>
        <v>87613</v>
      </c>
      <c r="D33" s="34">
        <f t="shared" si="1"/>
        <v>60820</v>
      </c>
      <c r="E33" s="11">
        <v>25681</v>
      </c>
      <c r="F33" s="11">
        <v>7788</v>
      </c>
      <c r="G33" s="11">
        <v>2355</v>
      </c>
      <c r="H33" s="11">
        <v>24996</v>
      </c>
      <c r="I33" s="35">
        <v>0</v>
      </c>
      <c r="J33" s="34">
        <f t="shared" si="2"/>
        <v>26793</v>
      </c>
      <c r="K33" s="11">
        <v>14293</v>
      </c>
      <c r="L33" s="11">
        <v>1000</v>
      </c>
      <c r="M33" s="35">
        <v>11500</v>
      </c>
      <c r="N33" s="12"/>
    </row>
    <row r="34" spans="1:14" s="14" customFormat="1" ht="12" x14ac:dyDescent="0.2">
      <c r="A34" s="220">
        <v>28</v>
      </c>
      <c r="B34" s="36" t="s">
        <v>17</v>
      </c>
      <c r="C34" s="33">
        <f t="shared" si="0"/>
        <v>36995</v>
      </c>
      <c r="D34" s="34">
        <f t="shared" si="1"/>
        <v>25207</v>
      </c>
      <c r="E34" s="11">
        <v>10485</v>
      </c>
      <c r="F34" s="11">
        <v>3101</v>
      </c>
      <c r="G34" s="11">
        <v>890</v>
      </c>
      <c r="H34" s="11">
        <v>10731</v>
      </c>
      <c r="I34" s="35">
        <v>0</v>
      </c>
      <c r="J34" s="34">
        <f t="shared" si="2"/>
        <v>11788</v>
      </c>
      <c r="K34" s="11">
        <v>4929</v>
      </c>
      <c r="L34" s="11">
        <v>3723</v>
      </c>
      <c r="M34" s="35">
        <v>3136</v>
      </c>
      <c r="N34" s="12"/>
    </row>
    <row r="35" spans="1:14" s="14" customFormat="1" ht="12" x14ac:dyDescent="0.2">
      <c r="A35" s="220">
        <v>29</v>
      </c>
      <c r="B35" s="36" t="s">
        <v>18</v>
      </c>
      <c r="C35" s="33">
        <f t="shared" si="0"/>
        <v>31596</v>
      </c>
      <c r="D35" s="34">
        <f t="shared" si="1"/>
        <v>22505</v>
      </c>
      <c r="E35" s="11">
        <v>9409</v>
      </c>
      <c r="F35" s="11">
        <v>3253</v>
      </c>
      <c r="G35" s="11">
        <v>891</v>
      </c>
      <c r="H35" s="11">
        <v>8952</v>
      </c>
      <c r="I35" s="35">
        <v>0</v>
      </c>
      <c r="J35" s="34">
        <f t="shared" si="2"/>
        <v>9091</v>
      </c>
      <c r="K35" s="11">
        <v>4616</v>
      </c>
      <c r="L35" s="11">
        <v>211</v>
      </c>
      <c r="M35" s="35">
        <v>4264</v>
      </c>
      <c r="N35" s="12"/>
    </row>
    <row r="36" spans="1:14" s="14" customFormat="1" ht="12" x14ac:dyDescent="0.2">
      <c r="A36" s="220">
        <v>30</v>
      </c>
      <c r="B36" s="36" t="s">
        <v>116</v>
      </c>
      <c r="C36" s="33">
        <f t="shared" si="0"/>
        <v>2</v>
      </c>
      <c r="D36" s="34">
        <f t="shared" si="1"/>
        <v>0</v>
      </c>
      <c r="E36" s="11">
        <v>0</v>
      </c>
      <c r="F36" s="11">
        <v>0</v>
      </c>
      <c r="G36" s="11">
        <v>0</v>
      </c>
      <c r="H36" s="11">
        <v>0</v>
      </c>
      <c r="I36" s="35">
        <v>0</v>
      </c>
      <c r="J36" s="34">
        <f t="shared" si="2"/>
        <v>2</v>
      </c>
      <c r="K36" s="11">
        <v>1</v>
      </c>
      <c r="L36" s="11">
        <v>0</v>
      </c>
      <c r="M36" s="35">
        <v>1</v>
      </c>
      <c r="N36" s="12"/>
    </row>
    <row r="37" spans="1:14" s="14" customFormat="1" ht="12" x14ac:dyDescent="0.2">
      <c r="A37" s="220">
        <v>31</v>
      </c>
      <c r="B37" s="36" t="s">
        <v>117</v>
      </c>
      <c r="C37" s="33">
        <f t="shared" si="0"/>
        <v>127483</v>
      </c>
      <c r="D37" s="34">
        <f t="shared" si="1"/>
        <v>79513</v>
      </c>
      <c r="E37" s="11">
        <v>27838</v>
      </c>
      <c r="F37" s="11">
        <v>13140</v>
      </c>
      <c r="G37" s="11">
        <v>3879</v>
      </c>
      <c r="H37" s="11">
        <v>34656</v>
      </c>
      <c r="I37" s="35">
        <v>0</v>
      </c>
      <c r="J37" s="34">
        <f t="shared" si="2"/>
        <v>47970</v>
      </c>
      <c r="K37" s="11">
        <v>34964</v>
      </c>
      <c r="L37" s="11">
        <v>2502</v>
      </c>
      <c r="M37" s="35">
        <v>10504</v>
      </c>
      <c r="N37" s="12"/>
    </row>
    <row r="38" spans="1:14" s="14" customFormat="1" ht="16.5" x14ac:dyDescent="0.2">
      <c r="A38" s="220">
        <v>32</v>
      </c>
      <c r="B38" s="36" t="s">
        <v>118</v>
      </c>
      <c r="C38" s="33">
        <f t="shared" si="0"/>
        <v>170146</v>
      </c>
      <c r="D38" s="34">
        <f t="shared" si="1"/>
        <v>123684</v>
      </c>
      <c r="E38" s="11">
        <v>32854</v>
      </c>
      <c r="F38" s="11">
        <v>13837</v>
      </c>
      <c r="G38" s="11">
        <v>4163</v>
      </c>
      <c r="H38" s="11">
        <v>36526</v>
      </c>
      <c r="I38" s="35">
        <v>36304</v>
      </c>
      <c r="J38" s="34">
        <f t="shared" si="2"/>
        <v>46462</v>
      </c>
      <c r="K38" s="11">
        <v>28926</v>
      </c>
      <c r="L38" s="11">
        <v>1672</v>
      </c>
      <c r="M38" s="35">
        <v>15864</v>
      </c>
      <c r="N38" s="12"/>
    </row>
    <row r="39" spans="1:14" s="14" customFormat="1" ht="16.5" x14ac:dyDescent="0.2">
      <c r="A39" s="220">
        <v>33</v>
      </c>
      <c r="B39" s="36" t="s">
        <v>119</v>
      </c>
      <c r="C39" s="33">
        <f t="shared" si="0"/>
        <v>146341</v>
      </c>
      <c r="D39" s="34">
        <f t="shared" si="1"/>
        <v>92608</v>
      </c>
      <c r="E39" s="11">
        <v>36744</v>
      </c>
      <c r="F39" s="11">
        <v>13614</v>
      </c>
      <c r="G39" s="11">
        <v>3679</v>
      </c>
      <c r="H39" s="11">
        <v>38571</v>
      </c>
      <c r="I39" s="35">
        <v>0</v>
      </c>
      <c r="J39" s="34">
        <f t="shared" si="2"/>
        <v>53733</v>
      </c>
      <c r="K39" s="11">
        <v>24766</v>
      </c>
      <c r="L39" s="11">
        <v>11591</v>
      </c>
      <c r="M39" s="35">
        <v>17376</v>
      </c>
      <c r="N39" s="12"/>
    </row>
    <row r="40" spans="1:14" s="14" customFormat="1" ht="16.5" x14ac:dyDescent="0.2">
      <c r="A40" s="347">
        <v>34</v>
      </c>
      <c r="B40" s="36" t="s">
        <v>120</v>
      </c>
      <c r="C40" s="33">
        <f t="shared" si="0"/>
        <v>83042</v>
      </c>
      <c r="D40" s="34">
        <f t="shared" si="1"/>
        <v>47570</v>
      </c>
      <c r="E40" s="11">
        <v>20117</v>
      </c>
      <c r="F40" s="11">
        <v>5538</v>
      </c>
      <c r="G40" s="11">
        <v>1708</v>
      </c>
      <c r="H40" s="11">
        <v>20207</v>
      </c>
      <c r="I40" s="35">
        <v>0</v>
      </c>
      <c r="J40" s="34">
        <f t="shared" si="2"/>
        <v>35472</v>
      </c>
      <c r="K40" s="11">
        <v>10371</v>
      </c>
      <c r="L40" s="11">
        <v>6543</v>
      </c>
      <c r="M40" s="35">
        <v>18558</v>
      </c>
      <c r="N40" s="12"/>
    </row>
    <row r="41" spans="1:14" s="14" customFormat="1" ht="33" x14ac:dyDescent="0.2">
      <c r="A41" s="347"/>
      <c r="B41" s="39" t="s">
        <v>121</v>
      </c>
      <c r="C41" s="33">
        <f t="shared" si="0"/>
        <v>102385</v>
      </c>
      <c r="D41" s="34">
        <f t="shared" si="1"/>
        <v>59018</v>
      </c>
      <c r="E41" s="11">
        <v>23709</v>
      </c>
      <c r="F41" s="11">
        <v>7627</v>
      </c>
      <c r="G41" s="11">
        <v>2496</v>
      </c>
      <c r="H41" s="11">
        <v>25186</v>
      </c>
      <c r="I41" s="35">
        <v>0</v>
      </c>
      <c r="J41" s="34">
        <f t="shared" si="2"/>
        <v>43367</v>
      </c>
      <c r="K41" s="11">
        <v>12267</v>
      </c>
      <c r="L41" s="11">
        <v>11282</v>
      </c>
      <c r="M41" s="35">
        <v>19818</v>
      </c>
      <c r="N41" s="12"/>
    </row>
    <row r="42" spans="1:14" s="14" customFormat="1" ht="16.5" x14ac:dyDescent="0.2">
      <c r="A42" s="220">
        <v>35</v>
      </c>
      <c r="B42" s="36" t="s">
        <v>122</v>
      </c>
      <c r="C42" s="33">
        <f t="shared" si="0"/>
        <v>1600</v>
      </c>
      <c r="D42" s="34">
        <f t="shared" si="1"/>
        <v>0</v>
      </c>
      <c r="E42" s="11">
        <v>0</v>
      </c>
      <c r="F42" s="11">
        <v>0</v>
      </c>
      <c r="G42" s="11">
        <v>0</v>
      </c>
      <c r="H42" s="11">
        <v>0</v>
      </c>
      <c r="I42" s="35">
        <v>0</v>
      </c>
      <c r="J42" s="34">
        <f t="shared" si="2"/>
        <v>1600</v>
      </c>
      <c r="K42" s="11">
        <v>1600</v>
      </c>
      <c r="L42" s="11">
        <v>0</v>
      </c>
      <c r="M42" s="35">
        <v>0</v>
      </c>
      <c r="N42" s="12"/>
    </row>
    <row r="43" spans="1:14" s="14" customFormat="1" ht="16.5" x14ac:dyDescent="0.2">
      <c r="A43" s="220">
        <v>36</v>
      </c>
      <c r="B43" s="36" t="s">
        <v>123</v>
      </c>
      <c r="C43" s="33">
        <f t="shared" si="0"/>
        <v>144267</v>
      </c>
      <c r="D43" s="34">
        <f t="shared" si="1"/>
        <v>94660</v>
      </c>
      <c r="E43" s="11">
        <v>55100</v>
      </c>
      <c r="F43" s="11">
        <v>325</v>
      </c>
      <c r="G43" s="11">
        <v>0</v>
      </c>
      <c r="H43" s="11">
        <v>28113</v>
      </c>
      <c r="I43" s="35">
        <v>11122</v>
      </c>
      <c r="J43" s="34">
        <f t="shared" si="2"/>
        <v>49607</v>
      </c>
      <c r="K43" s="11">
        <v>6952</v>
      </c>
      <c r="L43" s="11">
        <v>4500</v>
      </c>
      <c r="M43" s="35">
        <v>38155</v>
      </c>
      <c r="N43" s="12"/>
    </row>
    <row r="44" spans="1:14" s="14" customFormat="1" ht="16.5" x14ac:dyDescent="0.2">
      <c r="A44" s="220">
        <v>37</v>
      </c>
      <c r="B44" s="36" t="s">
        <v>124</v>
      </c>
      <c r="C44" s="33">
        <f t="shared" si="0"/>
        <v>11500</v>
      </c>
      <c r="D44" s="34">
        <f t="shared" si="1"/>
        <v>0</v>
      </c>
      <c r="E44" s="11">
        <v>0</v>
      </c>
      <c r="F44" s="11">
        <v>0</v>
      </c>
      <c r="G44" s="11">
        <v>0</v>
      </c>
      <c r="H44" s="11">
        <v>0</v>
      </c>
      <c r="I44" s="35">
        <v>0</v>
      </c>
      <c r="J44" s="34">
        <f t="shared" si="2"/>
        <v>11500</v>
      </c>
      <c r="K44" s="11">
        <v>3444</v>
      </c>
      <c r="L44" s="11">
        <v>7526</v>
      </c>
      <c r="M44" s="35">
        <v>530</v>
      </c>
      <c r="N44" s="12"/>
    </row>
    <row r="45" spans="1:14" s="14" customFormat="1" ht="12" x14ac:dyDescent="0.2">
      <c r="A45" s="220">
        <v>38</v>
      </c>
      <c r="B45" s="36" t="s">
        <v>125</v>
      </c>
      <c r="C45" s="33">
        <f t="shared" si="0"/>
        <v>10266</v>
      </c>
      <c r="D45" s="34">
        <f t="shared" si="1"/>
        <v>0</v>
      </c>
      <c r="E45" s="11">
        <v>0</v>
      </c>
      <c r="F45" s="11">
        <v>0</v>
      </c>
      <c r="G45" s="11">
        <v>0</v>
      </c>
      <c r="H45" s="11">
        <v>0</v>
      </c>
      <c r="I45" s="35">
        <v>0</v>
      </c>
      <c r="J45" s="34">
        <f t="shared" si="2"/>
        <v>10266</v>
      </c>
      <c r="K45" s="11">
        <v>8306</v>
      </c>
      <c r="L45" s="11">
        <v>0</v>
      </c>
      <c r="M45" s="35">
        <v>1960</v>
      </c>
      <c r="N45" s="12"/>
    </row>
    <row r="46" spans="1:14" s="14" customFormat="1" ht="12" x14ac:dyDescent="0.2">
      <c r="A46" s="349">
        <v>39</v>
      </c>
      <c r="B46" s="36" t="s">
        <v>73</v>
      </c>
      <c r="C46" s="33">
        <f t="shared" si="0"/>
        <v>250236</v>
      </c>
      <c r="D46" s="34">
        <f t="shared" si="1"/>
        <v>177232</v>
      </c>
      <c r="E46" s="11">
        <v>56557</v>
      </c>
      <c r="F46" s="11">
        <v>26907</v>
      </c>
      <c r="G46" s="11">
        <v>7156</v>
      </c>
      <c r="H46" s="11">
        <v>63695</v>
      </c>
      <c r="I46" s="35">
        <v>22917</v>
      </c>
      <c r="J46" s="34">
        <f t="shared" si="2"/>
        <v>73004</v>
      </c>
      <c r="K46" s="11">
        <f>46524+8443-8443</f>
        <v>46524</v>
      </c>
      <c r="L46" s="11">
        <v>9684</v>
      </c>
      <c r="M46" s="35">
        <f>16796+2557-2557</f>
        <v>16796</v>
      </c>
      <c r="N46" s="12"/>
    </row>
    <row r="47" spans="1:14" s="14" customFormat="1" ht="33" x14ac:dyDescent="0.2">
      <c r="A47" s="350"/>
      <c r="B47" s="39" t="s">
        <v>126</v>
      </c>
      <c r="C47" s="33">
        <f t="shared" si="0"/>
        <v>62589</v>
      </c>
      <c r="D47" s="34">
        <f t="shared" si="1"/>
        <v>43784</v>
      </c>
      <c r="E47" s="11">
        <v>28421</v>
      </c>
      <c r="F47" s="11">
        <v>231</v>
      </c>
      <c r="G47" s="11">
        <v>0</v>
      </c>
      <c r="H47" s="11">
        <v>15132</v>
      </c>
      <c r="I47" s="35">
        <v>0</v>
      </c>
      <c r="J47" s="34">
        <f t="shared" si="2"/>
        <v>18805</v>
      </c>
      <c r="K47" s="11">
        <v>2009</v>
      </c>
      <c r="L47" s="11">
        <v>1000</v>
      </c>
      <c r="M47" s="35">
        <v>15796</v>
      </c>
      <c r="N47" s="12"/>
    </row>
    <row r="48" spans="1:14" s="14" customFormat="1" ht="24.75" x14ac:dyDescent="0.2">
      <c r="A48" s="351"/>
      <c r="B48" s="16" t="s">
        <v>456</v>
      </c>
      <c r="C48" s="33">
        <f t="shared" si="0"/>
        <v>11000</v>
      </c>
      <c r="D48" s="34">
        <f t="shared" si="1"/>
        <v>0</v>
      </c>
      <c r="E48" s="11"/>
      <c r="F48" s="11"/>
      <c r="G48" s="11"/>
      <c r="H48" s="11"/>
      <c r="I48" s="35"/>
      <c r="J48" s="34">
        <f t="shared" si="2"/>
        <v>11000</v>
      </c>
      <c r="K48" s="11">
        <v>8443</v>
      </c>
      <c r="L48" s="11"/>
      <c r="M48" s="35">
        <v>2557</v>
      </c>
      <c r="N48" s="12"/>
    </row>
    <row r="49" spans="1:14" s="18" customFormat="1" ht="16.5" x14ac:dyDescent="0.2">
      <c r="A49" s="220">
        <v>40</v>
      </c>
      <c r="B49" s="36" t="s">
        <v>127</v>
      </c>
      <c r="C49" s="33">
        <f t="shared" si="0"/>
        <v>16800</v>
      </c>
      <c r="D49" s="34">
        <f t="shared" si="1"/>
        <v>0</v>
      </c>
      <c r="E49" s="11">
        <v>0</v>
      </c>
      <c r="F49" s="11">
        <v>0</v>
      </c>
      <c r="G49" s="11">
        <v>0</v>
      </c>
      <c r="H49" s="11">
        <v>0</v>
      </c>
      <c r="I49" s="35">
        <v>0</v>
      </c>
      <c r="J49" s="34">
        <f t="shared" si="2"/>
        <v>16800</v>
      </c>
      <c r="K49" s="11">
        <v>5737</v>
      </c>
      <c r="L49" s="11">
        <v>8456</v>
      </c>
      <c r="M49" s="35">
        <v>2607</v>
      </c>
      <c r="N49" s="12"/>
    </row>
    <row r="50" spans="1:14" s="14" customFormat="1" ht="12" x14ac:dyDescent="0.2">
      <c r="A50" s="220">
        <v>41</v>
      </c>
      <c r="B50" s="36" t="s">
        <v>128</v>
      </c>
      <c r="C50" s="33">
        <f t="shared" si="0"/>
        <v>11900</v>
      </c>
      <c r="D50" s="34">
        <f t="shared" si="1"/>
        <v>0</v>
      </c>
      <c r="E50" s="11">
        <v>0</v>
      </c>
      <c r="F50" s="11">
        <v>0</v>
      </c>
      <c r="G50" s="11">
        <v>0</v>
      </c>
      <c r="H50" s="11">
        <v>0</v>
      </c>
      <c r="I50" s="35">
        <v>0</v>
      </c>
      <c r="J50" s="34">
        <f t="shared" si="2"/>
        <v>11900</v>
      </c>
      <c r="K50" s="11">
        <v>8089</v>
      </c>
      <c r="L50" s="11">
        <v>0</v>
      </c>
      <c r="M50" s="35">
        <v>3811</v>
      </c>
      <c r="N50" s="12"/>
    </row>
    <row r="51" spans="1:14" s="14" customFormat="1" ht="12" x14ac:dyDescent="0.2">
      <c r="A51" s="347">
        <v>42</v>
      </c>
      <c r="B51" s="36" t="s">
        <v>74</v>
      </c>
      <c r="C51" s="33">
        <f t="shared" si="0"/>
        <v>175832</v>
      </c>
      <c r="D51" s="34">
        <f t="shared" si="1"/>
        <v>108442</v>
      </c>
      <c r="E51" s="11">
        <v>35147</v>
      </c>
      <c r="F51" s="11">
        <v>13441</v>
      </c>
      <c r="G51" s="11">
        <v>2983</v>
      </c>
      <c r="H51" s="11">
        <v>38595</v>
      </c>
      <c r="I51" s="35">
        <v>18276</v>
      </c>
      <c r="J51" s="34">
        <f t="shared" si="2"/>
        <v>67390</v>
      </c>
      <c r="K51" s="11">
        <v>43627</v>
      </c>
      <c r="L51" s="11">
        <v>4107</v>
      </c>
      <c r="M51" s="35">
        <v>19656</v>
      </c>
      <c r="N51" s="12"/>
    </row>
    <row r="52" spans="1:14" s="14" customFormat="1" ht="33" x14ac:dyDescent="0.2">
      <c r="A52" s="347"/>
      <c r="B52" s="39" t="s">
        <v>129</v>
      </c>
      <c r="C52" s="33">
        <f t="shared" si="0"/>
        <v>60867</v>
      </c>
      <c r="D52" s="34">
        <f t="shared" si="1"/>
        <v>34066</v>
      </c>
      <c r="E52" s="11">
        <v>12894</v>
      </c>
      <c r="F52" s="11">
        <v>4658</v>
      </c>
      <c r="G52" s="11">
        <v>1336</v>
      </c>
      <c r="H52" s="11">
        <v>15178</v>
      </c>
      <c r="I52" s="35">
        <v>0</v>
      </c>
      <c r="J52" s="34">
        <f t="shared" si="2"/>
        <v>26801</v>
      </c>
      <c r="K52" s="11">
        <v>19888</v>
      </c>
      <c r="L52" s="11">
        <v>50</v>
      </c>
      <c r="M52" s="35">
        <v>6863</v>
      </c>
      <c r="N52" s="12"/>
    </row>
    <row r="53" spans="1:14" s="14" customFormat="1" ht="12" x14ac:dyDescent="0.2">
      <c r="A53" s="220">
        <v>43</v>
      </c>
      <c r="B53" s="36" t="s">
        <v>19</v>
      </c>
      <c r="C53" s="33">
        <f t="shared" si="0"/>
        <v>224091</v>
      </c>
      <c r="D53" s="34">
        <f t="shared" si="1"/>
        <v>131587</v>
      </c>
      <c r="E53" s="11">
        <v>47565</v>
      </c>
      <c r="F53" s="11">
        <v>18134</v>
      </c>
      <c r="G53" s="11">
        <v>4767</v>
      </c>
      <c r="H53" s="11">
        <v>53992</v>
      </c>
      <c r="I53" s="35">
        <v>7129</v>
      </c>
      <c r="J53" s="34">
        <f t="shared" si="2"/>
        <v>92504</v>
      </c>
      <c r="K53" s="11">
        <v>41706</v>
      </c>
      <c r="L53" s="11">
        <v>23045</v>
      </c>
      <c r="M53" s="35">
        <v>27753</v>
      </c>
      <c r="N53" s="12"/>
    </row>
    <row r="54" spans="1:14" s="14" customFormat="1" ht="12" x14ac:dyDescent="0.2">
      <c r="A54" s="220">
        <v>44</v>
      </c>
      <c r="B54" s="36" t="s">
        <v>20</v>
      </c>
      <c r="C54" s="33">
        <f t="shared" si="0"/>
        <v>215012</v>
      </c>
      <c r="D54" s="34">
        <f t="shared" si="1"/>
        <v>127277</v>
      </c>
      <c r="E54" s="11">
        <v>52263</v>
      </c>
      <c r="F54" s="11">
        <v>17814</v>
      </c>
      <c r="G54" s="11">
        <v>4435</v>
      </c>
      <c r="H54" s="11">
        <v>52765</v>
      </c>
      <c r="I54" s="35">
        <v>0</v>
      </c>
      <c r="J54" s="34">
        <f t="shared" si="2"/>
        <v>87735</v>
      </c>
      <c r="K54" s="11">
        <v>56894</v>
      </c>
      <c r="L54" s="11">
        <v>1650</v>
      </c>
      <c r="M54" s="35">
        <v>29191</v>
      </c>
      <c r="N54" s="12"/>
    </row>
    <row r="55" spans="1:14" s="14" customFormat="1" ht="12" x14ac:dyDescent="0.2">
      <c r="A55" s="220">
        <v>45</v>
      </c>
      <c r="B55" s="36" t="s">
        <v>21</v>
      </c>
      <c r="C55" s="33">
        <f t="shared" si="0"/>
        <v>60584</v>
      </c>
      <c r="D55" s="34">
        <f t="shared" si="1"/>
        <v>40020</v>
      </c>
      <c r="E55" s="11">
        <v>16792</v>
      </c>
      <c r="F55" s="11">
        <v>5451</v>
      </c>
      <c r="G55" s="11">
        <v>1395</v>
      </c>
      <c r="H55" s="11">
        <v>16382</v>
      </c>
      <c r="I55" s="35">
        <v>0</v>
      </c>
      <c r="J55" s="34">
        <f t="shared" si="2"/>
        <v>20564</v>
      </c>
      <c r="K55" s="11">
        <v>9493</v>
      </c>
      <c r="L55" s="11">
        <v>2031</v>
      </c>
      <c r="M55" s="35">
        <v>9040</v>
      </c>
      <c r="N55" s="12"/>
    </row>
    <row r="56" spans="1:14" s="14" customFormat="1" ht="12" x14ac:dyDescent="0.2">
      <c r="A56" s="220">
        <v>46</v>
      </c>
      <c r="B56" s="36" t="s">
        <v>22</v>
      </c>
      <c r="C56" s="33">
        <f t="shared" si="0"/>
        <v>78778</v>
      </c>
      <c r="D56" s="34">
        <f t="shared" si="1"/>
        <v>45632</v>
      </c>
      <c r="E56" s="11">
        <v>18913</v>
      </c>
      <c r="F56" s="11">
        <v>5509</v>
      </c>
      <c r="G56" s="11">
        <v>1109</v>
      </c>
      <c r="H56" s="11">
        <v>20101</v>
      </c>
      <c r="I56" s="35">
        <v>0</v>
      </c>
      <c r="J56" s="34">
        <f t="shared" si="2"/>
        <v>33146</v>
      </c>
      <c r="K56" s="11">
        <v>17586</v>
      </c>
      <c r="L56" s="11">
        <v>525</v>
      </c>
      <c r="M56" s="35">
        <v>15035</v>
      </c>
      <c r="N56" s="12"/>
    </row>
    <row r="57" spans="1:14" s="18" customFormat="1" ht="12" x14ac:dyDescent="0.2">
      <c r="A57" s="220">
        <v>47</v>
      </c>
      <c r="B57" s="36" t="s">
        <v>23</v>
      </c>
      <c r="C57" s="33">
        <f t="shared" si="0"/>
        <v>70792</v>
      </c>
      <c r="D57" s="34">
        <f t="shared" si="1"/>
        <v>41993</v>
      </c>
      <c r="E57" s="11">
        <v>16393</v>
      </c>
      <c r="F57" s="11">
        <v>5998</v>
      </c>
      <c r="G57" s="11">
        <v>1201</v>
      </c>
      <c r="H57" s="11">
        <v>18401</v>
      </c>
      <c r="I57" s="35">
        <v>0</v>
      </c>
      <c r="J57" s="34">
        <f t="shared" si="2"/>
        <v>28799</v>
      </c>
      <c r="K57" s="11">
        <v>16050</v>
      </c>
      <c r="L57" s="11">
        <v>3869</v>
      </c>
      <c r="M57" s="35">
        <v>8880</v>
      </c>
      <c r="N57" s="12"/>
    </row>
    <row r="58" spans="1:14" s="14" customFormat="1" ht="12" x14ac:dyDescent="0.2">
      <c r="A58" s="220">
        <v>48</v>
      </c>
      <c r="B58" s="36" t="s">
        <v>24</v>
      </c>
      <c r="C58" s="33">
        <f t="shared" si="0"/>
        <v>46223</v>
      </c>
      <c r="D58" s="34">
        <f t="shared" si="1"/>
        <v>29545</v>
      </c>
      <c r="E58" s="11">
        <v>11752</v>
      </c>
      <c r="F58" s="11">
        <v>4589</v>
      </c>
      <c r="G58" s="11">
        <v>1122</v>
      </c>
      <c r="H58" s="11">
        <v>12082</v>
      </c>
      <c r="I58" s="35">
        <v>0</v>
      </c>
      <c r="J58" s="34">
        <f t="shared" si="2"/>
        <v>16678</v>
      </c>
      <c r="K58" s="11">
        <v>9271</v>
      </c>
      <c r="L58" s="11">
        <v>262</v>
      </c>
      <c r="M58" s="35">
        <v>7145</v>
      </c>
      <c r="N58" s="12"/>
    </row>
    <row r="59" spans="1:14" s="14" customFormat="1" ht="12" x14ac:dyDescent="0.2">
      <c r="A59" s="220">
        <v>49</v>
      </c>
      <c r="B59" s="36" t="s">
        <v>25</v>
      </c>
      <c r="C59" s="33">
        <f t="shared" si="0"/>
        <v>85085</v>
      </c>
      <c r="D59" s="34">
        <f t="shared" si="1"/>
        <v>48203</v>
      </c>
      <c r="E59" s="11">
        <v>17881</v>
      </c>
      <c r="F59" s="11">
        <v>7378</v>
      </c>
      <c r="G59" s="11">
        <v>1993</v>
      </c>
      <c r="H59" s="11">
        <v>20951</v>
      </c>
      <c r="I59" s="35">
        <v>0</v>
      </c>
      <c r="J59" s="34">
        <f t="shared" si="2"/>
        <v>36882</v>
      </c>
      <c r="K59" s="11">
        <v>25063</v>
      </c>
      <c r="L59" s="11">
        <v>0</v>
      </c>
      <c r="M59" s="35">
        <v>11819</v>
      </c>
      <c r="N59" s="12"/>
    </row>
    <row r="60" spans="1:14" s="18" customFormat="1" ht="12" x14ac:dyDescent="0.2">
      <c r="A60" s="220">
        <v>50</v>
      </c>
      <c r="B60" s="36" t="s">
        <v>26</v>
      </c>
      <c r="C60" s="33">
        <f t="shared" si="0"/>
        <v>38800</v>
      </c>
      <c r="D60" s="34">
        <f t="shared" si="1"/>
        <v>22613</v>
      </c>
      <c r="E60" s="11">
        <v>8620</v>
      </c>
      <c r="F60" s="11">
        <v>3589</v>
      </c>
      <c r="G60" s="11">
        <v>821</v>
      </c>
      <c r="H60" s="11">
        <v>9583</v>
      </c>
      <c r="I60" s="35">
        <v>0</v>
      </c>
      <c r="J60" s="34">
        <f t="shared" si="2"/>
        <v>16187</v>
      </c>
      <c r="K60" s="11">
        <v>10860</v>
      </c>
      <c r="L60" s="11">
        <v>1000</v>
      </c>
      <c r="M60" s="35">
        <v>4327</v>
      </c>
      <c r="N60" s="12"/>
    </row>
    <row r="61" spans="1:14" s="14" customFormat="1" ht="16.5" x14ac:dyDescent="0.2">
      <c r="A61" s="220">
        <v>51</v>
      </c>
      <c r="B61" s="36" t="s">
        <v>130</v>
      </c>
      <c r="C61" s="33">
        <f t="shared" si="0"/>
        <v>17936</v>
      </c>
      <c r="D61" s="34">
        <f t="shared" si="1"/>
        <v>12140</v>
      </c>
      <c r="E61" s="11">
        <v>4317</v>
      </c>
      <c r="F61" s="11">
        <v>2189</v>
      </c>
      <c r="G61" s="11">
        <v>515</v>
      </c>
      <c r="H61" s="11">
        <v>5119</v>
      </c>
      <c r="I61" s="35">
        <v>0</v>
      </c>
      <c r="J61" s="34">
        <f t="shared" si="2"/>
        <v>5796</v>
      </c>
      <c r="K61" s="11">
        <v>3342</v>
      </c>
      <c r="L61" s="11">
        <v>520</v>
      </c>
      <c r="M61" s="35">
        <v>1934</v>
      </c>
      <c r="N61" s="12"/>
    </row>
    <row r="62" spans="1:14" s="14" customFormat="1" ht="16.5" x14ac:dyDescent="0.2">
      <c r="A62" s="220">
        <v>52</v>
      </c>
      <c r="B62" s="36" t="s">
        <v>57</v>
      </c>
      <c r="C62" s="33">
        <f t="shared" si="0"/>
        <v>11000</v>
      </c>
      <c r="D62" s="34">
        <f t="shared" si="1"/>
        <v>0</v>
      </c>
      <c r="E62" s="11">
        <v>0</v>
      </c>
      <c r="F62" s="11">
        <v>0</v>
      </c>
      <c r="G62" s="11">
        <v>0</v>
      </c>
      <c r="H62" s="11">
        <v>0</v>
      </c>
      <c r="I62" s="35">
        <v>0</v>
      </c>
      <c r="J62" s="34">
        <f t="shared" si="2"/>
        <v>11000</v>
      </c>
      <c r="K62" s="11">
        <f>16886-8443</f>
        <v>8443</v>
      </c>
      <c r="L62" s="11">
        <v>0</v>
      </c>
      <c r="M62" s="35">
        <f>5114-2557</f>
        <v>2557</v>
      </c>
      <c r="N62" s="12"/>
    </row>
    <row r="63" spans="1:14" s="14" customFormat="1" ht="12" x14ac:dyDescent="0.2">
      <c r="A63" s="220">
        <v>53</v>
      </c>
      <c r="B63" s="36" t="s">
        <v>131</v>
      </c>
      <c r="C63" s="33">
        <f t="shared" si="0"/>
        <v>31724</v>
      </c>
      <c r="D63" s="34">
        <f t="shared" si="1"/>
        <v>10138</v>
      </c>
      <c r="E63" s="11">
        <v>0</v>
      </c>
      <c r="F63" s="11">
        <v>0</v>
      </c>
      <c r="G63" s="11">
        <v>0</v>
      </c>
      <c r="H63" s="11">
        <v>10138</v>
      </c>
      <c r="I63" s="35">
        <v>0</v>
      </c>
      <c r="J63" s="34">
        <f t="shared" si="2"/>
        <v>21586</v>
      </c>
      <c r="K63" s="11">
        <v>15148</v>
      </c>
      <c r="L63" s="11">
        <v>1000</v>
      </c>
      <c r="M63" s="35">
        <v>5438</v>
      </c>
      <c r="N63" s="12"/>
    </row>
    <row r="64" spans="1:14" s="14" customFormat="1" ht="12" x14ac:dyDescent="0.2">
      <c r="A64" s="220">
        <v>54</v>
      </c>
      <c r="B64" s="32" t="s">
        <v>27</v>
      </c>
      <c r="C64" s="33">
        <f t="shared" si="0"/>
        <v>332378</v>
      </c>
      <c r="D64" s="34">
        <f t="shared" si="1"/>
        <v>205259</v>
      </c>
      <c r="E64" s="11">
        <v>85207</v>
      </c>
      <c r="F64" s="11">
        <v>26065</v>
      </c>
      <c r="G64" s="11">
        <v>7380</v>
      </c>
      <c r="H64" s="11">
        <v>81642</v>
      </c>
      <c r="I64" s="35">
        <v>4965</v>
      </c>
      <c r="J64" s="34">
        <f t="shared" si="2"/>
        <v>127119</v>
      </c>
      <c r="K64" s="11">
        <v>78162</v>
      </c>
      <c r="L64" s="11">
        <v>12112</v>
      </c>
      <c r="M64" s="35">
        <v>36845</v>
      </c>
      <c r="N64" s="12"/>
    </row>
    <row r="65" spans="1:14" s="14" customFormat="1" ht="12" x14ac:dyDescent="0.2">
      <c r="A65" s="220">
        <v>55</v>
      </c>
      <c r="B65" s="36" t="s">
        <v>28</v>
      </c>
      <c r="C65" s="33">
        <f t="shared" si="0"/>
        <v>238257</v>
      </c>
      <c r="D65" s="34">
        <f t="shared" si="1"/>
        <v>133184</v>
      </c>
      <c r="E65" s="11">
        <v>52963</v>
      </c>
      <c r="F65" s="11">
        <v>18461</v>
      </c>
      <c r="G65" s="11">
        <v>3858</v>
      </c>
      <c r="H65" s="11">
        <v>57902</v>
      </c>
      <c r="I65" s="35">
        <v>0</v>
      </c>
      <c r="J65" s="34">
        <f t="shared" si="2"/>
        <v>105073</v>
      </c>
      <c r="K65" s="11">
        <v>66557</v>
      </c>
      <c r="L65" s="11">
        <v>2699</v>
      </c>
      <c r="M65" s="35">
        <v>35817</v>
      </c>
      <c r="N65" s="12"/>
    </row>
    <row r="66" spans="1:14" s="14" customFormat="1" ht="12" x14ac:dyDescent="0.2">
      <c r="A66" s="220">
        <v>56</v>
      </c>
      <c r="B66" s="32" t="s">
        <v>132</v>
      </c>
      <c r="C66" s="33">
        <f t="shared" si="0"/>
        <v>302146</v>
      </c>
      <c r="D66" s="34">
        <f t="shared" si="1"/>
        <v>199900</v>
      </c>
      <c r="E66" s="11">
        <v>69350</v>
      </c>
      <c r="F66" s="11">
        <v>20041</v>
      </c>
      <c r="G66" s="11">
        <v>5846</v>
      </c>
      <c r="H66" s="11">
        <v>65696</v>
      </c>
      <c r="I66" s="35">
        <v>38967</v>
      </c>
      <c r="J66" s="34">
        <f t="shared" si="2"/>
        <v>102246</v>
      </c>
      <c r="K66" s="11">
        <v>60935</v>
      </c>
      <c r="L66" s="11">
        <v>2729</v>
      </c>
      <c r="M66" s="35">
        <v>38582</v>
      </c>
      <c r="N66" s="12"/>
    </row>
    <row r="67" spans="1:14" s="14" customFormat="1" ht="16.5" x14ac:dyDescent="0.2">
      <c r="A67" s="220">
        <v>57</v>
      </c>
      <c r="B67" s="32" t="s">
        <v>133</v>
      </c>
      <c r="C67" s="33">
        <f t="shared" si="0"/>
        <v>11200</v>
      </c>
      <c r="D67" s="34">
        <f t="shared" si="1"/>
        <v>0</v>
      </c>
      <c r="E67" s="11">
        <v>0</v>
      </c>
      <c r="F67" s="11">
        <v>0</v>
      </c>
      <c r="G67" s="11">
        <v>0</v>
      </c>
      <c r="H67" s="11">
        <v>0</v>
      </c>
      <c r="I67" s="35">
        <v>0</v>
      </c>
      <c r="J67" s="34">
        <f t="shared" si="2"/>
        <v>11200</v>
      </c>
      <c r="K67" s="11">
        <v>6279</v>
      </c>
      <c r="L67" s="11">
        <v>3844</v>
      </c>
      <c r="M67" s="35">
        <v>1077</v>
      </c>
      <c r="N67" s="12"/>
    </row>
    <row r="68" spans="1:14" s="14" customFormat="1" ht="12" x14ac:dyDescent="0.2">
      <c r="A68" s="220">
        <v>58</v>
      </c>
      <c r="B68" s="36" t="s">
        <v>29</v>
      </c>
      <c r="C68" s="33">
        <f t="shared" si="0"/>
        <v>102212</v>
      </c>
      <c r="D68" s="34">
        <f t="shared" si="1"/>
        <v>57289</v>
      </c>
      <c r="E68" s="11">
        <v>21912</v>
      </c>
      <c r="F68" s="11">
        <v>8040</v>
      </c>
      <c r="G68" s="11">
        <v>2149</v>
      </c>
      <c r="H68" s="11">
        <v>25188</v>
      </c>
      <c r="I68" s="35">
        <v>0</v>
      </c>
      <c r="J68" s="34">
        <f t="shared" si="2"/>
        <v>44923</v>
      </c>
      <c r="K68" s="11">
        <v>28217</v>
      </c>
      <c r="L68" s="11">
        <v>20</v>
      </c>
      <c r="M68" s="35">
        <v>16686</v>
      </c>
      <c r="N68" s="12"/>
    </row>
    <row r="69" spans="1:14" s="14" customFormat="1" ht="12" x14ac:dyDescent="0.2">
      <c r="A69" s="220">
        <v>59</v>
      </c>
      <c r="B69" s="32" t="s">
        <v>30</v>
      </c>
      <c r="C69" s="33">
        <f t="shared" si="0"/>
        <v>68573</v>
      </c>
      <c r="D69" s="34">
        <f t="shared" si="1"/>
        <v>39685</v>
      </c>
      <c r="E69" s="11">
        <v>15007</v>
      </c>
      <c r="F69" s="11">
        <v>6041</v>
      </c>
      <c r="G69" s="11">
        <v>1758</v>
      </c>
      <c r="H69" s="11">
        <v>16879</v>
      </c>
      <c r="I69" s="35">
        <v>0</v>
      </c>
      <c r="J69" s="34">
        <f t="shared" si="2"/>
        <v>28888</v>
      </c>
      <c r="K69" s="11">
        <v>16319</v>
      </c>
      <c r="L69" s="11">
        <v>2272</v>
      </c>
      <c r="M69" s="35">
        <v>10297</v>
      </c>
      <c r="N69" s="12"/>
    </row>
    <row r="70" spans="1:14" s="14" customFormat="1" ht="12" x14ac:dyDescent="0.2">
      <c r="A70" s="220">
        <v>60</v>
      </c>
      <c r="B70" s="36" t="s">
        <v>31</v>
      </c>
      <c r="C70" s="33">
        <f t="shared" si="0"/>
        <v>51765</v>
      </c>
      <c r="D70" s="34">
        <f t="shared" si="1"/>
        <v>32645</v>
      </c>
      <c r="E70" s="11">
        <v>12737</v>
      </c>
      <c r="F70" s="11">
        <v>5145</v>
      </c>
      <c r="G70" s="11">
        <v>1135</v>
      </c>
      <c r="H70" s="11">
        <v>13628</v>
      </c>
      <c r="I70" s="35">
        <v>0</v>
      </c>
      <c r="J70" s="34">
        <f t="shared" si="2"/>
        <v>19120</v>
      </c>
      <c r="K70" s="11">
        <v>14304</v>
      </c>
      <c r="L70" s="11">
        <v>0</v>
      </c>
      <c r="M70" s="35">
        <v>4816</v>
      </c>
      <c r="N70" s="12"/>
    </row>
    <row r="71" spans="1:14" s="14" customFormat="1" ht="12" x14ac:dyDescent="0.2">
      <c r="A71" s="220">
        <v>61</v>
      </c>
      <c r="B71" s="32" t="s">
        <v>32</v>
      </c>
      <c r="C71" s="33">
        <f t="shared" si="0"/>
        <v>75176</v>
      </c>
      <c r="D71" s="34">
        <f t="shared" si="1"/>
        <v>41493</v>
      </c>
      <c r="E71" s="11">
        <v>13439</v>
      </c>
      <c r="F71" s="11">
        <v>6350</v>
      </c>
      <c r="G71" s="11">
        <v>1848</v>
      </c>
      <c r="H71" s="11">
        <v>19856</v>
      </c>
      <c r="I71" s="35">
        <v>0</v>
      </c>
      <c r="J71" s="34">
        <f t="shared" si="2"/>
        <v>33683</v>
      </c>
      <c r="K71" s="11">
        <v>17438</v>
      </c>
      <c r="L71" s="11">
        <v>150</v>
      </c>
      <c r="M71" s="35">
        <v>16095</v>
      </c>
      <c r="N71" s="12"/>
    </row>
    <row r="72" spans="1:14" s="14" customFormat="1" ht="12" x14ac:dyDescent="0.2">
      <c r="A72" s="220">
        <v>62</v>
      </c>
      <c r="B72" s="36" t="s">
        <v>33</v>
      </c>
      <c r="C72" s="33">
        <f t="shared" si="0"/>
        <v>35376</v>
      </c>
      <c r="D72" s="34">
        <f t="shared" si="1"/>
        <v>21263</v>
      </c>
      <c r="E72" s="11">
        <v>8293</v>
      </c>
      <c r="F72" s="11">
        <v>3235</v>
      </c>
      <c r="G72" s="11">
        <v>1048</v>
      </c>
      <c r="H72" s="11">
        <v>8687</v>
      </c>
      <c r="I72" s="35">
        <v>0</v>
      </c>
      <c r="J72" s="34">
        <f t="shared" si="2"/>
        <v>14113</v>
      </c>
      <c r="K72" s="11">
        <v>10230</v>
      </c>
      <c r="L72" s="11">
        <v>760</v>
      </c>
      <c r="M72" s="35">
        <v>3123</v>
      </c>
      <c r="N72" s="12"/>
    </row>
    <row r="73" spans="1:14" s="14" customFormat="1" ht="12" x14ac:dyDescent="0.2">
      <c r="A73" s="220">
        <v>63</v>
      </c>
      <c r="B73" s="36" t="s">
        <v>34</v>
      </c>
      <c r="C73" s="33">
        <f t="shared" si="0"/>
        <v>68611</v>
      </c>
      <c r="D73" s="34">
        <f t="shared" si="1"/>
        <v>40496</v>
      </c>
      <c r="E73" s="11">
        <v>16156</v>
      </c>
      <c r="F73" s="11">
        <v>5993</v>
      </c>
      <c r="G73" s="11">
        <v>1847</v>
      </c>
      <c r="H73" s="11">
        <v>16500</v>
      </c>
      <c r="I73" s="35">
        <v>0</v>
      </c>
      <c r="J73" s="34">
        <f t="shared" si="2"/>
        <v>28115</v>
      </c>
      <c r="K73" s="11">
        <v>16122</v>
      </c>
      <c r="L73" s="11">
        <v>3037</v>
      </c>
      <c r="M73" s="35">
        <v>8956</v>
      </c>
      <c r="N73" s="12"/>
    </row>
    <row r="74" spans="1:14" s="14" customFormat="1" ht="12" x14ac:dyDescent="0.2">
      <c r="A74" s="220">
        <v>64</v>
      </c>
      <c r="B74" s="36" t="s">
        <v>35</v>
      </c>
      <c r="C74" s="33">
        <f t="shared" ref="C74:C137" si="3">D74+J74</f>
        <v>98859</v>
      </c>
      <c r="D74" s="34">
        <f t="shared" ref="D74:D137" si="4">E74+F74+G74+H74+I74</f>
        <v>59507</v>
      </c>
      <c r="E74" s="11">
        <v>23936</v>
      </c>
      <c r="F74" s="11">
        <v>8864</v>
      </c>
      <c r="G74" s="11">
        <v>2114</v>
      </c>
      <c r="H74" s="11">
        <v>24593</v>
      </c>
      <c r="I74" s="35">
        <v>0</v>
      </c>
      <c r="J74" s="34">
        <f t="shared" ref="J74:J137" si="5">K74+L74+M74</f>
        <v>39352</v>
      </c>
      <c r="K74" s="11">
        <v>28467</v>
      </c>
      <c r="L74" s="11">
        <v>2861</v>
      </c>
      <c r="M74" s="35">
        <v>8024</v>
      </c>
      <c r="N74" s="12"/>
    </row>
    <row r="75" spans="1:14" s="14" customFormat="1" ht="12" x14ac:dyDescent="0.2">
      <c r="A75" s="220">
        <v>65</v>
      </c>
      <c r="B75" s="32" t="s">
        <v>36</v>
      </c>
      <c r="C75" s="33">
        <f t="shared" si="3"/>
        <v>51511</v>
      </c>
      <c r="D75" s="34">
        <f t="shared" si="4"/>
        <v>31906</v>
      </c>
      <c r="E75" s="11">
        <v>12790</v>
      </c>
      <c r="F75" s="11">
        <v>4615</v>
      </c>
      <c r="G75" s="11">
        <v>998</v>
      </c>
      <c r="H75" s="11">
        <v>13503</v>
      </c>
      <c r="I75" s="35">
        <v>0</v>
      </c>
      <c r="J75" s="34">
        <f t="shared" si="5"/>
        <v>19605</v>
      </c>
      <c r="K75" s="11">
        <v>10499</v>
      </c>
      <c r="L75" s="11">
        <v>1000</v>
      </c>
      <c r="M75" s="35">
        <v>8106</v>
      </c>
      <c r="N75" s="12"/>
    </row>
    <row r="76" spans="1:14" s="14" customFormat="1" ht="16.5" x14ac:dyDescent="0.2">
      <c r="A76" s="220">
        <v>66</v>
      </c>
      <c r="B76" s="36" t="s">
        <v>134</v>
      </c>
      <c r="C76" s="33">
        <f t="shared" si="3"/>
        <v>107</v>
      </c>
      <c r="D76" s="34">
        <f t="shared" si="4"/>
        <v>0</v>
      </c>
      <c r="E76" s="11">
        <v>0</v>
      </c>
      <c r="F76" s="11">
        <v>0</v>
      </c>
      <c r="G76" s="11">
        <v>0</v>
      </c>
      <c r="H76" s="11">
        <v>0</v>
      </c>
      <c r="I76" s="35">
        <v>0</v>
      </c>
      <c r="J76" s="34">
        <f t="shared" si="5"/>
        <v>107</v>
      </c>
      <c r="K76" s="11">
        <v>97</v>
      </c>
      <c r="L76" s="11">
        <v>0</v>
      </c>
      <c r="M76" s="35">
        <v>10</v>
      </c>
      <c r="N76" s="12"/>
    </row>
    <row r="77" spans="1:14" s="14" customFormat="1" ht="12" x14ac:dyDescent="0.2">
      <c r="A77" s="220">
        <v>67</v>
      </c>
      <c r="B77" s="36" t="s">
        <v>135</v>
      </c>
      <c r="C77" s="33">
        <f t="shared" si="3"/>
        <v>100</v>
      </c>
      <c r="D77" s="34">
        <f t="shared" si="4"/>
        <v>0</v>
      </c>
      <c r="E77" s="11">
        <v>0</v>
      </c>
      <c r="F77" s="11">
        <v>0</v>
      </c>
      <c r="G77" s="11">
        <v>0</v>
      </c>
      <c r="H77" s="11">
        <v>0</v>
      </c>
      <c r="I77" s="35">
        <v>0</v>
      </c>
      <c r="J77" s="34">
        <f t="shared" si="5"/>
        <v>100</v>
      </c>
      <c r="K77" s="11">
        <v>63</v>
      </c>
      <c r="L77" s="11">
        <v>0</v>
      </c>
      <c r="M77" s="35">
        <v>37</v>
      </c>
      <c r="N77" s="12"/>
    </row>
    <row r="78" spans="1:14" s="14" customFormat="1" ht="12" x14ac:dyDescent="0.2">
      <c r="A78" s="220">
        <v>68</v>
      </c>
      <c r="B78" s="36" t="s">
        <v>136</v>
      </c>
      <c r="C78" s="33">
        <f t="shared" si="3"/>
        <v>85</v>
      </c>
      <c r="D78" s="34">
        <f t="shared" si="4"/>
        <v>0</v>
      </c>
      <c r="E78" s="11">
        <v>0</v>
      </c>
      <c r="F78" s="11">
        <v>0</v>
      </c>
      <c r="G78" s="11">
        <v>0</v>
      </c>
      <c r="H78" s="11">
        <v>0</v>
      </c>
      <c r="I78" s="35">
        <v>0</v>
      </c>
      <c r="J78" s="34">
        <f t="shared" si="5"/>
        <v>85</v>
      </c>
      <c r="K78" s="11">
        <v>79</v>
      </c>
      <c r="L78" s="11">
        <v>0</v>
      </c>
      <c r="M78" s="35">
        <v>6</v>
      </c>
      <c r="N78" s="12"/>
    </row>
    <row r="79" spans="1:14" s="14" customFormat="1" ht="16.5" x14ac:dyDescent="0.2">
      <c r="A79" s="220">
        <v>69</v>
      </c>
      <c r="B79" s="36" t="s">
        <v>137</v>
      </c>
      <c r="C79" s="33">
        <f t="shared" si="3"/>
        <v>25</v>
      </c>
      <c r="D79" s="34">
        <f t="shared" si="4"/>
        <v>0</v>
      </c>
      <c r="E79" s="11">
        <v>0</v>
      </c>
      <c r="F79" s="11">
        <v>0</v>
      </c>
      <c r="G79" s="11">
        <v>0</v>
      </c>
      <c r="H79" s="11">
        <v>0</v>
      </c>
      <c r="I79" s="35">
        <v>0</v>
      </c>
      <c r="J79" s="34">
        <f t="shared" si="5"/>
        <v>25</v>
      </c>
      <c r="K79" s="11">
        <v>17</v>
      </c>
      <c r="L79" s="11">
        <v>0</v>
      </c>
      <c r="M79" s="35">
        <v>8</v>
      </c>
      <c r="N79" s="12"/>
    </row>
    <row r="80" spans="1:14" s="14" customFormat="1" ht="16.5" x14ac:dyDescent="0.2">
      <c r="A80" s="220">
        <v>70</v>
      </c>
      <c r="B80" s="41" t="s">
        <v>138</v>
      </c>
      <c r="C80" s="33">
        <f t="shared" si="3"/>
        <v>118813</v>
      </c>
      <c r="D80" s="34">
        <f t="shared" si="4"/>
        <v>64892</v>
      </c>
      <c r="E80" s="11">
        <v>40809</v>
      </c>
      <c r="F80" s="11">
        <v>270</v>
      </c>
      <c r="G80" s="11">
        <v>0</v>
      </c>
      <c r="H80" s="11">
        <v>23813</v>
      </c>
      <c r="I80" s="35">
        <v>0</v>
      </c>
      <c r="J80" s="34">
        <f t="shared" si="5"/>
        <v>53921</v>
      </c>
      <c r="K80" s="11">
        <v>28840</v>
      </c>
      <c r="L80" s="11">
        <v>0</v>
      </c>
      <c r="M80" s="35">
        <v>25081</v>
      </c>
      <c r="N80" s="12"/>
    </row>
    <row r="81" spans="1:14" s="14" customFormat="1" ht="16.5" x14ac:dyDescent="0.2">
      <c r="A81" s="220">
        <v>71</v>
      </c>
      <c r="B81" s="41" t="s">
        <v>139</v>
      </c>
      <c r="C81" s="33">
        <f t="shared" si="3"/>
        <v>105533</v>
      </c>
      <c r="D81" s="34">
        <f t="shared" si="4"/>
        <v>55386</v>
      </c>
      <c r="E81" s="11">
        <v>34522</v>
      </c>
      <c r="F81" s="11">
        <v>418</v>
      </c>
      <c r="G81" s="11">
        <v>0</v>
      </c>
      <c r="H81" s="11">
        <v>20446</v>
      </c>
      <c r="I81" s="35">
        <v>0</v>
      </c>
      <c r="J81" s="34">
        <f t="shared" si="5"/>
        <v>50147</v>
      </c>
      <c r="K81" s="11">
        <f>33339+900</f>
        <v>34239</v>
      </c>
      <c r="L81" s="11">
        <v>0</v>
      </c>
      <c r="M81" s="35">
        <v>15908</v>
      </c>
      <c r="N81" s="12"/>
    </row>
    <row r="82" spans="1:14" s="14" customFormat="1" ht="16.5" x14ac:dyDescent="0.2">
      <c r="A82" s="220">
        <v>72</v>
      </c>
      <c r="B82" s="41" t="s">
        <v>140</v>
      </c>
      <c r="C82" s="33">
        <f t="shared" si="3"/>
        <v>138748</v>
      </c>
      <c r="D82" s="34">
        <f t="shared" si="4"/>
        <v>74637</v>
      </c>
      <c r="E82" s="11">
        <v>47168</v>
      </c>
      <c r="F82" s="11">
        <v>75</v>
      </c>
      <c r="G82" s="11">
        <v>0</v>
      </c>
      <c r="H82" s="11">
        <v>27394</v>
      </c>
      <c r="I82" s="35">
        <v>0</v>
      </c>
      <c r="J82" s="34">
        <f t="shared" si="5"/>
        <v>64111</v>
      </c>
      <c r="K82" s="11">
        <v>38294</v>
      </c>
      <c r="L82" s="11">
        <v>415</v>
      </c>
      <c r="M82" s="35">
        <v>25402</v>
      </c>
      <c r="N82" s="12"/>
    </row>
    <row r="83" spans="1:14" s="14" customFormat="1" ht="16.5" x14ac:dyDescent="0.2">
      <c r="A83" s="220">
        <v>73</v>
      </c>
      <c r="B83" s="41" t="s">
        <v>141</v>
      </c>
      <c r="C83" s="33">
        <f t="shared" si="3"/>
        <v>171762</v>
      </c>
      <c r="D83" s="34">
        <f t="shared" si="4"/>
        <v>114103</v>
      </c>
      <c r="E83" s="11">
        <v>65888</v>
      </c>
      <c r="F83" s="11">
        <v>352</v>
      </c>
      <c r="G83" s="11">
        <v>0</v>
      </c>
      <c r="H83" s="11">
        <v>33512</v>
      </c>
      <c r="I83" s="35">
        <v>14351</v>
      </c>
      <c r="J83" s="34">
        <f t="shared" si="5"/>
        <v>57659</v>
      </c>
      <c r="K83" s="11">
        <v>8186</v>
      </c>
      <c r="L83" s="11">
        <v>0</v>
      </c>
      <c r="M83" s="35">
        <v>49473</v>
      </c>
      <c r="N83" s="12"/>
    </row>
    <row r="84" spans="1:14" s="14" customFormat="1" ht="16.5" x14ac:dyDescent="0.2">
      <c r="A84" s="220">
        <v>74</v>
      </c>
      <c r="B84" s="41" t="s">
        <v>142</v>
      </c>
      <c r="C84" s="33">
        <f t="shared" si="3"/>
        <v>68130</v>
      </c>
      <c r="D84" s="34">
        <f t="shared" si="4"/>
        <v>33684</v>
      </c>
      <c r="E84" s="11">
        <v>20656</v>
      </c>
      <c r="F84" s="11">
        <v>105</v>
      </c>
      <c r="G84" s="11">
        <v>0</v>
      </c>
      <c r="H84" s="11">
        <v>12923</v>
      </c>
      <c r="I84" s="35">
        <v>0</v>
      </c>
      <c r="J84" s="34">
        <f t="shared" si="5"/>
        <v>34446</v>
      </c>
      <c r="K84" s="11">
        <v>19488</v>
      </c>
      <c r="L84" s="11">
        <v>0</v>
      </c>
      <c r="M84" s="35">
        <v>14958</v>
      </c>
      <c r="N84" s="12"/>
    </row>
    <row r="85" spans="1:14" s="14" customFormat="1" ht="16.5" x14ac:dyDescent="0.2">
      <c r="A85" s="220">
        <v>75</v>
      </c>
      <c r="B85" s="41" t="s">
        <v>143</v>
      </c>
      <c r="C85" s="33">
        <f t="shared" si="3"/>
        <v>29413</v>
      </c>
      <c r="D85" s="34">
        <f t="shared" si="4"/>
        <v>0</v>
      </c>
      <c r="E85" s="11">
        <v>0</v>
      </c>
      <c r="F85" s="11">
        <v>0</v>
      </c>
      <c r="G85" s="11">
        <v>0</v>
      </c>
      <c r="H85" s="11">
        <v>0</v>
      </c>
      <c r="I85" s="35">
        <v>0</v>
      </c>
      <c r="J85" s="34">
        <f t="shared" si="5"/>
        <v>29413</v>
      </c>
      <c r="K85" s="11">
        <f>6476+13837</f>
        <v>20313</v>
      </c>
      <c r="L85" s="11">
        <f>21189-12189</f>
        <v>9000</v>
      </c>
      <c r="M85" s="35">
        <f>1748-1648</f>
        <v>100</v>
      </c>
      <c r="N85" s="12"/>
    </row>
    <row r="86" spans="1:14" s="14" customFormat="1" ht="16.5" x14ac:dyDescent="0.2">
      <c r="A86" s="220">
        <v>76</v>
      </c>
      <c r="B86" s="41" t="s">
        <v>144</v>
      </c>
      <c r="C86" s="33">
        <f t="shared" si="3"/>
        <v>31369</v>
      </c>
      <c r="D86" s="34">
        <f t="shared" si="4"/>
        <v>0</v>
      </c>
      <c r="E86" s="11">
        <v>0</v>
      </c>
      <c r="F86" s="11">
        <v>0</v>
      </c>
      <c r="G86" s="11">
        <v>0</v>
      </c>
      <c r="H86" s="11">
        <v>0</v>
      </c>
      <c r="I86" s="35">
        <v>0</v>
      </c>
      <c r="J86" s="34">
        <f t="shared" si="5"/>
        <v>31369</v>
      </c>
      <c r="K86" s="11">
        <v>16156</v>
      </c>
      <c r="L86" s="11">
        <v>14504</v>
      </c>
      <c r="M86" s="35">
        <v>709</v>
      </c>
      <c r="N86" s="12"/>
    </row>
    <row r="87" spans="1:14" s="14" customFormat="1" ht="12" x14ac:dyDescent="0.2">
      <c r="A87" s="220">
        <v>77</v>
      </c>
      <c r="B87" s="41" t="s">
        <v>145</v>
      </c>
      <c r="C87" s="33">
        <f t="shared" si="3"/>
        <v>121848</v>
      </c>
      <c r="D87" s="34">
        <f t="shared" si="4"/>
        <v>87206</v>
      </c>
      <c r="E87" s="11">
        <v>25491</v>
      </c>
      <c r="F87" s="11">
        <v>13167</v>
      </c>
      <c r="G87" s="11">
        <v>1852</v>
      </c>
      <c r="H87" s="11">
        <v>46696</v>
      </c>
      <c r="I87" s="35">
        <v>0</v>
      </c>
      <c r="J87" s="34">
        <f t="shared" si="5"/>
        <v>34642</v>
      </c>
      <c r="K87" s="11">
        <v>24487</v>
      </c>
      <c r="L87" s="11">
        <v>350</v>
      </c>
      <c r="M87" s="35">
        <v>9805</v>
      </c>
      <c r="N87" s="12"/>
    </row>
    <row r="88" spans="1:14" s="14" customFormat="1" ht="12" x14ac:dyDescent="0.2">
      <c r="A88" s="220">
        <v>78</v>
      </c>
      <c r="B88" s="41" t="s">
        <v>146</v>
      </c>
      <c r="C88" s="33">
        <f t="shared" si="3"/>
        <v>103353</v>
      </c>
      <c r="D88" s="34">
        <f t="shared" si="4"/>
        <v>79782</v>
      </c>
      <c r="E88" s="11">
        <v>24123</v>
      </c>
      <c r="F88" s="11">
        <v>10125</v>
      </c>
      <c r="G88" s="11">
        <v>2996</v>
      </c>
      <c r="H88" s="11">
        <v>26128</v>
      </c>
      <c r="I88" s="35">
        <v>16410</v>
      </c>
      <c r="J88" s="34">
        <f t="shared" si="5"/>
        <v>23571</v>
      </c>
      <c r="K88" s="11">
        <v>16773</v>
      </c>
      <c r="L88" s="11">
        <v>0</v>
      </c>
      <c r="M88" s="35">
        <v>6798</v>
      </c>
      <c r="N88" s="12"/>
    </row>
    <row r="89" spans="1:14" s="14" customFormat="1" ht="12" x14ac:dyDescent="0.2">
      <c r="A89" s="220">
        <v>79</v>
      </c>
      <c r="B89" s="41" t="s">
        <v>147</v>
      </c>
      <c r="C89" s="33">
        <f t="shared" si="3"/>
        <v>84686</v>
      </c>
      <c r="D89" s="34">
        <f t="shared" si="4"/>
        <v>59225</v>
      </c>
      <c r="E89" s="11">
        <v>21455</v>
      </c>
      <c r="F89" s="11">
        <v>9919</v>
      </c>
      <c r="G89" s="11">
        <v>2729</v>
      </c>
      <c r="H89" s="11">
        <v>25122</v>
      </c>
      <c r="I89" s="35">
        <v>0</v>
      </c>
      <c r="J89" s="34">
        <f t="shared" si="5"/>
        <v>25461</v>
      </c>
      <c r="K89" s="11">
        <v>20143</v>
      </c>
      <c r="L89" s="11">
        <v>0</v>
      </c>
      <c r="M89" s="35">
        <v>5318</v>
      </c>
      <c r="N89" s="12"/>
    </row>
    <row r="90" spans="1:14" s="14" customFormat="1" ht="12" x14ac:dyDescent="0.2">
      <c r="A90" s="220">
        <v>80</v>
      </c>
      <c r="B90" s="41" t="s">
        <v>148</v>
      </c>
      <c r="C90" s="33">
        <f t="shared" si="3"/>
        <v>89017</v>
      </c>
      <c r="D90" s="34">
        <f t="shared" si="4"/>
        <v>69326</v>
      </c>
      <c r="E90" s="11">
        <v>15578</v>
      </c>
      <c r="F90" s="11">
        <v>7249</v>
      </c>
      <c r="G90" s="11">
        <v>1751</v>
      </c>
      <c r="H90" s="11">
        <v>19557</v>
      </c>
      <c r="I90" s="35">
        <v>25191</v>
      </c>
      <c r="J90" s="34">
        <f t="shared" si="5"/>
        <v>19691</v>
      </c>
      <c r="K90" s="11">
        <v>12124</v>
      </c>
      <c r="L90" s="11">
        <v>0</v>
      </c>
      <c r="M90" s="35">
        <v>7567</v>
      </c>
      <c r="N90" s="12"/>
    </row>
    <row r="91" spans="1:14" s="14" customFormat="1" ht="12" x14ac:dyDescent="0.2">
      <c r="A91" s="220">
        <v>81</v>
      </c>
      <c r="B91" s="41" t="s">
        <v>75</v>
      </c>
      <c r="C91" s="33">
        <f t="shared" si="3"/>
        <v>185884</v>
      </c>
      <c r="D91" s="34">
        <f t="shared" si="4"/>
        <v>110894</v>
      </c>
      <c r="E91" s="11">
        <v>41031</v>
      </c>
      <c r="F91" s="11">
        <v>16887</v>
      </c>
      <c r="G91" s="11">
        <v>4848</v>
      </c>
      <c r="H91" s="11">
        <v>48128</v>
      </c>
      <c r="I91" s="35">
        <v>0</v>
      </c>
      <c r="J91" s="34">
        <f t="shared" si="5"/>
        <v>74990</v>
      </c>
      <c r="K91" s="11">
        <v>47223</v>
      </c>
      <c r="L91" s="11">
        <v>0</v>
      </c>
      <c r="M91" s="35">
        <v>27767</v>
      </c>
      <c r="N91" s="12"/>
    </row>
    <row r="92" spans="1:14" s="14" customFormat="1" ht="12" x14ac:dyDescent="0.2">
      <c r="A92" s="220">
        <v>82</v>
      </c>
      <c r="B92" s="41" t="s">
        <v>149</v>
      </c>
      <c r="C92" s="33">
        <f t="shared" si="3"/>
        <v>99519</v>
      </c>
      <c r="D92" s="34">
        <f t="shared" si="4"/>
        <v>62311</v>
      </c>
      <c r="E92" s="11">
        <v>24254</v>
      </c>
      <c r="F92" s="11">
        <v>9613</v>
      </c>
      <c r="G92" s="11">
        <v>2794</v>
      </c>
      <c r="H92" s="11">
        <v>25650</v>
      </c>
      <c r="I92" s="35">
        <v>0</v>
      </c>
      <c r="J92" s="34">
        <f t="shared" si="5"/>
        <v>37208</v>
      </c>
      <c r="K92" s="11">
        <v>25876</v>
      </c>
      <c r="L92" s="11">
        <v>0</v>
      </c>
      <c r="M92" s="35">
        <v>11332</v>
      </c>
      <c r="N92" s="12"/>
    </row>
    <row r="93" spans="1:14" s="14" customFormat="1" ht="12" x14ac:dyDescent="0.2">
      <c r="A93" s="220">
        <v>83</v>
      </c>
      <c r="B93" s="41" t="s">
        <v>76</v>
      </c>
      <c r="C93" s="33">
        <f t="shared" si="3"/>
        <v>112622</v>
      </c>
      <c r="D93" s="34">
        <f t="shared" si="4"/>
        <v>81608</v>
      </c>
      <c r="E93" s="11">
        <v>22478</v>
      </c>
      <c r="F93" s="11">
        <v>10776</v>
      </c>
      <c r="G93" s="11">
        <v>2720</v>
      </c>
      <c r="H93" s="11">
        <v>29005</v>
      </c>
      <c r="I93" s="35">
        <v>16629</v>
      </c>
      <c r="J93" s="34">
        <f t="shared" si="5"/>
        <v>31014</v>
      </c>
      <c r="K93" s="11">
        <v>21232</v>
      </c>
      <c r="L93" s="11">
        <v>0</v>
      </c>
      <c r="M93" s="35">
        <v>9782</v>
      </c>
      <c r="N93" s="12"/>
    </row>
    <row r="94" spans="1:14" s="14" customFormat="1" ht="12" x14ac:dyDescent="0.2">
      <c r="A94" s="220">
        <v>84</v>
      </c>
      <c r="B94" s="41" t="s">
        <v>150</v>
      </c>
      <c r="C94" s="33">
        <f t="shared" si="3"/>
        <v>58065</v>
      </c>
      <c r="D94" s="34">
        <f t="shared" si="4"/>
        <v>40602</v>
      </c>
      <c r="E94" s="11">
        <v>14552</v>
      </c>
      <c r="F94" s="11">
        <v>6544</v>
      </c>
      <c r="G94" s="11">
        <v>1802</v>
      </c>
      <c r="H94" s="11">
        <v>17704</v>
      </c>
      <c r="I94" s="35">
        <v>0</v>
      </c>
      <c r="J94" s="34">
        <f t="shared" si="5"/>
        <v>17463</v>
      </c>
      <c r="K94" s="11">
        <v>12320</v>
      </c>
      <c r="L94" s="11">
        <v>0</v>
      </c>
      <c r="M94" s="35">
        <v>5143</v>
      </c>
      <c r="N94" s="12"/>
    </row>
    <row r="95" spans="1:14" s="14" customFormat="1" ht="12" x14ac:dyDescent="0.2">
      <c r="A95" s="220">
        <v>85</v>
      </c>
      <c r="B95" s="41" t="s">
        <v>151</v>
      </c>
      <c r="C95" s="33">
        <f t="shared" si="3"/>
        <v>193065</v>
      </c>
      <c r="D95" s="34">
        <f t="shared" si="4"/>
        <v>116011</v>
      </c>
      <c r="E95" s="11">
        <v>42019</v>
      </c>
      <c r="F95" s="11">
        <v>19313</v>
      </c>
      <c r="G95" s="11">
        <v>5991</v>
      </c>
      <c r="H95" s="11">
        <v>48688</v>
      </c>
      <c r="I95" s="35">
        <v>0</v>
      </c>
      <c r="J95" s="34">
        <f t="shared" si="5"/>
        <v>77054</v>
      </c>
      <c r="K95" s="11">
        <v>48441</v>
      </c>
      <c r="L95" s="11">
        <v>0</v>
      </c>
      <c r="M95" s="35">
        <v>28613</v>
      </c>
      <c r="N95" s="12"/>
    </row>
    <row r="96" spans="1:14" s="14" customFormat="1" ht="12" x14ac:dyDescent="0.2">
      <c r="A96" s="220">
        <v>86</v>
      </c>
      <c r="B96" s="41" t="s">
        <v>152</v>
      </c>
      <c r="C96" s="33">
        <f t="shared" si="3"/>
        <v>72740</v>
      </c>
      <c r="D96" s="34">
        <f t="shared" si="4"/>
        <v>51267</v>
      </c>
      <c r="E96" s="11">
        <v>19123</v>
      </c>
      <c r="F96" s="11">
        <v>8077</v>
      </c>
      <c r="G96" s="11">
        <v>1909</v>
      </c>
      <c r="H96" s="11">
        <v>22158</v>
      </c>
      <c r="I96" s="35">
        <v>0</v>
      </c>
      <c r="J96" s="34">
        <f t="shared" si="5"/>
        <v>21473</v>
      </c>
      <c r="K96" s="11">
        <v>14468</v>
      </c>
      <c r="L96" s="11">
        <v>0</v>
      </c>
      <c r="M96" s="35">
        <v>7005</v>
      </c>
      <c r="N96" s="12"/>
    </row>
    <row r="97" spans="1:14" s="14" customFormat="1" ht="12" x14ac:dyDescent="0.2">
      <c r="A97" s="220">
        <v>87</v>
      </c>
      <c r="B97" s="41" t="s">
        <v>153</v>
      </c>
      <c r="C97" s="33">
        <f t="shared" si="3"/>
        <v>71088</v>
      </c>
      <c r="D97" s="34">
        <f t="shared" si="4"/>
        <v>45662</v>
      </c>
      <c r="E97" s="11">
        <v>14459</v>
      </c>
      <c r="F97" s="11">
        <v>7672</v>
      </c>
      <c r="G97" s="11">
        <v>2106</v>
      </c>
      <c r="H97" s="11">
        <v>21425</v>
      </c>
      <c r="I97" s="35">
        <v>0</v>
      </c>
      <c r="J97" s="34">
        <f t="shared" si="5"/>
        <v>25426</v>
      </c>
      <c r="K97" s="11">
        <f>11770+2500</f>
        <v>14270</v>
      </c>
      <c r="L97" s="11">
        <v>0</v>
      </c>
      <c r="M97" s="35">
        <v>11156</v>
      </c>
      <c r="N97" s="12"/>
    </row>
    <row r="98" spans="1:14" s="14" customFormat="1" ht="16.5" x14ac:dyDescent="0.2">
      <c r="A98" s="220">
        <v>88</v>
      </c>
      <c r="B98" s="41" t="s">
        <v>154</v>
      </c>
      <c r="C98" s="33">
        <f t="shared" si="3"/>
        <v>2646</v>
      </c>
      <c r="D98" s="34">
        <f t="shared" si="4"/>
        <v>0</v>
      </c>
      <c r="E98" s="11">
        <v>0</v>
      </c>
      <c r="F98" s="11">
        <v>0</v>
      </c>
      <c r="G98" s="11">
        <v>0</v>
      </c>
      <c r="H98" s="11">
        <v>0</v>
      </c>
      <c r="I98" s="35">
        <v>0</v>
      </c>
      <c r="J98" s="34">
        <f t="shared" si="5"/>
        <v>2646</v>
      </c>
      <c r="K98" s="11">
        <v>2252</v>
      </c>
      <c r="L98" s="11">
        <v>0</v>
      </c>
      <c r="M98" s="35">
        <v>394</v>
      </c>
      <c r="N98" s="12"/>
    </row>
    <row r="99" spans="1:14" s="14" customFormat="1" ht="16.5" x14ac:dyDescent="0.2">
      <c r="A99" s="220">
        <v>89</v>
      </c>
      <c r="B99" s="41" t="s">
        <v>155</v>
      </c>
      <c r="C99" s="33">
        <f t="shared" si="3"/>
        <v>3086</v>
      </c>
      <c r="D99" s="34">
        <f t="shared" si="4"/>
        <v>0</v>
      </c>
      <c r="E99" s="11">
        <v>0</v>
      </c>
      <c r="F99" s="11">
        <v>0</v>
      </c>
      <c r="G99" s="11">
        <v>0</v>
      </c>
      <c r="H99" s="11">
        <v>0</v>
      </c>
      <c r="I99" s="35">
        <v>0</v>
      </c>
      <c r="J99" s="34">
        <f t="shared" si="5"/>
        <v>3086</v>
      </c>
      <c r="K99" s="11">
        <v>2106</v>
      </c>
      <c r="L99" s="11">
        <v>0</v>
      </c>
      <c r="M99" s="35">
        <v>980</v>
      </c>
      <c r="N99" s="12"/>
    </row>
    <row r="100" spans="1:14" s="14" customFormat="1" ht="16.5" x14ac:dyDescent="0.2">
      <c r="A100" s="220">
        <v>90</v>
      </c>
      <c r="B100" s="41" t="s">
        <v>156</v>
      </c>
      <c r="C100" s="33">
        <f t="shared" si="3"/>
        <v>3661</v>
      </c>
      <c r="D100" s="34">
        <f t="shared" si="4"/>
        <v>0</v>
      </c>
      <c r="E100" s="11">
        <v>0</v>
      </c>
      <c r="F100" s="11">
        <v>0</v>
      </c>
      <c r="G100" s="11">
        <v>0</v>
      </c>
      <c r="H100" s="11">
        <v>0</v>
      </c>
      <c r="I100" s="35">
        <v>0</v>
      </c>
      <c r="J100" s="34">
        <f t="shared" si="5"/>
        <v>3661</v>
      </c>
      <c r="K100" s="11">
        <v>3564</v>
      </c>
      <c r="L100" s="11">
        <v>0</v>
      </c>
      <c r="M100" s="35">
        <v>97</v>
      </c>
      <c r="N100" s="12"/>
    </row>
    <row r="101" spans="1:14" s="14" customFormat="1" ht="16.5" x14ac:dyDescent="0.2">
      <c r="A101" s="220">
        <v>91</v>
      </c>
      <c r="B101" s="41" t="s">
        <v>157</v>
      </c>
      <c r="C101" s="33">
        <f t="shared" si="3"/>
        <v>2971</v>
      </c>
      <c r="D101" s="34">
        <f t="shared" si="4"/>
        <v>0</v>
      </c>
      <c r="E101" s="11">
        <v>0</v>
      </c>
      <c r="F101" s="11">
        <v>0</v>
      </c>
      <c r="G101" s="11">
        <v>0</v>
      </c>
      <c r="H101" s="11">
        <v>0</v>
      </c>
      <c r="I101" s="35">
        <v>0</v>
      </c>
      <c r="J101" s="34">
        <f t="shared" si="5"/>
        <v>2971</v>
      </c>
      <c r="K101" s="11">
        <v>2830</v>
      </c>
      <c r="L101" s="11">
        <v>0</v>
      </c>
      <c r="M101" s="35">
        <v>141</v>
      </c>
      <c r="N101" s="12"/>
    </row>
    <row r="102" spans="1:14" s="14" customFormat="1" ht="16.5" x14ac:dyDescent="0.2">
      <c r="A102" s="220">
        <v>92</v>
      </c>
      <c r="B102" s="41" t="s">
        <v>158</v>
      </c>
      <c r="C102" s="33">
        <f t="shared" si="3"/>
        <v>13089</v>
      </c>
      <c r="D102" s="34">
        <f t="shared" si="4"/>
        <v>0</v>
      </c>
      <c r="E102" s="11">
        <v>0</v>
      </c>
      <c r="F102" s="11">
        <v>0</v>
      </c>
      <c r="G102" s="11">
        <v>0</v>
      </c>
      <c r="H102" s="11">
        <v>0</v>
      </c>
      <c r="I102" s="35">
        <v>0</v>
      </c>
      <c r="J102" s="34">
        <f t="shared" si="5"/>
        <v>13089</v>
      </c>
      <c r="K102" s="11">
        <v>5926</v>
      </c>
      <c r="L102" s="11">
        <v>6434</v>
      </c>
      <c r="M102" s="35">
        <v>729</v>
      </c>
      <c r="N102" s="12"/>
    </row>
    <row r="103" spans="1:14" s="14" customFormat="1" ht="16.5" x14ac:dyDescent="0.2">
      <c r="A103" s="220">
        <v>93</v>
      </c>
      <c r="B103" s="41" t="s">
        <v>159</v>
      </c>
      <c r="C103" s="33">
        <f t="shared" si="3"/>
        <v>2707</v>
      </c>
      <c r="D103" s="34">
        <f t="shared" si="4"/>
        <v>0</v>
      </c>
      <c r="E103" s="11">
        <v>0</v>
      </c>
      <c r="F103" s="11">
        <v>0</v>
      </c>
      <c r="G103" s="11">
        <v>0</v>
      </c>
      <c r="H103" s="11">
        <v>0</v>
      </c>
      <c r="I103" s="35">
        <v>0</v>
      </c>
      <c r="J103" s="34">
        <f t="shared" si="5"/>
        <v>2707</v>
      </c>
      <c r="K103" s="11">
        <v>2030</v>
      </c>
      <c r="L103" s="11">
        <v>499</v>
      </c>
      <c r="M103" s="35">
        <v>178</v>
      </c>
      <c r="N103" s="12"/>
    </row>
    <row r="104" spans="1:14" s="14" customFormat="1" ht="16.5" x14ac:dyDescent="0.2">
      <c r="A104" s="220">
        <v>94</v>
      </c>
      <c r="B104" s="41" t="s">
        <v>160</v>
      </c>
      <c r="C104" s="33">
        <f t="shared" si="3"/>
        <v>2344</v>
      </c>
      <c r="D104" s="34">
        <f t="shared" si="4"/>
        <v>0</v>
      </c>
      <c r="E104" s="11">
        <v>0</v>
      </c>
      <c r="F104" s="11">
        <v>0</v>
      </c>
      <c r="G104" s="11">
        <v>0</v>
      </c>
      <c r="H104" s="11">
        <v>0</v>
      </c>
      <c r="I104" s="35">
        <v>0</v>
      </c>
      <c r="J104" s="34">
        <f t="shared" si="5"/>
        <v>2344</v>
      </c>
      <c r="K104" s="11">
        <v>2296</v>
      </c>
      <c r="L104" s="11">
        <v>0</v>
      </c>
      <c r="M104" s="35">
        <v>48</v>
      </c>
      <c r="N104" s="12"/>
    </row>
    <row r="105" spans="1:14" s="14" customFormat="1" ht="12" x14ac:dyDescent="0.2">
      <c r="A105" s="220">
        <v>95</v>
      </c>
      <c r="B105" s="41" t="s">
        <v>161</v>
      </c>
      <c r="C105" s="33">
        <f t="shared" si="3"/>
        <v>159704</v>
      </c>
      <c r="D105" s="34">
        <f t="shared" si="4"/>
        <v>114023</v>
      </c>
      <c r="E105" s="11">
        <v>46486</v>
      </c>
      <c r="F105" s="11">
        <v>11082</v>
      </c>
      <c r="G105" s="11">
        <v>2790</v>
      </c>
      <c r="H105" s="11">
        <v>40636</v>
      </c>
      <c r="I105" s="35">
        <v>13029</v>
      </c>
      <c r="J105" s="34">
        <f t="shared" si="5"/>
        <v>45681</v>
      </c>
      <c r="K105" s="11">
        <v>24914</v>
      </c>
      <c r="L105" s="11">
        <v>20</v>
      </c>
      <c r="M105" s="35">
        <v>20747</v>
      </c>
      <c r="N105" s="12"/>
    </row>
    <row r="106" spans="1:14" s="14" customFormat="1" ht="12" x14ac:dyDescent="0.2">
      <c r="A106" s="220">
        <v>96</v>
      </c>
      <c r="B106" s="41" t="s">
        <v>162</v>
      </c>
      <c r="C106" s="33">
        <f t="shared" si="3"/>
        <v>123540.8</v>
      </c>
      <c r="D106" s="34">
        <f t="shared" si="4"/>
        <v>71172</v>
      </c>
      <c r="E106" s="11">
        <v>29039</v>
      </c>
      <c r="F106" s="11">
        <v>12001</v>
      </c>
      <c r="G106" s="11">
        <v>2036</v>
      </c>
      <c r="H106" s="11">
        <v>28096</v>
      </c>
      <c r="I106" s="35">
        <v>0</v>
      </c>
      <c r="J106" s="34">
        <f t="shared" si="5"/>
        <v>52368.800000000003</v>
      </c>
      <c r="K106" s="11">
        <v>46453.8</v>
      </c>
      <c r="L106" s="11">
        <v>360</v>
      </c>
      <c r="M106" s="35">
        <v>5555</v>
      </c>
      <c r="N106" s="12"/>
    </row>
    <row r="107" spans="1:14" s="14" customFormat="1" ht="12" x14ac:dyDescent="0.2">
      <c r="A107" s="220">
        <v>97</v>
      </c>
      <c r="B107" s="41" t="s">
        <v>77</v>
      </c>
      <c r="C107" s="33">
        <f t="shared" si="3"/>
        <v>98844</v>
      </c>
      <c r="D107" s="34">
        <f t="shared" si="4"/>
        <v>58602</v>
      </c>
      <c r="E107" s="11">
        <v>21651</v>
      </c>
      <c r="F107" s="11">
        <v>9275</v>
      </c>
      <c r="G107" s="11">
        <v>2961</v>
      </c>
      <c r="H107" s="11">
        <v>24715</v>
      </c>
      <c r="I107" s="35">
        <v>0</v>
      </c>
      <c r="J107" s="34">
        <f t="shared" si="5"/>
        <v>40242</v>
      </c>
      <c r="K107" s="11">
        <v>23014</v>
      </c>
      <c r="L107" s="11">
        <v>4633</v>
      </c>
      <c r="M107" s="35">
        <v>12595</v>
      </c>
      <c r="N107" s="12"/>
    </row>
    <row r="108" spans="1:14" s="14" customFormat="1" ht="12" x14ac:dyDescent="0.2">
      <c r="A108" s="220">
        <v>98</v>
      </c>
      <c r="B108" s="41" t="s">
        <v>163</v>
      </c>
      <c r="C108" s="33">
        <f t="shared" si="3"/>
        <v>52253</v>
      </c>
      <c r="D108" s="34">
        <f t="shared" si="4"/>
        <v>30380</v>
      </c>
      <c r="E108" s="11">
        <v>9468</v>
      </c>
      <c r="F108" s="11">
        <v>5336</v>
      </c>
      <c r="G108" s="11">
        <v>1566</v>
      </c>
      <c r="H108" s="11">
        <v>14010</v>
      </c>
      <c r="I108" s="35">
        <v>0</v>
      </c>
      <c r="J108" s="34">
        <f t="shared" si="5"/>
        <v>21873</v>
      </c>
      <c r="K108" s="11">
        <v>18155</v>
      </c>
      <c r="L108" s="11">
        <v>0</v>
      </c>
      <c r="M108" s="35">
        <v>3718</v>
      </c>
      <c r="N108" s="12"/>
    </row>
    <row r="109" spans="1:14" s="14" customFormat="1" ht="12" x14ac:dyDescent="0.2">
      <c r="A109" s="220">
        <v>99</v>
      </c>
      <c r="B109" s="41" t="s">
        <v>164</v>
      </c>
      <c r="C109" s="33">
        <f t="shared" si="3"/>
        <v>35893</v>
      </c>
      <c r="D109" s="34">
        <f t="shared" si="4"/>
        <v>27474</v>
      </c>
      <c r="E109" s="11">
        <v>4757</v>
      </c>
      <c r="F109" s="11">
        <v>2108</v>
      </c>
      <c r="G109" s="11">
        <v>523</v>
      </c>
      <c r="H109" s="11">
        <v>6378</v>
      </c>
      <c r="I109" s="35">
        <v>13708</v>
      </c>
      <c r="J109" s="34">
        <f t="shared" si="5"/>
        <v>8419</v>
      </c>
      <c r="K109" s="11">
        <v>5244</v>
      </c>
      <c r="L109" s="11">
        <v>25</v>
      </c>
      <c r="M109" s="35">
        <v>3150</v>
      </c>
      <c r="N109" s="12"/>
    </row>
    <row r="110" spans="1:14" s="14" customFormat="1" ht="12" x14ac:dyDescent="0.2">
      <c r="A110" s="220">
        <v>100</v>
      </c>
      <c r="B110" s="41" t="s">
        <v>165</v>
      </c>
      <c r="C110" s="33">
        <f t="shared" si="3"/>
        <v>42779</v>
      </c>
      <c r="D110" s="34">
        <f t="shared" si="4"/>
        <v>22010</v>
      </c>
      <c r="E110" s="11">
        <v>5867</v>
      </c>
      <c r="F110" s="11">
        <v>3534</v>
      </c>
      <c r="G110" s="11">
        <v>681</v>
      </c>
      <c r="H110" s="11">
        <v>11928</v>
      </c>
      <c r="I110" s="35">
        <v>0</v>
      </c>
      <c r="J110" s="34">
        <f t="shared" si="5"/>
        <v>20769</v>
      </c>
      <c r="K110" s="11">
        <v>9039</v>
      </c>
      <c r="L110" s="11">
        <v>4224</v>
      </c>
      <c r="M110" s="35">
        <v>7506</v>
      </c>
      <c r="N110" s="12"/>
    </row>
    <row r="111" spans="1:14" s="14" customFormat="1" ht="12" x14ac:dyDescent="0.2">
      <c r="A111" s="220">
        <v>101</v>
      </c>
      <c r="B111" s="41" t="s">
        <v>78</v>
      </c>
      <c r="C111" s="33">
        <f t="shared" si="3"/>
        <v>302017</v>
      </c>
      <c r="D111" s="34">
        <f t="shared" si="4"/>
        <v>163572</v>
      </c>
      <c r="E111" s="11">
        <v>58768</v>
      </c>
      <c r="F111" s="11">
        <v>25723</v>
      </c>
      <c r="G111" s="11">
        <v>5859</v>
      </c>
      <c r="H111" s="11">
        <v>73222</v>
      </c>
      <c r="I111" s="35">
        <v>0</v>
      </c>
      <c r="J111" s="34">
        <f t="shared" si="5"/>
        <v>138445</v>
      </c>
      <c r="K111" s="11">
        <v>108573</v>
      </c>
      <c r="L111" s="11">
        <v>3056</v>
      </c>
      <c r="M111" s="35">
        <v>26816</v>
      </c>
      <c r="N111" s="12"/>
    </row>
    <row r="112" spans="1:14" s="14" customFormat="1" ht="12" x14ac:dyDescent="0.2">
      <c r="A112" s="220">
        <v>102</v>
      </c>
      <c r="B112" s="41" t="s">
        <v>166</v>
      </c>
      <c r="C112" s="33">
        <f t="shared" si="3"/>
        <v>102109</v>
      </c>
      <c r="D112" s="34">
        <f t="shared" si="4"/>
        <v>63690</v>
      </c>
      <c r="E112" s="11">
        <v>34088</v>
      </c>
      <c r="F112" s="11">
        <v>482</v>
      </c>
      <c r="G112" s="11">
        <v>0</v>
      </c>
      <c r="H112" s="11">
        <v>19988</v>
      </c>
      <c r="I112" s="35">
        <v>9132</v>
      </c>
      <c r="J112" s="34">
        <f t="shared" si="5"/>
        <v>38419</v>
      </c>
      <c r="K112" s="11">
        <v>13066</v>
      </c>
      <c r="L112" s="11">
        <v>0</v>
      </c>
      <c r="M112" s="35">
        <v>25353</v>
      </c>
      <c r="N112" s="12"/>
    </row>
    <row r="113" spans="1:14" s="14" customFormat="1" ht="12" x14ac:dyDescent="0.2">
      <c r="A113" s="220">
        <v>103</v>
      </c>
      <c r="B113" s="41" t="s">
        <v>71</v>
      </c>
      <c r="C113" s="33">
        <f t="shared" si="3"/>
        <v>120248</v>
      </c>
      <c r="D113" s="34">
        <f t="shared" si="4"/>
        <v>69563</v>
      </c>
      <c r="E113" s="11">
        <v>15672</v>
      </c>
      <c r="F113" s="11">
        <v>7150</v>
      </c>
      <c r="G113" s="11">
        <v>1607</v>
      </c>
      <c r="H113" s="11">
        <v>27501</v>
      </c>
      <c r="I113" s="35">
        <v>17633</v>
      </c>
      <c r="J113" s="34">
        <f t="shared" si="5"/>
        <v>50685</v>
      </c>
      <c r="K113" s="11">
        <v>42198</v>
      </c>
      <c r="L113" s="11">
        <v>0</v>
      </c>
      <c r="M113" s="35">
        <v>8487</v>
      </c>
      <c r="N113" s="12"/>
    </row>
    <row r="114" spans="1:14" s="14" customFormat="1" ht="12" x14ac:dyDescent="0.2">
      <c r="A114" s="220">
        <v>104</v>
      </c>
      <c r="B114" s="41" t="s">
        <v>79</v>
      </c>
      <c r="C114" s="33">
        <f t="shared" si="3"/>
        <v>44588</v>
      </c>
      <c r="D114" s="34">
        <f t="shared" si="4"/>
        <v>20184</v>
      </c>
      <c r="E114" s="11">
        <v>0</v>
      </c>
      <c r="F114" s="11">
        <v>0</v>
      </c>
      <c r="G114" s="11">
        <v>0</v>
      </c>
      <c r="H114" s="11">
        <v>20184</v>
      </c>
      <c r="I114" s="35">
        <v>0</v>
      </c>
      <c r="J114" s="34">
        <f t="shared" si="5"/>
        <v>24404</v>
      </c>
      <c r="K114" s="11">
        <v>15301</v>
      </c>
      <c r="L114" s="11">
        <v>0</v>
      </c>
      <c r="M114" s="35">
        <v>9103</v>
      </c>
      <c r="N114" s="12"/>
    </row>
    <row r="115" spans="1:14" s="14" customFormat="1" ht="12" x14ac:dyDescent="0.2">
      <c r="A115" s="347">
        <v>105</v>
      </c>
      <c r="B115" s="41" t="s">
        <v>58</v>
      </c>
      <c r="C115" s="33">
        <f t="shared" si="3"/>
        <v>28235</v>
      </c>
      <c r="D115" s="34">
        <f t="shared" si="4"/>
        <v>5892</v>
      </c>
      <c r="E115" s="11">
        <v>243</v>
      </c>
      <c r="F115" s="11">
        <v>904</v>
      </c>
      <c r="G115" s="11">
        <v>38</v>
      </c>
      <c r="H115" s="11">
        <v>4707</v>
      </c>
      <c r="I115" s="35">
        <v>0</v>
      </c>
      <c r="J115" s="34">
        <f t="shared" si="5"/>
        <v>22343</v>
      </c>
      <c r="K115" s="11">
        <v>22246</v>
      </c>
      <c r="L115" s="11">
        <v>0</v>
      </c>
      <c r="M115" s="35">
        <v>97</v>
      </c>
      <c r="N115" s="12"/>
    </row>
    <row r="116" spans="1:14" s="14" customFormat="1" ht="16.5" x14ac:dyDescent="0.2">
      <c r="A116" s="347"/>
      <c r="B116" s="41" t="s">
        <v>167</v>
      </c>
      <c r="C116" s="33">
        <f t="shared" si="3"/>
        <v>3600</v>
      </c>
      <c r="D116" s="34">
        <f t="shared" si="4"/>
        <v>0</v>
      </c>
      <c r="E116" s="11">
        <v>0</v>
      </c>
      <c r="F116" s="11">
        <v>0</v>
      </c>
      <c r="G116" s="11">
        <v>0</v>
      </c>
      <c r="H116" s="11">
        <v>0</v>
      </c>
      <c r="I116" s="35">
        <v>0</v>
      </c>
      <c r="J116" s="34">
        <f t="shared" si="5"/>
        <v>3600</v>
      </c>
      <c r="K116" s="11">
        <v>2843</v>
      </c>
      <c r="L116" s="11">
        <v>0</v>
      </c>
      <c r="M116" s="35">
        <v>757</v>
      </c>
      <c r="N116" s="12"/>
    </row>
    <row r="117" spans="1:14" s="14" customFormat="1" ht="16.5" x14ac:dyDescent="0.2">
      <c r="A117" s="220">
        <v>106</v>
      </c>
      <c r="B117" s="41" t="s">
        <v>168</v>
      </c>
      <c r="C117" s="33">
        <f t="shared" si="3"/>
        <v>8362</v>
      </c>
      <c r="D117" s="34">
        <f t="shared" si="4"/>
        <v>0</v>
      </c>
      <c r="E117" s="11">
        <v>0</v>
      </c>
      <c r="F117" s="11">
        <v>0</v>
      </c>
      <c r="G117" s="11">
        <v>0</v>
      </c>
      <c r="H117" s="11">
        <v>0</v>
      </c>
      <c r="I117" s="35">
        <v>0</v>
      </c>
      <c r="J117" s="34">
        <f t="shared" si="5"/>
        <v>8362</v>
      </c>
      <c r="K117" s="11">
        <v>7413</v>
      </c>
      <c r="L117" s="11">
        <v>0</v>
      </c>
      <c r="M117" s="35">
        <v>949</v>
      </c>
      <c r="N117" s="12"/>
    </row>
    <row r="118" spans="1:14" s="14" customFormat="1" ht="12" x14ac:dyDescent="0.2">
      <c r="A118" s="220">
        <v>107</v>
      </c>
      <c r="B118" s="36" t="s">
        <v>169</v>
      </c>
      <c r="C118" s="33">
        <f t="shared" si="3"/>
        <v>13304</v>
      </c>
      <c r="D118" s="34">
        <f t="shared" si="4"/>
        <v>9440</v>
      </c>
      <c r="E118" s="11">
        <v>3731</v>
      </c>
      <c r="F118" s="11">
        <v>1444</v>
      </c>
      <c r="G118" s="11">
        <v>233</v>
      </c>
      <c r="H118" s="11">
        <v>4032</v>
      </c>
      <c r="I118" s="35">
        <v>0</v>
      </c>
      <c r="J118" s="34">
        <f t="shared" si="5"/>
        <v>3864</v>
      </c>
      <c r="K118" s="11">
        <v>2075</v>
      </c>
      <c r="L118" s="11">
        <v>0</v>
      </c>
      <c r="M118" s="35">
        <v>1789</v>
      </c>
      <c r="N118" s="12"/>
    </row>
    <row r="119" spans="1:14" s="14" customFormat="1" ht="12" x14ac:dyDescent="0.2">
      <c r="A119" s="220">
        <v>108</v>
      </c>
      <c r="B119" s="32" t="s">
        <v>37</v>
      </c>
      <c r="C119" s="33">
        <f t="shared" si="3"/>
        <v>41689</v>
      </c>
      <c r="D119" s="34">
        <f t="shared" si="4"/>
        <v>28041</v>
      </c>
      <c r="E119" s="11">
        <v>11575</v>
      </c>
      <c r="F119" s="11">
        <v>3490</v>
      </c>
      <c r="G119" s="11">
        <v>749</v>
      </c>
      <c r="H119" s="11">
        <v>11057</v>
      </c>
      <c r="I119" s="35">
        <v>1170</v>
      </c>
      <c r="J119" s="34">
        <f t="shared" si="5"/>
        <v>13648</v>
      </c>
      <c r="K119" s="11">
        <v>7531</v>
      </c>
      <c r="L119" s="11">
        <v>0</v>
      </c>
      <c r="M119" s="35">
        <v>6117</v>
      </c>
      <c r="N119" s="12"/>
    </row>
    <row r="120" spans="1:14" s="14" customFormat="1" ht="12" x14ac:dyDescent="0.2">
      <c r="A120" s="220">
        <v>109</v>
      </c>
      <c r="B120" s="36" t="s">
        <v>38</v>
      </c>
      <c r="C120" s="33">
        <f t="shared" si="3"/>
        <v>41576</v>
      </c>
      <c r="D120" s="34">
        <f t="shared" si="4"/>
        <v>27803</v>
      </c>
      <c r="E120" s="11">
        <v>12003</v>
      </c>
      <c r="F120" s="11">
        <v>3724</v>
      </c>
      <c r="G120" s="11">
        <v>855</v>
      </c>
      <c r="H120" s="11">
        <v>11221</v>
      </c>
      <c r="I120" s="35">
        <v>0</v>
      </c>
      <c r="J120" s="34">
        <f t="shared" si="5"/>
        <v>13773</v>
      </c>
      <c r="K120" s="11">
        <v>7715</v>
      </c>
      <c r="L120" s="11">
        <v>690</v>
      </c>
      <c r="M120" s="35">
        <v>5368</v>
      </c>
      <c r="N120" s="12"/>
    </row>
    <row r="121" spans="1:14" s="14" customFormat="1" ht="12" x14ac:dyDescent="0.2">
      <c r="A121" s="220">
        <v>110</v>
      </c>
      <c r="B121" s="32" t="s">
        <v>39</v>
      </c>
      <c r="C121" s="33">
        <f t="shared" si="3"/>
        <v>126844</v>
      </c>
      <c r="D121" s="34">
        <f t="shared" si="4"/>
        <v>71325</v>
      </c>
      <c r="E121" s="11">
        <v>29308</v>
      </c>
      <c r="F121" s="11">
        <v>8379</v>
      </c>
      <c r="G121" s="11">
        <v>1795</v>
      </c>
      <c r="H121" s="11">
        <v>31843</v>
      </c>
      <c r="I121" s="35">
        <v>0</v>
      </c>
      <c r="J121" s="34">
        <f t="shared" si="5"/>
        <v>55519</v>
      </c>
      <c r="K121" s="11">
        <v>31315</v>
      </c>
      <c r="L121" s="11">
        <v>4521</v>
      </c>
      <c r="M121" s="35">
        <v>19683</v>
      </c>
      <c r="N121" s="12"/>
    </row>
    <row r="122" spans="1:14" s="14" customFormat="1" ht="12" x14ac:dyDescent="0.2">
      <c r="A122" s="220">
        <v>111</v>
      </c>
      <c r="B122" s="36" t="s">
        <v>40</v>
      </c>
      <c r="C122" s="33">
        <f t="shared" si="3"/>
        <v>54226</v>
      </c>
      <c r="D122" s="34">
        <f t="shared" si="4"/>
        <v>32611</v>
      </c>
      <c r="E122" s="11">
        <v>13314</v>
      </c>
      <c r="F122" s="11">
        <v>4625</v>
      </c>
      <c r="G122" s="11">
        <v>911</v>
      </c>
      <c r="H122" s="11">
        <v>13761</v>
      </c>
      <c r="I122" s="35">
        <v>0</v>
      </c>
      <c r="J122" s="34">
        <f t="shared" si="5"/>
        <v>21615</v>
      </c>
      <c r="K122" s="11">
        <v>11585</v>
      </c>
      <c r="L122" s="11">
        <v>2260</v>
      </c>
      <c r="M122" s="35">
        <v>7770</v>
      </c>
      <c r="N122" s="12"/>
    </row>
    <row r="123" spans="1:14" s="14" customFormat="1" ht="12" x14ac:dyDescent="0.2">
      <c r="A123" s="220">
        <v>112</v>
      </c>
      <c r="B123" s="36" t="s">
        <v>41</v>
      </c>
      <c r="C123" s="33">
        <f t="shared" si="3"/>
        <v>70993</v>
      </c>
      <c r="D123" s="34">
        <f t="shared" si="4"/>
        <v>39314</v>
      </c>
      <c r="E123" s="11">
        <v>14834</v>
      </c>
      <c r="F123" s="11">
        <v>6064</v>
      </c>
      <c r="G123" s="11">
        <v>1574</v>
      </c>
      <c r="H123" s="11">
        <v>16842</v>
      </c>
      <c r="I123" s="35">
        <v>0</v>
      </c>
      <c r="J123" s="34">
        <f t="shared" si="5"/>
        <v>31679</v>
      </c>
      <c r="K123" s="11">
        <v>12027</v>
      </c>
      <c r="L123" s="11">
        <v>7755</v>
      </c>
      <c r="M123" s="35">
        <v>11897</v>
      </c>
      <c r="N123" s="12"/>
    </row>
    <row r="124" spans="1:14" s="14" customFormat="1" ht="12" x14ac:dyDescent="0.2">
      <c r="A124" s="220">
        <v>113</v>
      </c>
      <c r="B124" s="32" t="s">
        <v>42</v>
      </c>
      <c r="C124" s="33">
        <f t="shared" si="3"/>
        <v>127064</v>
      </c>
      <c r="D124" s="34">
        <f t="shared" si="4"/>
        <v>72556</v>
      </c>
      <c r="E124" s="11">
        <v>27635</v>
      </c>
      <c r="F124" s="11">
        <v>9739</v>
      </c>
      <c r="G124" s="11">
        <v>2502</v>
      </c>
      <c r="H124" s="11">
        <v>32680</v>
      </c>
      <c r="I124" s="35">
        <v>0</v>
      </c>
      <c r="J124" s="34">
        <f t="shared" si="5"/>
        <v>54508</v>
      </c>
      <c r="K124" s="11">
        <v>25827</v>
      </c>
      <c r="L124" s="11">
        <v>6392</v>
      </c>
      <c r="M124" s="35">
        <v>22289</v>
      </c>
      <c r="N124" s="12"/>
    </row>
    <row r="125" spans="1:14" s="14" customFormat="1" ht="12" x14ac:dyDescent="0.2">
      <c r="A125" s="220">
        <v>114</v>
      </c>
      <c r="B125" s="32" t="s">
        <v>43</v>
      </c>
      <c r="C125" s="33">
        <f t="shared" si="3"/>
        <v>123108</v>
      </c>
      <c r="D125" s="34">
        <f t="shared" si="4"/>
        <v>63178</v>
      </c>
      <c r="E125" s="11">
        <v>24023</v>
      </c>
      <c r="F125" s="11">
        <v>8449</v>
      </c>
      <c r="G125" s="11">
        <v>2153</v>
      </c>
      <c r="H125" s="11">
        <v>28553</v>
      </c>
      <c r="I125" s="35">
        <v>0</v>
      </c>
      <c r="J125" s="34">
        <f t="shared" si="5"/>
        <v>59930</v>
      </c>
      <c r="K125" s="11">
        <v>37864</v>
      </c>
      <c r="L125" s="11">
        <v>2957</v>
      </c>
      <c r="M125" s="35">
        <v>19109</v>
      </c>
      <c r="N125" s="12"/>
    </row>
    <row r="126" spans="1:14" s="14" customFormat="1" ht="12" x14ac:dyDescent="0.2">
      <c r="A126" s="220">
        <v>115</v>
      </c>
      <c r="B126" s="36" t="s">
        <v>44</v>
      </c>
      <c r="C126" s="33">
        <f t="shared" si="3"/>
        <v>38453</v>
      </c>
      <c r="D126" s="34">
        <f t="shared" si="4"/>
        <v>23134</v>
      </c>
      <c r="E126" s="11">
        <v>8308</v>
      </c>
      <c r="F126" s="11">
        <v>3550</v>
      </c>
      <c r="G126" s="11">
        <v>918</v>
      </c>
      <c r="H126" s="11">
        <v>10358</v>
      </c>
      <c r="I126" s="35">
        <v>0</v>
      </c>
      <c r="J126" s="34">
        <f t="shared" si="5"/>
        <v>15319</v>
      </c>
      <c r="K126" s="11">
        <v>5165</v>
      </c>
      <c r="L126" s="11">
        <v>1211</v>
      </c>
      <c r="M126" s="35">
        <v>8943</v>
      </c>
      <c r="N126" s="12"/>
    </row>
    <row r="127" spans="1:14" s="14" customFormat="1" ht="12" x14ac:dyDescent="0.2">
      <c r="A127" s="220">
        <v>116</v>
      </c>
      <c r="B127" s="32" t="s">
        <v>45</v>
      </c>
      <c r="C127" s="33">
        <f t="shared" si="3"/>
        <v>63390</v>
      </c>
      <c r="D127" s="34">
        <f t="shared" si="4"/>
        <v>37196</v>
      </c>
      <c r="E127" s="11">
        <v>13636</v>
      </c>
      <c r="F127" s="11">
        <v>5803</v>
      </c>
      <c r="G127" s="11">
        <v>1481</v>
      </c>
      <c r="H127" s="11">
        <v>16276</v>
      </c>
      <c r="I127" s="35">
        <v>0</v>
      </c>
      <c r="J127" s="34">
        <f t="shared" si="5"/>
        <v>26194</v>
      </c>
      <c r="K127" s="11">
        <v>20496</v>
      </c>
      <c r="L127" s="11">
        <v>17</v>
      </c>
      <c r="M127" s="35">
        <v>5681</v>
      </c>
      <c r="N127" s="12"/>
    </row>
    <row r="128" spans="1:14" s="14" customFormat="1" ht="12" x14ac:dyDescent="0.2">
      <c r="A128" s="220">
        <v>117</v>
      </c>
      <c r="B128" s="36" t="s">
        <v>46</v>
      </c>
      <c r="C128" s="33">
        <f t="shared" si="3"/>
        <v>61010</v>
      </c>
      <c r="D128" s="34">
        <f t="shared" si="4"/>
        <v>37085</v>
      </c>
      <c r="E128" s="11">
        <v>14890</v>
      </c>
      <c r="F128" s="11">
        <v>5279</v>
      </c>
      <c r="G128" s="11">
        <v>1396</v>
      </c>
      <c r="H128" s="11">
        <v>15520</v>
      </c>
      <c r="I128" s="35">
        <v>0</v>
      </c>
      <c r="J128" s="34">
        <f t="shared" si="5"/>
        <v>23925</v>
      </c>
      <c r="K128" s="11">
        <v>9102</v>
      </c>
      <c r="L128" s="11">
        <v>4427</v>
      </c>
      <c r="M128" s="35">
        <v>10396</v>
      </c>
      <c r="N128" s="12"/>
    </row>
    <row r="129" spans="1:14" s="14" customFormat="1" ht="12" x14ac:dyDescent="0.2">
      <c r="A129" s="220">
        <v>118</v>
      </c>
      <c r="B129" s="36" t="s">
        <v>47</v>
      </c>
      <c r="C129" s="33">
        <f t="shared" si="3"/>
        <v>87230</v>
      </c>
      <c r="D129" s="34">
        <f t="shared" si="4"/>
        <v>55581</v>
      </c>
      <c r="E129" s="11">
        <v>17451</v>
      </c>
      <c r="F129" s="11">
        <v>5309</v>
      </c>
      <c r="G129" s="11">
        <v>1339</v>
      </c>
      <c r="H129" s="11">
        <v>18780</v>
      </c>
      <c r="I129" s="35">
        <v>12702</v>
      </c>
      <c r="J129" s="34">
        <f t="shared" si="5"/>
        <v>31649</v>
      </c>
      <c r="K129" s="11">
        <v>19786</v>
      </c>
      <c r="L129" s="11">
        <v>1967</v>
      </c>
      <c r="M129" s="35">
        <v>9896</v>
      </c>
      <c r="N129" s="12"/>
    </row>
    <row r="130" spans="1:14" s="14" customFormat="1" ht="12" x14ac:dyDescent="0.2">
      <c r="A130" s="220">
        <v>119</v>
      </c>
      <c r="B130" s="32" t="s">
        <v>48</v>
      </c>
      <c r="C130" s="33">
        <f t="shared" si="3"/>
        <v>47030</v>
      </c>
      <c r="D130" s="34">
        <f t="shared" si="4"/>
        <v>28769</v>
      </c>
      <c r="E130" s="11">
        <v>11295</v>
      </c>
      <c r="F130" s="11">
        <v>4274</v>
      </c>
      <c r="G130" s="11">
        <v>1201</v>
      </c>
      <c r="H130" s="11">
        <v>11999</v>
      </c>
      <c r="I130" s="35">
        <v>0</v>
      </c>
      <c r="J130" s="34">
        <f t="shared" si="5"/>
        <v>18261</v>
      </c>
      <c r="K130" s="11">
        <v>7199</v>
      </c>
      <c r="L130" s="11">
        <v>7009</v>
      </c>
      <c r="M130" s="35">
        <v>4053</v>
      </c>
      <c r="N130" s="12"/>
    </row>
    <row r="131" spans="1:14" s="14" customFormat="1" ht="12" x14ac:dyDescent="0.2">
      <c r="A131" s="220">
        <v>120</v>
      </c>
      <c r="B131" s="36" t="s">
        <v>49</v>
      </c>
      <c r="C131" s="33">
        <f t="shared" si="3"/>
        <v>70875</v>
      </c>
      <c r="D131" s="34">
        <f t="shared" si="4"/>
        <v>41878</v>
      </c>
      <c r="E131" s="11">
        <v>16147</v>
      </c>
      <c r="F131" s="11">
        <v>6304</v>
      </c>
      <c r="G131" s="11">
        <v>1685</v>
      </c>
      <c r="H131" s="11">
        <v>17742</v>
      </c>
      <c r="I131" s="35">
        <v>0</v>
      </c>
      <c r="J131" s="34">
        <f t="shared" si="5"/>
        <v>28997</v>
      </c>
      <c r="K131" s="11">
        <v>18934</v>
      </c>
      <c r="L131" s="11">
        <v>0</v>
      </c>
      <c r="M131" s="35">
        <v>10063</v>
      </c>
      <c r="N131" s="12"/>
    </row>
    <row r="132" spans="1:14" s="14" customFormat="1" ht="12" x14ac:dyDescent="0.2">
      <c r="A132" s="220">
        <v>121</v>
      </c>
      <c r="B132" s="36" t="s">
        <v>50</v>
      </c>
      <c r="C132" s="33">
        <f t="shared" si="3"/>
        <v>114911</v>
      </c>
      <c r="D132" s="34">
        <f t="shared" si="4"/>
        <v>73110</v>
      </c>
      <c r="E132" s="11">
        <v>30931</v>
      </c>
      <c r="F132" s="11">
        <v>10044</v>
      </c>
      <c r="G132" s="11">
        <v>2463</v>
      </c>
      <c r="H132" s="11">
        <v>29652</v>
      </c>
      <c r="I132" s="35">
        <v>20</v>
      </c>
      <c r="J132" s="34">
        <f t="shared" si="5"/>
        <v>41801</v>
      </c>
      <c r="K132" s="11">
        <v>11706</v>
      </c>
      <c r="L132" s="11">
        <v>11524</v>
      </c>
      <c r="M132" s="35">
        <v>18571</v>
      </c>
      <c r="N132" s="12"/>
    </row>
    <row r="133" spans="1:14" s="14" customFormat="1" ht="12" x14ac:dyDescent="0.2">
      <c r="A133" s="220">
        <v>122</v>
      </c>
      <c r="B133" s="36" t="s">
        <v>51</v>
      </c>
      <c r="C133" s="33">
        <f t="shared" si="3"/>
        <v>54994</v>
      </c>
      <c r="D133" s="34">
        <f t="shared" si="4"/>
        <v>34439</v>
      </c>
      <c r="E133" s="11">
        <v>14161</v>
      </c>
      <c r="F133" s="11">
        <v>4905</v>
      </c>
      <c r="G133" s="11">
        <v>1199</v>
      </c>
      <c r="H133" s="11">
        <v>14174</v>
      </c>
      <c r="I133" s="35">
        <v>0</v>
      </c>
      <c r="J133" s="34">
        <f t="shared" si="5"/>
        <v>20555</v>
      </c>
      <c r="K133" s="11">
        <v>8238</v>
      </c>
      <c r="L133" s="11">
        <v>5359</v>
      </c>
      <c r="M133" s="35">
        <v>6958</v>
      </c>
      <c r="N133" s="12"/>
    </row>
    <row r="134" spans="1:14" s="14" customFormat="1" ht="24.75" x14ac:dyDescent="0.2">
      <c r="A134" s="220">
        <v>123</v>
      </c>
      <c r="B134" s="41" t="s">
        <v>59</v>
      </c>
      <c r="C134" s="33">
        <f t="shared" si="3"/>
        <v>52288</v>
      </c>
      <c r="D134" s="34">
        <f t="shared" si="4"/>
        <v>23836</v>
      </c>
      <c r="E134" s="11">
        <v>6758</v>
      </c>
      <c r="F134" s="11">
        <v>3994</v>
      </c>
      <c r="G134" s="11">
        <v>989</v>
      </c>
      <c r="H134" s="11">
        <v>12095</v>
      </c>
      <c r="I134" s="35">
        <v>0</v>
      </c>
      <c r="J134" s="34">
        <f t="shared" si="5"/>
        <v>28452</v>
      </c>
      <c r="K134" s="11">
        <v>26779</v>
      </c>
      <c r="L134" s="11">
        <v>0</v>
      </c>
      <c r="M134" s="35">
        <v>1673</v>
      </c>
      <c r="N134" s="12"/>
    </row>
    <row r="135" spans="1:14" s="14" customFormat="1" ht="12" x14ac:dyDescent="0.2">
      <c r="A135" s="220">
        <v>124</v>
      </c>
      <c r="B135" s="41" t="s">
        <v>171</v>
      </c>
      <c r="C135" s="33">
        <f t="shared" si="3"/>
        <v>25</v>
      </c>
      <c r="D135" s="34">
        <f t="shared" si="4"/>
        <v>0</v>
      </c>
      <c r="E135" s="11">
        <v>0</v>
      </c>
      <c r="F135" s="11">
        <v>0</v>
      </c>
      <c r="G135" s="11">
        <v>0</v>
      </c>
      <c r="H135" s="11">
        <v>0</v>
      </c>
      <c r="I135" s="35">
        <v>0</v>
      </c>
      <c r="J135" s="34">
        <f t="shared" si="5"/>
        <v>25</v>
      </c>
      <c r="K135" s="11">
        <v>25</v>
      </c>
      <c r="L135" s="11">
        <v>0</v>
      </c>
      <c r="M135" s="35">
        <v>0</v>
      </c>
      <c r="N135" s="12"/>
    </row>
    <row r="136" spans="1:14" s="14" customFormat="1" ht="12" x14ac:dyDescent="0.2">
      <c r="A136" s="220">
        <v>125</v>
      </c>
      <c r="B136" s="36" t="s">
        <v>173</v>
      </c>
      <c r="C136" s="33">
        <f t="shared" si="3"/>
        <v>1</v>
      </c>
      <c r="D136" s="34">
        <f t="shared" si="4"/>
        <v>0</v>
      </c>
      <c r="E136" s="11">
        <v>0</v>
      </c>
      <c r="F136" s="11">
        <v>0</v>
      </c>
      <c r="G136" s="11">
        <v>0</v>
      </c>
      <c r="H136" s="11">
        <v>0</v>
      </c>
      <c r="I136" s="35">
        <v>0</v>
      </c>
      <c r="J136" s="34">
        <f t="shared" si="5"/>
        <v>1</v>
      </c>
      <c r="K136" s="11">
        <v>0</v>
      </c>
      <c r="L136" s="11">
        <v>0</v>
      </c>
      <c r="M136" s="35">
        <v>1</v>
      </c>
      <c r="N136" s="12"/>
    </row>
    <row r="137" spans="1:14" s="20" customFormat="1" ht="12" x14ac:dyDescent="0.2">
      <c r="A137" s="220">
        <v>126</v>
      </c>
      <c r="B137" s="32" t="s">
        <v>175</v>
      </c>
      <c r="C137" s="33">
        <f t="shared" si="3"/>
        <v>100</v>
      </c>
      <c r="D137" s="34">
        <f t="shared" si="4"/>
        <v>0</v>
      </c>
      <c r="E137" s="11">
        <v>0</v>
      </c>
      <c r="F137" s="11">
        <v>0</v>
      </c>
      <c r="G137" s="11">
        <v>0</v>
      </c>
      <c r="H137" s="11">
        <v>0</v>
      </c>
      <c r="I137" s="35">
        <v>0</v>
      </c>
      <c r="J137" s="34">
        <f t="shared" si="5"/>
        <v>100</v>
      </c>
      <c r="K137" s="11">
        <v>94</v>
      </c>
      <c r="L137" s="11">
        <v>0</v>
      </c>
      <c r="M137" s="35">
        <v>6</v>
      </c>
      <c r="N137" s="12"/>
    </row>
    <row r="138" spans="1:14" x14ac:dyDescent="0.25">
      <c r="A138" s="220">
        <v>127</v>
      </c>
      <c r="B138" s="36" t="s">
        <v>177</v>
      </c>
      <c r="C138" s="33">
        <f t="shared" ref="C138:C165" si="6">D138+J138</f>
        <v>50</v>
      </c>
      <c r="D138" s="34">
        <f t="shared" ref="D138:D165" si="7">E138+F138+G138+H138+I138</f>
        <v>0</v>
      </c>
      <c r="E138" s="11">
        <v>0</v>
      </c>
      <c r="F138" s="11">
        <v>0</v>
      </c>
      <c r="G138" s="11">
        <v>0</v>
      </c>
      <c r="H138" s="11">
        <v>0</v>
      </c>
      <c r="I138" s="35">
        <v>0</v>
      </c>
      <c r="J138" s="34">
        <f t="shared" ref="J138:J165" si="8">K138+L138+M138</f>
        <v>50</v>
      </c>
      <c r="K138" s="11">
        <v>50</v>
      </c>
      <c r="L138" s="11">
        <v>0</v>
      </c>
      <c r="M138" s="35">
        <v>0</v>
      </c>
      <c r="N138" s="12"/>
    </row>
    <row r="139" spans="1:14" ht="16.5" x14ac:dyDescent="0.25">
      <c r="A139" s="220">
        <v>128</v>
      </c>
      <c r="B139" s="36" t="s">
        <v>178</v>
      </c>
      <c r="C139" s="33">
        <f t="shared" si="6"/>
        <v>40</v>
      </c>
      <c r="D139" s="34">
        <f t="shared" si="7"/>
        <v>0</v>
      </c>
      <c r="E139" s="11">
        <v>0</v>
      </c>
      <c r="F139" s="11">
        <v>0</v>
      </c>
      <c r="G139" s="11">
        <v>0</v>
      </c>
      <c r="H139" s="11">
        <v>0</v>
      </c>
      <c r="I139" s="35">
        <v>0</v>
      </c>
      <c r="J139" s="34">
        <f t="shared" si="8"/>
        <v>40</v>
      </c>
      <c r="K139" s="11">
        <v>40</v>
      </c>
      <c r="L139" s="11">
        <v>0</v>
      </c>
      <c r="M139" s="35">
        <v>0</v>
      </c>
      <c r="N139" s="12"/>
    </row>
    <row r="140" spans="1:14" x14ac:dyDescent="0.25">
      <c r="A140" s="220">
        <v>129</v>
      </c>
      <c r="B140" s="36" t="s">
        <v>179</v>
      </c>
      <c r="C140" s="33">
        <f t="shared" si="6"/>
        <v>32</v>
      </c>
      <c r="D140" s="34">
        <f t="shared" si="7"/>
        <v>0</v>
      </c>
      <c r="E140" s="11">
        <v>0</v>
      </c>
      <c r="F140" s="11">
        <v>0</v>
      </c>
      <c r="G140" s="11">
        <v>0</v>
      </c>
      <c r="H140" s="11">
        <v>0</v>
      </c>
      <c r="I140" s="35">
        <v>0</v>
      </c>
      <c r="J140" s="34">
        <f t="shared" si="8"/>
        <v>32</v>
      </c>
      <c r="K140" s="11">
        <v>22</v>
      </c>
      <c r="L140" s="11">
        <v>0</v>
      </c>
      <c r="M140" s="35">
        <v>10</v>
      </c>
      <c r="N140" s="12"/>
    </row>
    <row r="141" spans="1:14" ht="16.5" x14ac:dyDescent="0.25">
      <c r="A141" s="220">
        <v>130</v>
      </c>
      <c r="B141" s="36" t="s">
        <v>181</v>
      </c>
      <c r="C141" s="33">
        <f t="shared" si="6"/>
        <v>25</v>
      </c>
      <c r="D141" s="34">
        <f t="shared" si="7"/>
        <v>0</v>
      </c>
      <c r="E141" s="11">
        <v>0</v>
      </c>
      <c r="F141" s="11">
        <v>0</v>
      </c>
      <c r="G141" s="11">
        <v>0</v>
      </c>
      <c r="H141" s="11">
        <v>0</v>
      </c>
      <c r="I141" s="35">
        <v>0</v>
      </c>
      <c r="J141" s="34">
        <f t="shared" si="8"/>
        <v>25</v>
      </c>
      <c r="K141" s="11">
        <v>17</v>
      </c>
      <c r="L141" s="11">
        <v>0</v>
      </c>
      <c r="M141" s="35">
        <v>8</v>
      </c>
      <c r="N141" s="12"/>
    </row>
    <row r="142" spans="1:14" x14ac:dyDescent="0.25">
      <c r="A142" s="220">
        <v>131</v>
      </c>
      <c r="B142" s="36" t="s">
        <v>60</v>
      </c>
      <c r="C142" s="33">
        <f t="shared" si="6"/>
        <v>382</v>
      </c>
      <c r="D142" s="34">
        <f t="shared" si="7"/>
        <v>0</v>
      </c>
      <c r="E142" s="11">
        <v>0</v>
      </c>
      <c r="F142" s="11">
        <v>0</v>
      </c>
      <c r="G142" s="11">
        <v>0</v>
      </c>
      <c r="H142" s="11">
        <v>0</v>
      </c>
      <c r="I142" s="35">
        <v>0</v>
      </c>
      <c r="J142" s="34">
        <f t="shared" si="8"/>
        <v>382</v>
      </c>
      <c r="K142" s="11">
        <v>330</v>
      </c>
      <c r="L142" s="11">
        <v>0</v>
      </c>
      <c r="M142" s="35">
        <v>52</v>
      </c>
      <c r="N142" s="12"/>
    </row>
    <row r="143" spans="1:14" ht="16.5" x14ac:dyDescent="0.25">
      <c r="A143" s="220">
        <v>132</v>
      </c>
      <c r="B143" s="36" t="s">
        <v>182</v>
      </c>
      <c r="C143" s="33">
        <f t="shared" si="6"/>
        <v>90</v>
      </c>
      <c r="D143" s="34">
        <f t="shared" si="7"/>
        <v>0</v>
      </c>
      <c r="E143" s="11">
        <v>0</v>
      </c>
      <c r="F143" s="11">
        <v>0</v>
      </c>
      <c r="G143" s="11">
        <v>0</v>
      </c>
      <c r="H143" s="11">
        <v>0</v>
      </c>
      <c r="I143" s="35">
        <v>0</v>
      </c>
      <c r="J143" s="34">
        <f t="shared" si="8"/>
        <v>90</v>
      </c>
      <c r="K143" s="11">
        <v>53</v>
      </c>
      <c r="L143" s="11">
        <v>28</v>
      </c>
      <c r="M143" s="35">
        <v>9</v>
      </c>
      <c r="N143" s="12"/>
    </row>
    <row r="144" spans="1:14" x14ac:dyDescent="0.25">
      <c r="A144" s="220">
        <v>133</v>
      </c>
      <c r="B144" s="36" t="s">
        <v>183</v>
      </c>
      <c r="C144" s="33">
        <f t="shared" si="6"/>
        <v>82</v>
      </c>
      <c r="D144" s="34">
        <f t="shared" si="7"/>
        <v>0</v>
      </c>
      <c r="E144" s="11">
        <v>0</v>
      </c>
      <c r="F144" s="11">
        <v>0</v>
      </c>
      <c r="G144" s="11">
        <v>0</v>
      </c>
      <c r="H144" s="11">
        <v>0</v>
      </c>
      <c r="I144" s="35">
        <v>0</v>
      </c>
      <c r="J144" s="34">
        <f t="shared" si="8"/>
        <v>82</v>
      </c>
      <c r="K144" s="11">
        <v>82</v>
      </c>
      <c r="L144" s="11">
        <v>0</v>
      </c>
      <c r="M144" s="35">
        <v>0</v>
      </c>
      <c r="N144" s="12"/>
    </row>
    <row r="145" spans="1:14" x14ac:dyDescent="0.25">
      <c r="A145" s="220">
        <v>134</v>
      </c>
      <c r="B145" s="36" t="s">
        <v>184</v>
      </c>
      <c r="C145" s="33">
        <f t="shared" si="6"/>
        <v>32</v>
      </c>
      <c r="D145" s="34">
        <f t="shared" si="7"/>
        <v>0</v>
      </c>
      <c r="E145" s="11">
        <v>0</v>
      </c>
      <c r="F145" s="11">
        <v>0</v>
      </c>
      <c r="G145" s="11">
        <v>0</v>
      </c>
      <c r="H145" s="11">
        <v>0</v>
      </c>
      <c r="I145" s="35">
        <v>0</v>
      </c>
      <c r="J145" s="34">
        <f t="shared" si="8"/>
        <v>32</v>
      </c>
      <c r="K145" s="11">
        <v>32</v>
      </c>
      <c r="L145" s="11">
        <v>0</v>
      </c>
      <c r="M145" s="35">
        <v>0</v>
      </c>
      <c r="N145" s="12"/>
    </row>
    <row r="146" spans="1:14" x14ac:dyDescent="0.25">
      <c r="A146" s="220">
        <v>135</v>
      </c>
      <c r="B146" s="36" t="s">
        <v>185</v>
      </c>
      <c r="C146" s="33">
        <f t="shared" si="6"/>
        <v>25</v>
      </c>
      <c r="D146" s="34">
        <f t="shared" si="7"/>
        <v>0</v>
      </c>
      <c r="E146" s="11">
        <v>0</v>
      </c>
      <c r="F146" s="11">
        <v>0</v>
      </c>
      <c r="G146" s="11">
        <v>0</v>
      </c>
      <c r="H146" s="11">
        <v>0</v>
      </c>
      <c r="I146" s="35">
        <v>0</v>
      </c>
      <c r="J146" s="34">
        <f t="shared" si="8"/>
        <v>25</v>
      </c>
      <c r="K146" s="11">
        <v>25</v>
      </c>
      <c r="L146" s="11">
        <v>0</v>
      </c>
      <c r="M146" s="35">
        <v>0</v>
      </c>
      <c r="N146" s="12"/>
    </row>
    <row r="147" spans="1:14" ht="16.5" x14ac:dyDescent="0.25">
      <c r="A147" s="220">
        <v>136</v>
      </c>
      <c r="B147" s="36" t="s">
        <v>186</v>
      </c>
      <c r="C147" s="33">
        <f t="shared" si="6"/>
        <v>32</v>
      </c>
      <c r="D147" s="34">
        <f t="shared" si="7"/>
        <v>0</v>
      </c>
      <c r="E147" s="11">
        <v>0</v>
      </c>
      <c r="F147" s="11">
        <v>0</v>
      </c>
      <c r="G147" s="11">
        <v>0</v>
      </c>
      <c r="H147" s="11">
        <v>0</v>
      </c>
      <c r="I147" s="35">
        <v>0</v>
      </c>
      <c r="J147" s="34">
        <f t="shared" si="8"/>
        <v>32</v>
      </c>
      <c r="K147" s="11">
        <v>32</v>
      </c>
      <c r="L147" s="11">
        <v>0</v>
      </c>
      <c r="M147" s="35">
        <v>0</v>
      </c>
      <c r="N147" s="12"/>
    </row>
    <row r="148" spans="1:14" ht="16.5" x14ac:dyDescent="0.25">
      <c r="A148" s="220">
        <v>137</v>
      </c>
      <c r="B148" s="36" t="s">
        <v>187</v>
      </c>
      <c r="C148" s="33">
        <f t="shared" si="6"/>
        <v>32</v>
      </c>
      <c r="D148" s="34">
        <f t="shared" si="7"/>
        <v>0</v>
      </c>
      <c r="E148" s="11">
        <v>0</v>
      </c>
      <c r="F148" s="11">
        <v>0</v>
      </c>
      <c r="G148" s="11">
        <v>0</v>
      </c>
      <c r="H148" s="11">
        <v>0</v>
      </c>
      <c r="I148" s="35">
        <v>0</v>
      </c>
      <c r="J148" s="34">
        <f t="shared" si="8"/>
        <v>32</v>
      </c>
      <c r="K148" s="11">
        <v>32</v>
      </c>
      <c r="L148" s="11">
        <v>0</v>
      </c>
      <c r="M148" s="35">
        <v>0</v>
      </c>
      <c r="N148" s="12"/>
    </row>
    <row r="149" spans="1:14" x14ac:dyDescent="0.25">
      <c r="A149" s="220">
        <v>138</v>
      </c>
      <c r="B149" s="36" t="s">
        <v>188</v>
      </c>
      <c r="C149" s="33">
        <f t="shared" si="6"/>
        <v>32</v>
      </c>
      <c r="D149" s="34">
        <f t="shared" si="7"/>
        <v>0</v>
      </c>
      <c r="E149" s="11">
        <v>0</v>
      </c>
      <c r="F149" s="11">
        <v>0</v>
      </c>
      <c r="G149" s="11">
        <v>0</v>
      </c>
      <c r="H149" s="11">
        <v>0</v>
      </c>
      <c r="I149" s="35">
        <v>0</v>
      </c>
      <c r="J149" s="34">
        <f t="shared" si="8"/>
        <v>32</v>
      </c>
      <c r="K149" s="11">
        <v>32</v>
      </c>
      <c r="L149" s="11">
        <v>0</v>
      </c>
      <c r="M149" s="35">
        <v>0</v>
      </c>
      <c r="N149" s="12"/>
    </row>
    <row r="150" spans="1:14" x14ac:dyDescent="0.25">
      <c r="A150" s="220">
        <v>139</v>
      </c>
      <c r="B150" s="36" t="s">
        <v>81</v>
      </c>
      <c r="C150" s="33">
        <f t="shared" si="6"/>
        <v>229358</v>
      </c>
      <c r="D150" s="34">
        <f t="shared" si="7"/>
        <v>0</v>
      </c>
      <c r="E150" s="11">
        <v>0</v>
      </c>
      <c r="F150" s="11">
        <v>0</v>
      </c>
      <c r="G150" s="11">
        <v>0</v>
      </c>
      <c r="H150" s="11">
        <v>0</v>
      </c>
      <c r="I150" s="35">
        <v>0</v>
      </c>
      <c r="J150" s="34">
        <f t="shared" si="8"/>
        <v>229358</v>
      </c>
      <c r="K150" s="11">
        <v>229358</v>
      </c>
      <c r="L150" s="11">
        <v>0</v>
      </c>
      <c r="M150" s="35">
        <v>0</v>
      </c>
      <c r="N150" s="12"/>
    </row>
    <row r="151" spans="1:14" x14ac:dyDescent="0.25">
      <c r="A151" s="220">
        <v>140</v>
      </c>
      <c r="B151" s="36" t="s">
        <v>86</v>
      </c>
      <c r="C151" s="33">
        <f t="shared" si="6"/>
        <v>124000</v>
      </c>
      <c r="D151" s="34">
        <f t="shared" si="7"/>
        <v>0</v>
      </c>
      <c r="E151" s="11">
        <v>0</v>
      </c>
      <c r="F151" s="11">
        <v>0</v>
      </c>
      <c r="G151" s="11">
        <v>0</v>
      </c>
      <c r="H151" s="11">
        <v>0</v>
      </c>
      <c r="I151" s="35">
        <v>0</v>
      </c>
      <c r="J151" s="34">
        <f t="shared" si="8"/>
        <v>124000</v>
      </c>
      <c r="K151" s="11">
        <v>124000</v>
      </c>
      <c r="L151" s="11">
        <v>0</v>
      </c>
      <c r="M151" s="35">
        <v>0</v>
      </c>
      <c r="N151" s="12"/>
    </row>
    <row r="152" spans="1:14" x14ac:dyDescent="0.25">
      <c r="A152" s="220">
        <v>141</v>
      </c>
      <c r="B152" s="36" t="s">
        <v>61</v>
      </c>
      <c r="C152" s="33">
        <f t="shared" si="6"/>
        <v>81000</v>
      </c>
      <c r="D152" s="34">
        <f t="shared" si="7"/>
        <v>0</v>
      </c>
      <c r="E152" s="11">
        <v>0</v>
      </c>
      <c r="F152" s="11">
        <v>0</v>
      </c>
      <c r="G152" s="11">
        <v>0</v>
      </c>
      <c r="H152" s="11">
        <v>0</v>
      </c>
      <c r="I152" s="35">
        <v>0</v>
      </c>
      <c r="J152" s="34">
        <f t="shared" si="8"/>
        <v>81000</v>
      </c>
      <c r="K152" s="11">
        <v>81000</v>
      </c>
      <c r="L152" s="11">
        <v>0</v>
      </c>
      <c r="M152" s="35">
        <v>0</v>
      </c>
      <c r="N152" s="12"/>
    </row>
    <row r="153" spans="1:14" x14ac:dyDescent="0.25">
      <c r="A153" s="220">
        <v>142</v>
      </c>
      <c r="B153" s="36" t="s">
        <v>69</v>
      </c>
      <c r="C153" s="33">
        <f t="shared" si="6"/>
        <v>113000</v>
      </c>
      <c r="D153" s="34">
        <f t="shared" si="7"/>
        <v>0</v>
      </c>
      <c r="E153" s="11">
        <v>0</v>
      </c>
      <c r="F153" s="11">
        <v>0</v>
      </c>
      <c r="G153" s="11">
        <v>0</v>
      </c>
      <c r="H153" s="11">
        <v>0</v>
      </c>
      <c r="I153" s="35">
        <v>0</v>
      </c>
      <c r="J153" s="34">
        <f t="shared" si="8"/>
        <v>113000</v>
      </c>
      <c r="K153" s="11">
        <v>113000</v>
      </c>
      <c r="L153" s="11">
        <v>0</v>
      </c>
      <c r="M153" s="35">
        <v>0</v>
      </c>
      <c r="N153" s="12"/>
    </row>
    <row r="154" spans="1:14" x14ac:dyDescent="0.25">
      <c r="A154" s="220">
        <v>143</v>
      </c>
      <c r="B154" s="36" t="s">
        <v>62</v>
      </c>
      <c r="C154" s="33">
        <f t="shared" si="6"/>
        <v>7873</v>
      </c>
      <c r="D154" s="34">
        <f t="shared" si="7"/>
        <v>0</v>
      </c>
      <c r="E154" s="11">
        <v>0</v>
      </c>
      <c r="F154" s="11">
        <v>0</v>
      </c>
      <c r="G154" s="11">
        <v>0</v>
      </c>
      <c r="H154" s="11">
        <v>0</v>
      </c>
      <c r="I154" s="35">
        <v>0</v>
      </c>
      <c r="J154" s="34">
        <f t="shared" si="8"/>
        <v>7873</v>
      </c>
      <c r="K154" s="11">
        <v>7873</v>
      </c>
      <c r="L154" s="11">
        <v>0</v>
      </c>
      <c r="M154" s="35">
        <v>0</v>
      </c>
      <c r="N154" s="12"/>
    </row>
    <row r="155" spans="1:14" x14ac:dyDescent="0.25">
      <c r="A155" s="220">
        <v>144</v>
      </c>
      <c r="B155" s="36" t="s">
        <v>84</v>
      </c>
      <c r="C155" s="33">
        <f t="shared" si="6"/>
        <v>65356</v>
      </c>
      <c r="D155" s="34">
        <f t="shared" si="7"/>
        <v>0</v>
      </c>
      <c r="E155" s="11">
        <v>0</v>
      </c>
      <c r="F155" s="11">
        <v>0</v>
      </c>
      <c r="G155" s="11">
        <v>0</v>
      </c>
      <c r="H155" s="11">
        <v>0</v>
      </c>
      <c r="I155" s="35">
        <v>0</v>
      </c>
      <c r="J155" s="34">
        <f t="shared" si="8"/>
        <v>65356</v>
      </c>
      <c r="K155" s="11">
        <v>65356</v>
      </c>
      <c r="L155" s="11">
        <v>0</v>
      </c>
      <c r="M155" s="35">
        <v>0</v>
      </c>
      <c r="N155" s="12"/>
    </row>
    <row r="156" spans="1:14" x14ac:dyDescent="0.25">
      <c r="A156" s="220">
        <v>145</v>
      </c>
      <c r="B156" s="36" t="s">
        <v>83</v>
      </c>
      <c r="C156" s="33">
        <f t="shared" si="6"/>
        <v>54704</v>
      </c>
      <c r="D156" s="34">
        <f t="shared" si="7"/>
        <v>21567</v>
      </c>
      <c r="E156" s="11">
        <v>0</v>
      </c>
      <c r="F156" s="11">
        <v>0</v>
      </c>
      <c r="G156" s="11">
        <v>0</v>
      </c>
      <c r="H156" s="11">
        <v>21567</v>
      </c>
      <c r="I156" s="35">
        <v>0</v>
      </c>
      <c r="J156" s="34">
        <f t="shared" si="8"/>
        <v>33137</v>
      </c>
      <c r="K156" s="11">
        <v>26772</v>
      </c>
      <c r="L156" s="11">
        <v>0</v>
      </c>
      <c r="M156" s="35">
        <v>6365</v>
      </c>
      <c r="N156" s="12"/>
    </row>
    <row r="157" spans="1:14" x14ac:dyDescent="0.25">
      <c r="A157" s="220">
        <v>146</v>
      </c>
      <c r="B157" s="36" t="s">
        <v>80</v>
      </c>
      <c r="C157" s="33">
        <f t="shared" si="6"/>
        <v>68000</v>
      </c>
      <c r="D157" s="34">
        <f t="shared" si="7"/>
        <v>0</v>
      </c>
      <c r="E157" s="11">
        <v>0</v>
      </c>
      <c r="F157" s="11">
        <v>0</v>
      </c>
      <c r="G157" s="11">
        <v>0</v>
      </c>
      <c r="H157" s="11">
        <v>0</v>
      </c>
      <c r="I157" s="35">
        <v>0</v>
      </c>
      <c r="J157" s="34">
        <f t="shared" si="8"/>
        <v>68000</v>
      </c>
      <c r="K157" s="11">
        <v>68000</v>
      </c>
      <c r="L157" s="11">
        <v>0</v>
      </c>
      <c r="M157" s="35">
        <v>0</v>
      </c>
      <c r="N157" s="12"/>
    </row>
    <row r="158" spans="1:14" x14ac:dyDescent="0.25">
      <c r="A158" s="220">
        <v>147</v>
      </c>
      <c r="B158" s="36" t="s">
        <v>63</v>
      </c>
      <c r="C158" s="33">
        <f t="shared" si="6"/>
        <v>18984</v>
      </c>
      <c r="D158" s="34">
        <f t="shared" si="7"/>
        <v>18984</v>
      </c>
      <c r="E158" s="11">
        <v>0</v>
      </c>
      <c r="F158" s="11">
        <v>0</v>
      </c>
      <c r="G158" s="11">
        <v>0</v>
      </c>
      <c r="H158" s="11">
        <v>0</v>
      </c>
      <c r="I158" s="35">
        <v>18984</v>
      </c>
      <c r="J158" s="34">
        <f t="shared" si="8"/>
        <v>0</v>
      </c>
      <c r="K158" s="11">
        <v>0</v>
      </c>
      <c r="L158" s="11">
        <v>0</v>
      </c>
      <c r="M158" s="35">
        <v>0</v>
      </c>
      <c r="N158" s="12"/>
    </row>
    <row r="159" spans="1:14" x14ac:dyDescent="0.25">
      <c r="A159" s="220">
        <v>148</v>
      </c>
      <c r="B159" s="36" t="s">
        <v>64</v>
      </c>
      <c r="C159" s="33">
        <f t="shared" si="6"/>
        <v>57392</v>
      </c>
      <c r="D159" s="34">
        <f t="shared" si="7"/>
        <v>0</v>
      </c>
      <c r="E159" s="11">
        <v>0</v>
      </c>
      <c r="F159" s="11">
        <v>0</v>
      </c>
      <c r="G159" s="11">
        <v>0</v>
      </c>
      <c r="H159" s="11">
        <v>0</v>
      </c>
      <c r="I159" s="35">
        <v>0</v>
      </c>
      <c r="J159" s="34">
        <f t="shared" si="8"/>
        <v>57392</v>
      </c>
      <c r="K159" s="11">
        <v>57392</v>
      </c>
      <c r="L159" s="11">
        <v>0</v>
      </c>
      <c r="M159" s="35">
        <v>0</v>
      </c>
      <c r="N159" s="12"/>
    </row>
    <row r="160" spans="1:14" x14ac:dyDescent="0.25">
      <c r="A160" s="220">
        <v>149</v>
      </c>
      <c r="B160" s="36" t="s">
        <v>70</v>
      </c>
      <c r="C160" s="33">
        <f t="shared" si="6"/>
        <v>800</v>
      </c>
      <c r="D160" s="34">
        <f t="shared" si="7"/>
        <v>0</v>
      </c>
      <c r="E160" s="11">
        <v>0</v>
      </c>
      <c r="F160" s="11">
        <v>0</v>
      </c>
      <c r="G160" s="11">
        <v>0</v>
      </c>
      <c r="H160" s="11">
        <v>0</v>
      </c>
      <c r="I160" s="35">
        <v>0</v>
      </c>
      <c r="J160" s="34">
        <f t="shared" si="8"/>
        <v>800</v>
      </c>
      <c r="K160" s="11">
        <v>800</v>
      </c>
      <c r="L160" s="11">
        <v>0</v>
      </c>
      <c r="M160" s="35">
        <v>0</v>
      </c>
      <c r="N160" s="12"/>
    </row>
    <row r="161" spans="1:14" x14ac:dyDescent="0.25">
      <c r="A161" s="347">
        <v>150</v>
      </c>
      <c r="B161" s="36" t="s">
        <v>191</v>
      </c>
      <c r="C161" s="33">
        <f t="shared" si="6"/>
        <v>114855</v>
      </c>
      <c r="D161" s="34">
        <f t="shared" si="7"/>
        <v>53713</v>
      </c>
      <c r="E161" s="11">
        <v>20368</v>
      </c>
      <c r="F161" s="11">
        <v>7870</v>
      </c>
      <c r="G161" s="11">
        <v>2117</v>
      </c>
      <c r="H161" s="11">
        <v>23358</v>
      </c>
      <c r="I161" s="35">
        <v>0</v>
      </c>
      <c r="J161" s="34">
        <f t="shared" si="8"/>
        <v>61142</v>
      </c>
      <c r="K161" s="11">
        <f>42586+1500</f>
        <v>44086</v>
      </c>
      <c r="L161" s="11">
        <v>2255</v>
      </c>
      <c r="M161" s="35">
        <v>14801</v>
      </c>
      <c r="N161" s="12"/>
    </row>
    <row r="162" spans="1:14" ht="28.5" customHeight="1" x14ac:dyDescent="0.25">
      <c r="A162" s="347"/>
      <c r="B162" s="42" t="s">
        <v>65</v>
      </c>
      <c r="C162" s="33">
        <f t="shared" si="6"/>
        <v>160816</v>
      </c>
      <c r="D162" s="34">
        <f t="shared" si="7"/>
        <v>103660</v>
      </c>
      <c r="E162" s="11">
        <v>40156</v>
      </c>
      <c r="F162" s="11">
        <v>12605</v>
      </c>
      <c r="G162" s="11">
        <v>3394</v>
      </c>
      <c r="H162" s="11">
        <v>47505</v>
      </c>
      <c r="I162" s="35">
        <v>0</v>
      </c>
      <c r="J162" s="34">
        <f t="shared" si="8"/>
        <v>57156</v>
      </c>
      <c r="K162" s="11">
        <v>34531</v>
      </c>
      <c r="L162" s="11">
        <v>6063</v>
      </c>
      <c r="M162" s="35">
        <v>16562</v>
      </c>
      <c r="N162" s="12"/>
    </row>
    <row r="163" spans="1:14" x14ac:dyDescent="0.25">
      <c r="A163" s="220">
        <v>151</v>
      </c>
      <c r="B163" s="36" t="s">
        <v>192</v>
      </c>
      <c r="C163" s="33">
        <f t="shared" si="6"/>
        <v>3000</v>
      </c>
      <c r="D163" s="34">
        <f t="shared" si="7"/>
        <v>0</v>
      </c>
      <c r="E163" s="11">
        <v>0</v>
      </c>
      <c r="F163" s="11">
        <v>0</v>
      </c>
      <c r="G163" s="11">
        <v>0</v>
      </c>
      <c r="H163" s="11">
        <v>0</v>
      </c>
      <c r="I163" s="35">
        <v>0</v>
      </c>
      <c r="J163" s="34">
        <f t="shared" si="8"/>
        <v>3000</v>
      </c>
      <c r="K163" s="11">
        <v>3000</v>
      </c>
      <c r="L163" s="11">
        <v>0</v>
      </c>
      <c r="M163" s="35">
        <v>0</v>
      </c>
      <c r="N163" s="12"/>
    </row>
    <row r="164" spans="1:14" x14ac:dyDescent="0.25">
      <c r="A164" s="220">
        <v>152</v>
      </c>
      <c r="B164" s="36" t="s">
        <v>193</v>
      </c>
      <c r="C164" s="33">
        <f t="shared" si="6"/>
        <v>9430</v>
      </c>
      <c r="D164" s="34">
        <f t="shared" si="7"/>
        <v>0</v>
      </c>
      <c r="E164" s="11">
        <v>0</v>
      </c>
      <c r="F164" s="11">
        <v>0</v>
      </c>
      <c r="G164" s="11">
        <v>0</v>
      </c>
      <c r="H164" s="11">
        <v>0</v>
      </c>
      <c r="I164" s="35">
        <v>0</v>
      </c>
      <c r="J164" s="34">
        <f t="shared" si="8"/>
        <v>9430</v>
      </c>
      <c r="K164" s="11">
        <v>9430</v>
      </c>
      <c r="L164" s="11">
        <v>0</v>
      </c>
      <c r="M164" s="35">
        <v>0</v>
      </c>
      <c r="N164" s="12"/>
    </row>
    <row r="165" spans="1:14" x14ac:dyDescent="0.25">
      <c r="A165" s="43"/>
      <c r="B165" s="36" t="s">
        <v>66</v>
      </c>
      <c r="C165" s="33">
        <f t="shared" si="6"/>
        <v>314443</v>
      </c>
      <c r="D165" s="34">
        <f t="shared" si="7"/>
        <v>0</v>
      </c>
      <c r="E165" s="11">
        <v>0</v>
      </c>
      <c r="F165" s="11">
        <v>0</v>
      </c>
      <c r="G165" s="11">
        <v>0</v>
      </c>
      <c r="H165" s="11">
        <v>0</v>
      </c>
      <c r="I165" s="35">
        <v>0</v>
      </c>
      <c r="J165" s="34">
        <f t="shared" si="8"/>
        <v>314443</v>
      </c>
      <c r="K165" s="11">
        <f>319343-4000-900-13837</f>
        <v>300606</v>
      </c>
      <c r="L165" s="11">
        <v>12189</v>
      </c>
      <c r="M165" s="35">
        <v>1648</v>
      </c>
      <c r="N165" s="12"/>
    </row>
    <row r="166" spans="1:14" ht="15.75" thickBot="1" x14ac:dyDescent="0.3">
      <c r="A166" s="44"/>
      <c r="B166" s="45" t="s">
        <v>52</v>
      </c>
      <c r="C166" s="46">
        <f>SUM(C8:C165)</f>
        <v>11685415.800000001</v>
      </c>
      <c r="D166" s="47">
        <f t="shared" ref="D166:L166" si="9">SUM(D8:D165)</f>
        <v>6377405</v>
      </c>
      <c r="E166" s="48">
        <f t="shared" si="9"/>
        <v>2428892</v>
      </c>
      <c r="F166" s="48">
        <f t="shared" si="9"/>
        <v>776531</v>
      </c>
      <c r="G166" s="49">
        <f t="shared" si="9"/>
        <v>204950</v>
      </c>
      <c r="H166" s="50">
        <f t="shared" si="9"/>
        <v>2561288</v>
      </c>
      <c r="I166" s="51">
        <f t="shared" si="9"/>
        <v>405744</v>
      </c>
      <c r="J166" s="47">
        <f t="shared" si="9"/>
        <v>5308010.8</v>
      </c>
      <c r="K166" s="48">
        <f t="shared" si="9"/>
        <v>3522796.8</v>
      </c>
      <c r="L166" s="49">
        <f t="shared" si="9"/>
        <v>348950</v>
      </c>
      <c r="M166" s="51">
        <f>SUM(M8:M165)</f>
        <v>1436264</v>
      </c>
      <c r="N166" s="12"/>
    </row>
    <row r="167" spans="1:14" x14ac:dyDescent="0.2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4" x14ac:dyDescent="0.25">
      <c r="B168" s="27"/>
      <c r="C168" s="25"/>
      <c r="D168" s="25"/>
      <c r="E168" s="25"/>
      <c r="F168" s="25"/>
      <c r="G168" s="25"/>
      <c r="H168" s="80"/>
      <c r="I168" s="80"/>
      <c r="J168" s="80"/>
      <c r="K168" s="80"/>
      <c r="L168" s="80"/>
      <c r="M168" s="80"/>
      <c r="N168" s="81"/>
    </row>
    <row r="169" spans="1:14" x14ac:dyDescent="0.25">
      <c r="B169" s="5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x14ac:dyDescent="0.25">
      <c r="H170" s="52"/>
      <c r="I170" s="52"/>
      <c r="J170" s="52"/>
      <c r="K170" s="52"/>
      <c r="L170" s="52"/>
      <c r="M170" s="52"/>
      <c r="N170" s="52"/>
    </row>
    <row r="171" spans="1:14" x14ac:dyDescent="0.25">
      <c r="C171" s="12"/>
      <c r="D171" s="12"/>
      <c r="E171" s="12"/>
      <c r="F171" s="12"/>
      <c r="G171" s="12"/>
      <c r="H171" s="53"/>
      <c r="I171" s="53"/>
      <c r="J171" s="53"/>
      <c r="K171" s="54"/>
      <c r="L171" s="54"/>
      <c r="M171" s="54"/>
      <c r="N171" s="52"/>
    </row>
    <row r="172" spans="1:14" x14ac:dyDescent="0.25">
      <c r="H172" s="52"/>
      <c r="I172" s="52"/>
      <c r="J172" s="52"/>
      <c r="K172" s="52"/>
      <c r="L172" s="52"/>
      <c r="M172" s="52"/>
      <c r="N172" s="52"/>
    </row>
    <row r="173" spans="1:14" x14ac:dyDescent="0.25">
      <c r="H173" s="52"/>
      <c r="I173" s="52"/>
      <c r="J173" s="52"/>
      <c r="K173" s="52"/>
      <c r="L173" s="52"/>
      <c r="M173" s="52"/>
      <c r="N173" s="52"/>
    </row>
  </sheetData>
  <mergeCells count="23">
    <mergeCell ref="A161:A162"/>
    <mergeCell ref="M5:M6"/>
    <mergeCell ref="A12:A13"/>
    <mergeCell ref="A40:A41"/>
    <mergeCell ref="A46:A48"/>
    <mergeCell ref="A51:A52"/>
    <mergeCell ref="A115:A116"/>
    <mergeCell ref="E5:F5"/>
    <mergeCell ref="G5:G6"/>
    <mergeCell ref="H5:H6"/>
    <mergeCell ref="I5:I6"/>
    <mergeCell ref="K5:K6"/>
    <mergeCell ref="L5:L6"/>
    <mergeCell ref="A1:M1"/>
    <mergeCell ref="A3:A6"/>
    <mergeCell ref="B3:B6"/>
    <mergeCell ref="C3:C6"/>
    <mergeCell ref="D3:I3"/>
    <mergeCell ref="J3:M3"/>
    <mergeCell ref="D4:D6"/>
    <mergeCell ref="E4:I4"/>
    <mergeCell ref="J4:J6"/>
    <mergeCell ref="K4:M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35" sqref="K35"/>
    </sheetView>
  </sheetViews>
  <sheetFormatPr defaultRowHeight="12" x14ac:dyDescent="0.2"/>
  <cols>
    <col min="1" max="1" width="29.42578125" style="82" customWidth="1"/>
    <col min="2" max="2" width="7.85546875" style="82" customWidth="1"/>
    <col min="3" max="3" width="9.42578125" style="82" customWidth="1"/>
    <col min="4" max="4" width="9.140625" style="82" customWidth="1"/>
    <col min="5" max="5" width="9.42578125" style="82" customWidth="1"/>
    <col min="6" max="6" width="10.5703125" style="82" customWidth="1"/>
    <col min="7" max="7" width="9.7109375" style="82" customWidth="1"/>
    <col min="8" max="8" width="8.85546875" style="82" customWidth="1"/>
    <col min="9" max="9" width="9.42578125" style="82" customWidth="1"/>
    <col min="10" max="10" width="11.28515625" style="82" customWidth="1"/>
    <col min="11" max="11" width="10" style="82" customWidth="1"/>
    <col min="12" max="12" width="9.28515625" style="82" customWidth="1"/>
    <col min="13" max="13" width="11.42578125" style="82" customWidth="1"/>
    <col min="14" max="16384" width="9.140625" style="82"/>
  </cols>
  <sheetData>
    <row r="1" spans="1:13" ht="18.75" x14ac:dyDescent="0.2">
      <c r="A1" s="359" t="s">
        <v>243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x14ac:dyDescent="0.2">
      <c r="A2" s="83"/>
      <c r="B2" s="83"/>
      <c r="C2" s="83"/>
      <c r="D2" s="83"/>
      <c r="E2" s="83"/>
      <c r="F2" s="83"/>
      <c r="G2" s="83"/>
      <c r="H2" s="83"/>
      <c r="I2" s="84"/>
      <c r="J2" s="84"/>
      <c r="K2" s="84"/>
      <c r="L2" s="84"/>
      <c r="M2" s="85" t="s">
        <v>244</v>
      </c>
    </row>
    <row r="3" spans="1:13" s="86" customFormat="1" ht="11.25" customHeight="1" x14ac:dyDescent="0.2">
      <c r="A3" s="356" t="s">
        <v>53</v>
      </c>
      <c r="B3" s="357" t="s">
        <v>68</v>
      </c>
      <c r="C3" s="361" t="s">
        <v>68</v>
      </c>
      <c r="D3" s="362"/>
      <c r="E3" s="362"/>
      <c r="F3" s="363"/>
      <c r="G3" s="364" t="s">
        <v>245</v>
      </c>
      <c r="H3" s="365"/>
      <c r="I3" s="365"/>
      <c r="J3" s="366"/>
      <c r="K3" s="367" t="s">
        <v>246</v>
      </c>
      <c r="L3" s="367"/>
      <c r="M3" s="367"/>
    </row>
    <row r="4" spans="1:13" s="86" customFormat="1" ht="12.75" customHeight="1" x14ac:dyDescent="0.2">
      <c r="A4" s="356"/>
      <c r="B4" s="360"/>
      <c r="C4" s="368" t="s">
        <v>247</v>
      </c>
      <c r="D4" s="369"/>
      <c r="E4" s="370"/>
      <c r="F4" s="356" t="s">
        <v>248</v>
      </c>
      <c r="G4" s="371" t="s">
        <v>247</v>
      </c>
      <c r="H4" s="371"/>
      <c r="I4" s="371"/>
      <c r="J4" s="356" t="s">
        <v>248</v>
      </c>
      <c r="K4" s="371" t="s">
        <v>247</v>
      </c>
      <c r="L4" s="371"/>
      <c r="M4" s="356" t="s">
        <v>248</v>
      </c>
    </row>
    <row r="5" spans="1:13" s="86" customFormat="1" ht="12.75" customHeight="1" x14ac:dyDescent="0.2">
      <c r="A5" s="356"/>
      <c r="B5" s="360"/>
      <c r="C5" s="356" t="s">
        <v>249</v>
      </c>
      <c r="D5" s="356" t="s">
        <v>250</v>
      </c>
      <c r="E5" s="356" t="s">
        <v>251</v>
      </c>
      <c r="F5" s="356"/>
      <c r="G5" s="356" t="s">
        <v>249</v>
      </c>
      <c r="H5" s="357" t="s">
        <v>250</v>
      </c>
      <c r="I5" s="357" t="s">
        <v>251</v>
      </c>
      <c r="J5" s="356"/>
      <c r="K5" s="356" t="s">
        <v>249</v>
      </c>
      <c r="L5" s="356" t="s">
        <v>250</v>
      </c>
      <c r="M5" s="356"/>
    </row>
    <row r="6" spans="1:13" s="86" customFormat="1" ht="38.25" customHeight="1" x14ac:dyDescent="0.2">
      <c r="A6" s="356"/>
      <c r="B6" s="358"/>
      <c r="C6" s="356"/>
      <c r="D6" s="356"/>
      <c r="E6" s="356"/>
      <c r="F6" s="356"/>
      <c r="G6" s="356"/>
      <c r="H6" s="358"/>
      <c r="I6" s="358"/>
      <c r="J6" s="356"/>
      <c r="K6" s="356"/>
      <c r="L6" s="356"/>
      <c r="M6" s="356"/>
    </row>
    <row r="7" spans="1:13" x14ac:dyDescent="0.2">
      <c r="A7" s="87" t="s">
        <v>13</v>
      </c>
      <c r="B7" s="88">
        <f>C7+D7+E7+F7</f>
        <v>24954</v>
      </c>
      <c r="C7" s="88">
        <f t="shared" ref="C7:D22" si="0">G7+K7</f>
        <v>7458</v>
      </c>
      <c r="D7" s="88">
        <f t="shared" si="0"/>
        <v>7458</v>
      </c>
      <c r="E7" s="88">
        <f t="shared" ref="E7:E30" si="1">I7</f>
        <v>5046</v>
      </c>
      <c r="F7" s="88">
        <f t="shared" ref="F7:F30" si="2">J7+M7</f>
        <v>4992</v>
      </c>
      <c r="G7" s="88">
        <v>5046</v>
      </c>
      <c r="H7" s="88">
        <v>5046</v>
      </c>
      <c r="I7" s="88">
        <v>5046</v>
      </c>
      <c r="J7" s="88">
        <v>3786</v>
      </c>
      <c r="K7" s="88">
        <v>2412</v>
      </c>
      <c r="L7" s="88">
        <v>2412</v>
      </c>
      <c r="M7" s="88">
        <v>1206</v>
      </c>
    </row>
    <row r="8" spans="1:13" x14ac:dyDescent="0.2">
      <c r="A8" s="87" t="s">
        <v>1</v>
      </c>
      <c r="B8" s="88">
        <f t="shared" ref="B8:B30" si="3">C8+D8+E8+F8</f>
        <v>18100</v>
      </c>
      <c r="C8" s="88">
        <f t="shared" si="0"/>
        <v>5430</v>
      </c>
      <c r="D8" s="88">
        <f t="shared" si="0"/>
        <v>5430</v>
      </c>
      <c r="E8" s="88">
        <f t="shared" si="1"/>
        <v>3850</v>
      </c>
      <c r="F8" s="88">
        <f t="shared" si="2"/>
        <v>3390</v>
      </c>
      <c r="G8" s="88">
        <v>3850</v>
      </c>
      <c r="H8" s="88">
        <v>3850</v>
      </c>
      <c r="I8" s="88">
        <v>3850</v>
      </c>
      <c r="J8" s="88">
        <v>2600</v>
      </c>
      <c r="K8" s="88">
        <v>1580</v>
      </c>
      <c r="L8" s="88">
        <v>1580</v>
      </c>
      <c r="M8" s="88">
        <v>790</v>
      </c>
    </row>
    <row r="9" spans="1:13" x14ac:dyDescent="0.2">
      <c r="A9" s="87" t="s">
        <v>2</v>
      </c>
      <c r="B9" s="88">
        <f t="shared" si="3"/>
        <v>13903</v>
      </c>
      <c r="C9" s="88">
        <f t="shared" si="0"/>
        <v>4128</v>
      </c>
      <c r="D9" s="88">
        <f t="shared" si="0"/>
        <v>4128</v>
      </c>
      <c r="E9" s="88">
        <f t="shared" si="1"/>
        <v>2866</v>
      </c>
      <c r="F9" s="88">
        <f t="shared" si="2"/>
        <v>2781</v>
      </c>
      <c r="G9" s="88">
        <v>2866</v>
      </c>
      <c r="H9" s="88">
        <v>2866</v>
      </c>
      <c r="I9" s="88">
        <v>2866</v>
      </c>
      <c r="J9" s="88">
        <v>2151</v>
      </c>
      <c r="K9" s="88">
        <v>1262</v>
      </c>
      <c r="L9" s="88">
        <v>1262</v>
      </c>
      <c r="M9" s="88">
        <v>630</v>
      </c>
    </row>
    <row r="10" spans="1:13" x14ac:dyDescent="0.2">
      <c r="A10" s="87" t="s">
        <v>19</v>
      </c>
      <c r="B10" s="88">
        <f t="shared" si="3"/>
        <v>7129</v>
      </c>
      <c r="C10" s="88">
        <f t="shared" si="0"/>
        <v>1609</v>
      </c>
      <c r="D10" s="88">
        <f t="shared" si="0"/>
        <v>2536</v>
      </c>
      <c r="E10" s="88">
        <f t="shared" si="1"/>
        <v>1245</v>
      </c>
      <c r="F10" s="88">
        <f t="shared" si="2"/>
        <v>1739</v>
      </c>
      <c r="G10" s="88">
        <v>1243</v>
      </c>
      <c r="H10" s="88">
        <v>1884</v>
      </c>
      <c r="I10" s="88">
        <v>1245</v>
      </c>
      <c r="J10" s="88">
        <v>1414</v>
      </c>
      <c r="K10" s="88">
        <v>366</v>
      </c>
      <c r="L10" s="88">
        <v>652</v>
      </c>
      <c r="M10" s="88">
        <v>325</v>
      </c>
    </row>
    <row r="11" spans="1:13" x14ac:dyDescent="0.2">
      <c r="A11" s="87" t="s">
        <v>74</v>
      </c>
      <c r="B11" s="88">
        <f t="shared" si="3"/>
        <v>18276</v>
      </c>
      <c r="C11" s="88">
        <f t="shared" si="0"/>
        <v>6253</v>
      </c>
      <c r="D11" s="88">
        <f t="shared" si="0"/>
        <v>4245</v>
      </c>
      <c r="E11" s="88">
        <f t="shared" si="1"/>
        <v>4925</v>
      </c>
      <c r="F11" s="88">
        <f t="shared" si="2"/>
        <v>2853</v>
      </c>
      <c r="G11" s="88">
        <v>4925</v>
      </c>
      <c r="H11" s="88">
        <v>2917</v>
      </c>
      <c r="I11" s="88">
        <v>4925</v>
      </c>
      <c r="J11" s="88">
        <v>2189</v>
      </c>
      <c r="K11" s="88">
        <v>1328</v>
      </c>
      <c r="L11" s="88">
        <v>1328</v>
      </c>
      <c r="M11" s="88">
        <v>664</v>
      </c>
    </row>
    <row r="12" spans="1:13" x14ac:dyDescent="0.2">
      <c r="A12" s="87" t="s">
        <v>47</v>
      </c>
      <c r="B12" s="88">
        <f>C12+D12+E12+F12</f>
        <v>12702</v>
      </c>
      <c r="C12" s="88">
        <f t="shared" si="0"/>
        <v>3904</v>
      </c>
      <c r="D12" s="88">
        <f t="shared" si="0"/>
        <v>3845</v>
      </c>
      <c r="E12" s="88">
        <f t="shared" si="1"/>
        <v>2711</v>
      </c>
      <c r="F12" s="88">
        <f t="shared" si="2"/>
        <v>2242</v>
      </c>
      <c r="G12" s="88">
        <v>2625</v>
      </c>
      <c r="H12" s="88">
        <v>2566</v>
      </c>
      <c r="I12" s="88">
        <v>2711</v>
      </c>
      <c r="J12" s="88">
        <v>1646</v>
      </c>
      <c r="K12" s="88">
        <v>1279</v>
      </c>
      <c r="L12" s="88">
        <v>1279</v>
      </c>
      <c r="M12" s="88">
        <v>596</v>
      </c>
    </row>
    <row r="13" spans="1:13" x14ac:dyDescent="0.2">
      <c r="A13" s="87" t="s">
        <v>252</v>
      </c>
      <c r="B13" s="88">
        <f t="shared" si="3"/>
        <v>33362</v>
      </c>
      <c r="C13" s="88">
        <f t="shared" si="0"/>
        <v>10233</v>
      </c>
      <c r="D13" s="88">
        <f t="shared" si="0"/>
        <v>10043</v>
      </c>
      <c r="E13" s="88">
        <f t="shared" si="1"/>
        <v>7552</v>
      </c>
      <c r="F13" s="88">
        <f t="shared" si="2"/>
        <v>5534</v>
      </c>
      <c r="G13" s="88">
        <v>7742</v>
      </c>
      <c r="H13" s="88">
        <v>7552</v>
      </c>
      <c r="I13" s="88">
        <v>7552</v>
      </c>
      <c r="J13" s="88">
        <v>4288</v>
      </c>
      <c r="K13" s="88">
        <v>2491</v>
      </c>
      <c r="L13" s="88">
        <v>2491</v>
      </c>
      <c r="M13" s="88">
        <v>1246</v>
      </c>
    </row>
    <row r="14" spans="1:13" x14ac:dyDescent="0.2">
      <c r="A14" s="87" t="s">
        <v>73</v>
      </c>
      <c r="B14" s="88">
        <f t="shared" si="3"/>
        <v>22917</v>
      </c>
      <c r="C14" s="88">
        <f t="shared" si="0"/>
        <v>6306</v>
      </c>
      <c r="D14" s="88">
        <f t="shared" si="0"/>
        <v>7123</v>
      </c>
      <c r="E14" s="88">
        <f t="shared" si="1"/>
        <v>4616</v>
      </c>
      <c r="F14" s="88">
        <f t="shared" si="2"/>
        <v>4872</v>
      </c>
      <c r="G14" s="88">
        <v>4616</v>
      </c>
      <c r="H14" s="88">
        <v>5248</v>
      </c>
      <c r="I14" s="88">
        <v>4616</v>
      </c>
      <c r="J14" s="88">
        <v>3936</v>
      </c>
      <c r="K14" s="88">
        <v>1690</v>
      </c>
      <c r="L14" s="88">
        <v>1875</v>
      </c>
      <c r="M14" s="88">
        <v>936</v>
      </c>
    </row>
    <row r="15" spans="1:13" x14ac:dyDescent="0.2">
      <c r="A15" s="87" t="s">
        <v>72</v>
      </c>
      <c r="B15" s="88">
        <f t="shared" si="3"/>
        <v>16786</v>
      </c>
      <c r="C15" s="88">
        <f t="shared" si="0"/>
        <v>5179</v>
      </c>
      <c r="D15" s="88">
        <f t="shared" si="0"/>
        <v>5001</v>
      </c>
      <c r="E15" s="88">
        <f t="shared" si="1"/>
        <v>3285</v>
      </c>
      <c r="F15" s="88">
        <f t="shared" si="2"/>
        <v>3321</v>
      </c>
      <c r="G15" s="88">
        <v>3463</v>
      </c>
      <c r="H15" s="88">
        <v>3285</v>
      </c>
      <c r="I15" s="88">
        <v>3285</v>
      </c>
      <c r="J15" s="88">
        <v>2463</v>
      </c>
      <c r="K15" s="88">
        <v>1716</v>
      </c>
      <c r="L15" s="88">
        <v>1716</v>
      </c>
      <c r="M15" s="88">
        <v>858</v>
      </c>
    </row>
    <row r="16" spans="1:13" ht="24" x14ac:dyDescent="0.2">
      <c r="A16" s="89" t="s">
        <v>118</v>
      </c>
      <c r="B16" s="88">
        <f t="shared" si="3"/>
        <v>36304</v>
      </c>
      <c r="C16" s="88">
        <f t="shared" si="0"/>
        <v>9988</v>
      </c>
      <c r="D16" s="88">
        <f t="shared" si="0"/>
        <v>9331</v>
      </c>
      <c r="E16" s="88">
        <f t="shared" si="1"/>
        <v>9988</v>
      </c>
      <c r="F16" s="88">
        <f t="shared" si="2"/>
        <v>6997</v>
      </c>
      <c r="G16" s="88">
        <v>9988</v>
      </c>
      <c r="H16" s="88">
        <v>9331</v>
      </c>
      <c r="I16" s="88">
        <v>9988</v>
      </c>
      <c r="J16" s="88">
        <v>6997</v>
      </c>
      <c r="K16" s="88">
        <v>0</v>
      </c>
      <c r="L16" s="88">
        <v>0</v>
      </c>
      <c r="M16" s="88">
        <v>0</v>
      </c>
    </row>
    <row r="17" spans="1:13" x14ac:dyDescent="0.2">
      <c r="A17" s="87" t="s">
        <v>253</v>
      </c>
      <c r="B17" s="88">
        <f t="shared" si="3"/>
        <v>11122</v>
      </c>
      <c r="C17" s="88">
        <f t="shared" si="0"/>
        <v>4810</v>
      </c>
      <c r="D17" s="88">
        <f t="shared" si="0"/>
        <v>4208</v>
      </c>
      <c r="E17" s="88">
        <f t="shared" si="1"/>
        <v>0</v>
      </c>
      <c r="F17" s="88">
        <f t="shared" si="2"/>
        <v>2104</v>
      </c>
      <c r="G17" s="88">
        <v>0</v>
      </c>
      <c r="H17" s="88">
        <v>0</v>
      </c>
      <c r="I17" s="88">
        <v>0</v>
      </c>
      <c r="J17" s="88">
        <v>0</v>
      </c>
      <c r="K17" s="88">
        <v>4810</v>
      </c>
      <c r="L17" s="88">
        <v>4208</v>
      </c>
      <c r="M17" s="88">
        <v>2104</v>
      </c>
    </row>
    <row r="18" spans="1:13" x14ac:dyDescent="0.2">
      <c r="A18" s="87" t="s">
        <v>254</v>
      </c>
      <c r="B18" s="88">
        <f t="shared" si="3"/>
        <v>38967</v>
      </c>
      <c r="C18" s="88">
        <f t="shared" si="0"/>
        <v>10998</v>
      </c>
      <c r="D18" s="88">
        <f t="shared" si="0"/>
        <v>10998</v>
      </c>
      <c r="E18" s="88">
        <f t="shared" si="1"/>
        <v>9177</v>
      </c>
      <c r="F18" s="88">
        <f t="shared" si="2"/>
        <v>7794</v>
      </c>
      <c r="G18" s="88">
        <v>9177</v>
      </c>
      <c r="H18" s="88">
        <v>9177</v>
      </c>
      <c r="I18" s="88">
        <v>9177</v>
      </c>
      <c r="J18" s="88">
        <v>6884</v>
      </c>
      <c r="K18" s="88">
        <v>1821</v>
      </c>
      <c r="L18" s="88">
        <v>1821</v>
      </c>
      <c r="M18" s="88">
        <v>910</v>
      </c>
    </row>
    <row r="19" spans="1:13" x14ac:dyDescent="0.2">
      <c r="A19" s="87" t="s">
        <v>27</v>
      </c>
      <c r="B19" s="88">
        <f t="shared" si="3"/>
        <v>4965</v>
      </c>
      <c r="C19" s="88">
        <f t="shared" si="0"/>
        <v>1986</v>
      </c>
      <c r="D19" s="88">
        <f t="shared" si="0"/>
        <v>1986</v>
      </c>
      <c r="E19" s="88">
        <f t="shared" si="1"/>
        <v>0</v>
      </c>
      <c r="F19" s="88">
        <f t="shared" si="2"/>
        <v>993</v>
      </c>
      <c r="G19" s="88">
        <v>0</v>
      </c>
      <c r="H19" s="88">
        <v>0</v>
      </c>
      <c r="I19" s="88">
        <v>0</v>
      </c>
      <c r="J19" s="88">
        <v>0</v>
      </c>
      <c r="K19" s="88">
        <v>1986</v>
      </c>
      <c r="L19" s="88">
        <v>1986</v>
      </c>
      <c r="M19" s="88">
        <v>993</v>
      </c>
    </row>
    <row r="20" spans="1:13" ht="24.75" customHeight="1" x14ac:dyDescent="0.2">
      <c r="A20" s="89" t="s">
        <v>141</v>
      </c>
      <c r="B20" s="88">
        <f t="shared" si="3"/>
        <v>14351</v>
      </c>
      <c r="C20" s="88">
        <f>G20+K20</f>
        <v>5740</v>
      </c>
      <c r="D20" s="88">
        <f>H20+L20</f>
        <v>5740</v>
      </c>
      <c r="E20" s="88">
        <f>I20</f>
        <v>0</v>
      </c>
      <c r="F20" s="88">
        <f>J20+M20</f>
        <v>2871</v>
      </c>
      <c r="G20" s="88">
        <v>0</v>
      </c>
      <c r="H20" s="88">
        <v>0</v>
      </c>
      <c r="I20" s="88">
        <v>0</v>
      </c>
      <c r="J20" s="88">
        <v>0</v>
      </c>
      <c r="K20" s="88">
        <v>5740</v>
      </c>
      <c r="L20" s="88">
        <v>5740</v>
      </c>
      <c r="M20" s="88">
        <v>2871</v>
      </c>
    </row>
    <row r="21" spans="1:13" ht="12.75" customHeight="1" x14ac:dyDescent="0.2">
      <c r="A21" s="89" t="s">
        <v>146</v>
      </c>
      <c r="B21" s="88">
        <f t="shared" si="3"/>
        <v>16410</v>
      </c>
      <c r="C21" s="88">
        <f t="shared" si="0"/>
        <v>4376</v>
      </c>
      <c r="D21" s="88">
        <f t="shared" si="0"/>
        <v>4376</v>
      </c>
      <c r="E21" s="88">
        <f t="shared" si="1"/>
        <v>4376</v>
      </c>
      <c r="F21" s="88">
        <f t="shared" si="2"/>
        <v>3282</v>
      </c>
      <c r="G21" s="88">
        <v>4376</v>
      </c>
      <c r="H21" s="88">
        <v>4376</v>
      </c>
      <c r="I21" s="88">
        <v>4376</v>
      </c>
      <c r="J21" s="88">
        <v>3282</v>
      </c>
      <c r="K21" s="88">
        <v>0</v>
      </c>
      <c r="L21" s="88">
        <v>0</v>
      </c>
      <c r="M21" s="88">
        <v>0</v>
      </c>
    </row>
    <row r="22" spans="1:13" ht="13.5" customHeight="1" x14ac:dyDescent="0.2">
      <c r="A22" s="89" t="s">
        <v>148</v>
      </c>
      <c r="B22" s="88">
        <f t="shared" si="3"/>
        <v>25191</v>
      </c>
      <c r="C22" s="88">
        <f t="shared" si="0"/>
        <v>6718</v>
      </c>
      <c r="D22" s="88">
        <f t="shared" si="0"/>
        <v>6718</v>
      </c>
      <c r="E22" s="88">
        <f t="shared" si="1"/>
        <v>6718</v>
      </c>
      <c r="F22" s="88">
        <f t="shared" si="2"/>
        <v>5037</v>
      </c>
      <c r="G22" s="88">
        <v>6718</v>
      </c>
      <c r="H22" s="88">
        <v>6718</v>
      </c>
      <c r="I22" s="88">
        <v>6718</v>
      </c>
      <c r="J22" s="88">
        <v>5037</v>
      </c>
      <c r="K22" s="88">
        <v>0</v>
      </c>
      <c r="L22" s="88">
        <v>0</v>
      </c>
      <c r="M22" s="88">
        <v>0</v>
      </c>
    </row>
    <row r="23" spans="1:13" x14ac:dyDescent="0.2">
      <c r="A23" s="89" t="s">
        <v>76</v>
      </c>
      <c r="B23" s="88">
        <f t="shared" si="3"/>
        <v>16629</v>
      </c>
      <c r="C23" s="88">
        <f t="shared" ref="C23:D30" si="4">G23+K23</f>
        <v>4434</v>
      </c>
      <c r="D23" s="88">
        <f t="shared" si="4"/>
        <v>4434</v>
      </c>
      <c r="E23" s="88">
        <f t="shared" si="1"/>
        <v>4434</v>
      </c>
      <c r="F23" s="88">
        <f t="shared" si="2"/>
        <v>3327</v>
      </c>
      <c r="G23" s="88">
        <v>4434</v>
      </c>
      <c r="H23" s="88">
        <v>4434</v>
      </c>
      <c r="I23" s="88">
        <v>4434</v>
      </c>
      <c r="J23" s="88">
        <v>3327</v>
      </c>
      <c r="K23" s="88">
        <v>0</v>
      </c>
      <c r="L23" s="88">
        <v>0</v>
      </c>
      <c r="M23" s="88">
        <v>0</v>
      </c>
    </row>
    <row r="24" spans="1:13" ht="15" customHeight="1" x14ac:dyDescent="0.2">
      <c r="A24" s="89" t="s">
        <v>255</v>
      </c>
      <c r="B24" s="88">
        <f t="shared" si="3"/>
        <v>13029</v>
      </c>
      <c r="C24" s="88">
        <f>G24+K24</f>
        <v>3838</v>
      </c>
      <c r="D24" s="88">
        <f>H24+L24</f>
        <v>3858</v>
      </c>
      <c r="E24" s="88">
        <f>I24</f>
        <v>2725</v>
      </c>
      <c r="F24" s="88">
        <f>J24+M24</f>
        <v>2608</v>
      </c>
      <c r="G24" s="88">
        <v>2705</v>
      </c>
      <c r="H24" s="88">
        <v>2725</v>
      </c>
      <c r="I24" s="88">
        <v>2725</v>
      </c>
      <c r="J24" s="88">
        <v>2043</v>
      </c>
      <c r="K24" s="88">
        <v>1133</v>
      </c>
      <c r="L24" s="88">
        <v>1133</v>
      </c>
      <c r="M24" s="88">
        <v>565</v>
      </c>
    </row>
    <row r="25" spans="1:13" x14ac:dyDescent="0.2">
      <c r="A25" s="89" t="s">
        <v>164</v>
      </c>
      <c r="B25" s="88">
        <f t="shared" si="3"/>
        <v>13708</v>
      </c>
      <c r="C25" s="88">
        <f>G25+K25</f>
        <v>4034</v>
      </c>
      <c r="D25" s="88">
        <f>H25+L25</f>
        <v>4034</v>
      </c>
      <c r="E25" s="88">
        <f>I25</f>
        <v>2896</v>
      </c>
      <c r="F25" s="88">
        <f>J25+M25</f>
        <v>2744</v>
      </c>
      <c r="G25" s="88">
        <v>2896</v>
      </c>
      <c r="H25" s="88">
        <v>2896</v>
      </c>
      <c r="I25" s="88">
        <v>2896</v>
      </c>
      <c r="J25" s="88">
        <v>2175</v>
      </c>
      <c r="K25" s="88">
        <v>1138</v>
      </c>
      <c r="L25" s="88">
        <v>1138</v>
      </c>
      <c r="M25" s="88">
        <v>569</v>
      </c>
    </row>
    <row r="26" spans="1:13" x14ac:dyDescent="0.2">
      <c r="A26" s="89" t="s">
        <v>166</v>
      </c>
      <c r="B26" s="88">
        <f t="shared" si="3"/>
        <v>9132</v>
      </c>
      <c r="C26" s="88">
        <f t="shared" si="4"/>
        <v>3652</v>
      </c>
      <c r="D26" s="88">
        <f t="shared" si="4"/>
        <v>3652</v>
      </c>
      <c r="E26" s="88">
        <f t="shared" si="1"/>
        <v>0</v>
      </c>
      <c r="F26" s="88">
        <f t="shared" si="2"/>
        <v>1828</v>
      </c>
      <c r="G26" s="88">
        <v>0</v>
      </c>
      <c r="H26" s="88">
        <v>0</v>
      </c>
      <c r="I26" s="88">
        <v>0</v>
      </c>
      <c r="J26" s="88">
        <v>0</v>
      </c>
      <c r="K26" s="88">
        <v>3652</v>
      </c>
      <c r="L26" s="88">
        <v>3652</v>
      </c>
      <c r="M26" s="88">
        <v>1828</v>
      </c>
    </row>
    <row r="27" spans="1:13" ht="15" customHeight="1" x14ac:dyDescent="0.2">
      <c r="A27" s="89" t="s">
        <v>71</v>
      </c>
      <c r="B27" s="88">
        <f t="shared" si="3"/>
        <v>17633</v>
      </c>
      <c r="C27" s="88">
        <f t="shared" si="4"/>
        <v>4703</v>
      </c>
      <c r="D27" s="88">
        <f t="shared" si="4"/>
        <v>4703</v>
      </c>
      <c r="E27" s="88">
        <f t="shared" si="1"/>
        <v>4703</v>
      </c>
      <c r="F27" s="88">
        <f t="shared" si="2"/>
        <v>3524</v>
      </c>
      <c r="G27" s="88">
        <v>4703</v>
      </c>
      <c r="H27" s="88">
        <v>4703</v>
      </c>
      <c r="I27" s="88">
        <v>4703</v>
      </c>
      <c r="J27" s="88">
        <v>3524</v>
      </c>
      <c r="K27" s="88">
        <v>0</v>
      </c>
      <c r="L27" s="88">
        <v>0</v>
      </c>
      <c r="M27" s="88">
        <v>0</v>
      </c>
    </row>
    <row r="28" spans="1:13" ht="15" customHeight="1" x14ac:dyDescent="0.2">
      <c r="A28" s="89" t="s">
        <v>63</v>
      </c>
      <c r="B28" s="88">
        <f t="shared" si="3"/>
        <v>18984</v>
      </c>
      <c r="C28" s="88">
        <f t="shared" si="4"/>
        <v>5368</v>
      </c>
      <c r="D28" s="88">
        <f t="shared" si="4"/>
        <v>5368</v>
      </c>
      <c r="E28" s="88">
        <f t="shared" si="1"/>
        <v>4452</v>
      </c>
      <c r="F28" s="88">
        <f t="shared" si="2"/>
        <v>3796</v>
      </c>
      <c r="G28" s="88">
        <v>4452</v>
      </c>
      <c r="H28" s="88">
        <v>4452</v>
      </c>
      <c r="I28" s="88">
        <v>4452</v>
      </c>
      <c r="J28" s="88">
        <v>3337</v>
      </c>
      <c r="K28" s="88">
        <v>916</v>
      </c>
      <c r="L28" s="88">
        <v>916</v>
      </c>
      <c r="M28" s="88">
        <v>459</v>
      </c>
    </row>
    <row r="29" spans="1:13" ht="15" customHeight="1" x14ac:dyDescent="0.2">
      <c r="A29" s="89" t="s">
        <v>37</v>
      </c>
      <c r="B29" s="88">
        <f t="shared" si="3"/>
        <v>1170</v>
      </c>
      <c r="C29" s="88">
        <f t="shared" si="4"/>
        <v>1170</v>
      </c>
      <c r="D29" s="88">
        <f t="shared" si="4"/>
        <v>0</v>
      </c>
      <c r="E29" s="88">
        <f t="shared" si="1"/>
        <v>0</v>
      </c>
      <c r="F29" s="88">
        <f t="shared" si="2"/>
        <v>0</v>
      </c>
      <c r="G29" s="88">
        <v>1170</v>
      </c>
      <c r="H29" s="88"/>
      <c r="I29" s="88"/>
      <c r="J29" s="88"/>
      <c r="K29" s="88"/>
      <c r="L29" s="88"/>
      <c r="M29" s="88"/>
    </row>
    <row r="30" spans="1:13" ht="15" customHeight="1" x14ac:dyDescent="0.2">
      <c r="A30" s="89" t="s">
        <v>50</v>
      </c>
      <c r="B30" s="88">
        <f t="shared" si="3"/>
        <v>20</v>
      </c>
      <c r="C30" s="88">
        <f t="shared" si="4"/>
        <v>20</v>
      </c>
      <c r="D30" s="88">
        <f t="shared" si="4"/>
        <v>0</v>
      </c>
      <c r="E30" s="88">
        <f t="shared" si="1"/>
        <v>0</v>
      </c>
      <c r="F30" s="88">
        <f t="shared" si="2"/>
        <v>0</v>
      </c>
      <c r="G30" s="88">
        <v>20</v>
      </c>
      <c r="H30" s="88"/>
      <c r="I30" s="88"/>
      <c r="J30" s="88"/>
      <c r="K30" s="88"/>
      <c r="L30" s="88"/>
      <c r="M30" s="88"/>
    </row>
    <row r="31" spans="1:13" s="92" customFormat="1" ht="15.75" customHeight="1" x14ac:dyDescent="0.25">
      <c r="A31" s="90" t="s">
        <v>67</v>
      </c>
      <c r="B31" s="91">
        <f>SUM(B7:B30)</f>
        <v>405744</v>
      </c>
      <c r="C31" s="91">
        <f>SUM(C7:C30)</f>
        <v>122335</v>
      </c>
      <c r="D31" s="91">
        <f t="shared" ref="D31:M31" si="5">SUM(D7:D30)</f>
        <v>119215</v>
      </c>
      <c r="E31" s="91">
        <f t="shared" si="5"/>
        <v>85565</v>
      </c>
      <c r="F31" s="91">
        <f t="shared" si="5"/>
        <v>78629</v>
      </c>
      <c r="G31" s="91">
        <f t="shared" si="5"/>
        <v>87015</v>
      </c>
      <c r="H31" s="91">
        <f t="shared" si="5"/>
        <v>84026</v>
      </c>
      <c r="I31" s="91">
        <f t="shared" si="5"/>
        <v>85565</v>
      </c>
      <c r="J31" s="91">
        <f t="shared" si="5"/>
        <v>61079</v>
      </c>
      <c r="K31" s="91">
        <f t="shared" si="5"/>
        <v>35320</v>
      </c>
      <c r="L31" s="91">
        <f t="shared" si="5"/>
        <v>35189</v>
      </c>
      <c r="M31" s="91">
        <f t="shared" si="5"/>
        <v>17550</v>
      </c>
    </row>
    <row r="32" spans="1:13" s="93" customFormat="1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2:13" s="93" customFormat="1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2:13" x14ac:dyDescent="0.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</sheetData>
  <mergeCells count="20">
    <mergeCell ref="A1:M1"/>
    <mergeCell ref="A3:A6"/>
    <mergeCell ref="B3:B6"/>
    <mergeCell ref="C3:F3"/>
    <mergeCell ref="G3:J3"/>
    <mergeCell ref="K3:M3"/>
    <mergeCell ref="C4:E4"/>
    <mergeCell ref="F4:F6"/>
    <mergeCell ref="G4:I4"/>
    <mergeCell ref="J4:J6"/>
    <mergeCell ref="K4:L4"/>
    <mergeCell ref="M4:M6"/>
    <mergeCell ref="C5:C6"/>
    <mergeCell ref="D5:D6"/>
    <mergeCell ref="E5:E6"/>
    <mergeCell ref="G5:G6"/>
    <mergeCell ref="H5:H6"/>
    <mergeCell ref="I5:I6"/>
    <mergeCell ref="K5:K6"/>
    <mergeCell ref="L5:L6"/>
  </mergeCells>
  <pageMargins left="0" right="0" top="0.74803149606299213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ВМП(пр.101)</vt:lpstr>
      <vt:lpstr>КС Пр.101</vt:lpstr>
      <vt:lpstr>ДС Пр. 101</vt:lpstr>
      <vt:lpstr>Гемодиализ Пр. 101</vt:lpstr>
      <vt:lpstr>ЛДУ Пр. 101</vt:lpstr>
      <vt:lpstr>АПУ неотл., обращ. Пр.101</vt:lpstr>
      <vt:lpstr>АПУ посещения Пр.101</vt:lpstr>
      <vt:lpstr>АПУпосещ. Пр. 101 по направ</vt:lpstr>
      <vt:lpstr>АПУ ЦЗ Пр. 101</vt:lpstr>
      <vt:lpstr>'АПУ неотл., обращ. Пр.101'!Заголовки_для_печати</vt:lpstr>
      <vt:lpstr>'КС Пр.101'!Заголовки_для_печати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Гузель Самойлова</cp:lastModifiedBy>
  <cp:lastPrinted>2019-05-27T09:54:23Z</cp:lastPrinted>
  <dcterms:created xsi:type="dcterms:W3CDTF">2018-12-06T04:36:54Z</dcterms:created>
  <dcterms:modified xsi:type="dcterms:W3CDTF">2019-09-06T03:57:49Z</dcterms:modified>
</cp:coreProperties>
</file>